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ARIL LISTS OF FILES\DBM REQ'T\FUND UTILIZATION REPORT\2020 FUR\FUR as of 03-31-20\"/>
    </mc:Choice>
  </mc:AlternateContent>
  <bookViews>
    <workbookView xWindow="0" yWindow="60" windowWidth="20730" windowHeight="11700"/>
  </bookViews>
  <sheets>
    <sheet name="FUR as of 03-31-20 Detailed" sheetId="14" r:id="rId1"/>
    <sheet name="FUR as of 03-31-20 Simplifi (2" sheetId="16" r:id="rId2"/>
  </sheets>
  <externalReferences>
    <externalReference r:id="rId3"/>
    <externalReference r:id="rId4"/>
    <externalReference r:id="rId5"/>
    <externalReference r:id="rId6"/>
    <externalReference r:id="rId7"/>
  </externalReferences>
  <definedNames>
    <definedName name="_xlnm.Print_Area" localSheetId="0">'FUR as of 03-31-20 Detailed'!$A$1:$U$189</definedName>
    <definedName name="_xlnm.Print_Area" localSheetId="1">'FUR as of 03-31-20 Simplifi (2'!$A$1:$P$123</definedName>
    <definedName name="_xlnm.Print_Titles" localSheetId="0">'FUR as of 03-31-20 Detailed'!$A:$P,'FUR as of 03-31-20 Detailed'!$1:$5</definedName>
    <definedName name="_xlnm.Print_Titles" localSheetId="1">'FUR as of 03-31-20 Simplifi (2'!$A:$L,'FUR as of 03-31-20 Simplifi (2'!$1:$5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73" i="14" l="1"/>
  <c r="J35" i="16" l="1"/>
  <c r="U137" i="14" l="1"/>
  <c r="U130" i="14"/>
  <c r="U133" i="14"/>
  <c r="U134" i="14"/>
  <c r="S152" i="14"/>
  <c r="U152" i="14" s="1"/>
  <c r="S153" i="14"/>
  <c r="U153" i="14" s="1"/>
  <c r="S154" i="14"/>
  <c r="U154" i="14" s="1"/>
  <c r="S155" i="14"/>
  <c r="U155" i="14" s="1"/>
  <c r="S156" i="14"/>
  <c r="U156" i="14" s="1"/>
  <c r="S157" i="14"/>
  <c r="U157" i="14" s="1"/>
  <c r="S158" i="14"/>
  <c r="U158" i="14" s="1"/>
  <c r="S159" i="14"/>
  <c r="U159" i="14" s="1"/>
  <c r="S160" i="14"/>
  <c r="U160" i="14" s="1"/>
  <c r="S161" i="14"/>
  <c r="U161" i="14" s="1"/>
  <c r="S162" i="14"/>
  <c r="U162" i="14" s="1"/>
  <c r="S163" i="14"/>
  <c r="U163" i="14" s="1"/>
  <c r="S164" i="14"/>
  <c r="U164" i="14" s="1"/>
  <c r="S165" i="14"/>
  <c r="U165" i="14" s="1"/>
  <c r="S151" i="14"/>
  <c r="S166" i="14" s="1"/>
  <c r="S127" i="14"/>
  <c r="S137" i="14"/>
  <c r="S143" i="14"/>
  <c r="U143" i="14" s="1"/>
  <c r="S142" i="14"/>
  <c r="U142" i="14" s="1"/>
  <c r="S141" i="14"/>
  <c r="U141" i="14" s="1"/>
  <c r="S140" i="14"/>
  <c r="U140" i="14" s="1"/>
  <c r="S139" i="14"/>
  <c r="U139" i="14" s="1"/>
  <c r="S133" i="14"/>
  <c r="S134" i="14"/>
  <c r="S135" i="14"/>
  <c r="U135" i="14" s="1"/>
  <c r="S136" i="14"/>
  <c r="U136" i="14" s="1"/>
  <c r="S132" i="14"/>
  <c r="U132" i="14" s="1"/>
  <c r="S131" i="14"/>
  <c r="U131" i="14" s="1"/>
  <c r="S130" i="14"/>
  <c r="S129" i="14"/>
  <c r="U129" i="14" s="1"/>
  <c r="S126" i="14"/>
  <c r="U126" i="14" s="1"/>
  <c r="S125" i="14"/>
  <c r="U125" i="14" s="1"/>
  <c r="S124" i="14"/>
  <c r="U124" i="14" s="1"/>
  <c r="S112" i="14"/>
  <c r="S108" i="14"/>
  <c r="S106" i="14"/>
  <c r="U106" i="14" s="1"/>
  <c r="S94" i="14"/>
  <c r="S92" i="14"/>
  <c r="U92" i="14" s="1"/>
  <c r="S84" i="14"/>
  <c r="S80" i="14"/>
  <c r="S78" i="14"/>
  <c r="U78" i="14" s="1"/>
  <c r="S67" i="14"/>
  <c r="U67" i="14" s="1"/>
  <c r="S65" i="14"/>
  <c r="S63" i="14"/>
  <c r="S59" i="14"/>
  <c r="S55" i="14"/>
  <c r="S53" i="14"/>
  <c r="U53" i="14" s="1"/>
  <c r="S48" i="14"/>
  <c r="S46" i="14"/>
  <c r="U46" i="14" s="1"/>
  <c r="S36" i="14"/>
  <c r="S32" i="14"/>
  <c r="S29" i="14"/>
  <c r="U29" i="14" s="1"/>
  <c r="S25" i="14"/>
  <c r="S19" i="14"/>
  <c r="R166" i="14"/>
  <c r="R144" i="14"/>
  <c r="Q117" i="14"/>
  <c r="R117" i="14"/>
  <c r="R99" i="14"/>
  <c r="R71" i="14"/>
  <c r="N155" i="14"/>
  <c r="N156" i="14"/>
  <c r="N157" i="14"/>
  <c r="N158" i="14"/>
  <c r="N159" i="14"/>
  <c r="N160" i="14"/>
  <c r="N161" i="14"/>
  <c r="N162" i="14"/>
  <c r="N163" i="14"/>
  <c r="N164" i="14"/>
  <c r="N165" i="14"/>
  <c r="N153" i="14"/>
  <c r="N154" i="14"/>
  <c r="N152" i="14"/>
  <c r="N137" i="14"/>
  <c r="N143" i="14"/>
  <c r="N142" i="14"/>
  <c r="N141" i="14"/>
  <c r="N140" i="14"/>
  <c r="N139" i="14"/>
  <c r="N131" i="14"/>
  <c r="N132" i="14"/>
  <c r="N133" i="14"/>
  <c r="N134" i="14"/>
  <c r="N135" i="14"/>
  <c r="N136" i="14"/>
  <c r="N130" i="14"/>
  <c r="N129" i="14"/>
  <c r="N126" i="14"/>
  <c r="N125" i="14"/>
  <c r="N124" i="14"/>
  <c r="N112" i="14"/>
  <c r="N108" i="14"/>
  <c r="N106" i="14"/>
  <c r="N94" i="14"/>
  <c r="N92" i="14"/>
  <c r="N84" i="14"/>
  <c r="N80" i="14"/>
  <c r="N99" i="14" s="1"/>
  <c r="N78" i="14"/>
  <c r="N65" i="14"/>
  <c r="N59" i="14"/>
  <c r="N55" i="14"/>
  <c r="N48" i="14"/>
  <c r="N46" i="14"/>
  <c r="N36" i="14"/>
  <c r="N32" i="14"/>
  <c r="N29" i="14"/>
  <c r="N25" i="14"/>
  <c r="R118" i="14" l="1"/>
  <c r="N166" i="14"/>
  <c r="N117" i="14"/>
  <c r="S117" i="14"/>
  <c r="S99" i="14"/>
  <c r="U151" i="14"/>
  <c r="S144" i="14"/>
  <c r="U127" i="14"/>
  <c r="R167" i="14"/>
  <c r="P92" i="16" l="1"/>
  <c r="P93" i="16"/>
  <c r="P98" i="16"/>
  <c r="P99" i="16"/>
  <c r="O87" i="16"/>
  <c r="P87" i="16" s="1"/>
  <c r="O89" i="16"/>
  <c r="P89" i="16" s="1"/>
  <c r="O90" i="16"/>
  <c r="P90" i="16" s="1"/>
  <c r="O91" i="16"/>
  <c r="P91" i="16" s="1"/>
  <c r="O92" i="16"/>
  <c r="O93" i="16"/>
  <c r="O94" i="16"/>
  <c r="P94" i="16" s="1"/>
  <c r="O95" i="16"/>
  <c r="P95" i="16" s="1"/>
  <c r="O96" i="16"/>
  <c r="P96" i="16" s="1"/>
  <c r="O97" i="16"/>
  <c r="P97" i="16" s="1"/>
  <c r="O98" i="16"/>
  <c r="O99" i="16"/>
  <c r="O100" i="16"/>
  <c r="P100" i="16" s="1"/>
  <c r="O86" i="16"/>
  <c r="P86" i="16" s="1"/>
  <c r="O72" i="16"/>
  <c r="P72" i="16" s="1"/>
  <c r="P77" i="16"/>
  <c r="P65" i="16"/>
  <c r="O78" i="16"/>
  <c r="P78" i="16" s="1"/>
  <c r="O77" i="16"/>
  <c r="O76" i="16"/>
  <c r="P76" i="16" s="1"/>
  <c r="O75" i="16"/>
  <c r="P75" i="16" s="1"/>
  <c r="O74" i="16"/>
  <c r="P74" i="16" s="1"/>
  <c r="O66" i="16"/>
  <c r="P66" i="16" s="1"/>
  <c r="O67" i="16"/>
  <c r="P67" i="16" s="1"/>
  <c r="O68" i="16"/>
  <c r="P68" i="16" s="1"/>
  <c r="O69" i="16"/>
  <c r="P69" i="16" s="1"/>
  <c r="O70" i="16"/>
  <c r="P70" i="16" s="1"/>
  <c r="O71" i="16"/>
  <c r="P71" i="16" s="1"/>
  <c r="O65" i="16"/>
  <c r="O64" i="16"/>
  <c r="P64" i="16" s="1"/>
  <c r="N62" i="16"/>
  <c r="O62" i="16" s="1"/>
  <c r="P62" i="16" s="1"/>
  <c r="N88" i="16"/>
  <c r="N101" i="16" s="1"/>
  <c r="N60" i="16"/>
  <c r="O60" i="16" s="1"/>
  <c r="P60" i="16" s="1"/>
  <c r="N61" i="16"/>
  <c r="O61" i="16" s="1"/>
  <c r="P61" i="16" s="1"/>
  <c r="N59" i="16"/>
  <c r="O59" i="16" s="1"/>
  <c r="P59" i="16" s="1"/>
  <c r="P50" i="16"/>
  <c r="P49" i="16"/>
  <c r="O51" i="16"/>
  <c r="P51" i="16" s="1"/>
  <c r="O50" i="16"/>
  <c r="O49" i="16"/>
  <c r="N52" i="16"/>
  <c r="N39" i="16"/>
  <c r="N38" i="16"/>
  <c r="N37" i="16"/>
  <c r="N36" i="16"/>
  <c r="N35" i="16"/>
  <c r="L39" i="16"/>
  <c r="L38" i="16"/>
  <c r="R38" i="16" s="1"/>
  <c r="U38" i="16" s="1"/>
  <c r="L37" i="16"/>
  <c r="L36" i="16"/>
  <c r="R36" i="16" s="1"/>
  <c r="U36" i="16" s="1"/>
  <c r="L35" i="16"/>
  <c r="O35" i="16" s="1"/>
  <c r="P35" i="16" s="1"/>
  <c r="N18" i="16"/>
  <c r="N17" i="16"/>
  <c r="N16" i="16"/>
  <c r="N15" i="16"/>
  <c r="N14" i="16"/>
  <c r="N13" i="16"/>
  <c r="O12" i="16"/>
  <c r="P12" i="16" s="1"/>
  <c r="O22" i="16"/>
  <c r="P22" i="16" s="1"/>
  <c r="O23" i="16"/>
  <c r="P23" i="16" s="1"/>
  <c r="O11" i="16"/>
  <c r="P11" i="16" s="1"/>
  <c r="O10" i="16"/>
  <c r="P10" i="16" s="1"/>
  <c r="L13" i="16"/>
  <c r="R13" i="16" s="1"/>
  <c r="L14" i="16"/>
  <c r="R14" i="16" s="1"/>
  <c r="U14" i="16" s="1"/>
  <c r="L15" i="16"/>
  <c r="L16" i="16"/>
  <c r="R16" i="16" s="1"/>
  <c r="U16" i="16" s="1"/>
  <c r="L17" i="16"/>
  <c r="L18" i="16"/>
  <c r="R18" i="16" s="1"/>
  <c r="U18" i="16" s="1"/>
  <c r="L20" i="16"/>
  <c r="R20" i="16" s="1"/>
  <c r="U20" i="16" s="1"/>
  <c r="L21" i="16"/>
  <c r="R21" i="16" s="1"/>
  <c r="U21" i="16" s="1"/>
  <c r="L23" i="16"/>
  <c r="R23" i="16" s="1"/>
  <c r="U23" i="16" s="1"/>
  <c r="L24" i="16"/>
  <c r="R24" i="16" s="1"/>
  <c r="U24" i="16" s="1"/>
  <c r="S101" i="16"/>
  <c r="L101" i="16"/>
  <c r="I101" i="16"/>
  <c r="F101" i="16"/>
  <c r="D101" i="16"/>
  <c r="B101" i="16"/>
  <c r="R100" i="16"/>
  <c r="U100" i="16" s="1"/>
  <c r="J100" i="16"/>
  <c r="U99" i="16"/>
  <c r="J99" i="16"/>
  <c r="U98" i="16"/>
  <c r="J98" i="16"/>
  <c r="R97" i="16"/>
  <c r="U97" i="16" s="1"/>
  <c r="J97" i="16"/>
  <c r="G97" i="16"/>
  <c r="R96" i="16"/>
  <c r="U96" i="16" s="1"/>
  <c r="J96" i="16"/>
  <c r="G96" i="16"/>
  <c r="R95" i="16"/>
  <c r="U95" i="16" s="1"/>
  <c r="J95" i="16"/>
  <c r="G95" i="16"/>
  <c r="R94" i="16"/>
  <c r="U94" i="16" s="1"/>
  <c r="J94" i="16"/>
  <c r="G94" i="16"/>
  <c r="U93" i="16"/>
  <c r="R93" i="16"/>
  <c r="J93" i="16"/>
  <c r="G93" i="16"/>
  <c r="R92" i="16"/>
  <c r="U92" i="16" s="1"/>
  <c r="J92" i="16"/>
  <c r="G92" i="16"/>
  <c r="R91" i="16"/>
  <c r="U91" i="16" s="1"/>
  <c r="J91" i="16"/>
  <c r="G91" i="16"/>
  <c r="U90" i="16"/>
  <c r="R90" i="16"/>
  <c r="J90" i="16"/>
  <c r="G90" i="16"/>
  <c r="R89" i="16"/>
  <c r="U89" i="16" s="1"/>
  <c r="J89" i="16"/>
  <c r="G89" i="16"/>
  <c r="R88" i="16"/>
  <c r="U88" i="16" s="1"/>
  <c r="J88" i="16"/>
  <c r="G88" i="16"/>
  <c r="R87" i="16"/>
  <c r="U87" i="16" s="1"/>
  <c r="R86" i="16"/>
  <c r="U86" i="16" s="1"/>
  <c r="J86" i="16"/>
  <c r="G86" i="16"/>
  <c r="S79" i="16"/>
  <c r="L79" i="16"/>
  <c r="I79" i="16"/>
  <c r="F79" i="16"/>
  <c r="D79" i="16"/>
  <c r="B79" i="16"/>
  <c r="R78" i="16"/>
  <c r="U78" i="16" s="1"/>
  <c r="J78" i="16"/>
  <c r="G78" i="16"/>
  <c r="R77" i="16"/>
  <c r="U77" i="16" s="1"/>
  <c r="J77" i="16"/>
  <c r="G77" i="16"/>
  <c r="R76" i="16"/>
  <c r="U76" i="16" s="1"/>
  <c r="J76" i="16"/>
  <c r="G76" i="16"/>
  <c r="R75" i="16"/>
  <c r="U75" i="16" s="1"/>
  <c r="J75" i="16"/>
  <c r="G75" i="16"/>
  <c r="R74" i="16"/>
  <c r="U74" i="16" s="1"/>
  <c r="J74" i="16"/>
  <c r="G74" i="16"/>
  <c r="R72" i="16"/>
  <c r="U72" i="16" s="1"/>
  <c r="J72" i="16"/>
  <c r="G72" i="16"/>
  <c r="R71" i="16"/>
  <c r="U71" i="16" s="1"/>
  <c r="J71" i="16"/>
  <c r="G71" i="16"/>
  <c r="R70" i="16"/>
  <c r="U70" i="16" s="1"/>
  <c r="J70" i="16"/>
  <c r="G70" i="16"/>
  <c r="R69" i="16"/>
  <c r="U69" i="16" s="1"/>
  <c r="J69" i="16"/>
  <c r="G69" i="16"/>
  <c r="R68" i="16"/>
  <c r="U68" i="16" s="1"/>
  <c r="J68" i="16"/>
  <c r="G68" i="16"/>
  <c r="R67" i="16"/>
  <c r="U67" i="16" s="1"/>
  <c r="J67" i="16"/>
  <c r="G67" i="16"/>
  <c r="R66" i="16"/>
  <c r="U66" i="16" s="1"/>
  <c r="J66" i="16"/>
  <c r="G66" i="16"/>
  <c r="R65" i="16"/>
  <c r="U65" i="16" s="1"/>
  <c r="J65" i="16"/>
  <c r="G65" i="16"/>
  <c r="R64" i="16"/>
  <c r="U64" i="16" s="1"/>
  <c r="J64" i="16"/>
  <c r="G64" i="16"/>
  <c r="R62" i="16"/>
  <c r="U62" i="16" s="1"/>
  <c r="J62" i="16"/>
  <c r="G62" i="16"/>
  <c r="R61" i="16"/>
  <c r="U61" i="16" s="1"/>
  <c r="J61" i="16"/>
  <c r="G61" i="16"/>
  <c r="R60" i="16"/>
  <c r="J60" i="16"/>
  <c r="R59" i="16"/>
  <c r="U59" i="16" s="1"/>
  <c r="J59" i="16"/>
  <c r="G59" i="16"/>
  <c r="S52" i="16"/>
  <c r="L52" i="16"/>
  <c r="I52" i="16"/>
  <c r="F52" i="16"/>
  <c r="F53" i="16" s="1"/>
  <c r="D52" i="16"/>
  <c r="B52" i="16"/>
  <c r="R51" i="16"/>
  <c r="U51" i="16" s="1"/>
  <c r="J51" i="16"/>
  <c r="G51" i="16"/>
  <c r="U50" i="16"/>
  <c r="R50" i="16"/>
  <c r="J50" i="16"/>
  <c r="G50" i="16"/>
  <c r="R49" i="16"/>
  <c r="R52" i="16" s="1"/>
  <c r="J49" i="16"/>
  <c r="J52" i="16" s="1"/>
  <c r="G49" i="16"/>
  <c r="I42" i="16"/>
  <c r="F42" i="16"/>
  <c r="D42" i="16"/>
  <c r="B42" i="16"/>
  <c r="S41" i="16"/>
  <c r="U41" i="16" s="1"/>
  <c r="J39" i="16"/>
  <c r="G39" i="16"/>
  <c r="J38" i="16"/>
  <c r="G38" i="16"/>
  <c r="J37" i="16"/>
  <c r="G37" i="16"/>
  <c r="J36" i="16"/>
  <c r="G36" i="16"/>
  <c r="J42" i="16"/>
  <c r="G35" i="16"/>
  <c r="G42" i="16" s="1"/>
  <c r="I28" i="16"/>
  <c r="F28" i="16"/>
  <c r="D28" i="16"/>
  <c r="B28" i="16"/>
  <c r="S26" i="16"/>
  <c r="S28" i="16" s="1"/>
  <c r="J24" i="16"/>
  <c r="G24" i="16"/>
  <c r="J23" i="16"/>
  <c r="G23" i="16"/>
  <c r="L22" i="16"/>
  <c r="R22" i="16" s="1"/>
  <c r="U22" i="16" s="1"/>
  <c r="J22" i="16"/>
  <c r="G22" i="16"/>
  <c r="J21" i="16"/>
  <c r="G21" i="16"/>
  <c r="J20" i="16"/>
  <c r="G20" i="16"/>
  <c r="L19" i="16"/>
  <c r="R19" i="16" s="1"/>
  <c r="U19" i="16" s="1"/>
  <c r="G19" i="16"/>
  <c r="J18" i="16"/>
  <c r="R17" i="16"/>
  <c r="U17" i="16" s="1"/>
  <c r="J17" i="16"/>
  <c r="J16" i="16"/>
  <c r="G16" i="16"/>
  <c r="R15" i="16"/>
  <c r="U15" i="16" s="1"/>
  <c r="J15" i="16"/>
  <c r="G15" i="16"/>
  <c r="J14" i="16"/>
  <c r="G14" i="16"/>
  <c r="T13" i="16"/>
  <c r="T28" i="16" s="1"/>
  <c r="J13" i="16"/>
  <c r="G13" i="16"/>
  <c r="R12" i="16"/>
  <c r="U12" i="16" s="1"/>
  <c r="J12" i="16"/>
  <c r="G12" i="16"/>
  <c r="R11" i="16"/>
  <c r="J11" i="16"/>
  <c r="G11" i="16"/>
  <c r="R10" i="16"/>
  <c r="U10" i="16" s="1"/>
  <c r="J10" i="16"/>
  <c r="G10" i="16"/>
  <c r="R35" i="16" l="1"/>
  <c r="U35" i="16" s="1"/>
  <c r="G52" i="16"/>
  <c r="P52" i="16"/>
  <c r="J28" i="16"/>
  <c r="R79" i="16"/>
  <c r="V79" i="16" s="1"/>
  <c r="U13" i="16"/>
  <c r="U28" i="16" s="1"/>
  <c r="O39" i="16"/>
  <c r="P39" i="16" s="1"/>
  <c r="G28" i="16"/>
  <c r="O37" i="16"/>
  <c r="P37" i="16" s="1"/>
  <c r="J79" i="16"/>
  <c r="G79" i="16"/>
  <c r="G101" i="16"/>
  <c r="I102" i="16"/>
  <c r="S42" i="16"/>
  <c r="J101" i="16"/>
  <c r="O36" i="16"/>
  <c r="P36" i="16" s="1"/>
  <c r="R39" i="16"/>
  <c r="U39" i="16" s="1"/>
  <c r="L42" i="16"/>
  <c r="F102" i="16"/>
  <c r="R37" i="16"/>
  <c r="U37" i="16" s="1"/>
  <c r="O88" i="16"/>
  <c r="N79" i="16"/>
  <c r="O38" i="16"/>
  <c r="P38" i="16" s="1"/>
  <c r="P79" i="16"/>
  <c r="O79" i="16"/>
  <c r="O52" i="16"/>
  <c r="N42" i="16"/>
  <c r="I53" i="16"/>
  <c r="R42" i="16"/>
  <c r="V42" i="16" s="1"/>
  <c r="D102" i="16"/>
  <c r="B53" i="16"/>
  <c r="D53" i="16"/>
  <c r="B102" i="16"/>
  <c r="J102" i="16"/>
  <c r="G102" i="16"/>
  <c r="S102" i="16"/>
  <c r="J53" i="16"/>
  <c r="G53" i="16"/>
  <c r="U101" i="16"/>
  <c r="R28" i="16"/>
  <c r="U42" i="16"/>
  <c r="V52" i="16"/>
  <c r="S53" i="16"/>
  <c r="U49" i="16"/>
  <c r="U52" i="16" s="1"/>
  <c r="U60" i="16"/>
  <c r="U79" i="16" s="1"/>
  <c r="R101" i="16"/>
  <c r="L28" i="16"/>
  <c r="O42" i="16" l="1"/>
  <c r="L102" i="16"/>
  <c r="P42" i="16"/>
  <c r="P88" i="16"/>
  <c r="P101" i="16" s="1"/>
  <c r="O101" i="16"/>
  <c r="R53" i="16"/>
  <c r="V53" i="16" s="1"/>
  <c r="L53" i="16"/>
  <c r="U102" i="16"/>
  <c r="R102" i="16"/>
  <c r="V102" i="16" s="1"/>
  <c r="U53" i="16"/>
  <c r="M127" i="14" l="1"/>
  <c r="N127" i="14" s="1"/>
  <c r="N144" i="14" s="1"/>
  <c r="M67" i="14"/>
  <c r="N67" i="14" s="1"/>
  <c r="P14" i="14" l="1"/>
  <c r="S14" i="14" s="1"/>
  <c r="M14" i="14"/>
  <c r="P10" i="14"/>
  <c r="S10" i="14" s="1"/>
  <c r="M10" i="14"/>
  <c r="N10" i="14" s="1"/>
  <c r="S71" i="14" l="1"/>
  <c r="S167" i="14" s="1"/>
  <c r="S118" i="14"/>
  <c r="P166" i="14"/>
  <c r="M166" i="14"/>
  <c r="J166" i="14"/>
  <c r="F166" i="14"/>
  <c r="B166" i="14"/>
  <c r="X165" i="14"/>
  <c r="X164" i="14"/>
  <c r="X163" i="14"/>
  <c r="X162" i="14"/>
  <c r="K162" i="14"/>
  <c r="X161" i="14"/>
  <c r="K161" i="14"/>
  <c r="X160" i="14"/>
  <c r="K160" i="14"/>
  <c r="X159" i="14"/>
  <c r="K159" i="14"/>
  <c r="X158" i="14"/>
  <c r="K158" i="14"/>
  <c r="X157" i="14"/>
  <c r="K157" i="14"/>
  <c r="X156" i="14"/>
  <c r="K156" i="14"/>
  <c r="X155" i="14"/>
  <c r="K155" i="14"/>
  <c r="X154" i="14"/>
  <c r="K154" i="14"/>
  <c r="X153" i="14"/>
  <c r="K153" i="14"/>
  <c r="X152" i="14"/>
  <c r="X151" i="14"/>
  <c r="K151" i="14"/>
  <c r="P144" i="14"/>
  <c r="M144" i="14"/>
  <c r="J144" i="14"/>
  <c r="F144" i="14"/>
  <c r="B144" i="14"/>
  <c r="X143" i="14"/>
  <c r="K143" i="14"/>
  <c r="X142" i="14"/>
  <c r="K142" i="14"/>
  <c r="X141" i="14"/>
  <c r="K141" i="14"/>
  <c r="X140" i="14"/>
  <c r="K140" i="14"/>
  <c r="X139" i="14"/>
  <c r="K139" i="14"/>
  <c r="X138" i="14"/>
  <c r="X137" i="14"/>
  <c r="K137" i="14"/>
  <c r="X136" i="14"/>
  <c r="K136" i="14"/>
  <c r="X135" i="14"/>
  <c r="K135" i="14"/>
  <c r="X134" i="14"/>
  <c r="K134" i="14"/>
  <c r="X133" i="14"/>
  <c r="K133" i="14"/>
  <c r="X132" i="14"/>
  <c r="K132" i="14"/>
  <c r="X131" i="14"/>
  <c r="K131" i="14"/>
  <c r="X130" i="14"/>
  <c r="K130" i="14"/>
  <c r="K129" i="14"/>
  <c r="K127" i="14"/>
  <c r="X126" i="14"/>
  <c r="K126" i="14"/>
  <c r="X125" i="14"/>
  <c r="X124" i="14"/>
  <c r="K124" i="14"/>
  <c r="P117" i="14"/>
  <c r="M117" i="14"/>
  <c r="F117" i="14"/>
  <c r="B117" i="14"/>
  <c r="J116" i="14"/>
  <c r="U112" i="14" s="1"/>
  <c r="X112" i="14"/>
  <c r="J110" i="14"/>
  <c r="U108" i="14" s="1"/>
  <c r="X108" i="14"/>
  <c r="X106" i="14"/>
  <c r="K106" i="14"/>
  <c r="P96" i="14"/>
  <c r="M96" i="14"/>
  <c r="X94" i="14"/>
  <c r="J94" i="14"/>
  <c r="J96" i="14" s="1"/>
  <c r="U94" i="14" s="1"/>
  <c r="X92" i="14"/>
  <c r="K92" i="14"/>
  <c r="P91" i="14"/>
  <c r="M91" i="14"/>
  <c r="J91" i="14"/>
  <c r="F91" i="14"/>
  <c r="F99" i="14" s="1"/>
  <c r="B91" i="14"/>
  <c r="B99" i="14" s="1"/>
  <c r="X84" i="14"/>
  <c r="K84" i="14"/>
  <c r="K91" i="14" s="1"/>
  <c r="J82" i="14"/>
  <c r="U80" i="14" s="1"/>
  <c r="X80" i="14"/>
  <c r="X78" i="14"/>
  <c r="K78" i="14"/>
  <c r="B71" i="14"/>
  <c r="X67" i="14"/>
  <c r="K67" i="14"/>
  <c r="X65" i="14"/>
  <c r="U65" i="14"/>
  <c r="K65" i="14"/>
  <c r="X63" i="14"/>
  <c r="U63" i="14"/>
  <c r="K63" i="14"/>
  <c r="P61" i="14"/>
  <c r="M61" i="14"/>
  <c r="X59" i="14"/>
  <c r="J59" i="14"/>
  <c r="J61" i="14" s="1"/>
  <c r="U59" i="14" s="1"/>
  <c r="P57" i="14"/>
  <c r="M57" i="14"/>
  <c r="J57" i="14"/>
  <c r="X55" i="14"/>
  <c r="X53" i="14"/>
  <c r="K53" i="14"/>
  <c r="P52" i="14"/>
  <c r="M52" i="14"/>
  <c r="K52" i="14"/>
  <c r="J52" i="14"/>
  <c r="X48" i="14"/>
  <c r="P44" i="14"/>
  <c r="M44" i="14"/>
  <c r="J44" i="14"/>
  <c r="X36" i="14"/>
  <c r="K36" i="14"/>
  <c r="K44" i="14" s="1"/>
  <c r="P34" i="14"/>
  <c r="M34" i="14"/>
  <c r="J34" i="14"/>
  <c r="X32" i="14"/>
  <c r="K32" i="14"/>
  <c r="X29" i="14"/>
  <c r="K29" i="14"/>
  <c r="P27" i="14"/>
  <c r="M27" i="14"/>
  <c r="J26" i="14"/>
  <c r="J27" i="14" s="1"/>
  <c r="X25" i="14"/>
  <c r="F23" i="14"/>
  <c r="N19" i="14" s="1"/>
  <c r="X19" i="14"/>
  <c r="J19" i="14"/>
  <c r="J23" i="14" s="1"/>
  <c r="U19" i="14" s="1"/>
  <c r="J17" i="14"/>
  <c r="U14" i="14" s="1"/>
  <c r="F17" i="14"/>
  <c r="N14" i="14" s="1"/>
  <c r="N71" i="14" s="1"/>
  <c r="X14" i="14"/>
  <c r="J12" i="14"/>
  <c r="X10" i="14"/>
  <c r="N167" i="14" l="1"/>
  <c r="N118" i="14"/>
  <c r="U55" i="14"/>
  <c r="U57" i="14" s="1"/>
  <c r="U32" i="14"/>
  <c r="U34" i="14" s="1"/>
  <c r="K10" i="14"/>
  <c r="U10" i="14"/>
  <c r="U48" i="14"/>
  <c r="U52" i="14" s="1"/>
  <c r="U84" i="14"/>
  <c r="U91" i="14" s="1"/>
  <c r="U25" i="14"/>
  <c r="U27" i="14" s="1"/>
  <c r="U36" i="14"/>
  <c r="U44" i="14" s="1"/>
  <c r="K19" i="14"/>
  <c r="F71" i="14"/>
  <c r="F167" i="14" s="1"/>
  <c r="K59" i="14"/>
  <c r="K61" i="14" s="1"/>
  <c r="U61" i="14"/>
  <c r="M99" i="14"/>
  <c r="K144" i="14"/>
  <c r="K166" i="14"/>
  <c r="U117" i="14"/>
  <c r="J117" i="14"/>
  <c r="U166" i="14"/>
  <c r="P71" i="14"/>
  <c r="J99" i="14"/>
  <c r="K112" i="14"/>
  <c r="P99" i="14"/>
  <c r="K108" i="14"/>
  <c r="U144" i="14"/>
  <c r="M71" i="14"/>
  <c r="K25" i="14"/>
  <c r="U96" i="14"/>
  <c r="K94" i="14"/>
  <c r="K96" i="14" s="1"/>
  <c r="B118" i="14"/>
  <c r="B167" i="14"/>
  <c r="K14" i="14"/>
  <c r="J71" i="14"/>
  <c r="K80" i="14"/>
  <c r="K99" i="14" s="1"/>
  <c r="K55" i="14"/>
  <c r="K57" i="14" s="1"/>
  <c r="U71" i="14" l="1"/>
  <c r="U99" i="14"/>
  <c r="F118" i="14"/>
  <c r="M167" i="14"/>
  <c r="J118" i="14"/>
  <c r="K71" i="14"/>
  <c r="P118" i="14"/>
  <c r="M118" i="14"/>
  <c r="P167" i="14"/>
  <c r="K117" i="14"/>
  <c r="J167" i="14"/>
  <c r="U167" i="14" l="1"/>
  <c r="K167" i="14"/>
  <c r="K118" i="14"/>
  <c r="U118" i="14"/>
  <c r="N20" i="16" l="1"/>
  <c r="O20" i="16" s="1"/>
  <c r="P20" i="16" s="1"/>
  <c r="O15" i="16"/>
  <c r="P15" i="16" s="1"/>
  <c r="O16" i="16"/>
  <c r="P16" i="16" s="1"/>
  <c r="O18" i="16"/>
  <c r="P18" i="16" s="1"/>
  <c r="O14" i="16"/>
  <c r="P14" i="16" s="1"/>
  <c r="N19" i="16"/>
  <c r="O19" i="16" s="1"/>
  <c r="P19" i="16" s="1"/>
  <c r="N24" i="16"/>
  <c r="O24" i="16" s="1"/>
  <c r="P24" i="16" s="1"/>
  <c r="O17" i="16"/>
  <c r="P17" i="16" s="1"/>
  <c r="N21" i="16"/>
  <c r="O21" i="16" s="1"/>
  <c r="P21" i="16" s="1"/>
  <c r="O13" i="16" l="1"/>
  <c r="N28" i="16"/>
  <c r="N53" i="16" l="1"/>
  <c r="N102" i="16"/>
  <c r="P13" i="16"/>
  <c r="P28" i="16" s="1"/>
  <c r="O28" i="16"/>
  <c r="O53" i="16" l="1"/>
  <c r="O102" i="16"/>
  <c r="P102" i="16"/>
  <c r="P107" i="16" s="1"/>
  <c r="P53" i="16"/>
</calcChain>
</file>

<file path=xl/comments1.xml><?xml version="1.0" encoding="utf-8"?>
<comments xmlns="http://schemas.openxmlformats.org/spreadsheetml/2006/main">
  <authors>
    <author>Daril Jeff Hidalgo</author>
    <author>daril jeff m. hidalgo</author>
  </authors>
  <commentList>
    <comment ref="S26" authorId="0" shapeId="0">
      <text>
        <r>
          <rPr>
            <b/>
            <sz val="9"/>
            <color indexed="81"/>
            <rFont val="Tahoma"/>
            <family val="2"/>
          </rPr>
          <t>Daril Jeff Hidalgo:</t>
        </r>
        <r>
          <rPr>
            <sz val="9"/>
            <color indexed="81"/>
            <rFont val="Tahoma"/>
            <family val="2"/>
          </rPr>
          <t xml:space="preserve">
unutilized savings</t>
        </r>
      </text>
    </comment>
    <comment ref="L38" authorId="1" shapeId="0">
      <text>
        <r>
          <rPr>
            <b/>
            <sz val="9"/>
            <color indexed="81"/>
            <rFont val="Tahoma"/>
            <family val="2"/>
          </rPr>
          <t>daril jeff m. hidalgo:</t>
        </r>
        <r>
          <rPr>
            <sz val="9"/>
            <color indexed="81"/>
            <rFont val="Tahoma"/>
            <family val="2"/>
          </rPr>
          <t xml:space="preserve">
savings 3,041,653.82</t>
        </r>
      </text>
    </comment>
  </commentList>
</comments>
</file>

<file path=xl/sharedStrings.xml><?xml version="1.0" encoding="utf-8"?>
<sst xmlns="http://schemas.openxmlformats.org/spreadsheetml/2006/main" count="839" uniqueCount="316">
  <si>
    <t>NATIONAL ELECTRIFICATION ADMINISTRATION</t>
  </si>
  <si>
    <t>FUND UTILIZATION REPORT</t>
  </si>
  <si>
    <t>Allotment</t>
  </si>
  <si>
    <t>Cash Releases</t>
  </si>
  <si>
    <t>[c]</t>
  </si>
  <si>
    <t>[d]</t>
  </si>
  <si>
    <t>[e]</t>
  </si>
  <si>
    <t>[f]</t>
  </si>
  <si>
    <t>[g]</t>
  </si>
  <si>
    <t>[h]</t>
  </si>
  <si>
    <t>[j]</t>
  </si>
  <si>
    <t>[a]</t>
  </si>
  <si>
    <t>[b]</t>
  </si>
  <si>
    <t>Funding Source</t>
  </si>
  <si>
    <t>Appropriation</t>
  </si>
  <si>
    <t>SARO No.</t>
  </si>
  <si>
    <t>Date Issued</t>
  </si>
  <si>
    <t>Amount</t>
  </si>
  <si>
    <t>NCA Nos.</t>
  </si>
  <si>
    <t>[i=e-h]</t>
  </si>
  <si>
    <t>Unfunded Allotment</t>
  </si>
  <si>
    <t>Actual Obligation to ECs</t>
  </si>
  <si>
    <t>2014 Subsidy-GAA</t>
  </si>
  <si>
    <t>BMB-F-14-0008198</t>
  </si>
  <si>
    <t>06-20-2014</t>
  </si>
  <si>
    <t>BMB-F-14-0007525</t>
  </si>
  <si>
    <t>BMB-F-14-0009146</t>
  </si>
  <si>
    <t>07-10-2014</t>
  </si>
  <si>
    <t>BMB-F-14-0010597</t>
  </si>
  <si>
    <t>08-01-2014</t>
  </si>
  <si>
    <t>10-08-2014</t>
  </si>
  <si>
    <t>11-10-2014</t>
  </si>
  <si>
    <t>BMB-F-15-0004126</t>
  </si>
  <si>
    <t>03-12-2015</t>
  </si>
  <si>
    <t>BMB-F-14-0016331</t>
  </si>
  <si>
    <t>BMB-F-14-0018429</t>
  </si>
  <si>
    <t>12-02-2014</t>
  </si>
  <si>
    <t>BMB-F-14-0014391</t>
  </si>
  <si>
    <t>II. BARANGAY LINE ENHANCEMENT PROJECTS</t>
  </si>
  <si>
    <t>I. SITIO ELECTRIFICATION PROJECTS</t>
  </si>
  <si>
    <t>2013 Subsidy-GAA</t>
  </si>
  <si>
    <t>11-21-2013</t>
  </si>
  <si>
    <t>BMB-F-13-0021272</t>
  </si>
  <si>
    <t>BMB-F-13-0016000</t>
  </si>
  <si>
    <t>08-28-2013</t>
  </si>
  <si>
    <t>BMB-F-13-0005294</t>
  </si>
  <si>
    <t>05-21-2013</t>
  </si>
  <si>
    <t>BMB-F-14-0005275</t>
  </si>
  <si>
    <t>04-28-2014</t>
  </si>
  <si>
    <t>BMB-F-14-0002669</t>
  </si>
  <si>
    <t>02-27-2014</t>
  </si>
  <si>
    <t>YRRP</t>
  </si>
  <si>
    <t>Mindanao Modular Gensets</t>
  </si>
  <si>
    <t>Lanao Sur Metering</t>
  </si>
  <si>
    <t>ALECO 10MVA Substation</t>
  </si>
  <si>
    <t>BMB-F-15-0001025</t>
  </si>
  <si>
    <t>02-11-2015</t>
  </si>
  <si>
    <t>BMB-F-15-0002865</t>
  </si>
  <si>
    <t>BMB-F-14-0014482</t>
  </si>
  <si>
    <t>09-25-2014</t>
  </si>
  <si>
    <t>BMB-F-14-0013650</t>
  </si>
  <si>
    <t>BMB-F-13-01335</t>
  </si>
  <si>
    <t>12-27-2013</t>
  </si>
  <si>
    <t>BMB-F-13-0024887</t>
  </si>
  <si>
    <t>BMB-F-13-01330</t>
  </si>
  <si>
    <t>BMB-F-13-0024883</t>
  </si>
  <si>
    <t>BMB-F-13-0019222</t>
  </si>
  <si>
    <t>11-07-2013</t>
  </si>
  <si>
    <t>BMB-F-13-0024742</t>
  </si>
  <si>
    <t>12-23-2013</t>
  </si>
  <si>
    <t>BMB-F-13-0020166</t>
  </si>
  <si>
    <t>Calamity Grants</t>
  </si>
  <si>
    <t>Additional Subsidy-Year-End Projects</t>
  </si>
  <si>
    <t>2015 Subsidy-GAA</t>
  </si>
  <si>
    <t>BMB-F-15-0005385</t>
  </si>
  <si>
    <t>05-06-2015</t>
  </si>
  <si>
    <t xml:space="preserve">BMB-F-15-0011262 </t>
  </si>
  <si>
    <t>07-28-2015</t>
  </si>
  <si>
    <t>BMB-F-15-0011277</t>
  </si>
  <si>
    <t>07-30-2015</t>
  </si>
  <si>
    <t>BMB-F-13-0008702</t>
  </si>
  <si>
    <t>BMB-F-13-0010119</t>
  </si>
  <si>
    <t>06-18-2013</t>
  </si>
  <si>
    <t>BMB-F-13-0013301</t>
  </si>
  <si>
    <t>BMB-F-13-0015411</t>
  </si>
  <si>
    <t>08-16-2013</t>
  </si>
  <si>
    <t>07-19-2013</t>
  </si>
  <si>
    <t>TOTAL</t>
  </si>
  <si>
    <t>GRAND TOTAL</t>
  </si>
  <si>
    <t>Prepared by:</t>
  </si>
  <si>
    <t>DARIL JEFF M. HIDALGO</t>
  </si>
  <si>
    <t>Checked by:</t>
  </si>
  <si>
    <t>Noted by:</t>
  </si>
  <si>
    <t>Sr. Financial Planning Analyst</t>
  </si>
  <si>
    <t>Sub-Total</t>
  </si>
  <si>
    <t>III. PAMANA PROJECTS</t>
  </si>
  <si>
    <t>CASH BALANCE</t>
  </si>
  <si>
    <t>BMB-C-15-0016413</t>
  </si>
  <si>
    <t>10-16-2015</t>
  </si>
  <si>
    <t>BMB-C-15-0016443</t>
  </si>
  <si>
    <t>(2014 Continuing Appro.)</t>
  </si>
  <si>
    <t>2015 Additional Subsidy- Yolanda Affected Areas</t>
  </si>
  <si>
    <t>2016 Subsidy-GAA</t>
  </si>
  <si>
    <t xml:space="preserve"> </t>
  </si>
  <si>
    <t>BMB-C-15-0024367</t>
  </si>
  <si>
    <t>BMB-C-15-0023008</t>
  </si>
  <si>
    <t>12-23-2015</t>
  </si>
  <si>
    <t>12-15-2015</t>
  </si>
  <si>
    <t>BMB-C-15-0028820</t>
  </si>
  <si>
    <t>BMB-C-15-0022011</t>
  </si>
  <si>
    <t>BMB-C-16-0000832</t>
  </si>
  <si>
    <t>BMB-C-16-0002725</t>
  </si>
  <si>
    <t>BMB-C-16-0004382</t>
  </si>
  <si>
    <t>03-15-2016</t>
  </si>
  <si>
    <t>02-22-2016</t>
  </si>
  <si>
    <t>TOTAL SEP</t>
  </si>
  <si>
    <t>TOTAL BLEP</t>
  </si>
  <si>
    <t>TOTAL PAMANA</t>
  </si>
  <si>
    <t>TOTAL SEP, BLEP &amp; PAMANA</t>
  </si>
  <si>
    <t>BMB-C-16-0019601</t>
  </si>
  <si>
    <t>BMB-C-16-0019602</t>
  </si>
  <si>
    <t>10-25-2016</t>
  </si>
  <si>
    <t>and Financial Services</t>
  </si>
  <si>
    <t>02-02-2017</t>
  </si>
  <si>
    <t>BMB-C-17-0000692</t>
  </si>
  <si>
    <t>BMB-C-17-0002095</t>
  </si>
  <si>
    <t>BMB-C-16-0029437</t>
  </si>
  <si>
    <t>-</t>
  </si>
  <si>
    <t>NHA Yolanda Resettlement Sites</t>
  </si>
  <si>
    <t>BMB-C-17-0004157</t>
  </si>
  <si>
    <t>03-27-2017</t>
  </si>
  <si>
    <t>BMB-C-17-0004680</t>
  </si>
  <si>
    <t>2017 Subsidy-GAA</t>
  </si>
  <si>
    <t>BMB-C-17-0004945</t>
  </si>
  <si>
    <t>BMB-C-17-0009678</t>
  </si>
  <si>
    <t>07-04-2017</t>
  </si>
  <si>
    <t>BMB-C-17-0010470</t>
  </si>
  <si>
    <t>³</t>
  </si>
  <si>
    <t>¹</t>
  </si>
  <si>
    <t>²</t>
  </si>
  <si>
    <t>⁴</t>
  </si>
  <si>
    <t>BMB-C-17-0017811</t>
  </si>
  <si>
    <t>BMB-C-17-0017283</t>
  </si>
  <si>
    <t>BMB-C-17-0017284</t>
  </si>
  <si>
    <t>NHA Transitional Shelter Sites in Marawi City</t>
  </si>
  <si>
    <t>BMB-C-17-0023267</t>
  </si>
  <si>
    <t>12-06-2017</t>
  </si>
  <si>
    <t>BMB-C-17-0021124</t>
  </si>
  <si>
    <t>BMB-C-17-0016799</t>
  </si>
  <si>
    <t>10-09-2017</t>
  </si>
  <si>
    <t>BMB-C-17-0021222</t>
  </si>
  <si>
    <t>12-07-2017</t>
  </si>
  <si>
    <t>NHA Resettlement Sites in Typhoon Yolanda-affected Areas</t>
  </si>
  <si>
    <t>BMB-C-17-0023268</t>
  </si>
  <si>
    <t>BMB-C-17-0021125</t>
  </si>
  <si>
    <t>BMB-C-18-0005970</t>
  </si>
  <si>
    <t>2017 Quick Response Fund (Calamity Fund)</t>
  </si>
  <si>
    <t>2018 Quick Response Fund (Calamity Fund)</t>
  </si>
  <si>
    <t>BMB-C-18-0004638</t>
  </si>
  <si>
    <t>03-08-2018</t>
  </si>
  <si>
    <t>BMB-C-18-0004622</t>
  </si>
  <si>
    <t>Construction of Power Distribution Lines under the Zamboanga City Roadmap to Recovery &amp; Reconstruction (Z3R)</t>
  </si>
  <si>
    <t>BMB-C-18-0006275</t>
  </si>
  <si>
    <t>03-20-2018</t>
  </si>
  <si>
    <t>BMB-C-18-0005971</t>
  </si>
  <si>
    <t>Rural Electrification, Kapalong &amp; San Isidro, Davao Del Norte</t>
  </si>
  <si>
    <t>2018 Subsidy-GAA</t>
  </si>
  <si>
    <t>BMB-C-18-0015107</t>
  </si>
  <si>
    <t>07-05-2018</t>
  </si>
  <si>
    <t>BMB-C-18-0018362</t>
  </si>
  <si>
    <t>09-04-2018</t>
  </si>
  <si>
    <t>BMB-C-18-0020090</t>
  </si>
  <si>
    <t>Acting Department Manager, Finance Services</t>
  </si>
  <si>
    <t>MILAGROS A. ROBLES</t>
  </si>
  <si>
    <t>2018 QRF - 1st Replenishment</t>
  </si>
  <si>
    <t>2018 QRF - 2nd Replenishment</t>
  </si>
  <si>
    <t>BMB-C-18-0025534</t>
  </si>
  <si>
    <t>BMB-C-18-0035050</t>
  </si>
  <si>
    <t>10-24-2018</t>
  </si>
  <si>
    <t>12-28-2018</t>
  </si>
  <si>
    <t>2017 Installation of Transformers in Public Shools</t>
  </si>
  <si>
    <t>2018 Installation of Transformers in Public Shools</t>
  </si>
  <si>
    <t xml:space="preserve">Deputy Administrator., Corporate Resources </t>
  </si>
  <si>
    <t>SONIA B. SAN DIEGO</t>
  </si>
  <si>
    <t>BMB-C-19-0003694</t>
  </si>
  <si>
    <t>05-17-2019</t>
  </si>
  <si>
    <t>BMB-C-19-0008224</t>
  </si>
  <si>
    <t>BMB-C-19-0011418</t>
  </si>
  <si>
    <t>06-26-2019</t>
  </si>
  <si>
    <t>BMB-C-19-0011419</t>
  </si>
  <si>
    <t>BMB-C-19-0011421</t>
  </si>
  <si>
    <t>BMB-C-19-0011420</t>
  </si>
  <si>
    <t>BMB-C-19-0011422</t>
  </si>
  <si>
    <t>2019 Subsidy-GAA</t>
  </si>
  <si>
    <t>BMB-C-19-0008505</t>
  </si>
  <si>
    <t>BMB-C-19-0014299</t>
  </si>
  <si>
    <t>2019 Quick Response Fund (Calamity Fund)</t>
  </si>
  <si>
    <t>2019 Strategized Sitio Electrification for Off-Grid RE through RE</t>
  </si>
  <si>
    <t>2019 Strategized Household Electrification for Off-Grid RE through RE</t>
  </si>
  <si>
    <t>2019 Installation of Solar Panels in Public Schools</t>
  </si>
  <si>
    <t>⁵</t>
  </si>
  <si>
    <t>IV. CALAMITY GRANTS</t>
  </si>
  <si>
    <t>07-31-2019</t>
  </si>
  <si>
    <t>BMB-C-19-0014028</t>
  </si>
  <si>
    <t>10-02-2019</t>
  </si>
  <si>
    <t>BMB-C-19-0018834</t>
  </si>
  <si>
    <t>Marawi Recovery, Rehab. &amp; Reconstruction Program (MRRRP)</t>
  </si>
  <si>
    <t>BMB-C-19-0013470</t>
  </si>
  <si>
    <t>09-26-2019</t>
  </si>
  <si>
    <t>BMB-C-19-0018315</t>
  </si>
  <si>
    <r>
      <rPr>
        <b/>
        <sz val="9"/>
        <color theme="1"/>
        <rFont val="Calibri"/>
        <family val="2"/>
      </rPr>
      <t xml:space="preserve">¹ </t>
    </r>
    <r>
      <rPr>
        <sz val="9"/>
        <color theme="1"/>
        <rFont val="Calibri"/>
        <family val="2"/>
      </rPr>
      <t>Charged to prior years' cash balances.</t>
    </r>
  </si>
  <si>
    <r>
      <rPr>
        <b/>
        <sz val="9"/>
        <color theme="1"/>
        <rFont val="Calibri"/>
        <family val="2"/>
      </rPr>
      <t>²</t>
    </r>
    <r>
      <rPr>
        <sz val="9"/>
        <color theme="1"/>
        <rFont val="Calibri"/>
        <family val="2"/>
      </rPr>
      <t xml:space="preserve">  Net of Php520,818,471.01 used for Calamity Grants.</t>
    </r>
  </si>
  <si>
    <t xml:space="preserve">    Utilization of Subsidy Savings</t>
  </si>
  <si>
    <t xml:space="preserve">    Subsidies Returned from 2016 to 2018</t>
  </si>
  <si>
    <t>ADJUSTMENT/S:</t>
  </si>
  <si>
    <t>BMB-C-19-0024719</t>
  </si>
  <si>
    <t>11-25-19</t>
  </si>
  <si>
    <t>GOP Counterpart-VAT (2018 Continuing Appro.)</t>
  </si>
  <si>
    <t>GOP Counterpart-VAT (2019 GAA)</t>
  </si>
  <si>
    <t>BMB-C-19-0020062</t>
  </si>
  <si>
    <t>BMB-C-19-0020064</t>
  </si>
  <si>
    <t>BMB-C-19-0023573</t>
  </si>
  <si>
    <t>11-19-2019</t>
  </si>
  <si>
    <t>.</t>
  </si>
  <si>
    <t>BMB-C-19-0023574</t>
  </si>
  <si>
    <t>BMB-C-19-0024718</t>
  </si>
  <si>
    <t>11-25-2019</t>
  </si>
  <si>
    <t>10-23-2017</t>
  </si>
  <si>
    <t>04-10-2017</t>
  </si>
  <si>
    <t>12-29-2015</t>
  </si>
  <si>
    <t>02-16-2016</t>
  </si>
  <si>
    <t>Calamity Grant - Glenda, FY 2015 GAA</t>
  </si>
  <si>
    <t>Calamity Grant- Typhoons Ompong &amp; Rosita, FY 2019 GAA</t>
  </si>
  <si>
    <t>Calamity Grant - Typhoon Ferdie, 2016 Continuing Appropriation</t>
  </si>
  <si>
    <t>Tax Expenditure Subsidy - FIRB, FY 2019 GAA</t>
  </si>
  <si>
    <t>BMB-C-19-0021360</t>
  </si>
  <si>
    <t>Conversion of NG Advances into Subsidy, FY 2019 GAA</t>
  </si>
  <si>
    <t>BMB-C-19-0011828</t>
  </si>
  <si>
    <t>09-09-2019</t>
  </si>
  <si>
    <t>⁶</t>
  </si>
  <si>
    <r>
      <rPr>
        <b/>
        <sz val="14"/>
        <color theme="1"/>
        <rFont val="Arial"/>
        <family val="2"/>
      </rPr>
      <t>⁷</t>
    </r>
  </si>
  <si>
    <t>⁸</t>
  </si>
  <si>
    <t>Phil. Counterpart on the JICA Donation for BARMM Electric Cooperatives, FY 2020 GAA</t>
  </si>
  <si>
    <t xml:space="preserve">       -</t>
  </si>
  <si>
    <t xml:space="preserve">  -</t>
  </si>
  <si>
    <t>2012 Subsidy- Batch 2</t>
  </si>
  <si>
    <t>BMB-F-12-00756</t>
  </si>
  <si>
    <t>09-14-2012</t>
  </si>
  <si>
    <t>BMB-F-12-0017159</t>
  </si>
  <si>
    <t>2012 Subsidy- Batch 1</t>
  </si>
  <si>
    <t>BMB-F-12-0007420</t>
  </si>
  <si>
    <t>05-21-2012</t>
  </si>
  <si>
    <t>BMB-F-12-0009357</t>
  </si>
  <si>
    <t>BMB-F-12-0018672</t>
  </si>
  <si>
    <t>10-09-2012</t>
  </si>
  <si>
    <t>2011 Subsidy- Batch 2</t>
  </si>
  <si>
    <t>BMB-F-12-0000075</t>
  </si>
  <si>
    <t>01-11-2012</t>
  </si>
  <si>
    <t>BMB-F-12-0001604</t>
  </si>
  <si>
    <t>02-01-2012</t>
  </si>
  <si>
    <t>BMB-F-12-0007568</t>
  </si>
  <si>
    <t>04-19-2012</t>
  </si>
  <si>
    <t>2011 DAP - OVLP LGSF</t>
  </si>
  <si>
    <t>BMB-F-11-02260</t>
  </si>
  <si>
    <t>12-22-2011</t>
  </si>
  <si>
    <t>BMB-F-11-0023860</t>
  </si>
  <si>
    <t>2011 DAP - TISP</t>
  </si>
  <si>
    <t>BMB-F-11-01866</t>
  </si>
  <si>
    <t>12-05-2011</t>
  </si>
  <si>
    <t>BMB-F-11-0022222</t>
  </si>
  <si>
    <t>01-04-2012</t>
  </si>
  <si>
    <t>2011 Subsidy- Batch 1</t>
  </si>
  <si>
    <t>BMB-F-11-0021066</t>
  </si>
  <si>
    <t>09-15-2011</t>
  </si>
  <si>
    <t>BMB-F-11-0017334</t>
  </si>
  <si>
    <t>ACTUAL CASH BALANCE</t>
  </si>
  <si>
    <t>Returned to BTr on April 6, 2020</t>
  </si>
  <si>
    <t>2013 Additional Subsidy-Year-End Projects</t>
  </si>
  <si>
    <t>Utilization and Returned Savings</t>
  </si>
  <si>
    <t>CASH BALANCE 
AS OF MARCH 31, 2020</t>
  </si>
  <si>
    <t>SARO Amount</t>
  </si>
  <si>
    <t>NCA Amount</t>
  </si>
  <si>
    <t>Unobligated/ Unallocated</t>
  </si>
  <si>
    <t>Obligation</t>
  </si>
  <si>
    <t>Disbursement to ECs</t>
  </si>
  <si>
    <t>Actual Disbursement</t>
  </si>
  <si>
    <t>Total Disbursements</t>
  </si>
  <si>
    <t xml:space="preserve">    Unutilized Subsidy Savings</t>
  </si>
  <si>
    <t>Cash Balance</t>
  </si>
  <si>
    <r>
      <t xml:space="preserve">³ </t>
    </r>
    <r>
      <rPr>
        <sz val="9"/>
        <color theme="1"/>
        <rFont val="Calibri"/>
        <family val="2"/>
      </rPr>
      <t>Return of Subsidy as a result of NEA's re-evaluation and/or  COA's audit.</t>
    </r>
  </si>
  <si>
    <r>
      <t xml:space="preserve">⁴ </t>
    </r>
    <r>
      <rPr>
        <sz val="9"/>
        <color theme="1"/>
        <rFont val="Calibri"/>
        <family val="2"/>
      </rPr>
      <t>Obligated based on the list/summary of projects provided by NHA</t>
    </r>
  </si>
  <si>
    <r>
      <t xml:space="preserve">⁵ </t>
    </r>
    <r>
      <rPr>
        <sz val="9"/>
        <color theme="1"/>
        <rFont val="Calibri"/>
        <family val="2"/>
      </rPr>
      <t>No disbursement yet due to unliquidated previous subsidy releases</t>
    </r>
  </si>
  <si>
    <r>
      <t xml:space="preserve">⁶ </t>
    </r>
    <r>
      <rPr>
        <sz val="9"/>
        <color theme="1"/>
        <rFont val="Calibri"/>
        <family val="2"/>
      </rPr>
      <t>Returned to BTr on  June 14, 2018 with check no. 474506 per Supreme Court decision issued and promulgated on Nov. 19, 2013.</t>
    </r>
  </si>
  <si>
    <r>
      <rPr>
        <b/>
        <sz val="9"/>
        <color theme="1"/>
        <rFont val="Calibri"/>
        <family val="2"/>
      </rPr>
      <t xml:space="preserve">⁷ </t>
    </r>
    <r>
      <rPr>
        <sz val="9"/>
        <color theme="1"/>
        <rFont val="Calibri"/>
        <family val="2"/>
      </rPr>
      <t>These allotments are for book entry purposes only.</t>
    </r>
  </si>
  <si>
    <t>⁸ Waiting for the copy of SARO and NCA from the DBM.</t>
  </si>
  <si>
    <t>⁹</t>
  </si>
  <si>
    <t>Returned to BTr</t>
  </si>
  <si>
    <t>V. OTHER SUBSIDIES</t>
  </si>
  <si>
    <t>⁹ Returned to BTr on April 6,2020 in compliance to the letter of DOF dated April 1, 2020, pursuant to R.A. No. 11469 known as the "Bayanihan to Heal as One Act". 169 Sitios will not be implemented this year and the succeeding releases to the ECs representing 10%-30% of the total project cost will not be processed this year due to the return of the subsidy.</t>
  </si>
  <si>
    <t>[e = c-d]</t>
  </si>
  <si>
    <t>[i]</t>
  </si>
  <si>
    <t>[j = h+i]</t>
  </si>
  <si>
    <t>[k = d-j]</t>
  </si>
  <si>
    <t>[m]</t>
  </si>
  <si>
    <t>As of March 31, 2020</t>
  </si>
  <si>
    <t>[k = e-j]</t>
  </si>
  <si>
    <t>[l]</t>
  </si>
  <si>
    <t>[n = l + m]</t>
  </si>
  <si>
    <t>[o = h-n]</t>
  </si>
  <si>
    <t>[g = c - f]</t>
  </si>
  <si>
    <t>AVAILABLE CASH BALANCE</t>
  </si>
  <si>
    <t xml:space="preserve">ADJUSTMENT/S: </t>
  </si>
  <si>
    <t xml:space="preserve">                            -Processed Budget Utilization Request (BUR) / Budget Request (BR) but no check/s issued yet.</t>
  </si>
  <si>
    <t xml:space="preserve">                            -2010 and prior years subsidy balances</t>
  </si>
  <si>
    <t xml:space="preserve">                            -Return of subsidy from ECs</t>
  </si>
  <si>
    <t xml:space="preserve">ADJUSTMENTS: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</si>
</sst>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 #,##0_);_(* \(#,##0\);_(* &quot;-&quot;??_);_(@_)"/>
  </numFmts>
  <fonts count="21"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1"/>
      <name val="Calibri"/>
      <family val="2"/>
    </font>
    <font>
      <b/>
      <sz val="11"/>
      <color theme="1"/>
      <name val="Calibri"/>
      <family val="2"/>
      <scheme val="minor"/>
    </font>
    <font>
      <b/>
      <sz val="11"/>
      <name val="Calibri"/>
      <family val="2"/>
    </font>
    <font>
      <sz val="11"/>
      <name val="Calibri"/>
      <family val="2"/>
      <scheme val="minor"/>
    </font>
    <font>
      <b/>
      <sz val="14"/>
      <color theme="1"/>
      <name val="Calibri"/>
      <family val="2"/>
    </font>
    <font>
      <sz val="8"/>
      <color theme="1"/>
      <name val="Calibri"/>
      <family val="2"/>
      <scheme val="minor"/>
    </font>
    <font>
      <sz val="9"/>
      <color theme="1"/>
      <name val="Calibri"/>
      <family val="2"/>
    </font>
    <font>
      <b/>
      <sz val="9"/>
      <color theme="1"/>
      <name val="Calibri"/>
      <family val="2"/>
    </font>
    <font>
      <sz val="14"/>
      <color theme="1"/>
      <name val="Arial"/>
      <family val="2"/>
    </font>
    <font>
      <b/>
      <sz val="14"/>
      <color theme="1"/>
      <name val="Arial"/>
      <family val="2"/>
    </font>
    <font>
      <b/>
      <sz val="9"/>
      <color indexed="81"/>
      <name val="Tahoma"/>
      <family val="2"/>
    </font>
    <font>
      <sz val="9"/>
      <color indexed="81"/>
      <name val="Tahoma"/>
      <family val="2"/>
    </font>
    <font>
      <sz val="11"/>
      <color rgb="FFFF0000"/>
      <name val="Calibri"/>
      <family val="2"/>
      <scheme val="minor"/>
    </font>
    <font>
      <sz val="8"/>
      <color rgb="FFFF0000"/>
      <name val="Calibri"/>
      <family val="2"/>
      <scheme val="minor"/>
    </font>
    <font>
      <b/>
      <sz val="11"/>
      <color rgb="FFFF0000"/>
      <name val="Calibri"/>
      <family val="2"/>
      <scheme val="minor"/>
    </font>
    <font>
      <sz val="14"/>
      <color theme="1"/>
      <name val="Calibri"/>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52">
    <xf numFmtId="0" fontId="0" fillId="0" borderId="0" xfId="0"/>
    <xf numFmtId="0" fontId="0" fillId="0" borderId="0" xfId="0" applyAlignment="1">
      <alignment horizontal="center" vertical="center"/>
    </xf>
    <xf numFmtId="0" fontId="0" fillId="0" borderId="1" xfId="0" applyBorder="1"/>
    <xf numFmtId="0" fontId="0" fillId="0" borderId="3" xfId="0" applyBorder="1" applyAlignment="1">
      <alignment horizontal="center" vertical="center"/>
    </xf>
    <xf numFmtId="0" fontId="2" fillId="0" borderId="0" xfId="0" applyFont="1"/>
    <xf numFmtId="0" fontId="3" fillId="0" borderId="0" xfId="0" applyFont="1"/>
    <xf numFmtId="0" fontId="0" fillId="0" borderId="4" xfId="0" applyBorder="1"/>
    <xf numFmtId="0" fontId="0" fillId="0" borderId="5" xfId="0" applyBorder="1"/>
    <xf numFmtId="0" fontId="0" fillId="0" borderId="7" xfId="0" applyBorder="1"/>
    <xf numFmtId="0" fontId="0" fillId="0" borderId="8" xfId="0" applyBorder="1"/>
    <xf numFmtId="0" fontId="0" fillId="0" borderId="9" xfId="0" applyBorder="1"/>
    <xf numFmtId="164" fontId="0" fillId="0" borderId="0" xfId="1" applyFont="1"/>
    <xf numFmtId="164" fontId="0" fillId="0" borderId="5" xfId="1" applyFont="1" applyBorder="1"/>
    <xf numFmtId="164" fontId="0" fillId="0" borderId="1" xfId="1" applyFont="1" applyBorder="1"/>
    <xf numFmtId="164" fontId="0" fillId="0" borderId="9" xfId="1" applyFont="1" applyBorder="1"/>
    <xf numFmtId="164" fontId="0" fillId="0" borderId="3" xfId="1" applyFont="1" applyBorder="1" applyAlignment="1">
      <alignment horizontal="center" vertical="center"/>
    </xf>
    <xf numFmtId="164" fontId="0" fillId="0" borderId="1" xfId="0" applyNumberFormat="1" applyBorder="1"/>
    <xf numFmtId="0" fontId="4" fillId="0" borderId="11" xfId="0" applyFont="1" applyBorder="1"/>
    <xf numFmtId="0" fontId="0" fillId="0" borderId="10" xfId="0" applyBorder="1"/>
    <xf numFmtId="164" fontId="0" fillId="0" borderId="2" xfId="1" applyFont="1" applyBorder="1"/>
    <xf numFmtId="0" fontId="0" fillId="0" borderId="2" xfId="0" applyBorder="1"/>
    <xf numFmtId="164" fontId="0" fillId="0" borderId="2" xfId="0" applyNumberFormat="1" applyBorder="1"/>
    <xf numFmtId="0" fontId="0" fillId="0" borderId="12" xfId="0" applyBorder="1"/>
    <xf numFmtId="164" fontId="0" fillId="0" borderId="13" xfId="1" applyFont="1" applyBorder="1"/>
    <xf numFmtId="0" fontId="0" fillId="0" borderId="13" xfId="0" applyBorder="1"/>
    <xf numFmtId="0" fontId="4" fillId="0" borderId="14" xfId="0" applyFont="1" applyBorder="1"/>
    <xf numFmtId="164" fontId="0" fillId="0" borderId="13" xfId="0" applyNumberFormat="1" applyBorder="1"/>
    <xf numFmtId="164" fontId="0" fillId="0" borderId="0" xfId="0" applyNumberFormat="1"/>
    <xf numFmtId="0" fontId="0" fillId="0" borderId="16" xfId="0" applyBorder="1"/>
    <xf numFmtId="0" fontId="2" fillId="0" borderId="15" xfId="0" applyFont="1" applyBorder="1"/>
    <xf numFmtId="164" fontId="5" fillId="0" borderId="16" xfId="1" applyFont="1" applyBorder="1"/>
    <xf numFmtId="0" fontId="5" fillId="0" borderId="16" xfId="0" applyFont="1" applyBorder="1"/>
    <xf numFmtId="0" fontId="5" fillId="0" borderId="0" xfId="0" applyFont="1"/>
    <xf numFmtId="0" fontId="2" fillId="0" borderId="17" xfId="0" applyFont="1" applyBorder="1"/>
    <xf numFmtId="164" fontId="5" fillId="0" borderId="6" xfId="1" applyFont="1" applyBorder="1"/>
    <xf numFmtId="0" fontId="5" fillId="0" borderId="6" xfId="0" applyFont="1" applyBorder="1"/>
    <xf numFmtId="0" fontId="5" fillId="0" borderId="15" xfId="0" applyFont="1" applyBorder="1"/>
    <xf numFmtId="164" fontId="5" fillId="0" borderId="0" xfId="1" applyFont="1"/>
    <xf numFmtId="164" fontId="0" fillId="0" borderId="9" xfId="0" applyNumberFormat="1" applyBorder="1"/>
    <xf numFmtId="0" fontId="5" fillId="0" borderId="19" xfId="0" applyFont="1" applyBorder="1"/>
    <xf numFmtId="0" fontId="0" fillId="0" borderId="15" xfId="0" applyBorder="1"/>
    <xf numFmtId="164" fontId="0" fillId="0" borderId="16" xfId="1" applyFont="1" applyBorder="1"/>
    <xf numFmtId="0" fontId="4" fillId="0" borderId="21" xfId="0" applyFont="1" applyBorder="1"/>
    <xf numFmtId="0" fontId="6" fillId="0" borderId="21" xfId="0" applyFont="1" applyBorder="1"/>
    <xf numFmtId="164" fontId="6" fillId="0" borderId="21" xfId="1" applyFont="1" applyBorder="1"/>
    <xf numFmtId="164" fontId="5" fillId="0" borderId="20" xfId="1" applyFont="1" applyBorder="1"/>
    <xf numFmtId="0" fontId="5" fillId="0" borderId="20" xfId="0" applyFont="1" applyBorder="1"/>
    <xf numFmtId="164" fontId="5" fillId="0" borderId="20" xfId="1" quotePrefix="1" applyFont="1" applyBorder="1"/>
    <xf numFmtId="0" fontId="0" fillId="0" borderId="22" xfId="0" applyBorder="1"/>
    <xf numFmtId="164" fontId="0" fillId="0" borderId="3" xfId="1" applyFont="1" applyBorder="1"/>
    <xf numFmtId="0" fontId="0" fillId="0" borderId="3" xfId="0" applyBorder="1"/>
    <xf numFmtId="164" fontId="0" fillId="0" borderId="3" xfId="1" quotePrefix="1" applyFont="1" applyBorder="1"/>
    <xf numFmtId="164" fontId="0" fillId="0" borderId="3" xfId="0" applyNumberFormat="1" applyBorder="1"/>
    <xf numFmtId="164" fontId="5" fillId="0" borderId="16" xfId="0" applyNumberFormat="1" applyFont="1" applyBorder="1"/>
    <xf numFmtId="0" fontId="0" fillId="0" borderId="22" xfId="0" applyBorder="1" applyAlignment="1">
      <alignment horizontal="center" vertical="center"/>
    </xf>
    <xf numFmtId="164" fontId="5" fillId="0" borderId="21" xfId="1" applyFont="1" applyBorder="1"/>
    <xf numFmtId="164" fontId="5" fillId="0" borderId="18" xfId="1" quotePrefix="1" applyFont="1" applyBorder="1"/>
    <xf numFmtId="164" fontId="5" fillId="0" borderId="23" xfId="1" applyFont="1" applyBorder="1"/>
    <xf numFmtId="164" fontId="0" fillId="0" borderId="11" xfId="1" applyFont="1" applyBorder="1" applyAlignment="1">
      <alignment horizontal="center" vertical="center"/>
    </xf>
    <xf numFmtId="164" fontId="0" fillId="0" borderId="14" xfId="1" applyFont="1" applyBorder="1"/>
    <xf numFmtId="164" fontId="0" fillId="0" borderId="26" xfId="1" applyFont="1" applyBorder="1"/>
    <xf numFmtId="164" fontId="0" fillId="0" borderId="27" xfId="1" applyFont="1" applyBorder="1"/>
    <xf numFmtId="164" fontId="0" fillId="0" borderId="11" xfId="1" applyFont="1" applyBorder="1"/>
    <xf numFmtId="164" fontId="5" fillId="0" borderId="21" xfId="1" quotePrefix="1" applyFont="1" applyBorder="1"/>
    <xf numFmtId="164" fontId="0" fillId="0" borderId="11" xfId="1" quotePrefix="1" applyFont="1" applyBorder="1"/>
    <xf numFmtId="164" fontId="0" fillId="0" borderId="27" xfId="1" quotePrefix="1" applyFont="1" applyBorder="1"/>
    <xf numFmtId="164" fontId="0" fillId="0" borderId="28" xfId="1" quotePrefix="1" applyFont="1" applyBorder="1"/>
    <xf numFmtId="164" fontId="0" fillId="0" borderId="25" xfId="1" applyFont="1" applyBorder="1"/>
    <xf numFmtId="164" fontId="0" fillId="0" borderId="28" xfId="1" applyFont="1" applyBorder="1"/>
    <xf numFmtId="164" fontId="0" fillId="0" borderId="26" xfId="1" quotePrefix="1" applyFont="1" applyBorder="1" applyAlignment="1">
      <alignment horizontal="right"/>
    </xf>
    <xf numFmtId="164" fontId="5" fillId="0" borderId="24" xfId="1" applyFont="1" applyBorder="1"/>
    <xf numFmtId="164" fontId="6" fillId="0" borderId="24" xfId="1" applyFont="1" applyBorder="1"/>
    <xf numFmtId="164" fontId="5" fillId="0" borderId="24" xfId="1" quotePrefix="1" applyFont="1" applyBorder="1"/>
    <xf numFmtId="164" fontId="0" fillId="0" borderId="27" xfId="1" applyFont="1" applyBorder="1" applyAlignment="1">
      <alignment horizontal="center" vertical="center" wrapText="1"/>
    </xf>
    <xf numFmtId="164" fontId="0" fillId="0" borderId="14" xfId="1" applyFont="1" applyBorder="1" applyAlignment="1">
      <alignment horizontal="center"/>
    </xf>
    <xf numFmtId="164" fontId="0" fillId="0" borderId="36" xfId="1" applyFont="1" applyBorder="1"/>
    <xf numFmtId="164" fontId="0" fillId="0" borderId="6" xfId="1" applyFont="1" applyBorder="1"/>
    <xf numFmtId="0" fontId="0" fillId="0" borderId="6" xfId="0" applyBorder="1"/>
    <xf numFmtId="164" fontId="5" fillId="0" borderId="37" xfId="1" applyFont="1" applyBorder="1"/>
    <xf numFmtId="164" fontId="5" fillId="0" borderId="24" xfId="0" applyNumberFormat="1" applyFont="1" applyBorder="1"/>
    <xf numFmtId="164" fontId="0" fillId="0" borderId="30" xfId="0" applyNumberFormat="1" applyBorder="1"/>
    <xf numFmtId="164" fontId="0" fillId="0" borderId="31" xfId="0" applyNumberFormat="1" applyBorder="1"/>
    <xf numFmtId="0" fontId="0" fillId="0" borderId="31" xfId="0" applyBorder="1"/>
    <xf numFmtId="0" fontId="0" fillId="0" borderId="32" xfId="0" applyBorder="1"/>
    <xf numFmtId="0" fontId="0" fillId="0" borderId="29" xfId="0" applyBorder="1"/>
    <xf numFmtId="164" fontId="0" fillId="0" borderId="29" xfId="0" applyNumberFormat="1" applyBorder="1"/>
    <xf numFmtId="164" fontId="0" fillId="0" borderId="32" xfId="0" applyNumberFormat="1" applyBorder="1"/>
    <xf numFmtId="0" fontId="0" fillId="0" borderId="34" xfId="0" applyBorder="1"/>
    <xf numFmtId="0" fontId="0" fillId="0" borderId="30" xfId="0" applyBorder="1"/>
    <xf numFmtId="164" fontId="1" fillId="0" borderId="0" xfId="1" applyAlignment="1">
      <alignment vertical="center"/>
    </xf>
    <xf numFmtId="0" fontId="0" fillId="0" borderId="17" xfId="0" applyBorder="1"/>
    <xf numFmtId="0" fontId="4" fillId="0" borderId="23" xfId="0" applyFont="1" applyBorder="1"/>
    <xf numFmtId="0" fontId="4" fillId="0" borderId="28" xfId="0" applyFont="1" applyBorder="1"/>
    <xf numFmtId="164" fontId="0" fillId="0" borderId="35" xfId="0" applyNumberFormat="1" applyBorder="1"/>
    <xf numFmtId="164" fontId="1" fillId="0" borderId="9" xfId="1" applyBorder="1"/>
    <xf numFmtId="164" fontId="1" fillId="0" borderId="28" xfId="1" applyBorder="1"/>
    <xf numFmtId="164" fontId="0" fillId="0" borderId="33" xfId="0" applyNumberFormat="1" applyBorder="1"/>
    <xf numFmtId="164" fontId="1" fillId="0" borderId="16" xfId="1" applyBorder="1"/>
    <xf numFmtId="164" fontId="1" fillId="0" borderId="21" xfId="1" applyBorder="1"/>
    <xf numFmtId="164" fontId="0" fillId="0" borderId="1" xfId="1" applyFont="1" applyBorder="1" applyAlignment="1">
      <alignment horizontal="left"/>
    </xf>
    <xf numFmtId="0" fontId="6" fillId="0" borderId="18" xfId="0" applyFont="1" applyBorder="1"/>
    <xf numFmtId="164" fontId="5" fillId="0" borderId="18" xfId="1" applyFont="1" applyBorder="1"/>
    <xf numFmtId="0" fontId="0" fillId="0" borderId="33" xfId="0" applyBorder="1"/>
    <xf numFmtId="164" fontId="6" fillId="0" borderId="38" xfId="1" applyFont="1" applyBorder="1"/>
    <xf numFmtId="0" fontId="0" fillId="0" borderId="1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164" fontId="0" fillId="0" borderId="9" xfId="1" applyFont="1" applyBorder="1" applyAlignment="1">
      <alignment horizontal="center" vertical="center"/>
    </xf>
    <xf numFmtId="0" fontId="0" fillId="0" borderId="9" xfId="0" applyBorder="1" applyAlignment="1">
      <alignment horizontal="center" vertical="center"/>
    </xf>
    <xf numFmtId="0" fontId="0" fillId="0" borderId="28" xfId="0" applyBorder="1" applyAlignment="1">
      <alignment horizontal="center" vertical="center"/>
    </xf>
    <xf numFmtId="164" fontId="0" fillId="0" borderId="28" xfId="1" applyFont="1" applyBorder="1" applyAlignment="1">
      <alignment horizontal="center" vertical="center"/>
    </xf>
    <xf numFmtId="0" fontId="0" fillId="0" borderId="33" xfId="0" applyBorder="1" applyAlignment="1">
      <alignment horizontal="center" vertical="center" wrapText="1"/>
    </xf>
    <xf numFmtId="0" fontId="0" fillId="0" borderId="4" xfId="0" applyBorder="1" applyAlignment="1">
      <alignment horizontal="left" vertical="center"/>
    </xf>
    <xf numFmtId="164" fontId="0" fillId="0" borderId="5" xfId="0" applyNumberFormat="1" applyBorder="1" applyAlignment="1">
      <alignment horizontal="center" vertical="center"/>
    </xf>
    <xf numFmtId="0" fontId="0" fillId="0" borderId="5" xfId="0" quotePrefix="1" applyBorder="1" applyAlignment="1">
      <alignment horizontal="center" vertical="center"/>
    </xf>
    <xf numFmtId="0" fontId="0" fillId="0" borderId="25" xfId="0" quotePrefix="1" applyBorder="1" applyAlignment="1">
      <alignment horizontal="center" vertical="center"/>
    </xf>
    <xf numFmtId="0" fontId="7" fillId="0" borderId="1" xfId="0" applyFont="1" applyBorder="1" applyAlignment="1">
      <alignment horizontal="left"/>
    </xf>
    <xf numFmtId="0" fontId="0" fillId="0" borderId="1" xfId="0" quotePrefix="1" applyBorder="1" applyAlignment="1">
      <alignment horizontal="center" vertical="center"/>
    </xf>
    <xf numFmtId="164" fontId="0" fillId="0" borderId="11" xfId="1" applyFont="1" applyBorder="1" applyAlignment="1">
      <alignment horizontal="center"/>
    </xf>
    <xf numFmtId="164" fontId="0" fillId="0" borderId="16" xfId="1" applyFont="1" applyBorder="1" applyAlignment="1">
      <alignment horizontal="left"/>
    </xf>
    <xf numFmtId="164" fontId="0" fillId="0" borderId="16" xfId="0" applyNumberFormat="1" applyBorder="1"/>
    <xf numFmtId="164" fontId="0" fillId="0" borderId="21" xfId="1" applyFont="1" applyBorder="1" applyAlignment="1">
      <alignment horizontal="center"/>
    </xf>
    <xf numFmtId="164" fontId="0" fillId="0" borderId="24" xfId="0" applyNumberFormat="1" applyBorder="1"/>
    <xf numFmtId="0" fontId="7" fillId="0" borderId="2" xfId="0" applyFont="1" applyBorder="1" applyAlignment="1">
      <alignment horizontal="left"/>
    </xf>
    <xf numFmtId="0" fontId="7" fillId="0" borderId="2" xfId="0" quotePrefix="1" applyFont="1" applyBorder="1" applyAlignment="1">
      <alignment horizontal="center"/>
    </xf>
    <xf numFmtId="164" fontId="0" fillId="0" borderId="47" xfId="1" applyFont="1" applyBorder="1" applyAlignment="1">
      <alignment horizontal="center" vertical="center" wrapText="1"/>
    </xf>
    <xf numFmtId="164" fontId="0" fillId="0" borderId="47" xfId="1" applyFont="1" applyBorder="1" applyAlignment="1">
      <alignment horizontal="center" vertical="center"/>
    </xf>
    <xf numFmtId="164" fontId="0" fillId="0" borderId="48" xfId="1" applyFont="1" applyBorder="1" applyAlignment="1">
      <alignment horizontal="center" vertical="center"/>
    </xf>
    <xf numFmtId="164" fontId="1" fillId="0" borderId="48" xfId="1" applyBorder="1"/>
    <xf numFmtId="164" fontId="0" fillId="0" borderId="50" xfId="1" applyFont="1" applyBorder="1"/>
    <xf numFmtId="164" fontId="0" fillId="0" borderId="51" xfId="1" applyFont="1" applyBorder="1"/>
    <xf numFmtId="164" fontId="0" fillId="0" borderId="47" xfId="1" applyFont="1" applyBorder="1"/>
    <xf numFmtId="164" fontId="5" fillId="0" borderId="37" xfId="1" quotePrefix="1" applyFont="1" applyBorder="1"/>
    <xf numFmtId="164" fontId="0" fillId="0" borderId="47" xfId="1" quotePrefix="1" applyFont="1" applyBorder="1"/>
    <xf numFmtId="164" fontId="0" fillId="0" borderId="51" xfId="1" quotePrefix="1" applyFont="1" applyBorder="1"/>
    <xf numFmtId="164" fontId="0" fillId="0" borderId="48" xfId="1" quotePrefix="1" applyFont="1" applyBorder="1"/>
    <xf numFmtId="164" fontId="5" fillId="0" borderId="52" xfId="1" quotePrefix="1" applyFont="1" applyBorder="1"/>
    <xf numFmtId="164" fontId="0" fillId="0" borderId="46" xfId="1" applyFont="1" applyBorder="1"/>
    <xf numFmtId="164" fontId="0" fillId="0" borderId="37" xfId="1" applyFont="1" applyBorder="1"/>
    <xf numFmtId="164" fontId="0" fillId="0" borderId="48" xfId="1" applyFont="1" applyBorder="1"/>
    <xf numFmtId="164" fontId="5" fillId="0" borderId="52" xfId="1" applyFont="1" applyBorder="1"/>
    <xf numFmtId="164" fontId="0" fillId="0" borderId="36" xfId="1" quotePrefix="1" applyFont="1" applyBorder="1" applyAlignment="1">
      <alignment horizontal="right"/>
    </xf>
    <xf numFmtId="164" fontId="5" fillId="0" borderId="49" xfId="1" applyFont="1" applyBorder="1"/>
    <xf numFmtId="0" fontId="0" fillId="0" borderId="11" xfId="0" applyBorder="1" applyAlignment="1">
      <alignment horizontal="center" wrapText="1"/>
    </xf>
    <xf numFmtId="164" fontId="0" fillId="0" borderId="25" xfId="0" applyNumberFormat="1" applyBorder="1" applyAlignment="1">
      <alignment horizontal="center" vertical="center"/>
    </xf>
    <xf numFmtId="164" fontId="0" fillId="0" borderId="26" xfId="0" applyNumberFormat="1" applyBorder="1"/>
    <xf numFmtId="0" fontId="0" fillId="0" borderId="26" xfId="0" applyBorder="1"/>
    <xf numFmtId="0" fontId="0" fillId="0" borderId="27" xfId="0" applyBorder="1"/>
    <xf numFmtId="0" fontId="0" fillId="0" borderId="11" xfId="0" applyBorder="1"/>
    <xf numFmtId="164" fontId="5" fillId="0" borderId="21" xfId="0" applyNumberFormat="1" applyFont="1" applyBorder="1"/>
    <xf numFmtId="164" fontId="0" fillId="0" borderId="11" xfId="0" applyNumberFormat="1" applyBorder="1"/>
    <xf numFmtId="164" fontId="0" fillId="0" borderId="27" xfId="0" applyNumberFormat="1" applyBorder="1"/>
    <xf numFmtId="164" fontId="0" fillId="0" borderId="28" xfId="0" applyNumberFormat="1" applyBorder="1"/>
    <xf numFmtId="0" fontId="0" fillId="0" borderId="25" xfId="0" applyBorder="1"/>
    <xf numFmtId="164" fontId="0" fillId="0" borderId="14" xfId="0" applyNumberFormat="1" applyBorder="1"/>
    <xf numFmtId="0" fontId="0" fillId="0" borderId="14" xfId="0" applyBorder="1"/>
    <xf numFmtId="164" fontId="0" fillId="0" borderId="21" xfId="0" applyNumberFormat="1" applyBorder="1"/>
    <xf numFmtId="0" fontId="0" fillId="0" borderId="28" xfId="0" applyBorder="1"/>
    <xf numFmtId="0" fontId="0" fillId="0" borderId="47" xfId="0" applyBorder="1" applyAlignment="1">
      <alignment horizontal="center" vertical="center"/>
    </xf>
    <xf numFmtId="0" fontId="0" fillId="0" borderId="36" xfId="0" applyBorder="1"/>
    <xf numFmtId="0" fontId="0" fillId="0" borderId="47" xfId="0" applyBorder="1"/>
    <xf numFmtId="0" fontId="0" fillId="0" borderId="51" xfId="0" applyBorder="1"/>
    <xf numFmtId="0" fontId="0" fillId="0" borderId="48" xfId="0" applyBorder="1"/>
    <xf numFmtId="0" fontId="5" fillId="0" borderId="37" xfId="0" applyFont="1" applyBorder="1"/>
    <xf numFmtId="0" fontId="0" fillId="0" borderId="27" xfId="0" applyBorder="1" applyAlignment="1">
      <alignment horizontal="center" vertical="center"/>
    </xf>
    <xf numFmtId="0" fontId="5" fillId="0" borderId="21" xfId="0" applyFont="1" applyBorder="1"/>
    <xf numFmtId="164" fontId="0" fillId="0" borderId="21" xfId="1" quotePrefix="1" applyFont="1" applyBorder="1"/>
    <xf numFmtId="0" fontId="0" fillId="0" borderId="51" xfId="0" applyBorder="1" applyAlignment="1">
      <alignment horizontal="center" vertical="center"/>
    </xf>
    <xf numFmtId="0" fontId="0" fillId="0" borderId="48" xfId="0" applyBorder="1" applyAlignment="1">
      <alignment horizontal="center" vertical="center"/>
    </xf>
    <xf numFmtId="14" fontId="0" fillId="0" borderId="28" xfId="0" quotePrefix="1" applyNumberFormat="1" applyBorder="1"/>
    <xf numFmtId="14" fontId="0" fillId="0" borderId="21" xfId="0" quotePrefix="1" applyNumberFormat="1" applyBorder="1"/>
    <xf numFmtId="14" fontId="0" fillId="0" borderId="14" xfId="0" quotePrefix="1" applyNumberFormat="1" applyBorder="1"/>
    <xf numFmtId="0" fontId="0" fillId="0" borderId="26" xfId="0" quotePrefix="1" applyBorder="1"/>
    <xf numFmtId="0" fontId="0" fillId="0" borderId="21" xfId="0" quotePrefix="1" applyBorder="1"/>
    <xf numFmtId="164" fontId="0" fillId="0" borderId="37" xfId="1" quotePrefix="1" applyFont="1" applyBorder="1"/>
    <xf numFmtId="0" fontId="0" fillId="0" borderId="11" xfId="0" quotePrefix="1" applyBorder="1"/>
    <xf numFmtId="0" fontId="0" fillId="0" borderId="27" xfId="0" quotePrefix="1" applyBorder="1"/>
    <xf numFmtId="0" fontId="0" fillId="0" borderId="28" xfId="0" quotePrefix="1" applyBorder="1"/>
    <xf numFmtId="0" fontId="5" fillId="0" borderId="18" xfId="0" quotePrefix="1" applyFont="1" applyBorder="1"/>
    <xf numFmtId="0" fontId="8" fillId="0" borderId="21" xfId="0" quotePrefix="1" applyFont="1" applyBorder="1"/>
    <xf numFmtId="0" fontId="0" fillId="0" borderId="49" xfId="0" applyBorder="1"/>
    <xf numFmtId="0" fontId="0" fillId="0" borderId="50" xfId="0" applyBorder="1"/>
    <xf numFmtId="0" fontId="0" fillId="0" borderId="23" xfId="0" applyBorder="1"/>
    <xf numFmtId="14" fontId="0" fillId="0" borderId="26" xfId="0" quotePrefix="1" applyNumberFormat="1" applyBorder="1"/>
    <xf numFmtId="0" fontId="5" fillId="0" borderId="18" xfId="0" applyFont="1" applyBorder="1"/>
    <xf numFmtId="0" fontId="5" fillId="0" borderId="23" xfId="0" applyFont="1" applyBorder="1"/>
    <xf numFmtId="0" fontId="0" fillId="0" borderId="21" xfId="0" applyBorder="1"/>
    <xf numFmtId="0" fontId="5" fillId="0" borderId="21" xfId="0" quotePrefix="1" applyFont="1" applyBorder="1"/>
    <xf numFmtId="164" fontId="4" fillId="0" borderId="0" xfId="1" applyFont="1"/>
    <xf numFmtId="164" fontId="4" fillId="0" borderId="47" xfId="1" applyFont="1" applyBorder="1"/>
    <xf numFmtId="164" fontId="4" fillId="0" borderId="44" xfId="1" applyFont="1" applyBorder="1"/>
    <xf numFmtId="0" fontId="0" fillId="0" borderId="14" xfId="0" quotePrefix="1" applyBorder="1"/>
    <xf numFmtId="164" fontId="0" fillId="0" borderId="14" xfId="1" quotePrefix="1" applyFont="1" applyBorder="1"/>
    <xf numFmtId="0" fontId="0" fillId="0" borderId="27" xfId="0" quotePrefix="1" applyBorder="1" applyAlignment="1">
      <alignment horizontal="center"/>
    </xf>
    <xf numFmtId="0" fontId="0" fillId="0" borderId="3" xfId="0" quotePrefix="1" applyBorder="1" applyAlignment="1">
      <alignment horizontal="center" vertical="center"/>
    </xf>
    <xf numFmtId="0" fontId="0" fillId="0" borderId="11" xfId="0" quotePrefix="1" applyBorder="1" applyAlignment="1">
      <alignment horizontal="center" vertical="center"/>
    </xf>
    <xf numFmtId="164" fontId="0" fillId="0" borderId="3"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29" xfId="0" applyNumberFormat="1" applyBorder="1" applyAlignment="1">
      <alignment horizontal="center" vertical="center" wrapText="1"/>
    </xf>
    <xf numFmtId="0" fontId="0" fillId="0" borderId="10" xfId="0" applyBorder="1" applyAlignment="1">
      <alignment vertical="center" wrapText="1"/>
    </xf>
    <xf numFmtId="164" fontId="0" fillId="0" borderId="2" xfId="1" applyFont="1" applyBorder="1" applyAlignment="1">
      <alignment vertical="center"/>
    </xf>
    <xf numFmtId="0" fontId="7" fillId="0" borderId="2" xfId="0" applyFont="1" applyBorder="1" applyAlignment="1">
      <alignment horizontal="left" vertical="center"/>
    </xf>
    <xf numFmtId="0" fontId="0" fillId="0" borderId="27" xfId="0" quotePrefix="1" applyBorder="1" applyAlignment="1">
      <alignment vertical="center"/>
    </xf>
    <xf numFmtId="164" fontId="0" fillId="0" borderId="51" xfId="1" applyFont="1" applyBorder="1" applyAlignment="1">
      <alignment vertical="center"/>
    </xf>
    <xf numFmtId="164" fontId="0" fillId="0" borderId="2" xfId="0" applyNumberFormat="1" applyBorder="1" applyAlignment="1">
      <alignment vertical="center"/>
    </xf>
    <xf numFmtId="164" fontId="0" fillId="0" borderId="27" xfId="0" applyNumberFormat="1" applyBorder="1" applyAlignment="1">
      <alignment vertical="center"/>
    </xf>
    <xf numFmtId="164" fontId="0" fillId="0" borderId="27" xfId="1" applyFont="1" applyBorder="1" applyAlignment="1">
      <alignment vertical="center"/>
    </xf>
    <xf numFmtId="164" fontId="0" fillId="0" borderId="32" xfId="0" applyNumberFormat="1" applyBorder="1" applyAlignment="1">
      <alignment vertical="center"/>
    </xf>
    <xf numFmtId="0" fontId="0" fillId="0" borderId="0" xfId="0" applyAlignment="1">
      <alignment vertical="center"/>
    </xf>
    <xf numFmtId="0" fontId="0" fillId="0" borderId="7" xfId="0" applyBorder="1" applyAlignment="1">
      <alignment vertical="center" wrapText="1"/>
    </xf>
    <xf numFmtId="164" fontId="0" fillId="0" borderId="1" xfId="1" applyFont="1" applyBorder="1" applyAlignment="1">
      <alignment vertical="center"/>
    </xf>
    <xf numFmtId="0" fontId="0" fillId="0" borderId="26" xfId="0" quotePrefix="1" applyBorder="1" applyAlignment="1">
      <alignment vertical="center"/>
    </xf>
    <xf numFmtId="164" fontId="0" fillId="0" borderId="36" xfId="1" applyFont="1" applyBorder="1" applyAlignment="1">
      <alignment vertical="center"/>
    </xf>
    <xf numFmtId="164" fontId="0" fillId="0" borderId="26" xfId="0" applyNumberFormat="1" applyBorder="1" applyAlignment="1">
      <alignment vertical="center"/>
    </xf>
    <xf numFmtId="164" fontId="0" fillId="0" borderId="26" xfId="1" applyFont="1" applyBorder="1" applyAlignment="1">
      <alignment vertical="center"/>
    </xf>
    <xf numFmtId="164" fontId="0" fillId="0" borderId="31" xfId="0" applyNumberFormat="1" applyBorder="1" applyAlignment="1">
      <alignment vertical="center"/>
    </xf>
    <xf numFmtId="164" fontId="0" fillId="0" borderId="48" xfId="1" applyFont="1" applyBorder="1" applyAlignment="1">
      <alignment vertical="center"/>
    </xf>
    <xf numFmtId="164" fontId="3" fillId="0" borderId="26" xfId="1" applyFont="1" applyBorder="1" applyAlignment="1">
      <alignment vertical="center"/>
    </xf>
    <xf numFmtId="164" fontId="1" fillId="0" borderId="39" xfId="1" applyBorder="1" applyAlignment="1">
      <alignment horizontal="center" vertical="center"/>
    </xf>
    <xf numFmtId="164" fontId="1" fillId="0" borderId="0" xfId="1" applyAlignment="1">
      <alignment horizontal="center" vertical="center" wrapText="1"/>
    </xf>
    <xf numFmtId="164" fontId="1" fillId="0" borderId="0" xfId="1" applyAlignment="1">
      <alignment horizontal="center" vertical="center"/>
    </xf>
    <xf numFmtId="164" fontId="8" fillId="0" borderId="0" xfId="1" applyFont="1" applyAlignment="1">
      <alignment horizontal="center" vertical="center"/>
    </xf>
    <xf numFmtId="164" fontId="1" fillId="0" borderId="38" xfId="1" applyBorder="1" applyAlignment="1">
      <alignment vertical="center"/>
    </xf>
    <xf numFmtId="164" fontId="1" fillId="0" borderId="44" xfId="1" applyBorder="1" applyAlignment="1">
      <alignment horizontal="center" vertical="center"/>
    </xf>
    <xf numFmtId="164" fontId="1" fillId="0" borderId="39" xfId="1" applyBorder="1" applyAlignment="1">
      <alignment vertical="center"/>
    </xf>
    <xf numFmtId="164" fontId="1" fillId="0" borderId="44" xfId="1" applyBorder="1" applyAlignment="1">
      <alignment vertical="center"/>
    </xf>
    <xf numFmtId="164" fontId="1" fillId="0" borderId="40" xfId="1" applyBorder="1" applyAlignment="1">
      <alignment vertical="center"/>
    </xf>
    <xf numFmtId="164" fontId="1" fillId="0" borderId="41" xfId="1" applyBorder="1" applyAlignment="1">
      <alignment vertical="center"/>
    </xf>
    <xf numFmtId="164" fontId="1" fillId="0" borderId="42" xfId="1" applyBorder="1" applyAlignment="1">
      <alignment vertical="center"/>
    </xf>
    <xf numFmtId="164" fontId="4" fillId="0" borderId="38" xfId="1" applyFont="1" applyBorder="1" applyAlignment="1">
      <alignment vertical="center"/>
    </xf>
    <xf numFmtId="164" fontId="1" fillId="0" borderId="38" xfId="1" quotePrefix="1" applyBorder="1" applyAlignment="1">
      <alignment vertical="center"/>
    </xf>
    <xf numFmtId="164" fontId="1" fillId="0" borderId="0" xfId="1" quotePrefix="1" applyAlignment="1">
      <alignment vertical="center"/>
    </xf>
    <xf numFmtId="164" fontId="1" fillId="0" borderId="42" xfId="1" quotePrefix="1" applyBorder="1" applyAlignment="1">
      <alignment vertical="center"/>
    </xf>
    <xf numFmtId="164" fontId="1" fillId="0" borderId="43" xfId="1" applyBorder="1" applyAlignment="1">
      <alignment vertical="center"/>
    </xf>
    <xf numFmtId="164" fontId="0" fillId="0" borderId="40" xfId="1" applyFont="1" applyBorder="1" applyAlignment="1">
      <alignment vertical="center"/>
    </xf>
    <xf numFmtId="164" fontId="0" fillId="0" borderId="0" xfId="1" applyFont="1" applyAlignment="1">
      <alignment vertical="center"/>
    </xf>
    <xf numFmtId="164" fontId="0" fillId="0" borderId="38" xfId="1" applyFont="1" applyBorder="1" applyAlignment="1">
      <alignment vertical="center"/>
    </xf>
    <xf numFmtId="164" fontId="5" fillId="0" borderId="45" xfId="1" applyFont="1" applyBorder="1" applyAlignment="1">
      <alignment vertical="center"/>
    </xf>
    <xf numFmtId="164" fontId="1" fillId="0" borderId="41" xfId="1" quotePrefix="1" applyBorder="1" applyAlignment="1">
      <alignment horizontal="right" vertical="center"/>
    </xf>
    <xf numFmtId="0" fontId="8" fillId="0" borderId="41" xfId="0" quotePrefix="1" applyFont="1" applyBorder="1"/>
    <xf numFmtId="164" fontId="3" fillId="0" borderId="41" xfId="1" applyFont="1" applyBorder="1" applyAlignment="1">
      <alignment vertical="center"/>
    </xf>
    <xf numFmtId="164" fontId="1" fillId="0" borderId="43" xfId="1" applyBorder="1" applyAlignment="1">
      <alignment horizontal="center" vertical="center"/>
    </xf>
    <xf numFmtId="164" fontId="0" fillId="0" borderId="29" xfId="1" applyFont="1" applyBorder="1"/>
    <xf numFmtId="164" fontId="0" fillId="0" borderId="31" xfId="1" applyFont="1" applyBorder="1"/>
    <xf numFmtId="164" fontId="0" fillId="0" borderId="32" xfId="1" applyFont="1" applyBorder="1"/>
    <xf numFmtId="164" fontId="6" fillId="0" borderId="37" xfId="1" applyFont="1" applyBorder="1"/>
    <xf numFmtId="164" fontId="0" fillId="0" borderId="34" xfId="1" applyFont="1" applyBorder="1"/>
    <xf numFmtId="164" fontId="0" fillId="0" borderId="30" xfId="1" applyFont="1" applyBorder="1"/>
    <xf numFmtId="164" fontId="0" fillId="0" borderId="24" xfId="1" applyFont="1" applyBorder="1"/>
    <xf numFmtId="164" fontId="0" fillId="0" borderId="33" xfId="1" applyFont="1" applyBorder="1"/>
    <xf numFmtId="164" fontId="5" fillId="0" borderId="53" xfId="1" applyFont="1" applyBorder="1"/>
    <xf numFmtId="165" fontId="8" fillId="0" borderId="27" xfId="0" applyNumberFormat="1" applyFont="1" applyBorder="1" applyAlignment="1">
      <alignment horizontal="center" vertical="center"/>
    </xf>
    <xf numFmtId="164" fontId="8" fillId="0" borderId="42" xfId="1" applyFont="1" applyBorder="1" applyAlignment="1">
      <alignment horizontal="center" vertical="center"/>
    </xf>
    <xf numFmtId="164" fontId="0" fillId="0" borderId="32" xfId="0" applyNumberFormat="1" applyBorder="1" applyAlignment="1">
      <alignment horizontal="center" vertical="center" wrapText="1"/>
    </xf>
    <xf numFmtId="164" fontId="0" fillId="0" borderId="16" xfId="1" applyFont="1" applyBorder="1" applyAlignment="1">
      <alignment horizontal="center" vertical="center"/>
    </xf>
    <xf numFmtId="0" fontId="0" fillId="0" borderId="16" xfId="0" quotePrefix="1" applyBorder="1" applyAlignment="1">
      <alignment horizontal="center" vertical="center"/>
    </xf>
    <xf numFmtId="0" fontId="0" fillId="0" borderId="21" xfId="0" quotePrefix="1" applyBorder="1" applyAlignment="1">
      <alignment horizontal="center" vertical="center"/>
    </xf>
    <xf numFmtId="164" fontId="0" fillId="0" borderId="37" xfId="1" applyFont="1" applyBorder="1" applyAlignment="1">
      <alignment horizontal="center" vertical="center"/>
    </xf>
    <xf numFmtId="164" fontId="0" fillId="0" borderId="16" xfId="0" applyNumberFormat="1" applyBorder="1" applyAlignment="1">
      <alignment horizontal="center" vertical="center"/>
    </xf>
    <xf numFmtId="165" fontId="8" fillId="0" borderId="21" xfId="0" applyNumberFormat="1" applyFont="1" applyBorder="1" applyAlignment="1">
      <alignment horizontal="center" vertical="center"/>
    </xf>
    <xf numFmtId="164" fontId="0" fillId="0" borderId="21" xfId="1" applyFont="1" applyBorder="1" applyAlignment="1">
      <alignment horizontal="center" vertical="center"/>
    </xf>
    <xf numFmtId="164" fontId="8" fillId="0" borderId="38" xfId="1" applyFont="1" applyBorder="1" applyAlignment="1">
      <alignment horizontal="center" vertical="center"/>
    </xf>
    <xf numFmtId="164" fontId="0" fillId="0" borderId="24" xfId="0" applyNumberFormat="1" applyBorder="1" applyAlignment="1">
      <alignment horizontal="center" vertical="center" wrapText="1"/>
    </xf>
    <xf numFmtId="164" fontId="5" fillId="0" borderId="37" xfId="1" applyFont="1" applyBorder="1" applyAlignment="1">
      <alignment horizontal="center" vertical="center"/>
    </xf>
    <xf numFmtId="164" fontId="8" fillId="0" borderId="27" xfId="0" applyNumberFormat="1" applyFont="1" applyBorder="1" applyAlignment="1">
      <alignment horizontal="left" vertical="center"/>
    </xf>
    <xf numFmtId="0" fontId="0" fillId="0" borderId="10" xfId="0" applyBorder="1" applyAlignment="1">
      <alignment horizontal="left" vertical="top" wrapText="1"/>
    </xf>
    <xf numFmtId="165" fontId="8" fillId="0" borderId="14" xfId="0" applyNumberFormat="1" applyFont="1" applyBorder="1" applyAlignment="1">
      <alignment horizontal="center" vertical="center"/>
    </xf>
    <xf numFmtId="164" fontId="0" fillId="0" borderId="30" xfId="0" applyNumberFormat="1"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50" xfId="0" applyBorder="1" applyAlignment="1">
      <alignment horizontal="center" vertical="center"/>
    </xf>
    <xf numFmtId="0" fontId="0" fillId="0" borderId="30" xfId="0" applyBorder="1" applyAlignment="1">
      <alignment horizontal="center" vertical="center" wrapText="1"/>
    </xf>
    <xf numFmtId="164" fontId="0" fillId="0" borderId="6" xfId="1" applyFont="1"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49" xfId="0" applyBorder="1" applyAlignment="1">
      <alignment horizontal="center" vertical="center"/>
    </xf>
    <xf numFmtId="164" fontId="0" fillId="0" borderId="49" xfId="1" applyFont="1" applyBorder="1" applyAlignment="1">
      <alignment horizontal="center" vertical="center"/>
    </xf>
    <xf numFmtId="164" fontId="0" fillId="0" borderId="23" xfId="1" applyFont="1" applyBorder="1" applyAlignment="1">
      <alignment horizontal="center" vertical="center"/>
    </xf>
    <xf numFmtId="0" fontId="7" fillId="0" borderId="16" xfId="0" applyFont="1" applyBorder="1" applyAlignment="1">
      <alignment horizontal="left" vertical="center"/>
    </xf>
    <xf numFmtId="164" fontId="1" fillId="0" borderId="51" xfId="1" applyBorder="1" applyAlignment="1">
      <alignment vertical="center"/>
    </xf>
    <xf numFmtId="0" fontId="7" fillId="0" borderId="6" xfId="0" applyFont="1" applyBorder="1" applyAlignment="1">
      <alignment horizontal="left" vertical="center"/>
    </xf>
    <xf numFmtId="0" fontId="0" fillId="0" borderId="6" xfId="0" quotePrefix="1" applyBorder="1" applyAlignment="1">
      <alignment horizontal="center" vertical="center"/>
    </xf>
    <xf numFmtId="0" fontId="0" fillId="0" borderId="23" xfId="0" quotePrefix="1" applyBorder="1" applyAlignment="1">
      <alignment horizontal="center" vertical="center"/>
    </xf>
    <xf numFmtId="164" fontId="0" fillId="0" borderId="6" xfId="0" applyNumberFormat="1" applyBorder="1" applyAlignment="1">
      <alignment horizontal="center" vertical="center"/>
    </xf>
    <xf numFmtId="165" fontId="8" fillId="0" borderId="23" xfId="0" applyNumberFormat="1" applyFont="1" applyBorder="1" applyAlignment="1">
      <alignment horizontal="center" vertical="center"/>
    </xf>
    <xf numFmtId="164" fontId="0" fillId="0" borderId="35" xfId="0" applyNumberFormat="1" applyBorder="1" applyAlignment="1">
      <alignment horizontal="center" vertical="center" wrapText="1"/>
    </xf>
    <xf numFmtId="0" fontId="7" fillId="0" borderId="9" xfId="0" applyFont="1" applyBorder="1" applyAlignment="1">
      <alignment horizontal="left" vertical="center"/>
    </xf>
    <xf numFmtId="0" fontId="0" fillId="0" borderId="9" xfId="0" quotePrefix="1" applyBorder="1" applyAlignment="1">
      <alignment horizontal="center" vertical="center"/>
    </xf>
    <xf numFmtId="0" fontId="0" fillId="0" borderId="28" xfId="0" quotePrefix="1" applyBorder="1" applyAlignment="1">
      <alignment horizontal="center" vertical="center"/>
    </xf>
    <xf numFmtId="164" fontId="0" fillId="0" borderId="9" xfId="0" applyNumberFormat="1" applyBorder="1" applyAlignment="1">
      <alignment horizontal="center" vertical="center"/>
    </xf>
    <xf numFmtId="165" fontId="8" fillId="0" borderId="28" xfId="0" applyNumberFormat="1" applyFont="1" applyBorder="1" applyAlignment="1">
      <alignment horizontal="center" vertical="center"/>
    </xf>
    <xf numFmtId="164" fontId="8" fillId="0" borderId="44" xfId="1" applyFont="1" applyBorder="1" applyAlignment="1">
      <alignment horizontal="center" vertical="center"/>
    </xf>
    <xf numFmtId="164" fontId="0" fillId="0" borderId="33" xfId="0" applyNumberFormat="1" applyBorder="1" applyAlignment="1">
      <alignment horizontal="center" vertical="center" wrapText="1"/>
    </xf>
    <xf numFmtId="0" fontId="4" fillId="0" borderId="27" xfId="0" applyFont="1" applyBorder="1"/>
    <xf numFmtId="0" fontId="8" fillId="0" borderId="26" xfId="0" quotePrefix="1" applyFont="1" applyBorder="1" applyAlignment="1">
      <alignment horizontal="center" vertical="center"/>
    </xf>
    <xf numFmtId="0" fontId="7" fillId="0" borderId="1" xfId="0" applyFont="1" applyBorder="1" applyAlignment="1">
      <alignment horizontal="left" vertical="center"/>
    </xf>
    <xf numFmtId="164" fontId="0" fillId="0" borderId="1" xfId="0" applyNumberFormat="1" applyBorder="1" applyAlignment="1">
      <alignment vertical="center"/>
    </xf>
    <xf numFmtId="164" fontId="8" fillId="0" borderId="26" xfId="0" applyNumberFormat="1" applyFont="1" applyBorder="1" applyAlignment="1">
      <alignment horizontal="left" vertical="center"/>
    </xf>
    <xf numFmtId="0" fontId="0" fillId="0" borderId="26" xfId="0" quotePrefix="1" applyBorder="1" applyAlignment="1">
      <alignment horizontal="center" vertical="center"/>
    </xf>
    <xf numFmtId="164" fontId="0" fillId="0" borderId="36" xfId="1" applyFont="1" applyBorder="1" applyAlignment="1">
      <alignment horizontal="center" vertical="center"/>
    </xf>
    <xf numFmtId="164" fontId="9" fillId="0" borderId="0" xfId="1" applyFont="1"/>
    <xf numFmtId="0" fontId="9" fillId="0" borderId="0" xfId="0" applyFont="1"/>
    <xf numFmtId="164" fontId="9" fillId="0" borderId="0" xfId="0" applyNumberFormat="1" applyFont="1"/>
    <xf numFmtId="164" fontId="9" fillId="0" borderId="0" xfId="1" applyFont="1" applyAlignment="1">
      <alignment vertical="center"/>
    </xf>
    <xf numFmtId="0" fontId="8" fillId="0" borderId="14" xfId="0" quotePrefix="1" applyFont="1" applyBorder="1" applyAlignment="1">
      <alignment vertical="center"/>
    </xf>
    <xf numFmtId="0" fontId="8" fillId="0" borderId="26" xfId="0" quotePrefix="1" applyFont="1" applyBorder="1" applyAlignment="1">
      <alignment vertical="center"/>
    </xf>
    <xf numFmtId="164" fontId="8" fillId="0" borderId="42" xfId="1" applyFont="1" applyBorder="1" applyAlignment="1">
      <alignment horizontal="left" vertical="center"/>
    </xf>
    <xf numFmtId="164" fontId="1" fillId="0" borderId="0" xfId="1" applyBorder="1" applyAlignment="1">
      <alignment horizontal="center" vertical="center" wrapText="1"/>
    </xf>
    <xf numFmtId="0" fontId="0" fillId="0" borderId="19" xfId="0" applyBorder="1" applyAlignment="1">
      <alignment horizontal="center" vertical="center"/>
    </xf>
    <xf numFmtId="164" fontId="0" fillId="0" borderId="20" xfId="1" applyFon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52" xfId="0" applyBorder="1" applyAlignment="1">
      <alignment horizontal="center" vertical="center"/>
    </xf>
    <xf numFmtId="164" fontId="0" fillId="0" borderId="52" xfId="1" applyFont="1" applyBorder="1" applyAlignment="1">
      <alignment horizontal="center" vertical="center"/>
    </xf>
    <xf numFmtId="164" fontId="0" fillId="0" borderId="18" xfId="1" applyFont="1" applyBorder="1" applyAlignment="1">
      <alignment horizontal="center" vertical="center"/>
    </xf>
    <xf numFmtId="164" fontId="1" fillId="0" borderId="45" xfId="1" applyBorder="1" applyAlignment="1">
      <alignment horizontal="center" vertical="center"/>
    </xf>
    <xf numFmtId="164" fontId="0" fillId="0" borderId="47" xfId="1" applyFont="1" applyBorder="1" applyAlignment="1">
      <alignment vertical="center"/>
    </xf>
    <xf numFmtId="0" fontId="7" fillId="0" borderId="3" xfId="0" applyFont="1" applyBorder="1" applyAlignment="1">
      <alignment horizontal="left" vertical="center"/>
    </xf>
    <xf numFmtId="0" fontId="0" fillId="0" borderId="11" xfId="0" quotePrefix="1" applyBorder="1" applyAlignment="1">
      <alignment vertical="center"/>
    </xf>
    <xf numFmtId="164" fontId="8" fillId="0" borderId="11" xfId="0" applyNumberFormat="1" applyFont="1" applyBorder="1" applyAlignment="1">
      <alignment horizontal="left" vertical="center"/>
    </xf>
    <xf numFmtId="164" fontId="0" fillId="0" borderId="11" xfId="1" applyFont="1" applyBorder="1" applyAlignment="1">
      <alignment vertical="center"/>
    </xf>
    <xf numFmtId="164" fontId="1" fillId="0" borderId="0" xfId="1" applyBorder="1" applyAlignment="1">
      <alignment vertical="center"/>
    </xf>
    <xf numFmtId="164" fontId="0" fillId="0" borderId="29" xfId="0" applyNumberFormat="1" applyBorder="1" applyAlignment="1">
      <alignment vertical="center"/>
    </xf>
    <xf numFmtId="164" fontId="8" fillId="0" borderId="26" xfId="0" quotePrefix="1" applyNumberFormat="1" applyFont="1" applyBorder="1" applyAlignment="1">
      <alignment horizontal="left" vertical="center"/>
    </xf>
    <xf numFmtId="0" fontId="10" fillId="0" borderId="0" xfId="0" applyFont="1"/>
    <xf numFmtId="0" fontId="11" fillId="0" borderId="0" xfId="0" applyFont="1"/>
    <xf numFmtId="164" fontId="8" fillId="0" borderId="42" xfId="1" quotePrefix="1" applyFont="1" applyBorder="1" applyAlignment="1">
      <alignment vertical="center"/>
    </xf>
    <xf numFmtId="0" fontId="2" fillId="0" borderId="54" xfId="0" applyFont="1" applyBorder="1"/>
    <xf numFmtId="164" fontId="5" fillId="0" borderId="38" xfId="1" applyFont="1" applyBorder="1"/>
    <xf numFmtId="0" fontId="5" fillId="0" borderId="38" xfId="0" applyFont="1" applyBorder="1"/>
    <xf numFmtId="0" fontId="5" fillId="0" borderId="22" xfId="0" applyFont="1" applyBorder="1"/>
    <xf numFmtId="164" fontId="5" fillId="0" borderId="3" xfId="1" applyFont="1" applyBorder="1"/>
    <xf numFmtId="0" fontId="5" fillId="0" borderId="3" xfId="0" applyFont="1" applyBorder="1"/>
    <xf numFmtId="0" fontId="5" fillId="0" borderId="11" xfId="0" quotePrefix="1" applyFont="1" applyBorder="1"/>
    <xf numFmtId="164" fontId="5" fillId="0" borderId="47" xfId="1" applyFont="1" applyBorder="1"/>
    <xf numFmtId="164" fontId="5" fillId="0" borderId="47" xfId="1" quotePrefix="1" applyFont="1" applyBorder="1"/>
    <xf numFmtId="164" fontId="5" fillId="0" borderId="3" xfId="1" quotePrefix="1" applyFont="1" applyBorder="1"/>
    <xf numFmtId="164" fontId="5" fillId="0" borderId="11" xfId="1" quotePrefix="1" applyFont="1" applyBorder="1"/>
    <xf numFmtId="164" fontId="5" fillId="0" borderId="35" xfId="1" quotePrefix="1" applyFont="1" applyBorder="1"/>
    <xf numFmtId="164" fontId="1" fillId="0" borderId="39" xfId="1" quotePrefix="1" applyBorder="1" applyAlignment="1">
      <alignment vertical="center"/>
    </xf>
    <xf numFmtId="164" fontId="5" fillId="0" borderId="9" xfId="1" applyFont="1" applyBorder="1"/>
    <xf numFmtId="0" fontId="5" fillId="0" borderId="9" xfId="0" applyFont="1" applyBorder="1"/>
    <xf numFmtId="0" fontId="5" fillId="0" borderId="28" xfId="0" quotePrefix="1" applyFont="1" applyBorder="1"/>
    <xf numFmtId="164" fontId="5" fillId="0" borderId="48" xfId="1" applyFont="1" applyBorder="1"/>
    <xf numFmtId="164" fontId="5" fillId="0" borderId="48" xfId="1" quotePrefix="1" applyFont="1" applyBorder="1"/>
    <xf numFmtId="164" fontId="5" fillId="0" borderId="9" xfId="1" quotePrefix="1" applyFont="1" applyBorder="1"/>
    <xf numFmtId="164" fontId="5" fillId="0" borderId="28" xfId="1" quotePrefix="1" applyFont="1" applyBorder="1"/>
    <xf numFmtId="164" fontId="5" fillId="0" borderId="33" xfId="1" quotePrefix="1" applyFont="1" applyBorder="1"/>
    <xf numFmtId="164" fontId="5" fillId="0" borderId="1" xfId="1" applyFont="1" applyBorder="1"/>
    <xf numFmtId="0" fontId="5" fillId="0" borderId="1" xfId="0" applyFont="1" applyBorder="1"/>
    <xf numFmtId="0" fontId="5" fillId="0" borderId="26" xfId="0" quotePrefix="1" applyFont="1" applyBorder="1"/>
    <xf numFmtId="164" fontId="5" fillId="0" borderId="36" xfId="1" applyFont="1" applyBorder="1"/>
    <xf numFmtId="164" fontId="5" fillId="0" borderId="36" xfId="1" quotePrefix="1" applyFont="1" applyBorder="1"/>
    <xf numFmtId="164" fontId="5" fillId="0" borderId="1" xfId="1" quotePrefix="1" applyFont="1" applyBorder="1"/>
    <xf numFmtId="164" fontId="5" fillId="0" borderId="26" xfId="1" quotePrefix="1" applyFont="1" applyBorder="1"/>
    <xf numFmtId="164" fontId="5" fillId="0" borderId="31" xfId="1" quotePrefix="1" applyFont="1" applyBorder="1"/>
    <xf numFmtId="0" fontId="0" fillId="0" borderId="7" xfId="0" applyFont="1" applyBorder="1"/>
    <xf numFmtId="0" fontId="0" fillId="0" borderId="8" xfId="0" applyFont="1" applyBorder="1"/>
    <xf numFmtId="165" fontId="8" fillId="0" borderId="44" xfId="0" applyNumberFormat="1" applyFont="1" applyBorder="1" applyAlignment="1">
      <alignment horizontal="center" vertical="center"/>
    </xf>
    <xf numFmtId="165" fontId="8" fillId="0" borderId="11" xfId="0" applyNumberFormat="1" applyFont="1" applyBorder="1" applyAlignment="1">
      <alignment horizontal="center" vertical="center"/>
    </xf>
    <xf numFmtId="0" fontId="5" fillId="0" borderId="4" xfId="0" applyFont="1" applyBorder="1"/>
    <xf numFmtId="0" fontId="0" fillId="0" borderId="25" xfId="0" applyBorder="1" applyAlignment="1">
      <alignment horizontal="center" vertical="center"/>
    </xf>
    <xf numFmtId="0" fontId="0" fillId="0" borderId="46" xfId="0" applyBorder="1" applyAlignment="1">
      <alignment horizontal="center" vertical="center"/>
    </xf>
    <xf numFmtId="0" fontId="0" fillId="0" borderId="34" xfId="0" applyBorder="1" applyAlignment="1">
      <alignment horizontal="center" vertical="center" wrapText="1"/>
    </xf>
    <xf numFmtId="164" fontId="5" fillId="0" borderId="49" xfId="1" applyFont="1" applyBorder="1" applyAlignment="1">
      <alignment horizontal="center" vertical="center"/>
    </xf>
    <xf numFmtId="0" fontId="7" fillId="0" borderId="9" xfId="0" quotePrefix="1" applyFont="1" applyBorder="1" applyAlignment="1">
      <alignment horizontal="center" vertical="center"/>
    </xf>
    <xf numFmtId="164" fontId="8" fillId="0" borderId="27" xfId="0" quotePrefix="1" applyNumberFormat="1" applyFont="1" applyBorder="1" applyAlignment="1">
      <alignment horizontal="left" vertical="center"/>
    </xf>
    <xf numFmtId="164" fontId="0" fillId="0" borderId="0" xfId="1" applyFont="1" applyBorder="1" applyAlignment="1">
      <alignment vertical="center"/>
    </xf>
    <xf numFmtId="164" fontId="0" fillId="0" borderId="21" xfId="1" applyFont="1" applyBorder="1"/>
    <xf numFmtId="164" fontId="8" fillId="0" borderId="40" xfId="1" applyFont="1" applyBorder="1" applyAlignment="1">
      <alignment horizontal="center" vertical="center"/>
    </xf>
    <xf numFmtId="0" fontId="0" fillId="0" borderId="4" xfId="0" applyBorder="1" applyAlignment="1">
      <alignment horizontal="center" vertical="center"/>
    </xf>
    <xf numFmtId="164" fontId="0" fillId="0" borderId="46" xfId="0" applyNumberFormat="1" applyBorder="1" applyAlignment="1">
      <alignment horizontal="center" vertical="center"/>
    </xf>
    <xf numFmtId="14" fontId="0" fillId="0" borderId="11" xfId="0" quotePrefix="1" applyNumberFormat="1" applyBorder="1"/>
    <xf numFmtId="164" fontId="1" fillId="0" borderId="47" xfId="1" applyBorder="1"/>
    <xf numFmtId="164" fontId="1" fillId="0" borderId="3" xfId="1" applyBorder="1"/>
    <xf numFmtId="164" fontId="1" fillId="0" borderId="11" xfId="1" applyBorder="1"/>
    <xf numFmtId="0" fontId="0" fillId="0" borderId="8" xfId="0" applyBorder="1" applyAlignment="1">
      <alignment wrapText="1"/>
    </xf>
    <xf numFmtId="0" fontId="12" fillId="0" borderId="27" xfId="0" quotePrefix="1" applyFont="1" applyBorder="1" applyAlignment="1">
      <alignment horizontal="center" vertical="center"/>
    </xf>
    <xf numFmtId="164" fontId="3" fillId="0" borderId="41" xfId="1" quotePrefix="1" applyFont="1" applyBorder="1" applyAlignment="1">
      <alignment vertical="center"/>
    </xf>
    <xf numFmtId="0" fontId="0" fillId="0" borderId="8" xfId="0" applyBorder="1" applyAlignment="1">
      <alignment vertical="center" wrapText="1"/>
    </xf>
    <xf numFmtId="164" fontId="8" fillId="0" borderId="28" xfId="0" quotePrefix="1" applyNumberFormat="1" applyFont="1" applyBorder="1" applyAlignment="1">
      <alignment horizontal="left" vertical="center"/>
    </xf>
    <xf numFmtId="164" fontId="0" fillId="0" borderId="28" xfId="1" applyFont="1" applyBorder="1" applyAlignment="1">
      <alignment vertical="center"/>
    </xf>
    <xf numFmtId="0" fontId="7" fillId="0" borderId="48" xfId="0" quotePrefix="1" applyFont="1" applyBorder="1" applyAlignment="1">
      <alignment horizontal="center" vertical="center"/>
    </xf>
    <xf numFmtId="0" fontId="7" fillId="0" borderId="4" xfId="0" applyFont="1" applyBorder="1" applyAlignment="1">
      <alignment horizontal="left"/>
    </xf>
    <xf numFmtId="164" fontId="1" fillId="0" borderId="43" xfId="1" applyFont="1" applyBorder="1" applyAlignment="1">
      <alignment horizontal="center" vertical="center"/>
    </xf>
    <xf numFmtId="164" fontId="0" fillId="0" borderId="35" xfId="0" applyNumberFormat="1" applyFont="1" applyBorder="1"/>
    <xf numFmtId="0" fontId="5" fillId="0" borderId="7" xfId="0" applyFont="1" applyBorder="1"/>
    <xf numFmtId="164" fontId="1" fillId="0" borderId="41" xfId="1" quotePrefix="1" applyFont="1" applyBorder="1" applyAlignment="1">
      <alignment vertical="center"/>
    </xf>
    <xf numFmtId="0" fontId="4" fillId="0" borderId="5" xfId="0" applyFont="1" applyBorder="1"/>
    <xf numFmtId="164" fontId="1" fillId="0" borderId="36" xfId="1" quotePrefix="1" applyFont="1" applyBorder="1"/>
    <xf numFmtId="164" fontId="1" fillId="0" borderId="16" xfId="1" applyFont="1" applyBorder="1"/>
    <xf numFmtId="164" fontId="1" fillId="0" borderId="21" xfId="1" applyFont="1" applyBorder="1"/>
    <xf numFmtId="164" fontId="1" fillId="0" borderId="38" xfId="1" applyFont="1" applyBorder="1" applyAlignment="1">
      <alignment vertical="center"/>
    </xf>
    <xf numFmtId="164" fontId="0" fillId="0" borderId="46" xfId="1" quotePrefix="1" applyFont="1" applyBorder="1" applyAlignment="1">
      <alignment horizontal="center" vertical="center"/>
    </xf>
    <xf numFmtId="164" fontId="1" fillId="0" borderId="3" xfId="1" applyFont="1" applyBorder="1"/>
    <xf numFmtId="164" fontId="1" fillId="0" borderId="11" xfId="1" applyFont="1" applyBorder="1"/>
    <xf numFmtId="164" fontId="5" fillId="0" borderId="29" xfId="1" applyFont="1" applyBorder="1"/>
    <xf numFmtId="164" fontId="1" fillId="0" borderId="0" xfId="1" applyFont="1" applyBorder="1" applyAlignment="1">
      <alignment vertical="center"/>
    </xf>
    <xf numFmtId="0" fontId="7" fillId="0" borderId="15" xfId="0" applyFont="1" applyBorder="1" applyAlignment="1">
      <alignment horizontal="left"/>
    </xf>
    <xf numFmtId="164" fontId="0" fillId="0" borderId="21" xfId="0" applyNumberFormat="1" applyBorder="1" applyAlignment="1">
      <alignment horizontal="center" vertical="center"/>
    </xf>
    <xf numFmtId="164" fontId="1" fillId="0" borderId="38" xfId="1" applyFont="1" applyBorder="1" applyAlignment="1">
      <alignment horizontal="center" vertical="center"/>
    </xf>
    <xf numFmtId="164" fontId="0" fillId="0" borderId="24" xfId="0" applyNumberFormat="1" applyFont="1" applyBorder="1"/>
    <xf numFmtId="0" fontId="0" fillId="0" borderId="35" xfId="0" applyBorder="1" applyAlignment="1">
      <alignment horizontal="center" vertical="center" wrapText="1"/>
    </xf>
    <xf numFmtId="164" fontId="0" fillId="0" borderId="46" xfId="1" applyFont="1" applyBorder="1" applyAlignment="1">
      <alignment horizontal="center" vertical="center"/>
    </xf>
    <xf numFmtId="164" fontId="0" fillId="0" borderId="25" xfId="1" applyFont="1" applyBorder="1" applyAlignment="1">
      <alignment horizontal="center" vertical="center"/>
    </xf>
    <xf numFmtId="164" fontId="0" fillId="0" borderId="5" xfId="1" applyFont="1" applyBorder="1" applyAlignment="1">
      <alignment horizontal="center" vertical="center"/>
    </xf>
    <xf numFmtId="164" fontId="0" fillId="0" borderId="2" xfId="1" applyFont="1" applyBorder="1" applyAlignment="1">
      <alignment horizontal="center" vertical="center"/>
    </xf>
    <xf numFmtId="164" fontId="0" fillId="0" borderId="13" xfId="1" applyFont="1" applyBorder="1" applyAlignment="1">
      <alignment horizontal="center" vertical="center"/>
    </xf>
    <xf numFmtId="0" fontId="0" fillId="0" borderId="13" xfId="0" applyBorder="1" applyAlignment="1">
      <alignment horizontal="center" vertical="center"/>
    </xf>
    <xf numFmtId="0" fontId="0" fillId="0" borderId="2" xfId="0" quotePrefix="1" applyBorder="1" applyAlignment="1">
      <alignment horizontal="center" vertical="center"/>
    </xf>
    <xf numFmtId="0" fontId="0" fillId="0" borderId="13" xfId="0" quotePrefix="1" applyBorder="1" applyAlignment="1">
      <alignment horizontal="center" vertical="center"/>
    </xf>
    <xf numFmtId="0" fontId="0" fillId="0" borderId="27" xfId="0" quotePrefix="1" applyBorder="1" applyAlignment="1">
      <alignment horizontal="center" vertical="center"/>
    </xf>
    <xf numFmtId="0" fontId="0" fillId="0" borderId="14" xfId="0" quotePrefix="1" applyBorder="1" applyAlignment="1">
      <alignment horizontal="center" vertical="center"/>
    </xf>
    <xf numFmtId="164" fontId="0" fillId="0" borderId="51" xfId="1" applyFont="1" applyBorder="1" applyAlignment="1">
      <alignment horizontal="center" vertical="center"/>
    </xf>
    <xf numFmtId="164" fontId="0" fillId="0" borderId="50" xfId="1" applyFont="1" applyBorder="1" applyAlignment="1">
      <alignment horizontal="center" vertical="center"/>
    </xf>
    <xf numFmtId="164" fontId="0" fillId="0" borderId="2"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27" xfId="1" applyFont="1" applyBorder="1" applyAlignment="1">
      <alignment horizontal="center" vertical="center"/>
    </xf>
    <xf numFmtId="164" fontId="0" fillId="0" borderId="14" xfId="1" applyFont="1" applyBorder="1" applyAlignment="1">
      <alignment horizontal="center" vertical="center"/>
    </xf>
    <xf numFmtId="43" fontId="0" fillId="0" borderId="0" xfId="0" applyNumberFormat="1" applyAlignment="1">
      <alignment horizontal="center" vertical="center"/>
    </xf>
    <xf numFmtId="0" fontId="0" fillId="0" borderId="35" xfId="0" applyBorder="1" applyAlignment="1">
      <alignment horizontal="center" vertical="center" wrapText="1"/>
    </xf>
    <xf numFmtId="0" fontId="0" fillId="0" borderId="29" xfId="0" applyBorder="1" applyAlignment="1">
      <alignment horizontal="center" vertical="center" wrapText="1"/>
    </xf>
    <xf numFmtId="164" fontId="0" fillId="0" borderId="32"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2" xfId="1" applyFont="1" applyBorder="1" applyAlignment="1">
      <alignment horizontal="center" vertic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164" fontId="5" fillId="0" borderId="0" xfId="1" applyFont="1" applyBorder="1"/>
    <xf numFmtId="164" fontId="0" fillId="0" borderId="0" xfId="0" applyNumberFormat="1" applyBorder="1"/>
    <xf numFmtId="0" fontId="0" fillId="0" borderId="0" xfId="0" applyBorder="1"/>
    <xf numFmtId="164" fontId="6" fillId="0" borderId="0" xfId="1" applyFont="1" applyBorder="1"/>
    <xf numFmtId="164" fontId="5" fillId="0" borderId="0" xfId="0" applyNumberFormat="1" applyFont="1" applyBorder="1"/>
    <xf numFmtId="164" fontId="5" fillId="0" borderId="0" xfId="1" quotePrefix="1" applyFont="1" applyBorder="1"/>
    <xf numFmtId="164" fontId="0" fillId="0" borderId="0" xfId="0" applyNumberFormat="1" applyFont="1" applyBorder="1"/>
    <xf numFmtId="164" fontId="0" fillId="0" borderId="0" xfId="0" applyNumberFormat="1" applyBorder="1" applyAlignment="1">
      <alignment horizontal="center" vertical="center"/>
    </xf>
    <xf numFmtId="164" fontId="0" fillId="0" borderId="0" xfId="0" applyNumberFormat="1" applyBorder="1" applyAlignment="1">
      <alignment vertical="center"/>
    </xf>
    <xf numFmtId="165" fontId="8" fillId="0" borderId="41" xfId="0" applyNumberFormat="1" applyFont="1" applyBorder="1" applyAlignment="1">
      <alignment horizontal="center" vertical="center"/>
    </xf>
    <xf numFmtId="164" fontId="0" fillId="0" borderId="11" xfId="1" applyFont="1" applyBorder="1" applyAlignment="1">
      <alignment horizontal="center" vertical="center" wrapText="1"/>
    </xf>
    <xf numFmtId="0" fontId="0" fillId="0" borderId="29" xfId="0" applyBorder="1" applyAlignment="1">
      <alignment horizontal="center" vertical="center" wrapText="1"/>
    </xf>
    <xf numFmtId="164" fontId="0" fillId="0" borderId="5" xfId="1" applyFont="1" applyBorder="1" applyAlignment="1">
      <alignment horizontal="center" vertical="center" wrapText="1"/>
    </xf>
    <xf numFmtId="164" fontId="0" fillId="0" borderId="2" xfId="1" applyFont="1" applyBorder="1" applyAlignment="1">
      <alignment horizontal="center" vertical="center" wrapText="1"/>
    </xf>
    <xf numFmtId="164" fontId="0" fillId="0" borderId="5" xfId="1" applyFont="1" applyBorder="1" applyAlignment="1">
      <alignment horizontal="center" vertical="center"/>
    </xf>
    <xf numFmtId="164" fontId="0" fillId="0" borderId="2" xfId="1" applyFont="1" applyBorder="1" applyAlignment="1">
      <alignment horizontal="center" vertical="center"/>
    </xf>
    <xf numFmtId="164" fontId="0" fillId="0" borderId="13" xfId="1" applyFont="1" applyBorder="1" applyAlignment="1">
      <alignment horizontal="center" vertical="center"/>
    </xf>
    <xf numFmtId="0" fontId="0" fillId="0" borderId="27" xfId="0" quotePrefix="1" applyBorder="1" applyAlignment="1">
      <alignment horizontal="center" vertical="center"/>
    </xf>
    <xf numFmtId="164" fontId="0" fillId="0" borderId="51" xfId="1" applyFont="1" applyBorder="1" applyAlignment="1">
      <alignment horizontal="center" vertical="center"/>
    </xf>
    <xf numFmtId="164" fontId="0" fillId="0" borderId="27" xfId="1" applyFont="1" applyBorder="1" applyAlignment="1">
      <alignment horizontal="center" vertical="center"/>
    </xf>
    <xf numFmtId="164" fontId="0" fillId="0" borderId="14" xfId="1" applyFont="1" applyBorder="1" applyAlignment="1">
      <alignment horizontal="center" vertical="center"/>
    </xf>
    <xf numFmtId="164" fontId="0" fillId="0" borderId="43" xfId="1" applyFont="1" applyBorder="1" applyAlignment="1">
      <alignment horizontal="center" vertical="center"/>
    </xf>
    <xf numFmtId="164" fontId="0" fillId="0" borderId="34" xfId="1" applyFont="1" applyBorder="1" applyAlignment="1">
      <alignment horizontal="center" vertical="center"/>
    </xf>
    <xf numFmtId="0" fontId="16" fillId="0" borderId="0" xfId="0" applyFont="1"/>
    <xf numFmtId="164" fontId="17" fillId="0" borderId="0" xfId="0" applyNumberFormat="1" applyFont="1"/>
    <xf numFmtId="43" fontId="0" fillId="0" borderId="0" xfId="0" applyNumberFormat="1"/>
    <xf numFmtId="164" fontId="18" fillId="2" borderId="24" xfId="1" applyFont="1" applyFill="1" applyBorder="1"/>
    <xf numFmtId="164" fontId="5" fillId="2" borderId="24" xfId="1" applyFont="1" applyFill="1" applyBorder="1"/>
    <xf numFmtId="164" fontId="1" fillId="2" borderId="38" xfId="1" applyFill="1" applyBorder="1" applyAlignment="1">
      <alignment vertical="center"/>
    </xf>
    <xf numFmtId="164" fontId="5" fillId="2" borderId="37" xfId="1" applyFont="1" applyFill="1" applyBorder="1"/>
    <xf numFmtId="164" fontId="5" fillId="2" borderId="21" xfId="1" applyFont="1" applyFill="1" applyBorder="1"/>
    <xf numFmtId="164" fontId="5" fillId="2" borderId="16" xfId="1" applyFont="1" applyFill="1" applyBorder="1"/>
    <xf numFmtId="0" fontId="0" fillId="2" borderId="21" xfId="0" applyFill="1" applyBorder="1"/>
    <xf numFmtId="0" fontId="2" fillId="2" borderId="15" xfId="0" applyFont="1" applyFill="1" applyBorder="1"/>
    <xf numFmtId="164" fontId="1" fillId="2" borderId="39" xfId="1" applyFill="1" applyBorder="1" applyAlignment="1">
      <alignment vertical="center"/>
    </xf>
    <xf numFmtId="164" fontId="5" fillId="2" borderId="49" xfId="1" applyFont="1" applyFill="1" applyBorder="1"/>
    <xf numFmtId="164" fontId="5" fillId="2" borderId="23" xfId="1" applyFont="1" applyFill="1" applyBorder="1"/>
    <xf numFmtId="164" fontId="5" fillId="2" borderId="6" xfId="1" applyFont="1" applyFill="1" applyBorder="1"/>
    <xf numFmtId="0" fontId="5" fillId="2" borderId="23" xfId="0" applyFont="1" applyFill="1" applyBorder="1"/>
    <xf numFmtId="0" fontId="2" fillId="2" borderId="17" xfId="0" applyFont="1" applyFill="1" applyBorder="1"/>
    <xf numFmtId="164" fontId="16" fillId="0" borderId="31" xfId="0" applyNumberFormat="1" applyFont="1" applyBorder="1"/>
    <xf numFmtId="0" fontId="16" fillId="0" borderId="34" xfId="0" applyFont="1" applyBorder="1"/>
    <xf numFmtId="164" fontId="16" fillId="0" borderId="0" xfId="0" applyNumberFormat="1" applyFont="1"/>
    <xf numFmtId="43" fontId="5" fillId="0" borderId="0" xfId="0" applyNumberFormat="1" applyFont="1"/>
    <xf numFmtId="0" fontId="5" fillId="2" borderId="21" xfId="0" applyFont="1" applyFill="1" applyBorder="1"/>
    <xf numFmtId="164" fontId="16" fillId="0" borderId="57" xfId="0" applyNumberFormat="1" applyFont="1" applyBorder="1" applyAlignment="1">
      <alignment horizontal="center" vertical="center" wrapText="1"/>
    </xf>
    <xf numFmtId="164" fontId="16" fillId="0" borderId="60" xfId="0" applyNumberFormat="1" applyFont="1" applyBorder="1" applyAlignment="1">
      <alignment horizontal="center" vertical="center" wrapText="1"/>
    </xf>
    <xf numFmtId="164" fontId="18" fillId="0" borderId="0" xfId="1" applyFont="1"/>
    <xf numFmtId="164" fontId="16" fillId="0" borderId="33" xfId="0" applyNumberFormat="1" applyFont="1" applyBorder="1" applyAlignment="1">
      <alignment horizontal="center" vertical="center" wrapText="1"/>
    </xf>
    <xf numFmtId="164" fontId="0" fillId="0" borderId="44" xfId="1" applyFont="1" applyBorder="1" applyAlignment="1">
      <alignment vertical="center"/>
    </xf>
    <xf numFmtId="164" fontId="16" fillId="0" borderId="31" xfId="0" applyNumberFormat="1" applyFont="1" applyBorder="1" applyAlignment="1">
      <alignment horizontal="center" vertical="center" wrapText="1"/>
    </xf>
    <xf numFmtId="164" fontId="0" fillId="0" borderId="41" xfId="1" applyFont="1" applyBorder="1" applyAlignment="1">
      <alignment vertical="center"/>
    </xf>
    <xf numFmtId="164" fontId="16" fillId="0" borderId="34" xfId="0" applyNumberFormat="1" applyFont="1" applyBorder="1" applyAlignment="1">
      <alignment horizontal="center" vertical="center" wrapText="1"/>
    </xf>
    <xf numFmtId="164" fontId="0" fillId="0" borderId="34" xfId="0" applyNumberFormat="1" applyBorder="1"/>
    <xf numFmtId="164" fontId="0" fillId="0" borderId="43" xfId="1" applyFont="1" applyBorder="1" applyAlignment="1">
      <alignment vertical="center"/>
    </xf>
    <xf numFmtId="164" fontId="0" fillId="0" borderId="25" xfId="1" applyFont="1" applyBorder="1" applyAlignment="1">
      <alignment horizontal="center"/>
    </xf>
    <xf numFmtId="164" fontId="0" fillId="0" borderId="25" xfId="0" applyNumberFormat="1" applyBorder="1"/>
    <xf numFmtId="164" fontId="0" fillId="0" borderId="5" xfId="0" applyNumberFormat="1" applyBorder="1"/>
    <xf numFmtId="14" fontId="0" fillId="0" borderId="25" xfId="0" quotePrefix="1" applyNumberFormat="1" applyBorder="1"/>
    <xf numFmtId="0" fontId="16" fillId="0" borderId="35" xfId="0" applyFont="1" applyBorder="1"/>
    <xf numFmtId="0" fontId="0" fillId="0" borderId="35" xfId="0" applyBorder="1"/>
    <xf numFmtId="164" fontId="0" fillId="0" borderId="49" xfId="1" applyFont="1" applyBorder="1"/>
    <xf numFmtId="164" fontId="0" fillId="0" borderId="23" xfId="1" applyFont="1" applyBorder="1"/>
    <xf numFmtId="164" fontId="18" fillId="2" borderId="61" xfId="1" applyFont="1" applyFill="1" applyBorder="1"/>
    <xf numFmtId="164" fontId="5" fillId="2" borderId="38" xfId="1" applyFont="1" applyFill="1" applyBorder="1"/>
    <xf numFmtId="164" fontId="18" fillId="0" borderId="31" xfId="1" quotePrefix="1" applyFont="1" applyBorder="1"/>
    <xf numFmtId="164" fontId="18" fillId="0" borderId="29" xfId="1" quotePrefix="1" applyFont="1" applyBorder="1"/>
    <xf numFmtId="164" fontId="5" fillId="0" borderId="29" xfId="1" quotePrefix="1" applyFont="1" applyBorder="1"/>
    <xf numFmtId="164" fontId="1" fillId="0" borderId="0" xfId="1" quotePrefix="1" applyBorder="1" applyAlignment="1">
      <alignment vertical="center"/>
    </xf>
    <xf numFmtId="164" fontId="0" fillId="0" borderId="33" xfId="0" applyNumberFormat="1" applyFont="1" applyBorder="1"/>
    <xf numFmtId="164" fontId="1" fillId="0" borderId="44" xfId="1" applyFont="1" applyBorder="1" applyAlignment="1">
      <alignment horizontal="center" vertical="center"/>
    </xf>
    <xf numFmtId="164" fontId="0" fillId="0" borderId="28" xfId="0" applyNumberFormat="1" applyBorder="1" applyAlignment="1">
      <alignment horizontal="center" vertical="center"/>
    </xf>
    <xf numFmtId="164" fontId="0" fillId="0" borderId="48" xfId="1" quotePrefix="1" applyFont="1" applyBorder="1" applyAlignment="1">
      <alignment horizontal="center" vertical="center"/>
    </xf>
    <xf numFmtId="0" fontId="7" fillId="0" borderId="8" xfId="0" applyFont="1" applyBorder="1" applyAlignment="1">
      <alignment horizontal="left"/>
    </xf>
    <xf numFmtId="164" fontId="0" fillId="0" borderId="31" xfId="0" applyNumberFormat="1" applyFont="1" applyBorder="1"/>
    <xf numFmtId="164" fontId="1" fillId="0" borderId="41" xfId="1" applyFont="1" applyBorder="1" applyAlignment="1">
      <alignment horizontal="center" vertical="center"/>
    </xf>
    <xf numFmtId="164" fontId="0" fillId="0" borderId="26" xfId="1" applyFont="1" applyBorder="1" applyAlignment="1">
      <alignment horizontal="center" vertical="center"/>
    </xf>
    <xf numFmtId="164" fontId="0" fillId="0" borderId="26"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 xfId="1" applyFont="1" applyBorder="1" applyAlignment="1">
      <alignment horizontal="center" vertical="center"/>
    </xf>
    <xf numFmtId="0" fontId="7" fillId="0" borderId="7" xfId="0" applyFont="1" applyBorder="1" applyAlignment="1">
      <alignment horizontal="left"/>
    </xf>
    <xf numFmtId="164" fontId="0" fillId="0" borderId="26" xfId="1" applyFont="1" applyBorder="1" applyAlignment="1">
      <alignment horizontal="center"/>
    </xf>
    <xf numFmtId="164" fontId="0" fillId="0" borderId="26" xfId="1" quotePrefix="1" applyFont="1" applyBorder="1"/>
    <xf numFmtId="164" fontId="0" fillId="0" borderId="25" xfId="1" quotePrefix="1" applyFont="1" applyBorder="1"/>
    <xf numFmtId="164" fontId="16" fillId="0" borderId="0" xfId="1" applyFont="1"/>
    <xf numFmtId="164" fontId="18" fillId="0" borderId="24" xfId="1" applyFont="1" applyBorder="1"/>
    <xf numFmtId="164" fontId="18" fillId="0" borderId="33" xfId="1" quotePrefix="1" applyFont="1" applyBorder="1"/>
    <xf numFmtId="164" fontId="5" fillId="0" borderId="0" xfId="0" applyNumberFormat="1" applyFont="1"/>
    <xf numFmtId="164" fontId="18" fillId="0" borderId="35" xfId="1" quotePrefix="1" applyFont="1" applyBorder="1"/>
    <xf numFmtId="164" fontId="1" fillId="0" borderId="48" xfId="1" applyFont="1" applyBorder="1" applyAlignment="1">
      <alignment horizontal="center" vertical="center"/>
    </xf>
    <xf numFmtId="164" fontId="1" fillId="0" borderId="28" xfId="1" applyFont="1" applyBorder="1" applyAlignment="1">
      <alignment horizontal="center" vertical="center"/>
    </xf>
    <xf numFmtId="164" fontId="0" fillId="0" borderId="28" xfId="0" applyNumberFormat="1" applyFont="1" applyBorder="1" applyAlignment="1">
      <alignment horizontal="center" vertical="center"/>
    </xf>
    <xf numFmtId="164" fontId="0" fillId="0" borderId="9" xfId="0" applyNumberFormat="1" applyFont="1" applyBorder="1" applyAlignment="1">
      <alignment horizontal="center" vertical="center"/>
    </xf>
    <xf numFmtId="0" fontId="0" fillId="0" borderId="28" xfId="0" quotePrefix="1" applyFont="1" applyBorder="1" applyAlignment="1">
      <alignment horizontal="center" vertical="center"/>
    </xf>
    <xf numFmtId="164" fontId="1" fillId="0" borderId="9" xfId="1" applyFont="1" applyBorder="1" applyAlignment="1">
      <alignment horizontal="center" vertical="center"/>
    </xf>
    <xf numFmtId="164" fontId="1" fillId="0" borderId="36" xfId="1" applyFont="1" applyBorder="1" applyAlignment="1">
      <alignment horizontal="center" vertical="center"/>
    </xf>
    <xf numFmtId="164" fontId="1" fillId="0" borderId="26" xfId="1" applyFont="1" applyBorder="1" applyAlignment="1">
      <alignment horizontal="center" vertical="center"/>
    </xf>
    <xf numFmtId="164" fontId="0" fillId="0" borderId="26" xfId="0" applyNumberFormat="1" applyFont="1" applyBorder="1" applyAlignment="1">
      <alignment horizontal="center" vertical="center"/>
    </xf>
    <xf numFmtId="164" fontId="0" fillId="0" borderId="1" xfId="0" applyNumberFormat="1" applyFont="1" applyBorder="1" applyAlignment="1">
      <alignment horizontal="center" vertical="center"/>
    </xf>
    <xf numFmtId="0" fontId="0" fillId="0" borderId="26" xfId="0" quotePrefix="1" applyFont="1" applyBorder="1" applyAlignment="1">
      <alignment horizontal="center" vertical="center"/>
    </xf>
    <xf numFmtId="164" fontId="1" fillId="0" borderId="1" xfId="1" applyFont="1" applyBorder="1" applyAlignment="1">
      <alignment horizontal="center" vertical="center"/>
    </xf>
    <xf numFmtId="164" fontId="1" fillId="0" borderId="36" xfId="1" quotePrefix="1" applyFont="1" applyBorder="1" applyAlignment="1">
      <alignment horizontal="center" vertical="center"/>
    </xf>
    <xf numFmtId="164" fontId="1" fillId="0" borderId="26" xfId="1" quotePrefix="1" applyFont="1" applyBorder="1"/>
    <xf numFmtId="164" fontId="0" fillId="0" borderId="26" xfId="0" applyNumberFormat="1" applyFont="1" applyBorder="1"/>
    <xf numFmtId="164" fontId="0" fillId="0" borderId="1" xfId="0" applyNumberFormat="1" applyFont="1" applyBorder="1"/>
    <xf numFmtId="0" fontId="0" fillId="0" borderId="26" xfId="0" quotePrefix="1" applyFont="1" applyBorder="1"/>
    <xf numFmtId="164" fontId="1" fillId="0" borderId="36" xfId="1" applyFont="1" applyBorder="1"/>
    <xf numFmtId="164" fontId="1" fillId="0" borderId="1" xfId="1" applyFont="1" applyBorder="1"/>
    <xf numFmtId="0" fontId="19" fillId="0" borderId="26" xfId="0" quotePrefix="1" applyFont="1" applyBorder="1"/>
    <xf numFmtId="164" fontId="1" fillId="0" borderId="41" xfId="1" applyFont="1" applyBorder="1" applyAlignment="1">
      <alignment vertical="center"/>
    </xf>
    <xf numFmtId="164" fontId="1" fillId="0" borderId="26" xfId="1" applyFont="1" applyBorder="1"/>
    <xf numFmtId="14" fontId="0" fillId="0" borderId="26" xfId="0" quotePrefix="1" applyNumberFormat="1" applyFont="1" applyBorder="1"/>
    <xf numFmtId="0" fontId="0" fillId="0" borderId="7" xfId="0" applyFont="1" applyBorder="1" applyAlignment="1">
      <alignment horizontal="left" vertical="center"/>
    </xf>
    <xf numFmtId="164" fontId="0" fillId="0" borderId="31" xfId="0" applyNumberFormat="1" applyFont="1" applyBorder="1" applyAlignment="1">
      <alignment horizontal="center" vertical="center" wrapText="1"/>
    </xf>
    <xf numFmtId="164" fontId="19" fillId="0" borderId="41" xfId="1" applyFont="1" applyBorder="1" applyAlignment="1">
      <alignment horizontal="center" vertical="center"/>
    </xf>
    <xf numFmtId="165" fontId="19" fillId="0" borderId="26" xfId="0" applyNumberFormat="1" applyFont="1" applyBorder="1" applyAlignment="1">
      <alignment horizontal="center" vertical="center"/>
    </xf>
    <xf numFmtId="164" fontId="0" fillId="0" borderId="34" xfId="0" applyNumberFormat="1" applyFont="1" applyBorder="1" applyAlignment="1">
      <alignment horizontal="center" vertical="center" wrapText="1"/>
    </xf>
    <xf numFmtId="165" fontId="19" fillId="0" borderId="25" xfId="0" applyNumberFormat="1" applyFont="1" applyBorder="1" applyAlignment="1">
      <alignment horizontal="center" vertical="center"/>
    </xf>
    <xf numFmtId="164" fontId="1" fillId="0" borderId="46" xfId="1" applyFont="1" applyBorder="1" applyAlignment="1">
      <alignment horizontal="center" vertical="center"/>
    </xf>
    <xf numFmtId="164" fontId="1" fillId="0" borderId="25" xfId="1" applyFont="1" applyBorder="1" applyAlignment="1">
      <alignment horizontal="center" vertical="center"/>
    </xf>
    <xf numFmtId="164" fontId="0" fillId="0" borderId="5" xfId="0" applyNumberFormat="1" applyFont="1" applyBorder="1" applyAlignment="1">
      <alignment horizontal="center" vertical="center"/>
    </xf>
    <xf numFmtId="0" fontId="0" fillId="0" borderId="25" xfId="0" quotePrefix="1" applyFont="1" applyBorder="1" applyAlignment="1">
      <alignment horizontal="center" vertical="center"/>
    </xf>
    <xf numFmtId="164" fontId="1" fillId="0" borderId="5" xfId="1" applyFont="1" applyBorder="1" applyAlignment="1">
      <alignment horizontal="center" vertical="center"/>
    </xf>
    <xf numFmtId="0" fontId="0" fillId="0" borderId="4" xfId="0" applyFont="1" applyBorder="1"/>
    <xf numFmtId="0" fontId="0" fillId="0" borderId="11" xfId="0" applyBorder="1" applyAlignment="1">
      <alignment horizontal="center" vertical="center"/>
    </xf>
    <xf numFmtId="164" fontId="0" fillId="0" borderId="0" xfId="1" applyFont="1" applyBorder="1" applyAlignment="1">
      <alignment horizontal="center" vertical="center" wrapText="1"/>
    </xf>
    <xf numFmtId="164" fontId="0" fillId="0" borderId="0" xfId="1" applyFont="1" applyBorder="1" applyAlignment="1">
      <alignment horizontal="center" vertical="center"/>
    </xf>
    <xf numFmtId="164" fontId="1" fillId="0" borderId="41" xfId="1" applyFont="1" applyBorder="1"/>
    <xf numFmtId="164" fontId="1" fillId="0" borderId="41" xfId="1" quotePrefix="1" applyFont="1" applyBorder="1"/>
    <xf numFmtId="164" fontId="5" fillId="0" borderId="41" xfId="1" quotePrefix="1" applyFont="1" applyBorder="1"/>
    <xf numFmtId="164" fontId="5" fillId="0" borderId="44" xfId="1" quotePrefix="1" applyFont="1" applyBorder="1"/>
    <xf numFmtId="164" fontId="0" fillId="0" borderId="43" xfId="1" applyFont="1" applyBorder="1"/>
    <xf numFmtId="164" fontId="0" fillId="0" borderId="41" xfId="1" applyFont="1" applyBorder="1"/>
    <xf numFmtId="164" fontId="0" fillId="0" borderId="39" xfId="1" applyFont="1" applyBorder="1"/>
    <xf numFmtId="164" fontId="0" fillId="0" borderId="40" xfId="1" applyFont="1" applyBorder="1"/>
    <xf numFmtId="164" fontId="0" fillId="0" borderId="41" xfId="1" quotePrefix="1" applyFont="1" applyBorder="1" applyAlignment="1">
      <alignment horizontal="right"/>
    </xf>
    <xf numFmtId="164" fontId="0" fillId="0" borderId="42" xfId="1" applyFont="1" applyBorder="1"/>
    <xf numFmtId="164" fontId="0" fillId="0" borderId="42" xfId="1" applyFont="1" applyBorder="1" applyAlignment="1">
      <alignment vertical="center"/>
    </xf>
    <xf numFmtId="164" fontId="0" fillId="0" borderId="39" xfId="1" applyFont="1" applyBorder="1" applyAlignment="1">
      <alignment horizontal="center" vertical="center"/>
    </xf>
    <xf numFmtId="164" fontId="0" fillId="0" borderId="51" xfId="1" applyFont="1" applyBorder="1" applyAlignment="1">
      <alignment horizontal="center" vertical="center" wrapText="1"/>
    </xf>
    <xf numFmtId="164" fontId="0" fillId="0" borderId="42" xfId="1" applyFont="1" applyBorder="1" applyAlignment="1">
      <alignment horizontal="center" vertical="center" wrapText="1"/>
    </xf>
    <xf numFmtId="164" fontId="5" fillId="0" borderId="64" xfId="1" quotePrefix="1" applyFont="1" applyBorder="1"/>
    <xf numFmtId="164" fontId="5" fillId="0" borderId="6" xfId="1" quotePrefix="1" applyFont="1" applyBorder="1"/>
    <xf numFmtId="164" fontId="1" fillId="0" borderId="44" xfId="1" quotePrefix="1" applyFont="1" applyBorder="1"/>
    <xf numFmtId="164" fontId="5" fillId="0" borderId="38" xfId="1" applyFont="1" applyBorder="1" applyAlignment="1">
      <alignment horizontal="center"/>
    </xf>
    <xf numFmtId="165" fontId="19" fillId="0" borderId="43" xfId="0" applyNumberFormat="1" applyFont="1" applyBorder="1" applyAlignment="1">
      <alignment horizontal="center" vertical="center"/>
    </xf>
    <xf numFmtId="165" fontId="19" fillId="0" borderId="41" xfId="0" applyNumberFormat="1" applyFont="1" applyBorder="1" applyAlignment="1">
      <alignment horizontal="center" vertical="center"/>
    </xf>
    <xf numFmtId="164" fontId="0" fillId="0" borderId="62" xfId="1" applyFont="1" applyBorder="1" applyAlignment="1">
      <alignment horizontal="center" vertical="center" wrapText="1"/>
    </xf>
    <xf numFmtId="164" fontId="1" fillId="0" borderId="63" xfId="1" applyFont="1" applyBorder="1" applyAlignment="1">
      <alignment horizontal="center" vertical="center"/>
    </xf>
    <xf numFmtId="164" fontId="1" fillId="0" borderId="55" xfId="1" applyFont="1" applyBorder="1" applyAlignment="1">
      <alignment horizontal="center" vertical="center"/>
    </xf>
    <xf numFmtId="164" fontId="1" fillId="0" borderId="55" xfId="1" quotePrefix="1" applyFont="1" applyBorder="1"/>
    <xf numFmtId="164" fontId="5" fillId="0" borderId="56" xfId="1" quotePrefix="1" applyFont="1" applyBorder="1"/>
    <xf numFmtId="0" fontId="12" fillId="0" borderId="26" xfId="0" quotePrefix="1" applyFont="1" applyBorder="1" applyAlignment="1">
      <alignment horizontal="center" vertical="center"/>
    </xf>
    <xf numFmtId="164" fontId="0" fillId="0" borderId="31" xfId="1" applyFont="1" applyBorder="1" applyAlignment="1">
      <alignment horizontal="center" vertical="center"/>
    </xf>
    <xf numFmtId="164" fontId="0" fillId="0" borderId="35" xfId="1" applyFont="1" applyBorder="1"/>
    <xf numFmtId="164" fontId="5" fillId="2" borderId="35" xfId="1" applyFont="1" applyFill="1" applyBorder="1"/>
    <xf numFmtId="164" fontId="20" fillId="2" borderId="21" xfId="1" applyFont="1" applyFill="1" applyBorder="1" applyAlignment="1">
      <alignment horizontal="left" vertical="top"/>
    </xf>
    <xf numFmtId="164" fontId="0" fillId="0" borderId="44" xfId="1" applyFont="1" applyBorder="1" applyAlignment="1">
      <alignment horizontal="center" vertical="center"/>
    </xf>
    <xf numFmtId="164" fontId="0" fillId="0" borderId="42" xfId="1" applyFont="1" applyBorder="1" applyAlignment="1">
      <alignment horizontal="center" vertical="center"/>
    </xf>
    <xf numFmtId="164" fontId="0" fillId="0" borderId="38" xfId="1" applyFont="1" applyBorder="1" applyAlignment="1">
      <alignment horizontal="center" vertical="center"/>
    </xf>
    <xf numFmtId="164" fontId="0" fillId="0" borderId="40" xfId="1" applyFont="1" applyBorder="1" applyAlignment="1">
      <alignment horizontal="center" vertical="center"/>
    </xf>
    <xf numFmtId="164" fontId="1" fillId="0" borderId="0" xfId="1" applyBorder="1"/>
    <xf numFmtId="164" fontId="1" fillId="0" borderId="44" xfId="1" applyBorder="1"/>
    <xf numFmtId="164" fontId="0" fillId="0" borderId="0" xfId="1" applyFont="1" applyBorder="1"/>
    <xf numFmtId="164" fontId="5" fillId="0" borderId="38" xfId="1" quotePrefix="1" applyFont="1" applyBorder="1"/>
    <xf numFmtId="164" fontId="0" fillId="0" borderId="0" xfId="1" quotePrefix="1" applyFont="1" applyBorder="1"/>
    <xf numFmtId="164" fontId="0" fillId="0" borderId="42" xfId="1" quotePrefix="1" applyFont="1" applyBorder="1"/>
    <xf numFmtId="164" fontId="0" fillId="0" borderId="44" xfId="1" quotePrefix="1" applyFont="1" applyBorder="1"/>
    <xf numFmtId="164" fontId="5" fillId="0" borderId="45" xfId="1" quotePrefix="1" applyFont="1" applyBorder="1"/>
    <xf numFmtId="164" fontId="0" fillId="0" borderId="38" xfId="1" applyFont="1" applyBorder="1"/>
    <xf numFmtId="164" fontId="0" fillId="0" borderId="44" xfId="1" applyFont="1" applyBorder="1"/>
    <xf numFmtId="164" fontId="5" fillId="0" borderId="45" xfId="1" applyFont="1" applyBorder="1"/>
    <xf numFmtId="164" fontId="5" fillId="0" borderId="39" xfId="1" applyFont="1" applyBorder="1"/>
    <xf numFmtId="164" fontId="0" fillId="0" borderId="3" xfId="1" applyFont="1" applyBorder="1" applyAlignment="1">
      <alignment horizontal="center" vertical="center" wrapText="1"/>
    </xf>
    <xf numFmtId="164" fontId="6" fillId="0" borderId="16" xfId="1" applyFont="1" applyBorder="1"/>
    <xf numFmtId="164" fontId="5" fillId="0" borderId="16" xfId="1" quotePrefix="1" applyFont="1" applyBorder="1"/>
    <xf numFmtId="164" fontId="0" fillId="0" borderId="2" xfId="1" quotePrefix="1" applyFont="1" applyBorder="1"/>
    <xf numFmtId="165" fontId="8" fillId="0" borderId="39" xfId="0" applyNumberFormat="1" applyFont="1" applyBorder="1" applyAlignment="1">
      <alignment horizontal="center" vertical="center"/>
    </xf>
    <xf numFmtId="164" fontId="0" fillId="0" borderId="6" xfId="1" applyFont="1" applyBorder="1" applyAlignment="1">
      <alignment horizontal="center" vertical="center" wrapText="1"/>
    </xf>
    <xf numFmtId="164" fontId="0" fillId="0" borderId="13" xfId="1" applyFont="1" applyBorder="1" applyAlignment="1">
      <alignment horizontal="center" vertical="center" wrapText="1"/>
    </xf>
    <xf numFmtId="164" fontId="0" fillId="0" borderId="55" xfId="1" applyFont="1" applyBorder="1" applyAlignment="1">
      <alignment horizontal="center" vertical="center"/>
    </xf>
    <xf numFmtId="164" fontId="0" fillId="0" borderId="56" xfId="1" applyFont="1" applyBorder="1" applyAlignment="1">
      <alignment horizontal="center" vertical="center"/>
    </xf>
    <xf numFmtId="164" fontId="5" fillId="0" borderId="2" xfId="1" quotePrefix="1" applyFont="1" applyBorder="1"/>
    <xf numFmtId="164" fontId="5" fillId="0" borderId="66" xfId="1" applyFont="1" applyBorder="1"/>
    <xf numFmtId="164" fontId="5" fillId="0" borderId="32" xfId="1" quotePrefix="1" applyFont="1" applyBorder="1"/>
    <xf numFmtId="164" fontId="0" fillId="0" borderId="63" xfId="1" applyFont="1" applyBorder="1" applyAlignment="1">
      <alignment horizontal="center" vertical="center"/>
    </xf>
    <xf numFmtId="164" fontId="5" fillId="0" borderId="64" xfId="1" applyFont="1" applyBorder="1"/>
    <xf numFmtId="164" fontId="0" fillId="0" borderId="63" xfId="1" applyFont="1" applyBorder="1"/>
    <xf numFmtId="164" fontId="0" fillId="0" borderId="65" xfId="1" applyFont="1" applyBorder="1"/>
    <xf numFmtId="164" fontId="0" fillId="0" borderId="66" xfId="1" applyFont="1" applyBorder="1" applyAlignment="1">
      <alignment horizontal="center" vertical="center"/>
    </xf>
    <xf numFmtId="164" fontId="0" fillId="0" borderId="55" xfId="1" applyFont="1" applyBorder="1"/>
    <xf numFmtId="164" fontId="0" fillId="0" borderId="62" xfId="1" applyFont="1" applyBorder="1"/>
    <xf numFmtId="164" fontId="0" fillId="0" borderId="67" xfId="1" applyFont="1" applyBorder="1"/>
    <xf numFmtId="164" fontId="0" fillId="0" borderId="65" xfId="1" applyFont="1" applyBorder="1" applyAlignment="1">
      <alignment horizontal="center" vertical="center"/>
    </xf>
    <xf numFmtId="164" fontId="1" fillId="0" borderId="70" xfId="1" applyBorder="1" applyAlignment="1">
      <alignment vertical="center"/>
    </xf>
    <xf numFmtId="0" fontId="2" fillId="0" borderId="39" xfId="0" applyFont="1" applyBorder="1"/>
    <xf numFmtId="0" fontId="5" fillId="0" borderId="39" xfId="0" applyFont="1" applyBorder="1"/>
    <xf numFmtId="164" fontId="5" fillId="0" borderId="39" xfId="1" applyFont="1" applyBorder="1" applyAlignment="1">
      <alignment horizontal="center"/>
    </xf>
    <xf numFmtId="164" fontId="0" fillId="0" borderId="13" xfId="1" applyFont="1" applyBorder="1" applyAlignment="1">
      <alignment horizontal="center" vertical="center"/>
    </xf>
    <xf numFmtId="0" fontId="0" fillId="0" borderId="2" xfId="0" quotePrefix="1" applyBorder="1" applyAlignment="1">
      <alignment horizontal="center" vertical="center"/>
    </xf>
    <xf numFmtId="0" fontId="0" fillId="0" borderId="13" xfId="0" quotePrefix="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5" fillId="0" borderId="16" xfId="0" applyFont="1" applyBorder="1" applyAlignment="1">
      <alignment vertical="center"/>
    </xf>
    <xf numFmtId="0" fontId="5" fillId="0" borderId="1" xfId="0" quotePrefix="1" applyFont="1" applyBorder="1" applyAlignment="1">
      <alignment vertical="center"/>
    </xf>
    <xf numFmtId="0" fontId="5" fillId="0" borderId="3" xfId="0" quotePrefix="1" applyFont="1" applyBorder="1" applyAlignment="1">
      <alignment vertical="center"/>
    </xf>
    <xf numFmtId="0" fontId="5" fillId="0" borderId="9" xfId="0" quotePrefix="1" applyFont="1" applyBorder="1" applyAlignment="1">
      <alignment vertical="center"/>
    </xf>
    <xf numFmtId="0" fontId="5" fillId="0" borderId="39" xfId="0" applyFont="1" applyBorder="1" applyAlignment="1">
      <alignment vertical="center"/>
    </xf>
    <xf numFmtId="0" fontId="5" fillId="0" borderId="0" xfId="0" applyFont="1" applyAlignment="1">
      <alignment vertical="center"/>
    </xf>
    <xf numFmtId="0" fontId="0" fillId="0" borderId="5" xfId="0" applyBorder="1" applyAlignment="1">
      <alignment vertical="center"/>
    </xf>
    <xf numFmtId="0" fontId="5" fillId="0" borderId="6" xfId="0" applyFont="1" applyBorder="1" applyAlignment="1">
      <alignment vertical="center"/>
    </xf>
    <xf numFmtId="0" fontId="0" fillId="0" borderId="16" xfId="0" applyBorder="1" applyAlignment="1">
      <alignment vertical="center"/>
    </xf>
    <xf numFmtId="164" fontId="9" fillId="0" borderId="0" xfId="0" applyNumberFormat="1" applyFont="1" applyAlignment="1">
      <alignment vertical="center"/>
    </xf>
    <xf numFmtId="0" fontId="0" fillId="0" borderId="1" xfId="0" quotePrefix="1" applyFont="1" applyBorder="1" applyAlignment="1">
      <alignment horizontal="center" vertical="center"/>
    </xf>
    <xf numFmtId="0" fontId="0" fillId="0" borderId="5" xfId="0" quotePrefix="1" applyFont="1" applyBorder="1" applyAlignment="1">
      <alignment horizontal="center" vertical="center"/>
    </xf>
    <xf numFmtId="14" fontId="0" fillId="0" borderId="16" xfId="0" quotePrefix="1" applyNumberFormat="1" applyBorder="1" applyAlignment="1">
      <alignment horizontal="center" vertical="center"/>
    </xf>
    <xf numFmtId="14" fontId="0" fillId="0" borderId="3" xfId="0" quotePrefix="1" applyNumberFormat="1" applyBorder="1" applyAlignment="1">
      <alignment horizontal="center" vertical="center"/>
    </xf>
    <xf numFmtId="14" fontId="0" fillId="0" borderId="9" xfId="0" quotePrefix="1" applyNumberFormat="1" applyBorder="1" applyAlignment="1">
      <alignment horizontal="center" vertical="center"/>
    </xf>
    <xf numFmtId="14" fontId="0" fillId="0" borderId="13" xfId="0" quotePrefix="1" applyNumberFormat="1" applyBorder="1" applyAlignment="1">
      <alignment horizontal="center" vertical="center"/>
    </xf>
    <xf numFmtId="0" fontId="0" fillId="0" borderId="1" xfId="0" applyBorder="1" applyAlignment="1">
      <alignment horizontal="center" vertical="center"/>
    </xf>
    <xf numFmtId="0" fontId="5" fillId="0" borderId="16" xfId="0" applyFont="1" applyBorder="1" applyAlignment="1">
      <alignment horizontal="center" vertical="center"/>
    </xf>
    <xf numFmtId="0" fontId="5" fillId="0" borderId="20"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9" xfId="0" quotePrefix="1" applyFont="1" applyBorder="1" applyAlignment="1">
      <alignment horizontal="center" vertical="center"/>
    </xf>
    <xf numFmtId="0" fontId="5" fillId="0" borderId="39" xfId="0" applyFont="1" applyBorder="1" applyAlignment="1">
      <alignment horizontal="center" vertical="center"/>
    </xf>
    <xf numFmtId="14" fontId="0" fillId="0" borderId="1" xfId="0" quotePrefix="1" applyNumberForma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0" fillId="0" borderId="16" xfId="0" applyBorder="1" applyAlignment="1">
      <alignment horizontal="center" vertical="center"/>
    </xf>
    <xf numFmtId="164" fontId="9" fillId="0" borderId="0" xfId="0" applyNumberFormat="1" applyFont="1" applyAlignment="1">
      <alignment horizontal="center" vertical="center"/>
    </xf>
    <xf numFmtId="0" fontId="9" fillId="0" borderId="0" xfId="0" applyFont="1" applyAlignment="1">
      <alignment horizontal="center" vertical="center"/>
    </xf>
    <xf numFmtId="0" fontId="5" fillId="0" borderId="16" xfId="0" quotePrefix="1" applyFont="1" applyBorder="1" applyAlignment="1">
      <alignment horizontal="center" vertical="center"/>
    </xf>
    <xf numFmtId="164" fontId="0" fillId="0" borderId="13" xfId="1" quotePrefix="1" applyFont="1" applyBorder="1" applyAlignment="1">
      <alignment horizontal="center" vertical="center"/>
    </xf>
    <xf numFmtId="164" fontId="0" fillId="0" borderId="3" xfId="1" quotePrefix="1" applyFont="1" applyBorder="1" applyAlignment="1">
      <alignment horizontal="center" vertical="center"/>
    </xf>
    <xf numFmtId="164" fontId="0" fillId="0" borderId="16" xfId="1" quotePrefix="1" applyFont="1" applyBorder="1" applyAlignment="1">
      <alignment horizontal="center" vertical="center"/>
    </xf>
    <xf numFmtId="164" fontId="0" fillId="3" borderId="0" xfId="1" applyFont="1" applyFill="1" applyBorder="1" applyAlignment="1">
      <alignment horizontal="center" vertical="center" wrapText="1"/>
    </xf>
    <xf numFmtId="164" fontId="0" fillId="3" borderId="0" xfId="1" applyFont="1" applyFill="1" applyBorder="1" applyAlignment="1">
      <alignment horizontal="center" vertical="center"/>
    </xf>
    <xf numFmtId="164" fontId="0" fillId="3" borderId="39" xfId="1" applyFont="1" applyFill="1" applyBorder="1" applyAlignment="1">
      <alignment horizontal="center" vertical="center"/>
    </xf>
    <xf numFmtId="164" fontId="0" fillId="3" borderId="44" xfId="1" applyFont="1" applyFill="1" applyBorder="1" applyAlignment="1">
      <alignment horizontal="center" vertical="center"/>
    </xf>
    <xf numFmtId="164" fontId="0" fillId="3" borderId="43" xfId="1" applyFont="1" applyFill="1" applyBorder="1" applyAlignment="1">
      <alignment horizontal="center" vertical="center"/>
    </xf>
    <xf numFmtId="164" fontId="0" fillId="3" borderId="42" xfId="1" applyFont="1" applyFill="1" applyBorder="1" applyAlignment="1">
      <alignment horizontal="center" vertical="center"/>
    </xf>
    <xf numFmtId="164" fontId="0" fillId="3" borderId="38" xfId="1" applyFont="1" applyFill="1" applyBorder="1" applyAlignment="1">
      <alignment horizontal="center" vertical="center"/>
    </xf>
    <xf numFmtId="164" fontId="0" fillId="3" borderId="40" xfId="1" applyFont="1" applyFill="1" applyBorder="1" applyAlignment="1">
      <alignment horizontal="center" vertical="center"/>
    </xf>
    <xf numFmtId="164" fontId="5" fillId="3" borderId="38" xfId="1" applyFont="1" applyFill="1" applyBorder="1"/>
    <xf numFmtId="164" fontId="1" fillId="3" borderId="0" xfId="1" applyFill="1" applyBorder="1"/>
    <xf numFmtId="164" fontId="1" fillId="3" borderId="44" xfId="1" applyFill="1" applyBorder="1"/>
    <xf numFmtId="164" fontId="0" fillId="3" borderId="0" xfId="1" applyFont="1" applyFill="1" applyBorder="1"/>
    <xf numFmtId="164" fontId="0" fillId="3" borderId="41" xfId="1" applyFont="1" applyFill="1" applyBorder="1"/>
    <xf numFmtId="164" fontId="0" fillId="3" borderId="42" xfId="1" applyFont="1" applyFill="1" applyBorder="1"/>
    <xf numFmtId="164" fontId="6" fillId="3" borderId="38" xfId="1" applyFont="1" applyFill="1" applyBorder="1"/>
    <xf numFmtId="164" fontId="5" fillId="3" borderId="38" xfId="1" quotePrefix="1" applyFont="1" applyFill="1" applyBorder="1"/>
    <xf numFmtId="164" fontId="0" fillId="3" borderId="0" xfId="1" quotePrefix="1" applyFont="1" applyFill="1" applyBorder="1"/>
    <xf numFmtId="164" fontId="0" fillId="3" borderId="42" xfId="1" quotePrefix="1" applyFont="1" applyFill="1" applyBorder="1"/>
    <xf numFmtId="164" fontId="5" fillId="3" borderId="21" xfId="1" quotePrefix="1" applyFont="1" applyFill="1" applyBorder="1"/>
    <xf numFmtId="164" fontId="5" fillId="3" borderId="37" xfId="1" quotePrefix="1" applyFont="1" applyFill="1" applyBorder="1"/>
    <xf numFmtId="164" fontId="5" fillId="3" borderId="41" xfId="1" quotePrefix="1" applyFont="1" applyFill="1" applyBorder="1"/>
    <xf numFmtId="164" fontId="5" fillId="3" borderId="0" xfId="1" quotePrefix="1" applyFont="1" applyFill="1" applyBorder="1"/>
    <xf numFmtId="164" fontId="5" fillId="3" borderId="0" xfId="1" applyFont="1" applyFill="1" applyBorder="1"/>
    <xf numFmtId="164" fontId="3" fillId="3" borderId="41" xfId="1" quotePrefix="1" applyFont="1" applyFill="1" applyBorder="1" applyAlignment="1">
      <alignment vertical="center"/>
    </xf>
    <xf numFmtId="164" fontId="5" fillId="3" borderId="44" xfId="1" quotePrefix="1" applyFont="1" applyFill="1" applyBorder="1"/>
    <xf numFmtId="164" fontId="0" fillId="3" borderId="43" xfId="1" applyFont="1" applyFill="1" applyBorder="1"/>
    <xf numFmtId="164" fontId="0" fillId="3" borderId="46" xfId="1" applyFont="1" applyFill="1" applyBorder="1"/>
    <xf numFmtId="164" fontId="0" fillId="3" borderId="40" xfId="1" applyFont="1" applyFill="1" applyBorder="1"/>
    <xf numFmtId="164" fontId="0" fillId="3" borderId="50" xfId="1" applyFont="1" applyFill="1" applyBorder="1"/>
    <xf numFmtId="164" fontId="0" fillId="3" borderId="47" xfId="1" applyFont="1" applyFill="1" applyBorder="1"/>
    <xf numFmtId="164" fontId="0" fillId="3" borderId="38" xfId="1" applyFont="1" applyFill="1" applyBorder="1"/>
    <xf numFmtId="164" fontId="0" fillId="3" borderId="37" xfId="1" applyFont="1" applyFill="1" applyBorder="1"/>
    <xf numFmtId="164" fontId="0" fillId="3" borderId="36" xfId="1" applyFont="1" applyFill="1" applyBorder="1"/>
    <xf numFmtId="164" fontId="0" fillId="3" borderId="51" xfId="1" applyFont="1" applyFill="1" applyBorder="1"/>
    <xf numFmtId="164" fontId="0" fillId="3" borderId="44" xfId="1" applyFont="1" applyFill="1" applyBorder="1"/>
    <xf numFmtId="164" fontId="0" fillId="3" borderId="48" xfId="1" applyFont="1" applyFill="1" applyBorder="1"/>
    <xf numFmtId="164" fontId="5" fillId="3" borderId="45" xfId="1" applyFont="1" applyFill="1" applyBorder="1"/>
    <xf numFmtId="164" fontId="5" fillId="3" borderId="52" xfId="1" applyFont="1" applyFill="1" applyBorder="1"/>
    <xf numFmtId="164" fontId="0" fillId="3" borderId="46" xfId="1" applyFont="1" applyFill="1" applyBorder="1" applyAlignment="1">
      <alignment horizontal="center" vertical="center"/>
    </xf>
    <xf numFmtId="164" fontId="5" fillId="3" borderId="36" xfId="1" quotePrefix="1" applyFont="1" applyFill="1" applyBorder="1"/>
    <xf numFmtId="164" fontId="5" fillId="3" borderId="37" xfId="1" applyFont="1" applyFill="1" applyBorder="1"/>
    <xf numFmtId="164" fontId="5" fillId="3" borderId="47" xfId="1" quotePrefix="1" applyFont="1" applyFill="1" applyBorder="1"/>
    <xf numFmtId="164" fontId="0" fillId="3" borderId="41" xfId="1" quotePrefix="1" applyFont="1" applyFill="1" applyBorder="1" applyAlignment="1">
      <alignment horizontal="right"/>
    </xf>
    <xf numFmtId="164" fontId="0" fillId="3" borderId="41" xfId="1" applyFont="1" applyFill="1" applyBorder="1" applyAlignment="1">
      <alignment vertical="center"/>
    </xf>
    <xf numFmtId="164" fontId="0" fillId="3" borderId="42" xfId="1" applyFont="1" applyFill="1" applyBorder="1" applyAlignment="1">
      <alignment vertical="center"/>
    </xf>
    <xf numFmtId="164" fontId="0" fillId="3" borderId="0" xfId="1" applyFont="1" applyFill="1" applyBorder="1" applyAlignment="1">
      <alignment vertical="center"/>
    </xf>
    <xf numFmtId="164" fontId="0" fillId="3" borderId="44" xfId="1" applyFont="1" applyFill="1" applyBorder="1" applyAlignment="1">
      <alignment vertical="center"/>
    </xf>
    <xf numFmtId="164" fontId="5" fillId="3" borderId="39" xfId="1" applyFont="1" applyFill="1" applyBorder="1"/>
    <xf numFmtId="164" fontId="0" fillId="0" borderId="2" xfId="1" applyFont="1" applyBorder="1" applyAlignment="1">
      <alignment horizontal="center" vertical="center" wrapText="1"/>
    </xf>
    <xf numFmtId="0" fontId="0" fillId="0" borderId="29" xfId="0" applyBorder="1" applyAlignment="1">
      <alignment horizontal="center" vertical="center" wrapText="1"/>
    </xf>
    <xf numFmtId="164" fontId="0" fillId="0" borderId="62" xfId="1" applyFont="1" applyBorder="1" applyAlignment="1">
      <alignment horizontal="center" vertical="center" wrapText="1"/>
    </xf>
    <xf numFmtId="0" fontId="0" fillId="0" borderId="11" xfId="0" applyBorder="1" applyAlignment="1">
      <alignment horizontal="center" vertical="center"/>
    </xf>
    <xf numFmtId="0" fontId="0" fillId="0" borderId="47" xfId="0" applyBorder="1" applyAlignment="1">
      <alignment horizontal="center" vertical="center"/>
    </xf>
    <xf numFmtId="164" fontId="0" fillId="0" borderId="30" xfId="1" applyFont="1" applyBorder="1" applyAlignment="1">
      <alignment horizontal="center" vertical="center"/>
    </xf>
    <xf numFmtId="164" fontId="0" fillId="0" borderId="45" xfId="1" applyFont="1" applyBorder="1" applyAlignment="1">
      <alignment horizontal="center" vertical="center"/>
    </xf>
    <xf numFmtId="164" fontId="0" fillId="0" borderId="20" xfId="1" applyFont="1" applyBorder="1" applyAlignment="1">
      <alignment horizontal="center" vertical="center" wrapText="1"/>
    </xf>
    <xf numFmtId="164" fontId="0" fillId="0" borderId="71" xfId="1" applyFont="1" applyBorder="1" applyAlignment="1">
      <alignment horizontal="center" vertical="center" wrapText="1"/>
    </xf>
    <xf numFmtId="164" fontId="5" fillId="0" borderId="5" xfId="1" applyFont="1" applyBorder="1"/>
    <xf numFmtId="0" fontId="0" fillId="0" borderId="9" xfId="0" applyBorder="1" applyAlignment="1">
      <alignment vertical="center"/>
    </xf>
    <xf numFmtId="164" fontId="5" fillId="0" borderId="46" xfId="1" applyFont="1" applyBorder="1"/>
    <xf numFmtId="164" fontId="5" fillId="0" borderId="25" xfId="1" applyFont="1" applyBorder="1"/>
    <xf numFmtId="164" fontId="5" fillId="0" borderId="28" xfId="1" applyFont="1" applyBorder="1"/>
    <xf numFmtId="164" fontId="5" fillId="3" borderId="46" xfId="1" applyFont="1" applyFill="1" applyBorder="1"/>
    <xf numFmtId="164" fontId="5" fillId="3" borderId="48" xfId="1" applyFont="1" applyFill="1" applyBorder="1"/>
    <xf numFmtId="164" fontId="5" fillId="3" borderId="25" xfId="1" applyFont="1" applyFill="1" applyBorder="1"/>
    <xf numFmtId="164" fontId="5" fillId="3" borderId="28" xfId="1" applyFont="1" applyFill="1" applyBorder="1"/>
    <xf numFmtId="164" fontId="1" fillId="0" borderId="72" xfId="1" applyBorder="1" applyAlignment="1">
      <alignment vertical="center"/>
    </xf>
    <xf numFmtId="164" fontId="1" fillId="0" borderId="73" xfId="1" applyBorder="1" applyAlignment="1">
      <alignment vertical="center"/>
    </xf>
    <xf numFmtId="164" fontId="1" fillId="0" borderId="34" xfId="1" applyFont="1" applyBorder="1"/>
    <xf numFmtId="0" fontId="0" fillId="0" borderId="20" xfId="0" applyBorder="1"/>
    <xf numFmtId="0" fontId="0" fillId="0" borderId="18" xfId="0" applyBorder="1"/>
    <xf numFmtId="0" fontId="0" fillId="0" borderId="20" xfId="0" applyBorder="1" applyAlignment="1">
      <alignment vertical="center"/>
    </xf>
    <xf numFmtId="164" fontId="5" fillId="3" borderId="18" xfId="1" applyFont="1" applyFill="1" applyBorder="1"/>
    <xf numFmtId="164" fontId="1" fillId="0" borderId="74" xfId="1" applyBorder="1" applyAlignment="1">
      <alignment vertical="center"/>
    </xf>
    <xf numFmtId="0" fontId="0" fillId="0" borderId="1" xfId="0" applyBorder="1" applyAlignment="1">
      <alignment vertical="center"/>
    </xf>
    <xf numFmtId="164" fontId="5" fillId="0" borderId="26" xfId="1" applyFont="1" applyBorder="1"/>
    <xf numFmtId="164" fontId="5" fillId="3" borderId="36" xfId="1" applyFont="1" applyFill="1" applyBorder="1"/>
    <xf numFmtId="164" fontId="5" fillId="3" borderId="26" xfId="1" applyFont="1" applyFill="1" applyBorder="1"/>
    <xf numFmtId="164" fontId="1" fillId="0" borderId="31" xfId="1" applyFont="1" applyBorder="1"/>
    <xf numFmtId="164" fontId="1" fillId="0" borderId="33" xfId="1" applyFont="1" applyBorder="1"/>
    <xf numFmtId="164" fontId="1" fillId="0" borderId="75" xfId="1" applyBorder="1" applyAlignment="1">
      <alignment vertical="center"/>
    </xf>
    <xf numFmtId="164" fontId="0" fillId="0" borderId="62" xfId="1" applyFont="1" applyBorder="1" applyAlignment="1">
      <alignment horizontal="center" vertical="center"/>
    </xf>
    <xf numFmtId="164" fontId="0" fillId="0" borderId="56" xfId="1" applyFont="1" applyBorder="1" applyAlignment="1">
      <alignment horizontal="center" vertical="center" wrapText="1"/>
    </xf>
    <xf numFmtId="164" fontId="0" fillId="3" borderId="45" xfId="1" applyFont="1" applyFill="1" applyBorder="1" applyAlignment="1">
      <alignment horizontal="center" vertical="center"/>
    </xf>
    <xf numFmtId="164" fontId="0" fillId="0" borderId="71" xfId="1" applyFont="1" applyBorder="1" applyAlignment="1">
      <alignment horizontal="center" vertical="center"/>
    </xf>
    <xf numFmtId="164" fontId="5" fillId="0" borderId="0" xfId="1" applyFont="1" applyFill="1" applyBorder="1"/>
    <xf numFmtId="164" fontId="1" fillId="0" borderId="0" xfId="1" applyFill="1" applyBorder="1" applyAlignment="1">
      <alignment vertical="center"/>
    </xf>
    <xf numFmtId="164" fontId="18" fillId="0" borderId="0" xfId="1" applyFont="1" applyFill="1" applyBorder="1"/>
    <xf numFmtId="43" fontId="0" fillId="0" borderId="0" xfId="0" applyNumberFormat="1" applyFill="1"/>
    <xf numFmtId="0" fontId="0" fillId="0" borderId="0" xfId="0" applyFill="1"/>
    <xf numFmtId="164" fontId="5" fillId="0" borderId="5" xfId="1" applyFont="1" applyFill="1" applyBorder="1"/>
    <xf numFmtId="164" fontId="5" fillId="0" borderId="63" xfId="1" applyFont="1" applyFill="1" applyBorder="1"/>
    <xf numFmtId="164" fontId="5" fillId="0" borderId="1" xfId="1" applyFont="1" applyFill="1" applyBorder="1"/>
    <xf numFmtId="164" fontId="5" fillId="0" borderId="9" xfId="1" applyFont="1" applyFill="1" applyBorder="1"/>
    <xf numFmtId="0" fontId="0" fillId="0" borderId="25" xfId="0" applyFill="1" applyBorder="1"/>
    <xf numFmtId="0" fontId="0" fillId="0" borderId="26" xfId="0" applyFill="1" applyBorder="1"/>
    <xf numFmtId="0" fontId="0" fillId="0" borderId="28" xfId="0" applyFill="1" applyBorder="1"/>
    <xf numFmtId="164" fontId="5" fillId="0" borderId="46" xfId="1" applyFont="1" applyFill="1" applyBorder="1"/>
    <xf numFmtId="164" fontId="5" fillId="0" borderId="36" xfId="1" applyFont="1" applyFill="1" applyBorder="1"/>
    <xf numFmtId="164" fontId="5" fillId="0" borderId="48" xfId="1" applyFont="1" applyFill="1" applyBorder="1"/>
    <xf numFmtId="164" fontId="5" fillId="0" borderId="25" xfId="1" applyFont="1" applyFill="1" applyBorder="1"/>
    <xf numFmtId="164" fontId="5" fillId="0" borderId="26" xfId="1" applyFont="1" applyFill="1" applyBorder="1"/>
    <xf numFmtId="164" fontId="5" fillId="0" borderId="28" xfId="1" applyFont="1" applyFill="1" applyBorder="1"/>
    <xf numFmtId="164" fontId="20" fillId="0" borderId="25" xfId="1" applyFont="1" applyFill="1" applyBorder="1" applyAlignment="1">
      <alignment horizontal="left" vertical="top"/>
    </xf>
    <xf numFmtId="164" fontId="20" fillId="0" borderId="26" xfId="1" applyFont="1" applyFill="1" applyBorder="1" applyAlignment="1">
      <alignment horizontal="left" vertical="top"/>
    </xf>
    <xf numFmtId="164" fontId="20" fillId="0" borderId="28" xfId="1" applyFont="1" applyFill="1" applyBorder="1" applyAlignment="1">
      <alignment horizontal="left" vertical="top"/>
    </xf>
    <xf numFmtId="0" fontId="5" fillId="2" borderId="19" xfId="0" applyFont="1" applyFill="1" applyBorder="1"/>
    <xf numFmtId="164" fontId="5" fillId="2" borderId="20" xfId="1" applyFont="1" applyFill="1" applyBorder="1"/>
    <xf numFmtId="0" fontId="0" fillId="2" borderId="18" xfId="0" applyFill="1" applyBorder="1"/>
    <xf numFmtId="164" fontId="5" fillId="2" borderId="52" xfId="1" applyFont="1" applyFill="1" applyBorder="1"/>
    <xf numFmtId="164" fontId="5" fillId="2" borderId="18" xfId="1" applyFont="1" applyFill="1" applyBorder="1"/>
    <xf numFmtId="164" fontId="20" fillId="2" borderId="18" xfId="1" applyFont="1" applyFill="1" applyBorder="1" applyAlignment="1">
      <alignment horizontal="left" vertical="top"/>
    </xf>
    <xf numFmtId="164" fontId="5" fillId="2" borderId="71" xfId="1" applyFont="1" applyFill="1" applyBorder="1"/>
    <xf numFmtId="164" fontId="1" fillId="0" borderId="55" xfId="1" applyFont="1" applyFill="1" applyBorder="1"/>
    <xf numFmtId="164" fontId="1" fillId="0" borderId="67" xfId="1" applyFont="1" applyFill="1" applyBorder="1"/>
    <xf numFmtId="0" fontId="0" fillId="0" borderId="4" xfId="0" applyBorder="1" applyAlignment="1">
      <alignment horizontal="center" vertical="center" wrapText="1"/>
    </xf>
    <xf numFmtId="0" fontId="0" fillId="0" borderId="10" xfId="0" applyBorder="1" applyAlignment="1">
      <alignment horizontal="center" vertical="center" wrapText="1"/>
    </xf>
    <xf numFmtId="164" fontId="0" fillId="0" borderId="5" xfId="1" applyFont="1" applyBorder="1" applyAlignment="1">
      <alignment horizontal="center" vertical="center" wrapText="1"/>
    </xf>
    <xf numFmtId="164" fontId="0" fillId="0" borderId="2" xfId="1"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wrapText="1"/>
    </xf>
    <xf numFmtId="0" fontId="0" fillId="0" borderId="3" xfId="0" applyBorder="1" applyAlignment="1">
      <alignment horizontal="center" wrapText="1"/>
    </xf>
    <xf numFmtId="164" fontId="0" fillId="0" borderId="51" xfId="1" applyFont="1" applyBorder="1" applyAlignment="1">
      <alignment horizontal="center" vertical="center"/>
    </xf>
    <xf numFmtId="164" fontId="0" fillId="0" borderId="50" xfId="1" applyFont="1"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164" fontId="0" fillId="0" borderId="2" xfId="1" applyFont="1" applyBorder="1" applyAlignment="1">
      <alignment horizontal="center" vertical="center"/>
    </xf>
    <xf numFmtId="164" fontId="0" fillId="0" borderId="13" xfId="1"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2" xfId="0" quotePrefix="1" applyBorder="1" applyAlignment="1">
      <alignment horizontal="center" vertical="center"/>
    </xf>
    <xf numFmtId="0" fontId="0" fillId="0" borderId="13" xfId="0" quotePrefix="1" applyBorder="1" applyAlignment="1">
      <alignment horizontal="center" vertical="center"/>
    </xf>
    <xf numFmtId="0" fontId="0" fillId="0" borderId="27" xfId="0" quotePrefix="1" applyBorder="1" applyAlignment="1">
      <alignment horizontal="center" vertical="center"/>
    </xf>
    <xf numFmtId="0" fontId="0" fillId="0" borderId="14" xfId="0" quotePrefix="1" applyBorder="1" applyAlignment="1">
      <alignment horizontal="center" vertical="center"/>
    </xf>
    <xf numFmtId="164" fontId="0" fillId="0" borderId="25" xfId="1" applyFont="1" applyBorder="1" applyAlignment="1">
      <alignment horizontal="center" vertical="center"/>
    </xf>
    <xf numFmtId="164" fontId="0" fillId="0" borderId="43" xfId="1" applyFont="1" applyBorder="1" applyAlignment="1">
      <alignment horizontal="center" vertical="center"/>
    </xf>
    <xf numFmtId="164" fontId="0" fillId="0" borderId="46" xfId="1" applyFont="1" applyBorder="1"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7" fillId="0" borderId="2" xfId="0" applyFont="1" applyBorder="1" applyAlignment="1">
      <alignment horizontal="center" vertical="center"/>
    </xf>
    <xf numFmtId="0" fontId="7" fillId="0" borderId="13" xfId="0" applyFont="1" applyBorder="1" applyAlignment="1">
      <alignment horizontal="center" vertical="center"/>
    </xf>
    <xf numFmtId="164" fontId="0" fillId="0" borderId="2" xfId="0" applyNumberFormat="1" applyBorder="1" applyAlignment="1">
      <alignment horizontal="center" vertical="center"/>
    </xf>
    <xf numFmtId="164" fontId="0" fillId="0" borderId="13" xfId="0" applyNumberFormat="1" applyBorder="1" applyAlignment="1">
      <alignment horizontal="center" vertical="center"/>
    </xf>
    <xf numFmtId="0" fontId="8" fillId="0" borderId="27" xfId="0" quotePrefix="1" applyFont="1" applyBorder="1" applyAlignment="1">
      <alignment horizontal="center" vertical="center"/>
    </xf>
    <xf numFmtId="0" fontId="8" fillId="0" borderId="14" xfId="0" quotePrefix="1" applyFont="1" applyBorder="1" applyAlignment="1">
      <alignment horizontal="center"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164" fontId="0" fillId="3" borderId="42" xfId="1" applyFont="1" applyFill="1" applyBorder="1" applyAlignment="1">
      <alignment horizontal="center" vertical="center"/>
    </xf>
    <xf numFmtId="164" fontId="0" fillId="3" borderId="40" xfId="1" applyFont="1" applyFill="1" applyBorder="1" applyAlignment="1">
      <alignment horizontal="center" vertical="center"/>
    </xf>
    <xf numFmtId="164" fontId="0" fillId="0" borderId="56" xfId="1" applyFont="1" applyBorder="1" applyAlignment="1">
      <alignment horizontal="center" vertical="center"/>
    </xf>
    <xf numFmtId="164" fontId="0" fillId="0" borderId="65" xfId="1" applyFont="1" applyBorder="1" applyAlignment="1">
      <alignment horizontal="center" vertical="center"/>
    </xf>
    <xf numFmtId="164" fontId="0" fillId="0" borderId="34" xfId="1" applyFont="1" applyBorder="1" applyAlignment="1">
      <alignment horizontal="center" vertical="center"/>
    </xf>
    <xf numFmtId="0" fontId="0" fillId="0" borderId="39" xfId="0" applyBorder="1" applyAlignment="1">
      <alignment horizontal="center" vertical="center" wrapText="1"/>
    </xf>
    <xf numFmtId="0" fontId="10" fillId="3" borderId="0" xfId="0" applyFont="1" applyFill="1" applyAlignment="1">
      <alignment horizontal="left"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164" fontId="0" fillId="0" borderId="27" xfId="1" applyFont="1" applyBorder="1" applyAlignment="1">
      <alignment horizontal="center" vertical="center"/>
    </xf>
    <xf numFmtId="164" fontId="0" fillId="0" borderId="14" xfId="1" applyFont="1" applyBorder="1" applyAlignment="1">
      <alignment horizontal="center" vertical="center"/>
    </xf>
    <xf numFmtId="164" fontId="1" fillId="0" borderId="42" xfId="1" applyBorder="1" applyAlignment="1">
      <alignment horizontal="center" vertical="center"/>
    </xf>
    <xf numFmtId="164" fontId="1" fillId="0" borderId="40" xfId="1" applyBorder="1" applyAlignment="1">
      <alignment horizontal="center" vertical="center"/>
    </xf>
    <xf numFmtId="164" fontId="0" fillId="0" borderId="32"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23" xfId="1" applyFont="1" applyBorder="1" applyAlignment="1">
      <alignment horizontal="center" vertical="center"/>
    </xf>
    <xf numFmtId="164" fontId="0" fillId="0" borderId="39" xfId="1" applyFont="1" applyBorder="1" applyAlignment="1">
      <alignment horizontal="center" vertical="center"/>
    </xf>
    <xf numFmtId="164" fontId="0" fillId="0" borderId="49" xfId="1" applyFont="1" applyBorder="1" applyAlignment="1">
      <alignment horizontal="center" vertical="center"/>
    </xf>
    <xf numFmtId="0" fontId="0" fillId="0" borderId="53" xfId="0" applyBorder="1" applyAlignment="1">
      <alignment horizontal="center" vertical="center" wrapText="1"/>
    </xf>
    <xf numFmtId="0" fontId="16" fillId="0" borderId="35" xfId="0" applyFont="1" applyBorder="1" applyAlignment="1">
      <alignment horizontal="center" vertical="center" wrapText="1"/>
    </xf>
    <xf numFmtId="0" fontId="16" fillId="0" borderId="29" xfId="0" applyFont="1" applyBorder="1" applyAlignment="1">
      <alignment horizontal="center" vertical="center" wrapText="1"/>
    </xf>
    <xf numFmtId="164" fontId="0" fillId="0" borderId="64" xfId="1" applyFont="1" applyBorder="1" applyAlignment="1">
      <alignment horizontal="center" vertical="center" wrapText="1"/>
    </xf>
    <xf numFmtId="164" fontId="0" fillId="0" borderId="62" xfId="1" applyFont="1" applyBorder="1" applyAlignment="1">
      <alignment horizontal="center" vertical="center" wrapText="1"/>
    </xf>
    <xf numFmtId="164" fontId="0" fillId="0" borderId="59" xfId="0" applyNumberFormat="1" applyBorder="1" applyAlignment="1">
      <alignment horizontal="center" vertical="center"/>
    </xf>
    <xf numFmtId="164" fontId="0" fillId="0" borderId="58" xfId="0" applyNumberFormat="1" applyBorder="1" applyAlignment="1">
      <alignment horizontal="center" vertical="center"/>
    </xf>
    <xf numFmtId="164" fontId="16" fillId="0" borderId="32" xfId="0" applyNumberFormat="1" applyFont="1" applyBorder="1" applyAlignment="1">
      <alignment horizontal="center" vertical="center"/>
    </xf>
    <xf numFmtId="164" fontId="16" fillId="0" borderId="30" xfId="0" applyNumberFormat="1" applyFont="1" applyBorder="1" applyAlignment="1">
      <alignment horizontal="center" vertical="center"/>
    </xf>
    <xf numFmtId="0" fontId="0" fillId="0" borderId="23" xfId="0" applyBorder="1" applyAlignment="1">
      <alignment horizontal="center" vertical="center"/>
    </xf>
    <xf numFmtId="0" fontId="0" fillId="0" borderId="49" xfId="0"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10"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180</xdr:row>
      <xdr:rowOff>104775</xdr:rowOff>
    </xdr:from>
    <xdr:ext cx="95250" cy="295274"/>
    <xdr:sp macro="" textlink="">
      <xdr:nvSpPr>
        <xdr:cNvPr id="4" name="TextBox 3"/>
        <xdr:cNvSpPr txBox="1"/>
      </xdr:nvSpPr>
      <xdr:spPr>
        <a:xfrm>
          <a:off x="0" y="38328600"/>
          <a:ext cx="95250"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600" b="1"/>
            <a:t>9</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Subsidy%20and%20Loans%20as%20of%2003-31-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1%20Subsidy%20Batch%201%20as%20of%2003-31-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HA%20Resettlement%20Sites%20as%20of%2003-3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vings%20-%20Utilization%20as%20of%2003-3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RIL%20LISTS%20OF%20FILES/DOF/UNUTILIZED%20SUBSIDIES/Returned%20Unutilized%20Subsidies/Breakdown%20of%20Returned%20Unutilized%20Subsidies/Returned%20Unutilized%20Subsidi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idies Received 2020 (COA)"/>
      <sheetName val="SubsidiesReceived(1992-present)"/>
      <sheetName val="Subsidies Received"/>
      <sheetName val="Subsidy for ITSD"/>
      <sheetName val="Subsidies Received 2020"/>
      <sheetName val="2019 SSEP"/>
      <sheetName val="2019 SHEP"/>
      <sheetName val="Solar Panels in Public Schools"/>
      <sheetName val="LASURECO-Marawi Rehab"/>
      <sheetName val="2019 Detailed"/>
      <sheetName val="2019 Simplified"/>
      <sheetName val="2019 Monthly"/>
      <sheetName val="2019 SUMMARY"/>
      <sheetName val="2018 RE-Kapalong &amp; San Isidro"/>
      <sheetName val="2018 DETAILED"/>
      <sheetName val="2018 SIMPLIFIED"/>
      <sheetName val="2018 MONTHLY"/>
      <sheetName val="2018 Summary"/>
      <sheetName val="2018 SUMMARY (2)"/>
      <sheetName val="2017 DETAILED"/>
      <sheetName val="2017 SIMPLIFIED"/>
      <sheetName val="2017 MONTHLY"/>
      <sheetName val="2017 Summary"/>
      <sheetName val="Regular Loan"/>
      <sheetName val="Calamity Loan- Tisoy"/>
      <sheetName val="Loan RE JICA Proj"/>
      <sheetName val="STCF "/>
      <sheetName val="SDSL"/>
      <sheetName val="SUB.&amp;LOAN Releases REPORT 2020"/>
      <sheetName val="SUMMARY  (2)"/>
      <sheetName val="SUMMARY "/>
      <sheetName val="UNOBLIG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1">
          <cell r="E61">
            <v>862944000</v>
          </cell>
          <cell r="F61">
            <v>755043847.98000026</v>
          </cell>
        </row>
      </sheetData>
      <sheetData sheetId="13" refreshError="1"/>
      <sheetData sheetId="14" refreshError="1"/>
      <sheetData sheetId="15" refreshError="1"/>
      <sheetData sheetId="16" refreshError="1"/>
      <sheetData sheetId="17">
        <row r="25">
          <cell r="E25">
            <v>1816280484.5900002</v>
          </cell>
        </row>
        <row r="29">
          <cell r="F29">
            <v>1688972161.3399997</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ubsidy detailed BATCH 1"/>
      <sheetName val="2011 Subsidy simplified B1"/>
      <sheetName val="2011 Subsidy BATCH 1 monthly"/>
      <sheetName val="SUMMARY2011RELEASED"/>
    </sheetNames>
    <sheetDataSet>
      <sheetData sheetId="0" refreshError="1"/>
      <sheetData sheetId="1" refreshError="1"/>
      <sheetData sheetId="2" refreshError="1"/>
      <sheetData sheetId="3">
        <row r="16">
          <cell r="G16">
            <v>811544930.73999989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 Resettlement Sites 509M"/>
      <sheetName val="NHA Resettlement 509M (Monthly)"/>
      <sheetName val="NHA Resettlement Sites 1"/>
      <sheetName val="NHA Resettlement 1 (Monthly)"/>
    </sheetNames>
    <sheetDataSet>
      <sheetData sheetId="0" refreshError="1"/>
      <sheetData sheetId="1" refreshError="1"/>
      <sheetData sheetId="2">
        <row r="307">
          <cell r="F307">
            <v>287410688.86999995</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2013 SAVINGS (DORECO)"/>
      <sheetName val="2011-2014 SAVINGS"/>
      <sheetName val="2011-2014 Savings Monthly"/>
      <sheetName val="2011-2015 SAVINGS BLEP"/>
      <sheetName val="2011-2015 BLEP Summary"/>
      <sheetName val="2011-2016 SAVINGS SEP(DETAILED)"/>
      <sheetName val="2011-2016 SAVINGS SEP(B2)"/>
      <sheetName val="2011-2016 S MONTHLY"/>
      <sheetName val="2011-2016 SEP Summary"/>
      <sheetName val="Overall Savings Summary"/>
      <sheetName val="2011-2018 SAVINGS SEP(B3)"/>
      <sheetName val="2011-2015 SAVINGS BLEP (B3)"/>
      <sheetName val="Savings Summary"/>
      <sheetName val="Savings Fund Sources"/>
      <sheetName val="2011-2016 SAVINGS SEP(B2) (2)"/>
      <sheetName val="2011-2015 SAVINGS BLEP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1">
          <cell r="H11">
            <v>819411861</v>
          </cell>
        </row>
      </sheetData>
      <sheetData sheetId="13">
        <row r="10">
          <cell r="F10">
            <v>14415542.57</v>
          </cell>
        </row>
        <row r="11">
          <cell r="F11">
            <v>16014890.289999999</v>
          </cell>
        </row>
        <row r="12">
          <cell r="F12">
            <v>51991378.109999999</v>
          </cell>
        </row>
        <row r="13">
          <cell r="F13">
            <v>143514495.37999997</v>
          </cell>
        </row>
        <row r="14">
          <cell r="F14">
            <v>144294174.58000001</v>
          </cell>
        </row>
        <row r="16">
          <cell r="F16">
            <v>326006345.69999999</v>
          </cell>
        </row>
        <row r="17">
          <cell r="F17">
            <v>15543535.4</v>
          </cell>
        </row>
        <row r="18">
          <cell r="F18">
            <v>25666508.68</v>
          </cell>
        </row>
        <row r="19">
          <cell r="F19">
            <v>81964990.290000007</v>
          </cell>
        </row>
        <row r="30">
          <cell r="F30">
            <v>18043307.73</v>
          </cell>
        </row>
        <row r="31">
          <cell r="F31">
            <v>4342800.8500000015</v>
          </cell>
        </row>
        <row r="32">
          <cell r="F32">
            <v>73693907.24000001</v>
          </cell>
        </row>
        <row r="33">
          <cell r="F33">
            <v>34905562.710000001</v>
          </cell>
        </row>
        <row r="34">
          <cell r="F34">
            <v>4384992.5299999993</v>
          </cell>
        </row>
      </sheetData>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amity Fund-GLENDA"/>
      <sheetName val="YOLANDA "/>
      <sheetName val="LANAO SUR METERING"/>
      <sheetName val="ALECO 10 MVA"/>
      <sheetName val="2013 Add- Calamity Grant"/>
      <sheetName val="2013-2014 PAMANA"/>
      <sheetName val="NHA Resettlement Sites 1"/>
      <sheetName val="NHA Resettlement Sites 1 (2)"/>
      <sheetName val="2011 Sub.B2-BLEP"/>
      <sheetName val="2012 Sub.B1-BLEP"/>
      <sheetName val="2013 SUBSIDY BLEP "/>
      <sheetName val="2014 BLEP SIMPLI"/>
      <sheetName val="2015 BLEP"/>
      <sheetName val="2011-2015 SAVINGS BLEP- B2"/>
      <sheetName val="2011-2015 SAVINGS BLEP B1"/>
      <sheetName val="2011 Sub.B1-SEP"/>
      <sheetName val="2011 Sub.B2-SEP"/>
      <sheetName val="2012 Sub.B1-SEP"/>
      <sheetName val="2012 Sub.B2-SEP"/>
      <sheetName val="2013 SUBSIDY-SEP"/>
      <sheetName val="2013 Add Sub-SEP"/>
      <sheetName val="2014 Subsidy-SEP"/>
      <sheetName val="2015 ADD'L.Sub- SEP"/>
      <sheetName val="2015 SUBSIDY-SEP"/>
      <sheetName val="2016 SUB- SEP"/>
      <sheetName val="2011-2016 SAVINGS SEP"/>
      <sheetName val="2011-2018 SAVINGS SEP"/>
      <sheetName val="Overall Summary"/>
      <sheetName val="OverallSummary(excl. ALECO10MV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
          <cell r="D8">
            <v>22342994.75</v>
          </cell>
        </row>
        <row r="9">
          <cell r="D9">
            <v>35697851.720000006</v>
          </cell>
        </row>
        <row r="10">
          <cell r="D10">
            <v>37971838.93</v>
          </cell>
        </row>
        <row r="11">
          <cell r="D11">
            <v>26918311.200000003</v>
          </cell>
        </row>
        <row r="12">
          <cell r="F12">
            <v>195550392.47000003</v>
          </cell>
        </row>
        <row r="13">
          <cell r="F13">
            <v>141920857.94999999</v>
          </cell>
        </row>
        <row r="14">
          <cell r="F14">
            <v>300176225.80000001</v>
          </cell>
        </row>
        <row r="15">
          <cell r="F15">
            <v>166991689.17999998</v>
          </cell>
        </row>
        <row r="16">
          <cell r="F16">
            <v>55132368.759999998</v>
          </cell>
        </row>
        <row r="17">
          <cell r="F17">
            <v>99023769.670000002</v>
          </cell>
        </row>
        <row r="32">
          <cell r="F32">
            <v>188278780.54999986</v>
          </cell>
        </row>
        <row r="33">
          <cell r="F33">
            <v>134320108.94000003</v>
          </cell>
        </row>
        <row r="34">
          <cell r="F34">
            <v>10755118.949999996</v>
          </cell>
        </row>
        <row r="35">
          <cell r="F35">
            <v>133733.51999999999</v>
          </cell>
        </row>
      </sheetData>
      <sheetData sheetId="28">
        <row r="24">
          <cell r="F24">
            <v>18463227.870000001</v>
          </cell>
        </row>
        <row r="25">
          <cell r="F25">
            <v>22956147.589999996</v>
          </cell>
        </row>
        <row r="26">
          <cell r="F26">
            <v>63083352.929999992</v>
          </cell>
        </row>
        <row r="27">
          <cell r="F27">
            <v>69916922.520000011</v>
          </cell>
        </row>
        <row r="28">
          <cell r="F28">
            <v>22580028.700000003</v>
          </cell>
        </row>
        <row r="36">
          <cell r="F36">
            <v>55412000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9"/>
  <sheetViews>
    <sheetView tabSelected="1" view="pageBreakPreview" zoomScale="80" zoomScaleSheetLayoutView="80" workbookViewId="0">
      <pane xSplit="1" ySplit="9" topLeftCell="B10" activePane="bottomRight" state="frozen"/>
      <selection pane="topRight" activeCell="B1" sqref="B1"/>
      <selection pane="bottomLeft" activeCell="A10" sqref="A10"/>
      <selection pane="bottomRight" activeCell="J172" sqref="J172"/>
    </sheetView>
  </sheetViews>
  <sheetFormatPr defaultRowHeight="15" x14ac:dyDescent="0.25"/>
  <cols>
    <col min="1" max="1" width="41.5703125" customWidth="1"/>
    <col min="2" max="2" width="18.42578125" style="11" customWidth="1"/>
    <col min="3" max="3" width="17.5703125" customWidth="1"/>
    <col min="4" max="4" width="11.7109375" style="1" customWidth="1"/>
    <col min="5" max="5" width="1.7109375" customWidth="1"/>
    <col min="6" max="6" width="18.42578125" customWidth="1"/>
    <col min="7" max="7" width="17.42578125" customWidth="1"/>
    <col min="8" max="8" width="12.42578125" style="208" customWidth="1"/>
    <col min="9" max="9" width="1.42578125" customWidth="1"/>
    <col min="10" max="10" width="19" style="11" customWidth="1"/>
    <col min="11" max="11" width="17.42578125" customWidth="1"/>
    <col min="12" max="12" width="2.5703125" customWidth="1"/>
    <col min="13" max="13" width="18.5703125" style="11" customWidth="1"/>
    <col min="14" max="14" width="17.7109375" style="11" customWidth="1"/>
    <col min="15" max="15" width="2.5703125" style="11" customWidth="1"/>
    <col min="16" max="16" width="18.5703125" style="11" customWidth="1"/>
    <col min="17" max="17" width="2.140625" style="11" customWidth="1"/>
    <col min="18" max="18" width="19.140625" style="11" customWidth="1"/>
    <col min="19" max="19" width="18.42578125" style="11" customWidth="1"/>
    <col min="20" max="20" width="2.85546875" style="89" customWidth="1"/>
    <col min="21" max="21" width="18" customWidth="1"/>
    <col min="22" max="23" width="17.140625" customWidth="1"/>
    <col min="24" max="24" width="17.28515625" customWidth="1"/>
  </cols>
  <sheetData>
    <row r="1" spans="1:24" ht="10.5" customHeight="1" x14ac:dyDescent="0.25"/>
    <row r="2" spans="1:24" ht="18.75" x14ac:dyDescent="0.3">
      <c r="A2" s="5" t="s">
        <v>0</v>
      </c>
    </row>
    <row r="3" spans="1:24" ht="18.75" x14ac:dyDescent="0.3">
      <c r="A3" s="5" t="s">
        <v>1</v>
      </c>
    </row>
    <row r="4" spans="1:24" ht="18.75" x14ac:dyDescent="0.3">
      <c r="A4" s="5" t="s">
        <v>304</v>
      </c>
    </row>
    <row r="5" spans="1:24" ht="11.25" customHeight="1" x14ac:dyDescent="0.25">
      <c r="A5" s="4"/>
    </row>
    <row r="6" spans="1:24" ht="16.5" thickBot="1" x14ac:dyDescent="0.3">
      <c r="A6" s="4" t="s">
        <v>39</v>
      </c>
    </row>
    <row r="7" spans="1:24" x14ac:dyDescent="0.25">
      <c r="A7" s="780" t="s">
        <v>13</v>
      </c>
      <c r="B7" s="782" t="s">
        <v>14</v>
      </c>
      <c r="C7" s="784" t="s">
        <v>2</v>
      </c>
      <c r="D7" s="784"/>
      <c r="E7" s="784"/>
      <c r="F7" s="784"/>
      <c r="G7" s="784" t="s">
        <v>3</v>
      </c>
      <c r="H7" s="784"/>
      <c r="I7" s="784"/>
      <c r="J7" s="784"/>
      <c r="K7" s="785" t="s">
        <v>20</v>
      </c>
      <c r="L7" s="799" t="s">
        <v>283</v>
      </c>
      <c r="M7" s="800"/>
      <c r="N7" s="801"/>
      <c r="O7" s="799" t="s">
        <v>285</v>
      </c>
      <c r="P7" s="800"/>
      <c r="Q7" s="800"/>
      <c r="R7" s="800"/>
      <c r="S7" s="801"/>
      <c r="T7" s="810" t="s">
        <v>96</v>
      </c>
      <c r="U7" s="811"/>
      <c r="V7" s="426"/>
      <c r="W7" s="426"/>
    </row>
    <row r="8" spans="1:24" ht="35.25" customHeight="1" x14ac:dyDescent="0.25">
      <c r="A8" s="781"/>
      <c r="B8" s="783"/>
      <c r="C8" s="3" t="s">
        <v>15</v>
      </c>
      <c r="D8" s="629" t="s">
        <v>16</v>
      </c>
      <c r="E8" s="164"/>
      <c r="F8" s="167" t="s">
        <v>17</v>
      </c>
      <c r="G8" s="3" t="s">
        <v>18</v>
      </c>
      <c r="H8" s="629" t="s">
        <v>16</v>
      </c>
      <c r="I8" s="104"/>
      <c r="J8" s="126" t="s">
        <v>17</v>
      </c>
      <c r="K8" s="786"/>
      <c r="L8" s="143"/>
      <c r="M8" s="125" t="s">
        <v>21</v>
      </c>
      <c r="N8" s="553" t="s">
        <v>282</v>
      </c>
      <c r="O8" s="438"/>
      <c r="P8" s="125" t="s">
        <v>284</v>
      </c>
      <c r="Q8" s="665"/>
      <c r="R8" s="665" t="s">
        <v>296</v>
      </c>
      <c r="S8" s="441" t="s">
        <v>286</v>
      </c>
      <c r="T8" s="812"/>
      <c r="U8" s="813"/>
      <c r="V8" s="426"/>
      <c r="W8" s="426"/>
    </row>
    <row r="9" spans="1:24" s="1" customFormat="1" ht="15.75" thickBot="1" x14ac:dyDescent="0.3">
      <c r="A9" s="54" t="s">
        <v>11</v>
      </c>
      <c r="B9" s="15" t="s">
        <v>12</v>
      </c>
      <c r="C9" s="3" t="s">
        <v>4</v>
      </c>
      <c r="D9" s="3" t="s">
        <v>5</v>
      </c>
      <c r="E9" s="104"/>
      <c r="F9" s="158" t="s">
        <v>6</v>
      </c>
      <c r="G9" s="3" t="s">
        <v>7</v>
      </c>
      <c r="H9" s="3" t="s">
        <v>8</v>
      </c>
      <c r="I9" s="104"/>
      <c r="J9" s="126" t="s">
        <v>9</v>
      </c>
      <c r="K9" s="3" t="s">
        <v>19</v>
      </c>
      <c r="L9" s="104"/>
      <c r="M9" s="126" t="s">
        <v>10</v>
      </c>
      <c r="N9" s="126" t="s">
        <v>305</v>
      </c>
      <c r="O9" s="58"/>
      <c r="P9" s="126" t="s">
        <v>306</v>
      </c>
      <c r="Q9" s="666"/>
      <c r="R9" s="666" t="s">
        <v>303</v>
      </c>
      <c r="S9" s="15" t="s">
        <v>307</v>
      </c>
      <c r="T9" s="220"/>
      <c r="U9" s="439" t="s">
        <v>308</v>
      </c>
      <c r="V9" s="426"/>
      <c r="W9" s="426"/>
    </row>
    <row r="10" spans="1:24" s="1" customFormat="1" ht="18.75" x14ac:dyDescent="0.25">
      <c r="A10" s="90" t="s">
        <v>193</v>
      </c>
      <c r="B10" s="272">
        <v>862944000</v>
      </c>
      <c r="C10" s="280" t="s">
        <v>194</v>
      </c>
      <c r="D10" s="281" t="s">
        <v>202</v>
      </c>
      <c r="E10" s="282"/>
      <c r="F10" s="276">
        <v>862944000</v>
      </c>
      <c r="G10" s="280" t="s">
        <v>195</v>
      </c>
      <c r="H10" s="281" t="s">
        <v>202</v>
      </c>
      <c r="I10" s="282"/>
      <c r="J10" s="276">
        <v>550798546</v>
      </c>
      <c r="K10" s="283">
        <f>F10-J12</f>
        <v>68112148</v>
      </c>
      <c r="L10" s="284"/>
      <c r="M10" s="276">
        <f>'[1]2019 SUMMARY'!$E$61</f>
        <v>862944000</v>
      </c>
      <c r="N10" s="566">
        <f>F10-M10</f>
        <v>0</v>
      </c>
      <c r="O10" s="277"/>
      <c r="P10" s="276">
        <f>'[1]2019 SUMMARY'!$F$61</f>
        <v>755043847.98000026</v>
      </c>
      <c r="Q10" s="667"/>
      <c r="R10" s="667">
        <v>0</v>
      </c>
      <c r="S10" s="272">
        <f>P10+R10</f>
        <v>755043847.98000026</v>
      </c>
      <c r="T10" s="605"/>
      <c r="U10" s="285">
        <f>J12-S10</f>
        <v>39788004.019999743</v>
      </c>
      <c r="V10" s="427"/>
      <c r="W10" s="427"/>
      <c r="X10" s="420">
        <f>M10-P10</f>
        <v>107900152.01999974</v>
      </c>
    </row>
    <row r="11" spans="1:24" s="1" customFormat="1" ht="19.5" thickBot="1" x14ac:dyDescent="0.3">
      <c r="A11" s="9"/>
      <c r="B11" s="107"/>
      <c r="C11" s="286"/>
      <c r="D11" s="287"/>
      <c r="E11" s="288"/>
      <c r="F11" s="127"/>
      <c r="G11" s="286" t="s">
        <v>215</v>
      </c>
      <c r="H11" s="287" t="s">
        <v>226</v>
      </c>
      <c r="I11" s="288"/>
      <c r="J11" s="127">
        <v>244033306</v>
      </c>
      <c r="K11" s="289"/>
      <c r="L11" s="290"/>
      <c r="M11" s="127"/>
      <c r="N11" s="585"/>
      <c r="O11" s="110"/>
      <c r="P11" s="127"/>
      <c r="Q11" s="668"/>
      <c r="R11" s="668"/>
      <c r="S11" s="107"/>
      <c r="T11" s="358"/>
      <c r="U11" s="292"/>
      <c r="V11" s="427"/>
      <c r="W11" s="427"/>
    </row>
    <row r="12" spans="1:24" s="1" customFormat="1" ht="15.75" thickBot="1" x14ac:dyDescent="0.3">
      <c r="A12" s="36" t="s">
        <v>94</v>
      </c>
      <c r="B12" s="272"/>
      <c r="C12" s="273"/>
      <c r="D12" s="273"/>
      <c r="E12" s="274"/>
      <c r="F12" s="275"/>
      <c r="G12" s="273"/>
      <c r="H12" s="273"/>
      <c r="I12" s="274"/>
      <c r="J12" s="364">
        <f>SUM(J10:J11)</f>
        <v>794831852</v>
      </c>
      <c r="K12" s="273"/>
      <c r="L12" s="274"/>
      <c r="M12" s="276"/>
      <c r="N12" s="566"/>
      <c r="O12" s="277"/>
      <c r="P12" s="276"/>
      <c r="Q12" s="667"/>
      <c r="R12" s="667"/>
      <c r="S12" s="606"/>
      <c r="T12" s="218"/>
      <c r="U12" s="402"/>
      <c r="V12" s="426"/>
      <c r="W12" s="426"/>
    </row>
    <row r="13" spans="1:24" s="1" customFormat="1" ht="5.25" customHeight="1" x14ac:dyDescent="0.25">
      <c r="A13" s="360"/>
      <c r="B13" s="405"/>
      <c r="C13" s="105"/>
      <c r="D13" s="105"/>
      <c r="E13" s="361"/>
      <c r="F13" s="362"/>
      <c r="G13" s="105"/>
      <c r="H13" s="105"/>
      <c r="I13" s="361"/>
      <c r="J13" s="403"/>
      <c r="K13" s="105"/>
      <c r="L13" s="361"/>
      <c r="M13" s="403"/>
      <c r="N13" s="449"/>
      <c r="O13" s="404"/>
      <c r="P13" s="403"/>
      <c r="Q13" s="669"/>
      <c r="R13" s="669"/>
      <c r="S13" s="440"/>
      <c r="T13" s="241"/>
      <c r="U13" s="363"/>
      <c r="V13" s="426"/>
      <c r="W13" s="426"/>
    </row>
    <row r="14" spans="1:24" s="1" customFormat="1" ht="18.75" x14ac:dyDescent="0.25">
      <c r="A14" s="48" t="s">
        <v>166</v>
      </c>
      <c r="B14" s="15">
        <v>1817100000</v>
      </c>
      <c r="C14" s="317" t="s">
        <v>162</v>
      </c>
      <c r="D14" s="194" t="s">
        <v>163</v>
      </c>
      <c r="E14" s="195"/>
      <c r="F14" s="126">
        <v>336850608</v>
      </c>
      <c r="G14" s="194" t="s">
        <v>164</v>
      </c>
      <c r="H14" s="194" t="s">
        <v>163</v>
      </c>
      <c r="I14" s="195"/>
      <c r="J14" s="126">
        <v>336850608</v>
      </c>
      <c r="K14" s="196">
        <f>F17-J17</f>
        <v>1153170944</v>
      </c>
      <c r="L14" s="359"/>
      <c r="M14" s="126">
        <f>'[1]2018 Summary'!$E$25</f>
        <v>1816280484.5900002</v>
      </c>
      <c r="N14" s="554">
        <f>F17-M14</f>
        <v>819515.40999984741</v>
      </c>
      <c r="O14" s="58"/>
      <c r="P14" s="126">
        <f>'[1]2018 Summary'!$F$29</f>
        <v>1688972161.3399997</v>
      </c>
      <c r="Q14" s="666"/>
      <c r="R14" s="666">
        <v>-1025043105.34</v>
      </c>
      <c r="S14" s="507">
        <f>P14+R14</f>
        <v>663929055.99999964</v>
      </c>
      <c r="T14" s="437" t="s">
        <v>138</v>
      </c>
      <c r="U14" s="198">
        <f>J17-S14</f>
        <v>0</v>
      </c>
      <c r="V14" s="427"/>
      <c r="W14" s="427"/>
      <c r="X14" s="420">
        <f>M14-P14</f>
        <v>127308323.25000048</v>
      </c>
    </row>
    <row r="15" spans="1:24" s="1" customFormat="1" ht="18.75" x14ac:dyDescent="0.25">
      <c r="A15" s="18"/>
      <c r="B15" s="406"/>
      <c r="C15" s="201" t="s">
        <v>167</v>
      </c>
      <c r="D15" s="627" t="s">
        <v>168</v>
      </c>
      <c r="E15" s="411"/>
      <c r="F15" s="413">
        <v>1040774317</v>
      </c>
      <c r="G15" s="201" t="s">
        <v>187</v>
      </c>
      <c r="H15" s="627" t="s">
        <v>188</v>
      </c>
      <c r="I15" s="411"/>
      <c r="J15" s="413">
        <v>172891000</v>
      </c>
      <c r="K15" s="415"/>
      <c r="L15" s="251"/>
      <c r="M15" s="413"/>
      <c r="N15" s="586"/>
      <c r="O15" s="418"/>
      <c r="P15" s="413"/>
      <c r="Q15" s="670"/>
      <c r="R15" s="670"/>
      <c r="S15" s="443"/>
      <c r="T15" s="252"/>
      <c r="U15" s="253"/>
      <c r="V15" s="427"/>
      <c r="W15" s="427"/>
    </row>
    <row r="16" spans="1:24" s="1" customFormat="1" ht="19.5" thickBot="1" x14ac:dyDescent="0.3">
      <c r="A16" s="9"/>
      <c r="B16" s="107"/>
      <c r="C16" s="286" t="s">
        <v>171</v>
      </c>
      <c r="D16" s="287" t="s">
        <v>170</v>
      </c>
      <c r="E16" s="288"/>
      <c r="F16" s="127">
        <v>439475075</v>
      </c>
      <c r="G16" s="286" t="s">
        <v>225</v>
      </c>
      <c r="H16" s="287" t="s">
        <v>226</v>
      </c>
      <c r="I16" s="288"/>
      <c r="J16" s="127">
        <v>154187448</v>
      </c>
      <c r="K16" s="289"/>
      <c r="L16" s="290"/>
      <c r="M16" s="127"/>
      <c r="N16" s="585"/>
      <c r="O16" s="110"/>
      <c r="P16" s="127"/>
      <c r="Q16" s="668"/>
      <c r="R16" s="668"/>
      <c r="S16" s="107"/>
      <c r="T16" s="291"/>
      <c r="U16" s="292"/>
      <c r="V16" s="427"/>
      <c r="W16" s="427"/>
    </row>
    <row r="17" spans="1:24" s="1" customFormat="1" ht="19.5" thickBot="1" x14ac:dyDescent="0.3">
      <c r="A17" s="36" t="s">
        <v>94</v>
      </c>
      <c r="B17" s="254"/>
      <c r="C17" s="278"/>
      <c r="D17" s="255"/>
      <c r="E17" s="256"/>
      <c r="F17" s="263">
        <f>F14+F15+F16</f>
        <v>1817100000</v>
      </c>
      <c r="G17" s="255"/>
      <c r="H17" s="255"/>
      <c r="I17" s="256"/>
      <c r="J17" s="263">
        <f>SUM(J14:J16)</f>
        <v>663929056</v>
      </c>
      <c r="K17" s="258"/>
      <c r="L17" s="259"/>
      <c r="M17" s="257"/>
      <c r="N17" s="587"/>
      <c r="O17" s="260"/>
      <c r="P17" s="257"/>
      <c r="Q17" s="671"/>
      <c r="R17" s="671"/>
      <c r="S17" s="254"/>
      <c r="T17" s="261"/>
      <c r="U17" s="262"/>
      <c r="V17" s="427"/>
      <c r="W17" s="427"/>
    </row>
    <row r="18" spans="1:24" s="1" customFormat="1" ht="4.5" customHeight="1" x14ac:dyDescent="0.25">
      <c r="A18" s="268"/>
      <c r="B18" s="407"/>
      <c r="C18" s="408"/>
      <c r="D18" s="630"/>
      <c r="E18" s="269"/>
      <c r="F18" s="270"/>
      <c r="G18" s="408"/>
      <c r="H18" s="630"/>
      <c r="I18" s="269"/>
      <c r="J18" s="414"/>
      <c r="K18" s="408"/>
      <c r="L18" s="269"/>
      <c r="M18" s="414"/>
      <c r="N18" s="588"/>
      <c r="O18" s="419"/>
      <c r="P18" s="414"/>
      <c r="Q18" s="672"/>
      <c r="R18" s="672"/>
      <c r="S18" s="607"/>
      <c r="T18" s="220"/>
      <c r="U18" s="271"/>
      <c r="V18" s="426"/>
      <c r="W18" s="426"/>
    </row>
    <row r="19" spans="1:24" s="1" customFormat="1" ht="18.75" x14ac:dyDescent="0.25">
      <c r="A19" s="22" t="s">
        <v>132</v>
      </c>
      <c r="B19" s="407">
        <v>1817100000</v>
      </c>
      <c r="C19" s="408" t="s">
        <v>133</v>
      </c>
      <c r="D19" s="628" t="s">
        <v>228</v>
      </c>
      <c r="E19" s="412"/>
      <c r="F19" s="414">
        <v>1061419821</v>
      </c>
      <c r="G19" s="410" t="s">
        <v>142</v>
      </c>
      <c r="H19" s="628" t="s">
        <v>227</v>
      </c>
      <c r="I19" s="412"/>
      <c r="J19" s="414">
        <f>297985260+174447202+588987359</f>
        <v>1061419821</v>
      </c>
      <c r="K19" s="416">
        <f>F23-J23</f>
        <v>147452849</v>
      </c>
      <c r="L19" s="266"/>
      <c r="M19" s="414">
        <v>1813161340.8300002</v>
      </c>
      <c r="N19" s="588">
        <f>F23-M19</f>
        <v>3938659.1699998379</v>
      </c>
      <c r="O19" s="419"/>
      <c r="P19" s="414">
        <v>1592357612.9300001</v>
      </c>
      <c r="Q19" s="672"/>
      <c r="R19" s="672">
        <v>0</v>
      </c>
      <c r="S19" s="507">
        <f>P19+R19</f>
        <v>1592357612.9300001</v>
      </c>
      <c r="T19" s="437"/>
      <c r="U19" s="267">
        <f>J23-S19</f>
        <v>77289538.069999933</v>
      </c>
      <c r="V19" s="427" t="s">
        <v>103</v>
      </c>
      <c r="W19" s="427"/>
      <c r="X19" s="420">
        <f>M19-P19</f>
        <v>220803727.9000001</v>
      </c>
    </row>
    <row r="20" spans="1:24" s="1" customFormat="1" ht="18.75" x14ac:dyDescent="0.25">
      <c r="A20" s="18"/>
      <c r="B20" s="406"/>
      <c r="C20" s="20" t="s">
        <v>141</v>
      </c>
      <c r="D20" s="627" t="s">
        <v>227</v>
      </c>
      <c r="E20" s="411"/>
      <c r="F20" s="413">
        <v>755680179</v>
      </c>
      <c r="G20" s="411" t="s">
        <v>155</v>
      </c>
      <c r="H20" s="627" t="s">
        <v>163</v>
      </c>
      <c r="I20" s="411"/>
      <c r="J20" s="413">
        <v>141777430</v>
      </c>
      <c r="K20" s="415"/>
      <c r="L20" s="251"/>
      <c r="M20" s="413"/>
      <c r="N20" s="586"/>
      <c r="O20" s="418"/>
      <c r="P20" s="413"/>
      <c r="Q20" s="670"/>
      <c r="R20" s="670"/>
      <c r="S20" s="443"/>
      <c r="T20" s="252"/>
      <c r="U20" s="253"/>
      <c r="V20" s="427"/>
      <c r="W20" s="427"/>
    </row>
    <row r="21" spans="1:24" s="1" customFormat="1" ht="18.75" x14ac:dyDescent="0.25">
      <c r="A21" s="18"/>
      <c r="B21" s="406"/>
      <c r="C21" s="20"/>
      <c r="D21" s="627"/>
      <c r="E21" s="411"/>
      <c r="F21" s="413"/>
      <c r="G21" s="201" t="s">
        <v>187</v>
      </c>
      <c r="H21" s="627" t="s">
        <v>188</v>
      </c>
      <c r="I21" s="411"/>
      <c r="J21" s="413">
        <v>237149000</v>
      </c>
      <c r="K21" s="415"/>
      <c r="L21" s="251"/>
      <c r="M21" s="413"/>
      <c r="N21" s="586"/>
      <c r="O21" s="418"/>
      <c r="P21" s="413"/>
      <c r="Q21" s="670"/>
      <c r="R21" s="670"/>
      <c r="S21" s="443"/>
      <c r="T21" s="252"/>
      <c r="U21" s="253"/>
      <c r="V21" s="427"/>
      <c r="W21" s="427"/>
    </row>
    <row r="22" spans="1:24" s="1" customFormat="1" ht="19.5" thickBot="1" x14ac:dyDescent="0.3">
      <c r="A22" s="9"/>
      <c r="B22" s="107"/>
      <c r="C22" s="10"/>
      <c r="D22" s="287"/>
      <c r="E22" s="288"/>
      <c r="F22" s="127"/>
      <c r="G22" s="286" t="s">
        <v>225</v>
      </c>
      <c r="H22" s="287" t="s">
        <v>226</v>
      </c>
      <c r="I22" s="288"/>
      <c r="J22" s="127">
        <v>229300900</v>
      </c>
      <c r="K22" s="289"/>
      <c r="L22" s="290"/>
      <c r="M22" s="127"/>
      <c r="N22" s="585"/>
      <c r="O22" s="110"/>
      <c r="P22" s="127"/>
      <c r="Q22" s="668"/>
      <c r="R22" s="668"/>
      <c r="S22" s="107"/>
      <c r="T22" s="291"/>
      <c r="U22" s="292"/>
      <c r="V22" s="427"/>
      <c r="W22" s="427"/>
    </row>
    <row r="23" spans="1:24" s="1" customFormat="1" ht="19.5" thickBot="1" x14ac:dyDescent="0.3">
      <c r="A23" s="36" t="s">
        <v>94</v>
      </c>
      <c r="B23" s="254"/>
      <c r="C23" s="28"/>
      <c r="D23" s="255"/>
      <c r="E23" s="256"/>
      <c r="F23" s="263">
        <f>SUM(F19:F20)</f>
        <v>1817100000</v>
      </c>
      <c r="G23" s="256"/>
      <c r="H23" s="255"/>
      <c r="I23" s="256"/>
      <c r="J23" s="263">
        <f>SUM(J19:J22)</f>
        <v>1669647151</v>
      </c>
      <c r="K23" s="258"/>
      <c r="L23" s="259"/>
      <c r="M23" s="257"/>
      <c r="N23" s="587"/>
      <c r="O23" s="260"/>
      <c r="P23" s="257"/>
      <c r="Q23" s="671"/>
      <c r="R23" s="671"/>
      <c r="S23" s="254"/>
      <c r="T23" s="261"/>
      <c r="U23" s="262"/>
      <c r="V23" s="427"/>
      <c r="W23" s="427"/>
    </row>
    <row r="24" spans="1:24" s="1" customFormat="1" ht="4.5" customHeight="1" x14ac:dyDescent="0.25">
      <c r="A24" s="370"/>
      <c r="B24" s="405"/>
      <c r="C24" s="105"/>
      <c r="D24" s="105"/>
      <c r="E24" s="361"/>
      <c r="F24" s="371"/>
      <c r="G24" s="361"/>
      <c r="H24" s="105"/>
      <c r="I24" s="361"/>
      <c r="J24" s="403"/>
      <c r="K24" s="105"/>
      <c r="L24" s="361"/>
      <c r="M24" s="403"/>
      <c r="N24" s="449"/>
      <c r="O24" s="404"/>
      <c r="P24" s="403"/>
      <c r="Q24" s="669"/>
      <c r="R24" s="669"/>
      <c r="S24" s="442"/>
      <c r="T24" s="241"/>
      <c r="U24" s="363"/>
      <c r="V24" s="426"/>
      <c r="W24" s="426"/>
    </row>
    <row r="25" spans="1:24" s="1" customFormat="1" ht="18.75" x14ac:dyDescent="0.25">
      <c r="A25" s="48" t="s">
        <v>102</v>
      </c>
      <c r="B25" s="407">
        <v>1817384000</v>
      </c>
      <c r="C25" s="408" t="s">
        <v>110</v>
      </c>
      <c r="D25" s="628" t="s">
        <v>230</v>
      </c>
      <c r="E25" s="412"/>
      <c r="F25" s="414">
        <v>1817384000</v>
      </c>
      <c r="G25" s="412" t="s">
        <v>119</v>
      </c>
      <c r="H25" s="628" t="s">
        <v>121</v>
      </c>
      <c r="I25" s="412"/>
      <c r="J25" s="414">
        <v>1133429046</v>
      </c>
      <c r="K25" s="416">
        <f>F25-J25-J26</f>
        <v>0</v>
      </c>
      <c r="L25" s="417"/>
      <c r="M25" s="414">
        <v>1817384000</v>
      </c>
      <c r="N25" s="588">
        <f>F25-M25</f>
        <v>0</v>
      </c>
      <c r="O25" s="419"/>
      <c r="P25" s="414">
        <v>1692856199.9400001</v>
      </c>
      <c r="Q25" s="672"/>
      <c r="R25" s="672">
        <v>99023769.670000002</v>
      </c>
      <c r="S25" s="507">
        <f>P25+R25</f>
        <v>1791879969.6100001</v>
      </c>
      <c r="T25" s="369"/>
      <c r="U25" s="267">
        <f>J27-S25</f>
        <v>25504030.389999866</v>
      </c>
      <c r="V25" s="427"/>
      <c r="W25" s="427"/>
      <c r="X25" s="420">
        <f>M25-P25</f>
        <v>124527800.05999994</v>
      </c>
    </row>
    <row r="26" spans="1:24" s="1" customFormat="1" ht="19.5" thickBot="1" x14ac:dyDescent="0.3">
      <c r="A26" s="8"/>
      <c r="B26" s="15"/>
      <c r="C26" s="3"/>
      <c r="D26" s="194"/>
      <c r="E26" s="195"/>
      <c r="F26" s="126"/>
      <c r="G26" s="195" t="s">
        <v>143</v>
      </c>
      <c r="H26" s="194" t="s">
        <v>227</v>
      </c>
      <c r="I26" s="195"/>
      <c r="J26" s="126">
        <f>390213909+293741045</f>
        <v>683954954</v>
      </c>
      <c r="K26" s="196"/>
      <c r="L26" s="197"/>
      <c r="M26" s="126"/>
      <c r="N26" s="554"/>
      <c r="O26" s="58"/>
      <c r="P26" s="126"/>
      <c r="Q26" s="666"/>
      <c r="R26" s="666"/>
      <c r="S26" s="15"/>
      <c r="T26" s="221"/>
      <c r="U26" s="198"/>
      <c r="V26" s="427"/>
      <c r="W26" s="427"/>
    </row>
    <row r="27" spans="1:24" s="1" customFormat="1" ht="15.75" thickBot="1" x14ac:dyDescent="0.3">
      <c r="A27" s="36" t="s">
        <v>94</v>
      </c>
      <c r="B27" s="41"/>
      <c r="C27" s="28"/>
      <c r="D27" s="643"/>
      <c r="E27" s="170"/>
      <c r="F27" s="138"/>
      <c r="G27" s="42"/>
      <c r="H27" s="255"/>
      <c r="I27" s="173"/>
      <c r="J27" s="78">
        <f>SUM(J25:J26)</f>
        <v>1817384000</v>
      </c>
      <c r="K27" s="97"/>
      <c r="L27" s="98"/>
      <c r="M27" s="78">
        <f>SUM(M25:M26)</f>
        <v>1817384000</v>
      </c>
      <c r="N27" s="328"/>
      <c r="O27" s="98"/>
      <c r="P27" s="78">
        <f>SUM(P25:P26)</f>
        <v>1692856199.9400001</v>
      </c>
      <c r="Q27" s="673"/>
      <c r="R27" s="673"/>
      <c r="S27" s="30"/>
      <c r="T27" s="222"/>
      <c r="U27" s="70">
        <f>SUM(U25:U26)</f>
        <v>25504030.389999866</v>
      </c>
      <c r="V27" s="428"/>
      <c r="W27" s="428"/>
    </row>
    <row r="28" spans="1:24" s="1" customFormat="1" ht="15.75" thickBot="1" x14ac:dyDescent="0.3">
      <c r="A28" s="106"/>
      <c r="B28" s="107"/>
      <c r="C28" s="108"/>
      <c r="D28" s="108"/>
      <c r="E28" s="109"/>
      <c r="F28" s="168"/>
      <c r="G28" s="109"/>
      <c r="H28" s="108"/>
      <c r="I28" s="109"/>
      <c r="J28" s="127"/>
      <c r="K28" s="108"/>
      <c r="L28" s="109"/>
      <c r="M28" s="127"/>
      <c r="N28" s="585"/>
      <c r="O28" s="110"/>
      <c r="P28" s="127"/>
      <c r="Q28" s="668"/>
      <c r="R28" s="668"/>
      <c r="S28" s="107"/>
      <c r="T28" s="223"/>
      <c r="U28" s="111"/>
      <c r="V28" s="426"/>
      <c r="W28" s="426"/>
    </row>
    <row r="29" spans="1:24" s="1" customFormat="1" x14ac:dyDescent="0.25">
      <c r="A29" s="112" t="s">
        <v>101</v>
      </c>
      <c r="B29" s="405">
        <v>528220264</v>
      </c>
      <c r="C29" s="77" t="s">
        <v>108</v>
      </c>
      <c r="D29" s="114" t="s">
        <v>229</v>
      </c>
      <c r="E29" s="115"/>
      <c r="F29" s="403">
        <v>528220264</v>
      </c>
      <c r="G29" s="91" t="s">
        <v>109</v>
      </c>
      <c r="H29" s="114" t="s">
        <v>229</v>
      </c>
      <c r="I29" s="115"/>
      <c r="J29" s="403">
        <v>528220264</v>
      </c>
      <c r="K29" s="113">
        <f>F29-J29</f>
        <v>0</v>
      </c>
      <c r="L29" s="144"/>
      <c r="M29" s="403">
        <v>527071185.09999996</v>
      </c>
      <c r="N29" s="449">
        <f>F29-M29</f>
        <v>1149078.9000000358</v>
      </c>
      <c r="O29" s="404"/>
      <c r="P29" s="403">
        <v>473087895.24000001</v>
      </c>
      <c r="Q29" s="669"/>
      <c r="R29" s="669">
        <v>55132368.759999998</v>
      </c>
      <c r="S29" s="507">
        <f>P29+R29</f>
        <v>528220264</v>
      </c>
      <c r="T29" s="241"/>
      <c r="U29" s="93">
        <f>J29-S29</f>
        <v>0</v>
      </c>
      <c r="V29" s="429"/>
      <c r="W29" s="429"/>
      <c r="X29" s="420">
        <f>M29-P29</f>
        <v>53983289.859999955</v>
      </c>
    </row>
    <row r="30" spans="1:24" s="1" customFormat="1" ht="15.75" thickBot="1" x14ac:dyDescent="0.3">
      <c r="A30" s="106" t="s">
        <v>100</v>
      </c>
      <c r="B30" s="107"/>
      <c r="C30" s="108"/>
      <c r="D30" s="108"/>
      <c r="E30" s="109"/>
      <c r="F30" s="168"/>
      <c r="G30" s="109"/>
      <c r="H30" s="108" t="s">
        <v>103</v>
      </c>
      <c r="I30" s="109"/>
      <c r="J30" s="127"/>
      <c r="K30" s="108"/>
      <c r="L30" s="109"/>
      <c r="M30" s="127"/>
      <c r="N30" s="585"/>
      <c r="O30" s="110"/>
      <c r="P30" s="127"/>
      <c r="Q30" s="668"/>
      <c r="R30" s="668"/>
      <c r="S30" s="107"/>
      <c r="T30" s="223"/>
      <c r="U30" s="111"/>
      <c r="V30" s="426"/>
      <c r="W30" s="426"/>
    </row>
    <row r="31" spans="1:24" s="1" customFormat="1" ht="5.25" customHeight="1" x14ac:dyDescent="0.25">
      <c r="A31" s="370"/>
      <c r="B31" s="405"/>
      <c r="C31" s="105"/>
      <c r="D31" s="105"/>
      <c r="E31" s="361"/>
      <c r="F31" s="362"/>
      <c r="G31" s="361"/>
      <c r="H31" s="105"/>
      <c r="I31" s="361"/>
      <c r="J31" s="403"/>
      <c r="K31" s="105"/>
      <c r="L31" s="361"/>
      <c r="M31" s="403"/>
      <c r="N31" s="449"/>
      <c r="O31" s="404"/>
      <c r="P31" s="403"/>
      <c r="Q31" s="669"/>
      <c r="R31" s="669"/>
      <c r="S31" s="442"/>
      <c r="T31" s="241"/>
      <c r="U31" s="363"/>
      <c r="V31" s="426"/>
      <c r="W31" s="426"/>
    </row>
    <row r="32" spans="1:24" x14ac:dyDescent="0.25">
      <c r="A32" s="48" t="s">
        <v>73</v>
      </c>
      <c r="B32" s="49">
        <v>1500000000</v>
      </c>
      <c r="C32" s="50" t="s">
        <v>74</v>
      </c>
      <c r="D32" s="644" t="s">
        <v>75</v>
      </c>
      <c r="E32" s="372"/>
      <c r="F32" s="131">
        <v>1500000000</v>
      </c>
      <c r="G32" s="17" t="s">
        <v>78</v>
      </c>
      <c r="H32" s="194" t="s">
        <v>79</v>
      </c>
      <c r="I32" s="175"/>
      <c r="J32" s="373">
        <v>672811131</v>
      </c>
      <c r="K32" s="374">
        <f>F32-J32-J33</f>
        <v>0</v>
      </c>
      <c r="L32" s="375"/>
      <c r="M32" s="373">
        <v>1464705294.8600001</v>
      </c>
      <c r="N32" s="589">
        <f>F32-M32</f>
        <v>35294705.139999866</v>
      </c>
      <c r="O32" s="375"/>
      <c r="P32" s="373">
        <v>1333008310.8199999</v>
      </c>
      <c r="Q32" s="674"/>
      <c r="R32" s="674">
        <v>166991689.18000001</v>
      </c>
      <c r="S32" s="507">
        <f>P32+R32</f>
        <v>1500000000</v>
      </c>
      <c r="T32" s="321"/>
      <c r="U32" s="85">
        <f>J34-S32</f>
        <v>0</v>
      </c>
      <c r="V32" s="429"/>
      <c r="W32" s="429"/>
      <c r="X32" s="420">
        <f>M32-P32</f>
        <v>131696984.0400002</v>
      </c>
    </row>
    <row r="33" spans="1:24" ht="15.75" thickBot="1" x14ac:dyDescent="0.3">
      <c r="A33" s="9"/>
      <c r="B33" s="14"/>
      <c r="C33" s="10"/>
      <c r="D33" s="645"/>
      <c r="E33" s="169"/>
      <c r="F33" s="139"/>
      <c r="G33" s="92" t="s">
        <v>97</v>
      </c>
      <c r="H33" s="287" t="s">
        <v>98</v>
      </c>
      <c r="I33" s="177"/>
      <c r="J33" s="128">
        <v>827188869</v>
      </c>
      <c r="K33" s="94"/>
      <c r="L33" s="95"/>
      <c r="M33" s="128"/>
      <c r="N33" s="590"/>
      <c r="O33" s="95"/>
      <c r="P33" s="128"/>
      <c r="Q33" s="675"/>
      <c r="R33" s="675"/>
      <c r="S33" s="94"/>
      <c r="T33" s="225"/>
      <c r="U33" s="96"/>
      <c r="V33" s="429"/>
      <c r="W33" s="429"/>
    </row>
    <row r="34" spans="1:24" ht="15.75" thickBot="1" x14ac:dyDescent="0.3">
      <c r="A34" s="36" t="s">
        <v>94</v>
      </c>
      <c r="B34" s="41"/>
      <c r="C34" s="28"/>
      <c r="D34" s="643"/>
      <c r="E34" s="170"/>
      <c r="F34" s="138"/>
      <c r="G34" s="42"/>
      <c r="H34" s="255"/>
      <c r="I34" s="173"/>
      <c r="J34" s="78">
        <f>SUM(J32:J33)</f>
        <v>1500000000</v>
      </c>
      <c r="K34" s="97"/>
      <c r="L34" s="98"/>
      <c r="M34" s="78">
        <f>SUM(M32:M33)</f>
        <v>1464705294.8600001</v>
      </c>
      <c r="N34" s="328"/>
      <c r="O34" s="98"/>
      <c r="P34" s="78">
        <f>SUM(P32:P33)</f>
        <v>1333008310.8199999</v>
      </c>
      <c r="Q34" s="673"/>
      <c r="R34" s="673"/>
      <c r="S34" s="30"/>
      <c r="T34" s="222"/>
      <c r="U34" s="70">
        <f>SUM(U32:U33)</f>
        <v>0</v>
      </c>
      <c r="V34" s="428"/>
      <c r="W34" s="428"/>
    </row>
    <row r="35" spans="1:24" ht="7.5" customHeight="1" x14ac:dyDescent="0.25">
      <c r="A35" s="22"/>
      <c r="B35" s="23"/>
      <c r="C35" s="24"/>
      <c r="D35" s="646"/>
      <c r="E35" s="171"/>
      <c r="F35" s="129"/>
      <c r="G35" s="25"/>
      <c r="H35" s="628"/>
      <c r="I35" s="191"/>
      <c r="J35" s="129"/>
      <c r="K35" s="23"/>
      <c r="L35" s="59"/>
      <c r="M35" s="129"/>
      <c r="N35" s="562"/>
      <c r="O35" s="59"/>
      <c r="P35" s="129"/>
      <c r="Q35" s="676"/>
      <c r="R35" s="676"/>
      <c r="S35" s="49"/>
      <c r="T35" s="226"/>
      <c r="U35" s="80"/>
      <c r="V35" s="429"/>
      <c r="W35" s="429"/>
    </row>
    <row r="36" spans="1:24" x14ac:dyDescent="0.25">
      <c r="A36" s="8" t="s">
        <v>22</v>
      </c>
      <c r="B36" s="13">
        <v>6358000000</v>
      </c>
      <c r="C36" s="2" t="s">
        <v>23</v>
      </c>
      <c r="D36" s="117" t="s">
        <v>24</v>
      </c>
      <c r="E36" s="172"/>
      <c r="F36" s="75">
        <v>6358000000</v>
      </c>
      <c r="G36" s="2" t="s">
        <v>25</v>
      </c>
      <c r="H36" s="117" t="s">
        <v>24</v>
      </c>
      <c r="I36" s="172"/>
      <c r="J36" s="75">
        <v>1172845141</v>
      </c>
      <c r="K36" s="16">
        <f>F36-J36-J37-J38-J39-J40-J41-J42-J43</f>
        <v>0</v>
      </c>
      <c r="L36" s="145"/>
      <c r="M36" s="75">
        <v>6350951561.1199999</v>
      </c>
      <c r="N36" s="560">
        <f>F36-M36</f>
        <v>7048438.8800001144</v>
      </c>
      <c r="O36" s="60"/>
      <c r="P36" s="75">
        <v>6057823774.1999998</v>
      </c>
      <c r="Q36" s="677"/>
      <c r="R36" s="677">
        <v>300176225.80000001</v>
      </c>
      <c r="S36" s="507">
        <f>P36+R36</f>
        <v>6358000000</v>
      </c>
      <c r="T36" s="227"/>
      <c r="U36" s="81">
        <f>J44-S36</f>
        <v>0</v>
      </c>
      <c r="V36" s="429"/>
      <c r="W36" s="429"/>
      <c r="X36" s="420">
        <f>M36-P36</f>
        <v>293127786.92000008</v>
      </c>
    </row>
    <row r="37" spans="1:24" x14ac:dyDescent="0.25">
      <c r="A37" s="8"/>
      <c r="B37" s="13"/>
      <c r="C37" s="2"/>
      <c r="D37" s="647"/>
      <c r="E37" s="146"/>
      <c r="F37" s="159"/>
      <c r="G37" s="2" t="s">
        <v>26</v>
      </c>
      <c r="H37" s="117" t="s">
        <v>27</v>
      </c>
      <c r="I37" s="172"/>
      <c r="J37" s="75">
        <v>1051361307</v>
      </c>
      <c r="K37" s="2"/>
      <c r="L37" s="146"/>
      <c r="M37" s="75"/>
      <c r="N37" s="560"/>
      <c r="O37" s="60"/>
      <c r="P37" s="75"/>
      <c r="Q37" s="677"/>
      <c r="R37" s="677"/>
      <c r="S37" s="13"/>
      <c r="T37" s="227"/>
      <c r="U37" s="82"/>
      <c r="V37" s="430"/>
      <c r="W37" s="430"/>
    </row>
    <row r="38" spans="1:24" x14ac:dyDescent="0.25">
      <c r="A38" s="8"/>
      <c r="B38" s="13"/>
      <c r="C38" s="2"/>
      <c r="D38" s="647"/>
      <c r="E38" s="146"/>
      <c r="F38" s="159"/>
      <c r="G38" s="2" t="s">
        <v>28</v>
      </c>
      <c r="H38" s="117" t="s">
        <v>29</v>
      </c>
      <c r="I38" s="172"/>
      <c r="J38" s="75">
        <v>1066519598</v>
      </c>
      <c r="K38" s="2"/>
      <c r="L38" s="146"/>
      <c r="M38" s="75" t="s">
        <v>103</v>
      </c>
      <c r="N38" s="560"/>
      <c r="O38" s="60"/>
      <c r="P38" s="75"/>
      <c r="Q38" s="677"/>
      <c r="R38" s="677"/>
      <c r="S38" s="13"/>
      <c r="T38" s="227"/>
      <c r="U38" s="82"/>
      <c r="V38" s="430"/>
      <c r="W38" s="430"/>
    </row>
    <row r="39" spans="1:24" x14ac:dyDescent="0.25">
      <c r="A39" s="8"/>
      <c r="B39" s="13"/>
      <c r="C39" s="2"/>
      <c r="D39" s="647"/>
      <c r="E39" s="146"/>
      <c r="F39" s="159"/>
      <c r="G39" s="2" t="s">
        <v>37</v>
      </c>
      <c r="H39" s="117" t="s">
        <v>30</v>
      </c>
      <c r="I39" s="172"/>
      <c r="J39" s="75">
        <v>670369405</v>
      </c>
      <c r="K39" s="2"/>
      <c r="L39" s="146"/>
      <c r="M39" s="75"/>
      <c r="N39" s="560"/>
      <c r="O39" s="60"/>
      <c r="P39" s="75"/>
      <c r="Q39" s="677"/>
      <c r="R39" s="677"/>
      <c r="S39" s="13"/>
      <c r="T39" s="227"/>
      <c r="U39" s="82"/>
      <c r="V39" s="430"/>
      <c r="W39" s="430"/>
    </row>
    <row r="40" spans="1:24" x14ac:dyDescent="0.25">
      <c r="A40" s="8"/>
      <c r="B40" s="13"/>
      <c r="C40" s="2"/>
      <c r="D40" s="647"/>
      <c r="E40" s="146"/>
      <c r="F40" s="159"/>
      <c r="G40" s="2" t="s">
        <v>34</v>
      </c>
      <c r="H40" s="117" t="s">
        <v>31</v>
      </c>
      <c r="I40" s="172"/>
      <c r="J40" s="75">
        <v>644386243</v>
      </c>
      <c r="K40" s="2"/>
      <c r="L40" s="146"/>
      <c r="M40" s="75"/>
      <c r="N40" s="560"/>
      <c r="O40" s="60"/>
      <c r="P40" s="75"/>
      <c r="Q40" s="677"/>
      <c r="R40" s="677"/>
      <c r="S40" s="13"/>
      <c r="T40" s="227"/>
      <c r="U40" s="82"/>
      <c r="V40" s="430"/>
      <c r="W40" s="430"/>
    </row>
    <row r="41" spans="1:24" x14ac:dyDescent="0.25">
      <c r="A41" s="8"/>
      <c r="B41" s="13"/>
      <c r="C41" s="2"/>
      <c r="D41" s="647"/>
      <c r="E41" s="146"/>
      <c r="F41" s="159"/>
      <c r="G41" s="2" t="s">
        <v>35</v>
      </c>
      <c r="H41" s="117" t="s">
        <v>36</v>
      </c>
      <c r="I41" s="172"/>
      <c r="J41" s="75">
        <v>638095737</v>
      </c>
      <c r="K41" s="2"/>
      <c r="L41" s="146"/>
      <c r="M41" s="75"/>
      <c r="N41" s="560"/>
      <c r="O41" s="60"/>
      <c r="P41" s="75"/>
      <c r="Q41" s="677"/>
      <c r="R41" s="677"/>
      <c r="S41" s="13"/>
      <c r="T41" s="227"/>
      <c r="U41" s="82"/>
      <c r="V41" s="430"/>
      <c r="W41" s="430"/>
    </row>
    <row r="42" spans="1:24" x14ac:dyDescent="0.25">
      <c r="A42" s="8"/>
      <c r="B42" s="13"/>
      <c r="C42" s="2"/>
      <c r="D42" s="647"/>
      <c r="E42" s="146"/>
      <c r="F42" s="159"/>
      <c r="G42" s="2" t="s">
        <v>32</v>
      </c>
      <c r="H42" s="117" t="s">
        <v>33</v>
      </c>
      <c r="I42" s="172"/>
      <c r="J42" s="75">
        <v>698481147</v>
      </c>
      <c r="K42" s="2"/>
      <c r="L42" s="146"/>
      <c r="M42" s="75"/>
      <c r="N42" s="560"/>
      <c r="O42" s="60"/>
      <c r="P42" s="75"/>
      <c r="Q42" s="677"/>
      <c r="R42" s="677"/>
      <c r="S42" s="13"/>
      <c r="T42" s="227"/>
      <c r="U42" s="82"/>
      <c r="V42" s="430"/>
      <c r="W42" s="430"/>
    </row>
    <row r="43" spans="1:24" ht="15.75" thickBot="1" x14ac:dyDescent="0.3">
      <c r="A43" s="18"/>
      <c r="B43" s="19"/>
      <c r="C43" s="20"/>
      <c r="D43" s="629"/>
      <c r="E43" s="147"/>
      <c r="F43" s="161"/>
      <c r="G43" s="17" t="s">
        <v>76</v>
      </c>
      <c r="H43" s="627" t="s">
        <v>77</v>
      </c>
      <c r="I43" s="175"/>
      <c r="J43" s="188">
        <v>415941422</v>
      </c>
      <c r="K43" s="20"/>
      <c r="L43" s="147"/>
      <c r="M43" s="130"/>
      <c r="N43" s="564"/>
      <c r="O43" s="61"/>
      <c r="P43" s="130"/>
      <c r="Q43" s="678"/>
      <c r="R43" s="678"/>
      <c r="S43" s="19"/>
      <c r="T43" s="228"/>
      <c r="U43" s="83"/>
      <c r="V43" s="430"/>
      <c r="W43" s="430"/>
    </row>
    <row r="44" spans="1:24" s="32" customFormat="1" ht="15.75" thickBot="1" x14ac:dyDescent="0.3">
      <c r="A44" s="36" t="s">
        <v>94</v>
      </c>
      <c r="B44" s="30"/>
      <c r="C44" s="31"/>
      <c r="D44" s="648"/>
      <c r="E44" s="165"/>
      <c r="F44" s="163"/>
      <c r="G44" s="43"/>
      <c r="H44" s="661"/>
      <c r="I44" s="187"/>
      <c r="J44" s="103">
        <f>SUM(J36:J43)</f>
        <v>6358000000</v>
      </c>
      <c r="K44" s="44">
        <f>SUM(K36:K43)</f>
        <v>0</v>
      </c>
      <c r="L44" s="44"/>
      <c r="M44" s="103">
        <f>M36</f>
        <v>6350951561.1199999</v>
      </c>
      <c r="N44" s="103"/>
      <c r="O44" s="44"/>
      <c r="P44" s="245">
        <f>P36</f>
        <v>6057823774.1999998</v>
      </c>
      <c r="Q44" s="679"/>
      <c r="R44" s="679"/>
      <c r="S44" s="602"/>
      <c r="T44" s="229"/>
      <c r="U44" s="71">
        <f>SUM(U36:U43)</f>
        <v>0</v>
      </c>
      <c r="V44" s="431"/>
      <c r="W44" s="431"/>
    </row>
    <row r="45" spans="1:24" ht="15.75" thickBot="1" x14ac:dyDescent="0.3">
      <c r="A45" s="48"/>
      <c r="B45" s="49"/>
      <c r="C45" s="50"/>
      <c r="D45" s="3"/>
      <c r="E45" s="148"/>
      <c r="F45" s="160"/>
      <c r="G45" s="17"/>
      <c r="H45" s="194"/>
      <c r="I45" s="175"/>
      <c r="J45" s="189"/>
      <c r="K45" s="50"/>
      <c r="L45" s="148"/>
      <c r="M45" s="131"/>
      <c r="N45" s="591"/>
      <c r="O45" s="62"/>
      <c r="P45" s="131"/>
      <c r="Q45" s="676"/>
      <c r="R45" s="676"/>
      <c r="S45" s="49"/>
      <c r="U45" s="84"/>
      <c r="V45" s="430"/>
      <c r="W45" s="430"/>
    </row>
    <row r="46" spans="1:24" ht="19.5" thickBot="1" x14ac:dyDescent="0.35">
      <c r="A46" s="40" t="s">
        <v>72</v>
      </c>
      <c r="B46" s="41">
        <v>2879181528.9899998</v>
      </c>
      <c r="C46" s="28" t="s">
        <v>61</v>
      </c>
      <c r="D46" s="255" t="s">
        <v>62</v>
      </c>
      <c r="E46" s="179" t="s">
        <v>139</v>
      </c>
      <c r="F46" s="174">
        <v>2879181528.9899998</v>
      </c>
      <c r="G46" s="28" t="s">
        <v>63</v>
      </c>
      <c r="H46" s="255" t="s">
        <v>62</v>
      </c>
      <c r="I46" s="173"/>
      <c r="J46" s="132">
        <v>2879181528.9899998</v>
      </c>
      <c r="K46" s="53">
        <v>0</v>
      </c>
      <c r="L46" s="149"/>
      <c r="M46" s="132">
        <v>2865790765.96</v>
      </c>
      <c r="N46" s="592">
        <f>F46-M46</f>
        <v>13390763.029999733</v>
      </c>
      <c r="O46" s="63"/>
      <c r="P46" s="132">
        <v>2737260671.04</v>
      </c>
      <c r="Q46" s="680"/>
      <c r="R46" s="680">
        <v>141920857.94999999</v>
      </c>
      <c r="S46" s="254">
        <f>P46+R46</f>
        <v>2879181528.9899998</v>
      </c>
      <c r="T46" s="230"/>
      <c r="U46" s="79">
        <f>J46-S46</f>
        <v>0</v>
      </c>
      <c r="V46" s="432"/>
      <c r="W46" s="432"/>
    </row>
    <row r="47" spans="1:24" x14ac:dyDescent="0.25">
      <c r="A47" s="48"/>
      <c r="B47" s="49"/>
      <c r="C47" s="50"/>
      <c r="D47" s="194"/>
      <c r="E47" s="175"/>
      <c r="F47" s="131"/>
      <c r="G47" s="50"/>
      <c r="H47" s="194"/>
      <c r="I47" s="175"/>
      <c r="J47" s="133"/>
      <c r="K47" s="52"/>
      <c r="L47" s="150"/>
      <c r="M47" s="133"/>
      <c r="N47" s="593"/>
      <c r="O47" s="64"/>
      <c r="P47" s="133"/>
      <c r="Q47" s="681"/>
      <c r="R47" s="681"/>
      <c r="S47" s="51"/>
      <c r="T47" s="231"/>
      <c r="U47" s="85"/>
      <c r="V47" s="429"/>
      <c r="W47" s="429"/>
    </row>
    <row r="48" spans="1:24" x14ac:dyDescent="0.25">
      <c r="A48" s="8" t="s">
        <v>40</v>
      </c>
      <c r="B48" s="19">
        <v>3752565000</v>
      </c>
      <c r="C48" s="20" t="s">
        <v>45</v>
      </c>
      <c r="D48" s="627" t="s">
        <v>46</v>
      </c>
      <c r="E48" s="176"/>
      <c r="F48" s="130">
        <v>3752565000</v>
      </c>
      <c r="G48" s="20" t="s">
        <v>80</v>
      </c>
      <c r="H48" s="627" t="s">
        <v>46</v>
      </c>
      <c r="I48" s="176"/>
      <c r="J48" s="134">
        <v>1920861532</v>
      </c>
      <c r="K48" s="16">
        <v>0</v>
      </c>
      <c r="L48" s="151"/>
      <c r="M48" s="134">
        <v>3750596431.6100006</v>
      </c>
      <c r="N48" s="594">
        <f>F48-M48</f>
        <v>1968568.3899993896</v>
      </c>
      <c r="O48" s="65"/>
      <c r="P48" s="134">
        <v>3557014608.5300002</v>
      </c>
      <c r="Q48" s="682"/>
      <c r="R48" s="682">
        <v>195550392.47</v>
      </c>
      <c r="S48" s="507">
        <f>P48+R48</f>
        <v>3752565001</v>
      </c>
      <c r="T48" s="232"/>
      <c r="U48" s="86">
        <f>J52-S48</f>
        <v>0</v>
      </c>
      <c r="V48" s="429"/>
      <c r="W48" s="429"/>
      <c r="X48" s="420">
        <f>M48-P48</f>
        <v>193581823.0800004</v>
      </c>
    </row>
    <row r="49" spans="1:24" x14ac:dyDescent="0.25">
      <c r="A49" s="18"/>
      <c r="B49" s="19"/>
      <c r="C49" s="20"/>
      <c r="D49" s="627"/>
      <c r="E49" s="176"/>
      <c r="F49" s="130"/>
      <c r="G49" s="20" t="s">
        <v>81</v>
      </c>
      <c r="H49" s="627" t="s">
        <v>82</v>
      </c>
      <c r="I49" s="176"/>
      <c r="J49" s="134">
        <v>570219106</v>
      </c>
      <c r="K49" s="21"/>
      <c r="L49" s="151"/>
      <c r="M49" s="134"/>
      <c r="N49" s="594"/>
      <c r="O49" s="65"/>
      <c r="P49" s="134"/>
      <c r="Q49" s="682"/>
      <c r="R49" s="682"/>
      <c r="S49" s="604"/>
      <c r="T49" s="232"/>
      <c r="U49" s="86"/>
      <c r="V49" s="429"/>
      <c r="W49" s="429"/>
    </row>
    <row r="50" spans="1:24" x14ac:dyDescent="0.25">
      <c r="A50" s="18"/>
      <c r="B50" s="19"/>
      <c r="C50" s="20"/>
      <c r="D50" s="627"/>
      <c r="E50" s="176"/>
      <c r="F50" s="130"/>
      <c r="G50" s="20" t="s">
        <v>83</v>
      </c>
      <c r="H50" s="627" t="s">
        <v>86</v>
      </c>
      <c r="I50" s="176"/>
      <c r="J50" s="134">
        <v>603097246</v>
      </c>
      <c r="K50" s="21"/>
      <c r="L50" s="151"/>
      <c r="M50" s="134"/>
      <c r="N50" s="594"/>
      <c r="O50" s="65"/>
      <c r="P50" s="134"/>
      <c r="Q50" s="682"/>
      <c r="R50" s="682"/>
      <c r="S50" s="604"/>
      <c r="T50" s="232"/>
      <c r="U50" s="86"/>
      <c r="V50" s="429"/>
      <c r="W50" s="429"/>
    </row>
    <row r="51" spans="1:24" ht="15.75" thickBot="1" x14ac:dyDescent="0.3">
      <c r="A51" s="9"/>
      <c r="B51" s="14"/>
      <c r="C51" s="10"/>
      <c r="D51" s="287"/>
      <c r="E51" s="177"/>
      <c r="F51" s="139"/>
      <c r="G51" s="10" t="s">
        <v>84</v>
      </c>
      <c r="H51" s="287" t="s">
        <v>85</v>
      </c>
      <c r="I51" s="177"/>
      <c r="J51" s="135">
        <v>658387117</v>
      </c>
      <c r="K51" s="38"/>
      <c r="L51" s="152"/>
      <c r="M51" s="135"/>
      <c r="N51" s="595"/>
      <c r="O51" s="66"/>
      <c r="P51" s="135"/>
      <c r="Q51" s="682"/>
      <c r="R51" s="682"/>
      <c r="S51" s="604"/>
      <c r="T51" s="232"/>
      <c r="U51" s="86"/>
      <c r="V51" s="429"/>
      <c r="W51" s="429"/>
    </row>
    <row r="52" spans="1:24" s="32" customFormat="1" ht="15.75" thickBot="1" x14ac:dyDescent="0.3">
      <c r="A52" s="39" t="s">
        <v>94</v>
      </c>
      <c r="B52" s="45"/>
      <c r="C52" s="46"/>
      <c r="D52" s="649"/>
      <c r="E52" s="178"/>
      <c r="F52" s="140"/>
      <c r="G52" s="46"/>
      <c r="H52" s="649"/>
      <c r="I52" s="178"/>
      <c r="J52" s="136">
        <f>SUM(J48:J51)</f>
        <v>3752565001</v>
      </c>
      <c r="K52" s="47">
        <f>SUM(K48:K51)</f>
        <v>0</v>
      </c>
      <c r="L52" s="56"/>
      <c r="M52" s="136">
        <f>M48</f>
        <v>3750596431.6100006</v>
      </c>
      <c r="N52" s="596"/>
      <c r="O52" s="56"/>
      <c r="P52" s="136">
        <f>P48</f>
        <v>3557014608.5300002</v>
      </c>
      <c r="Q52" s="683"/>
      <c r="R52" s="684"/>
      <c r="S52" s="603"/>
      <c r="T52" s="230"/>
      <c r="U52" s="72">
        <f>SUM(U48:U51)</f>
        <v>0</v>
      </c>
      <c r="V52" s="433"/>
      <c r="W52" s="433"/>
    </row>
    <row r="53" spans="1:24" s="32" customFormat="1" x14ac:dyDescent="0.25">
      <c r="A53" s="383" t="s">
        <v>245</v>
      </c>
      <c r="B53" s="405">
        <v>1264000000</v>
      </c>
      <c r="C53" s="77" t="s">
        <v>246</v>
      </c>
      <c r="D53" s="114" t="s">
        <v>247</v>
      </c>
      <c r="E53" s="115"/>
      <c r="F53" s="403">
        <v>1264000000</v>
      </c>
      <c r="G53" s="91" t="s">
        <v>248</v>
      </c>
      <c r="H53" s="114" t="s">
        <v>247</v>
      </c>
      <c r="I53" s="115"/>
      <c r="J53" s="403">
        <v>1264000000</v>
      </c>
      <c r="K53" s="113">
        <f>F53-J53</f>
        <v>0</v>
      </c>
      <c r="L53" s="144"/>
      <c r="M53" s="403">
        <v>1264000000.0009999</v>
      </c>
      <c r="N53" s="449">
        <v>0</v>
      </c>
      <c r="O53" s="404"/>
      <c r="P53" s="403">
        <v>1237081688.8</v>
      </c>
      <c r="Q53" s="669"/>
      <c r="R53" s="669">
        <v>26918311.199999999</v>
      </c>
      <c r="S53" s="507">
        <f>P53+R53</f>
        <v>1264000000</v>
      </c>
      <c r="T53" s="384"/>
      <c r="U53" s="385">
        <f>J53-S53</f>
        <v>0</v>
      </c>
      <c r="V53" s="434"/>
      <c r="W53" s="434"/>
      <c r="X53" s="420">
        <f>M53-P53</f>
        <v>26918311.200999975</v>
      </c>
    </row>
    <row r="54" spans="1:24" s="32" customFormat="1" ht="15.75" thickBot="1" x14ac:dyDescent="0.3">
      <c r="A54" s="386"/>
      <c r="B54" s="348"/>
      <c r="C54" s="349"/>
      <c r="D54" s="650"/>
      <c r="E54" s="350"/>
      <c r="F54" s="351"/>
      <c r="G54" s="349"/>
      <c r="H54" s="650"/>
      <c r="I54" s="350"/>
      <c r="J54" s="352"/>
      <c r="K54" s="353"/>
      <c r="L54" s="354"/>
      <c r="M54" s="352"/>
      <c r="N54" s="557"/>
      <c r="O54" s="354"/>
      <c r="P54" s="352"/>
      <c r="Q54" s="685"/>
      <c r="R54" s="685"/>
      <c r="S54" s="610"/>
      <c r="T54" s="387"/>
      <c r="U54" s="355"/>
      <c r="V54" s="433"/>
      <c r="W54" s="433"/>
    </row>
    <row r="55" spans="1:24" s="32" customFormat="1" x14ac:dyDescent="0.25">
      <c r="A55" s="383" t="s">
        <v>249</v>
      </c>
      <c r="B55" s="405">
        <v>2000000000</v>
      </c>
      <c r="C55" s="77" t="s">
        <v>250</v>
      </c>
      <c r="D55" s="114" t="s">
        <v>251</v>
      </c>
      <c r="E55" s="115"/>
      <c r="F55" s="403">
        <v>2000000000</v>
      </c>
      <c r="G55" s="388" t="s">
        <v>252</v>
      </c>
      <c r="H55" s="114" t="s">
        <v>251</v>
      </c>
      <c r="I55" s="115"/>
      <c r="J55" s="403">
        <v>1000000000</v>
      </c>
      <c r="K55" s="113">
        <f>F55-J57</f>
        <v>0</v>
      </c>
      <c r="L55" s="144"/>
      <c r="M55" s="403">
        <v>1999077447.51</v>
      </c>
      <c r="N55" s="449">
        <f>F55-M55</f>
        <v>922552.49000000954</v>
      </c>
      <c r="O55" s="404"/>
      <c r="P55" s="403">
        <v>1939765756.6400001</v>
      </c>
      <c r="Q55" s="669"/>
      <c r="R55" s="669">
        <v>60234243.359999999</v>
      </c>
      <c r="S55" s="442">
        <f>P55+R55</f>
        <v>2000000000</v>
      </c>
      <c r="T55" s="384"/>
      <c r="U55" s="385">
        <f>J57-S55</f>
        <v>0</v>
      </c>
      <c r="V55" s="434"/>
      <c r="W55" s="434"/>
      <c r="X55" s="420">
        <f>M55-P55</f>
        <v>59311690.869999886</v>
      </c>
    </row>
    <row r="56" spans="1:24" s="32" customFormat="1" ht="15.75" thickBot="1" x14ac:dyDescent="0.3">
      <c r="A56" s="386"/>
      <c r="B56" s="348"/>
      <c r="C56" s="349"/>
      <c r="D56" s="650"/>
      <c r="E56" s="350"/>
      <c r="F56" s="351"/>
      <c r="G56" s="17" t="s">
        <v>253</v>
      </c>
      <c r="H56" s="641" t="s">
        <v>254</v>
      </c>
      <c r="I56" s="350"/>
      <c r="J56" s="389">
        <v>1000000000</v>
      </c>
      <c r="K56" s="353"/>
      <c r="L56" s="354"/>
      <c r="M56" s="352"/>
      <c r="N56" s="557"/>
      <c r="O56" s="354"/>
      <c r="P56" s="352"/>
      <c r="Q56" s="685"/>
      <c r="R56" s="685"/>
      <c r="S56" s="353"/>
      <c r="T56" s="387"/>
      <c r="U56" s="355"/>
      <c r="V56" s="433"/>
      <c r="W56" s="433"/>
    </row>
    <row r="57" spans="1:24" s="32" customFormat="1" ht="15.75" thickBot="1" x14ac:dyDescent="0.3">
      <c r="A57" s="36" t="s">
        <v>94</v>
      </c>
      <c r="B57" s="41"/>
      <c r="C57" s="28"/>
      <c r="D57" s="643"/>
      <c r="E57" s="170"/>
      <c r="F57" s="138"/>
      <c r="G57" s="42"/>
      <c r="H57" s="255"/>
      <c r="I57" s="173"/>
      <c r="J57" s="78">
        <f>SUM(J55:J56)</f>
        <v>2000000000</v>
      </c>
      <c r="K57" s="390">
        <f>SUM(K55:K56)</f>
        <v>0</v>
      </c>
      <c r="L57" s="391"/>
      <c r="M57" s="78">
        <f>SUM(M55:M56)</f>
        <v>1999077447.51</v>
      </c>
      <c r="N57" s="328"/>
      <c r="O57" s="391"/>
      <c r="P57" s="78">
        <f>SUM(P55:P56)</f>
        <v>1939765756.6400001</v>
      </c>
      <c r="Q57" s="673"/>
      <c r="R57" s="673"/>
      <c r="S57" s="30"/>
      <c r="T57" s="392"/>
      <c r="U57" s="70">
        <f>SUM(U55:U56)</f>
        <v>0</v>
      </c>
      <c r="V57" s="428"/>
      <c r="W57" s="428"/>
    </row>
    <row r="58" spans="1:24" s="32" customFormat="1" ht="15.75" thickBot="1" x14ac:dyDescent="0.3">
      <c r="A58" s="330"/>
      <c r="B58" s="331"/>
      <c r="C58" s="332"/>
      <c r="D58" s="651"/>
      <c r="E58" s="333"/>
      <c r="F58" s="334"/>
      <c r="G58" s="332"/>
      <c r="H58" s="651"/>
      <c r="I58" s="333"/>
      <c r="J58" s="335"/>
      <c r="K58" s="336"/>
      <c r="L58" s="337"/>
      <c r="M58" s="335"/>
      <c r="N58" s="433"/>
      <c r="O58" s="337"/>
      <c r="P58" s="335"/>
      <c r="Q58" s="686"/>
      <c r="R58" s="686"/>
      <c r="S58" s="570"/>
      <c r="T58" s="339"/>
      <c r="U58" s="338"/>
      <c r="V58" s="433"/>
      <c r="W58" s="433"/>
    </row>
    <row r="59" spans="1:24" s="32" customFormat="1" x14ac:dyDescent="0.25">
      <c r="A59" s="383" t="s">
        <v>255</v>
      </c>
      <c r="B59" s="405">
        <v>589655724.52999997</v>
      </c>
      <c r="C59" s="77" t="s">
        <v>256</v>
      </c>
      <c r="D59" s="114" t="s">
        <v>257</v>
      </c>
      <c r="E59" s="115"/>
      <c r="F59" s="403">
        <v>589655724.52999997</v>
      </c>
      <c r="G59" s="388" t="s">
        <v>258</v>
      </c>
      <c r="H59" s="114" t="s">
        <v>259</v>
      </c>
      <c r="I59" s="115"/>
      <c r="J59" s="393">
        <f>554122945/2</f>
        <v>277061472.5</v>
      </c>
      <c r="K59" s="113">
        <f>F59-J61</f>
        <v>0</v>
      </c>
      <c r="L59" s="144"/>
      <c r="M59" s="403">
        <v>583642898.80999994</v>
      </c>
      <c r="N59" s="449">
        <f>F59-M59</f>
        <v>6012825.7200000286</v>
      </c>
      <c r="O59" s="404"/>
      <c r="P59" s="403">
        <v>552077194.39999998</v>
      </c>
      <c r="Q59" s="669"/>
      <c r="R59" s="669">
        <v>37578530.130000003</v>
      </c>
      <c r="S59" s="442">
        <f>P59+R59</f>
        <v>589655724.52999997</v>
      </c>
      <c r="T59" s="384"/>
      <c r="U59" s="385">
        <f>J61-S59</f>
        <v>0</v>
      </c>
      <c r="V59" s="434"/>
      <c r="W59" s="434"/>
      <c r="X59" s="420">
        <f>M59-P59</f>
        <v>31565704.409999967</v>
      </c>
    </row>
    <row r="60" spans="1:24" s="32" customFormat="1" ht="15.75" thickBot="1" x14ac:dyDescent="0.3">
      <c r="A60" s="386"/>
      <c r="B60" s="348"/>
      <c r="C60" s="349"/>
      <c r="D60" s="650"/>
      <c r="E60" s="350"/>
      <c r="F60" s="351"/>
      <c r="G60" s="17" t="s">
        <v>260</v>
      </c>
      <c r="H60" s="641" t="s">
        <v>261</v>
      </c>
      <c r="I60" s="350"/>
      <c r="J60" s="389">
        <v>312594252.02999997</v>
      </c>
      <c r="K60" s="353"/>
      <c r="L60" s="354"/>
      <c r="M60" s="352"/>
      <c r="N60" s="557"/>
      <c r="O60" s="354"/>
      <c r="P60" s="352"/>
      <c r="Q60" s="685"/>
      <c r="R60" s="685"/>
      <c r="S60" s="353"/>
      <c r="T60" s="387"/>
      <c r="U60" s="355"/>
      <c r="V60" s="433"/>
      <c r="W60" s="433"/>
    </row>
    <row r="61" spans="1:24" s="32" customFormat="1" ht="15.75" thickBot="1" x14ac:dyDescent="0.3">
      <c r="A61" s="36" t="s">
        <v>94</v>
      </c>
      <c r="B61" s="41"/>
      <c r="C61" s="28"/>
      <c r="D61" s="643"/>
      <c r="E61" s="170"/>
      <c r="F61" s="138"/>
      <c r="G61" s="42"/>
      <c r="H61" s="255"/>
      <c r="I61" s="173"/>
      <c r="J61" s="78">
        <f>SUM(J59:J60)</f>
        <v>589655724.52999997</v>
      </c>
      <c r="K61" s="390">
        <f>SUM(K59:K60)</f>
        <v>0</v>
      </c>
      <c r="L61" s="391"/>
      <c r="M61" s="78">
        <f>SUM(M59:M60)</f>
        <v>583642898.80999994</v>
      </c>
      <c r="N61" s="328"/>
      <c r="O61" s="391"/>
      <c r="P61" s="78">
        <f>SUM(P59:P60)</f>
        <v>552077194.39999998</v>
      </c>
      <c r="Q61" s="673"/>
      <c r="R61" s="673"/>
      <c r="S61" s="30"/>
      <c r="T61" s="392"/>
      <c r="U61" s="70">
        <f>SUM(U59:U60)</f>
        <v>0</v>
      </c>
      <c r="V61" s="428"/>
      <c r="W61" s="428"/>
    </row>
    <row r="62" spans="1:24" s="32" customFormat="1" ht="15.75" thickBot="1" x14ac:dyDescent="0.3">
      <c r="A62" s="330"/>
      <c r="B62" s="49"/>
      <c r="C62" s="50"/>
      <c r="D62" s="644"/>
      <c r="E62" s="372"/>
      <c r="F62" s="131"/>
      <c r="G62" s="17"/>
      <c r="H62" s="194"/>
      <c r="I62" s="175"/>
      <c r="J62" s="334"/>
      <c r="K62" s="394"/>
      <c r="L62" s="395"/>
      <c r="M62" s="334"/>
      <c r="N62" s="428"/>
      <c r="O62" s="395"/>
      <c r="P62" s="334"/>
      <c r="Q62" s="687"/>
      <c r="R62" s="687"/>
      <c r="S62" s="331"/>
      <c r="T62" s="397"/>
      <c r="U62" s="396"/>
      <c r="V62" s="428"/>
      <c r="W62" s="428"/>
    </row>
    <row r="63" spans="1:24" s="32" customFormat="1" x14ac:dyDescent="0.25">
      <c r="A63" s="383" t="s">
        <v>262</v>
      </c>
      <c r="B63" s="405">
        <v>600000000</v>
      </c>
      <c r="C63" s="77" t="s">
        <v>263</v>
      </c>
      <c r="D63" s="114" t="s">
        <v>264</v>
      </c>
      <c r="E63" s="115"/>
      <c r="F63" s="403">
        <v>600000000</v>
      </c>
      <c r="G63" s="91" t="s">
        <v>265</v>
      </c>
      <c r="H63" s="114" t="s">
        <v>264</v>
      </c>
      <c r="I63" s="115"/>
      <c r="J63" s="403">
        <v>115600050</v>
      </c>
      <c r="K63" s="113">
        <f>F63-J63</f>
        <v>484399950</v>
      </c>
      <c r="L63" s="144"/>
      <c r="M63" s="403">
        <v>115600050</v>
      </c>
      <c r="N63" s="449">
        <v>0</v>
      </c>
      <c r="O63" s="404"/>
      <c r="P63" s="403">
        <v>115600050</v>
      </c>
      <c r="Q63" s="669"/>
      <c r="R63" s="669">
        <v>0</v>
      </c>
      <c r="S63" s="442">
        <f>P63+R63</f>
        <v>115600050</v>
      </c>
      <c r="T63" s="384"/>
      <c r="U63" s="385">
        <f>J63-P63</f>
        <v>0</v>
      </c>
      <c r="V63" s="434"/>
      <c r="W63" s="434"/>
      <c r="X63" s="420">
        <f>M63-P63</f>
        <v>0</v>
      </c>
    </row>
    <row r="64" spans="1:24" s="32" customFormat="1" ht="15.75" thickBot="1" x14ac:dyDescent="0.3">
      <c r="A64" s="386"/>
      <c r="B64" s="348"/>
      <c r="C64" s="349"/>
      <c r="D64" s="650"/>
      <c r="E64" s="350"/>
      <c r="F64" s="351"/>
      <c r="G64" s="349"/>
      <c r="H64" s="650"/>
      <c r="I64" s="350"/>
      <c r="J64" s="352"/>
      <c r="K64" s="353"/>
      <c r="L64" s="354"/>
      <c r="M64" s="352"/>
      <c r="N64" s="557"/>
      <c r="O64" s="354"/>
      <c r="P64" s="352"/>
      <c r="Q64" s="685"/>
      <c r="R64" s="685"/>
      <c r="S64" s="345"/>
      <c r="T64" s="387"/>
      <c r="U64" s="355"/>
      <c r="V64" s="433"/>
      <c r="W64" s="433"/>
    </row>
    <row r="65" spans="1:24" s="32" customFormat="1" x14ac:dyDescent="0.25">
      <c r="A65" s="383" t="s">
        <v>266</v>
      </c>
      <c r="B65" s="405">
        <v>200000000</v>
      </c>
      <c r="C65" s="77" t="s">
        <v>267</v>
      </c>
      <c r="D65" s="114" t="s">
        <v>268</v>
      </c>
      <c r="E65" s="115"/>
      <c r="F65" s="403">
        <v>200000000</v>
      </c>
      <c r="G65" s="91" t="s">
        <v>269</v>
      </c>
      <c r="H65" s="114" t="s">
        <v>270</v>
      </c>
      <c r="I65" s="115"/>
      <c r="J65" s="403">
        <v>200000000</v>
      </c>
      <c r="K65" s="113">
        <f>F65-J65</f>
        <v>0</v>
      </c>
      <c r="L65" s="144"/>
      <c r="M65" s="403">
        <v>199999999.99999997</v>
      </c>
      <c r="N65" s="449">
        <f>F65-M65</f>
        <v>0</v>
      </c>
      <c r="O65" s="404"/>
      <c r="P65" s="403">
        <v>199999999.99999997</v>
      </c>
      <c r="Q65" s="669"/>
      <c r="R65" s="669">
        <v>0</v>
      </c>
      <c r="S65" s="444">
        <f>P65+R65</f>
        <v>199999999.99999997</v>
      </c>
      <c r="T65" s="384"/>
      <c r="U65" s="385">
        <f>J65-P65</f>
        <v>0</v>
      </c>
      <c r="V65" s="434"/>
      <c r="W65" s="434"/>
      <c r="X65" s="420">
        <f>M65-P65</f>
        <v>0</v>
      </c>
    </row>
    <row r="66" spans="1:24" s="32" customFormat="1" ht="15.75" thickBot="1" x14ac:dyDescent="0.3">
      <c r="A66" s="386"/>
      <c r="B66" s="348"/>
      <c r="C66" s="349"/>
      <c r="D66" s="650"/>
      <c r="E66" s="350"/>
      <c r="F66" s="351"/>
      <c r="G66" s="349"/>
      <c r="H66" s="650"/>
      <c r="I66" s="350"/>
      <c r="J66" s="352"/>
      <c r="K66" s="353"/>
      <c r="L66" s="354"/>
      <c r="M66" s="352"/>
      <c r="N66" s="557"/>
      <c r="O66" s="354"/>
      <c r="P66" s="352"/>
      <c r="Q66" s="685"/>
      <c r="R66" s="685"/>
      <c r="S66" s="610"/>
      <c r="T66" s="387"/>
      <c r="U66" s="355"/>
      <c r="V66" s="433"/>
      <c r="W66" s="433"/>
    </row>
    <row r="67" spans="1:24" s="32" customFormat="1" ht="15.75" thickBot="1" x14ac:dyDescent="0.3">
      <c r="A67" s="398" t="s">
        <v>271</v>
      </c>
      <c r="B67" s="254">
        <v>814411357</v>
      </c>
      <c r="C67" s="28" t="s">
        <v>272</v>
      </c>
      <c r="D67" s="255" t="s">
        <v>273</v>
      </c>
      <c r="E67" s="256"/>
      <c r="F67" s="257">
        <v>814411357</v>
      </c>
      <c r="G67" s="42" t="s">
        <v>274</v>
      </c>
      <c r="H67" s="255" t="s">
        <v>273</v>
      </c>
      <c r="I67" s="256"/>
      <c r="J67" s="257">
        <v>814411357</v>
      </c>
      <c r="K67" s="258">
        <f>F67-J67</f>
        <v>0</v>
      </c>
      <c r="L67" s="399"/>
      <c r="M67" s="257">
        <f>[2]SUMMARY2011RELEASED!$G$16</f>
        <v>811544930.73999989</v>
      </c>
      <c r="N67" s="587">
        <f>F67-M67</f>
        <v>2866426.2600001097</v>
      </c>
      <c r="O67" s="260"/>
      <c r="P67" s="257">
        <v>787257457</v>
      </c>
      <c r="Q67" s="671"/>
      <c r="R67" s="671">
        <v>27153900</v>
      </c>
      <c r="S67" s="254">
        <f>P67+R67</f>
        <v>814411357</v>
      </c>
      <c r="T67" s="400"/>
      <c r="U67" s="401">
        <f>J67-S67</f>
        <v>0</v>
      </c>
      <c r="V67" s="434"/>
      <c r="W67" s="434"/>
      <c r="X67" s="420">
        <f>M67-P67</f>
        <v>24287473.73999989</v>
      </c>
    </row>
    <row r="68" spans="1:24" s="32" customFormat="1" x14ac:dyDescent="0.25">
      <c r="A68" s="330" t="s">
        <v>214</v>
      </c>
      <c r="B68" s="331"/>
      <c r="C68" s="332"/>
      <c r="D68" s="651"/>
      <c r="E68" s="333"/>
      <c r="F68" s="334"/>
      <c r="G68" s="332"/>
      <c r="H68" s="633"/>
      <c r="I68" s="333"/>
      <c r="J68" s="335"/>
      <c r="K68" s="336"/>
      <c r="L68" s="337"/>
      <c r="M68" s="335"/>
      <c r="N68" s="433"/>
      <c r="O68" s="337"/>
      <c r="P68" s="335"/>
      <c r="Q68" s="686"/>
      <c r="R68" s="686"/>
      <c r="S68" s="570"/>
      <c r="T68" s="339"/>
      <c r="U68" s="338"/>
      <c r="V68" s="433"/>
      <c r="W68" s="433"/>
    </row>
    <row r="69" spans="1:24" s="32" customFormat="1" ht="15" customHeight="1" x14ac:dyDescent="0.25">
      <c r="A69" s="356" t="s">
        <v>212</v>
      </c>
      <c r="B69" s="348"/>
      <c r="C69" s="349"/>
      <c r="D69" s="650"/>
      <c r="E69" s="350"/>
      <c r="F69" s="351"/>
      <c r="G69" s="349"/>
      <c r="H69" s="632"/>
      <c r="I69" s="350"/>
      <c r="J69" s="352"/>
      <c r="K69" s="353"/>
      <c r="L69" s="354"/>
      <c r="M69" s="352"/>
      <c r="N69" s="557"/>
      <c r="O69" s="354"/>
      <c r="P69" s="352"/>
      <c r="Q69" s="685"/>
      <c r="R69" s="685"/>
      <c r="S69" s="353"/>
      <c r="T69" s="378"/>
      <c r="U69" s="355"/>
      <c r="V69" s="433"/>
      <c r="W69" s="433"/>
    </row>
    <row r="70" spans="1:24" s="32" customFormat="1" ht="15.75" customHeight="1" thickBot="1" x14ac:dyDescent="0.3">
      <c r="A70" s="357" t="s">
        <v>213</v>
      </c>
      <c r="B70" s="340"/>
      <c r="C70" s="341"/>
      <c r="D70" s="652"/>
      <c r="E70" s="342"/>
      <c r="F70" s="343"/>
      <c r="G70" s="341"/>
      <c r="H70" s="634"/>
      <c r="I70" s="342"/>
      <c r="J70" s="344"/>
      <c r="K70" s="345"/>
      <c r="L70" s="346"/>
      <c r="M70" s="344"/>
      <c r="N70" s="558"/>
      <c r="O70" s="346"/>
      <c r="P70" s="344"/>
      <c r="Q70" s="688" t="s">
        <v>137</v>
      </c>
      <c r="R70" s="689">
        <v>573773395.25</v>
      </c>
      <c r="S70" s="345"/>
      <c r="T70" s="326"/>
      <c r="U70" s="347"/>
      <c r="V70" s="326" t="s">
        <v>140</v>
      </c>
      <c r="W70" s="433"/>
    </row>
    <row r="71" spans="1:24" s="32" customFormat="1" ht="16.5" thickBot="1" x14ac:dyDescent="0.3">
      <c r="A71" s="29" t="s">
        <v>115</v>
      </c>
      <c r="B71" s="30">
        <f>SUM(B10:B69)</f>
        <v>26800561874.519997</v>
      </c>
      <c r="C71" s="31"/>
      <c r="D71" s="648"/>
      <c r="E71" s="165"/>
      <c r="F71" s="78">
        <f>F32+F36+F48+2879181528.99+F29+F25+F23+F17+F10+F53+F55+F59+F63+F65+F67</f>
        <v>26800561874.519997</v>
      </c>
      <c r="G71" s="31"/>
      <c r="H71" s="631"/>
      <c r="I71" s="165"/>
      <c r="J71" s="78">
        <f>J12+J17+J23+J27+J29+J34+J44+J46+J52+J53+J57+J61+J63+J65+J67</f>
        <v>24947425984.519997</v>
      </c>
      <c r="K71" s="30">
        <f>SUM(K10:K69)</f>
        <v>1853135891</v>
      </c>
      <c r="L71" s="55"/>
      <c r="M71" s="78">
        <f>M34+M44+M46+M52+M29+M27+M19+M14+M10+M53+M57+M61+M63+M65+M67</f>
        <v>26242750391.131001</v>
      </c>
      <c r="N71" s="78">
        <f>SUM(N10:N70)</f>
        <v>73411533.389998972</v>
      </c>
      <c r="O71" s="55"/>
      <c r="P71" s="78">
        <f>P34+P44+P46+P52+P29+P27+P19+P14+P10+P53+P57+P61+P63+P65+P67</f>
        <v>24719207228.860001</v>
      </c>
      <c r="Q71" s="673"/>
      <c r="R71" s="673">
        <f>SUM(R10:R70)</f>
        <v>659410578.42999995</v>
      </c>
      <c r="S71" s="78">
        <f>SUM(S10:S70)</f>
        <v>24804844412.040001</v>
      </c>
      <c r="T71" s="222"/>
      <c r="U71" s="70">
        <f>U34+U44+U46+U52+U29+U27+U19+U14+U10+U69+U70+U53+U57+U61+U63+U65+U67</f>
        <v>142581572.47999954</v>
      </c>
      <c r="V71" s="428"/>
      <c r="W71" s="428"/>
    </row>
    <row r="72" spans="1:24" s="32" customFormat="1" ht="8.25" customHeight="1" x14ac:dyDescent="0.25">
      <c r="A72" s="623"/>
      <c r="B72" s="600"/>
      <c r="C72" s="624"/>
      <c r="D72" s="653"/>
      <c r="E72" s="624"/>
      <c r="F72" s="600"/>
      <c r="G72" s="624"/>
      <c r="H72" s="635"/>
      <c r="I72" s="624"/>
      <c r="J72" s="600"/>
      <c r="K72" s="600"/>
      <c r="L72" s="600"/>
      <c r="M72" s="600"/>
      <c r="N72" s="600"/>
      <c r="O72" s="600"/>
      <c r="P72" s="600"/>
      <c r="Q72" s="600"/>
      <c r="R72" s="600"/>
      <c r="S72" s="625"/>
      <c r="T72" s="224"/>
      <c r="U72" s="600"/>
      <c r="V72" s="428"/>
      <c r="W72" s="428"/>
    </row>
    <row r="73" spans="1:24" ht="16.5" thickBot="1" x14ac:dyDescent="0.3">
      <c r="A73" s="4" t="s">
        <v>38</v>
      </c>
    </row>
    <row r="74" spans="1:24" ht="15" customHeight="1" x14ac:dyDescent="0.25">
      <c r="A74" s="780" t="s">
        <v>13</v>
      </c>
      <c r="B74" s="782" t="s">
        <v>14</v>
      </c>
      <c r="C74" s="784" t="s">
        <v>2</v>
      </c>
      <c r="D74" s="784"/>
      <c r="E74" s="784"/>
      <c r="F74" s="784"/>
      <c r="G74" s="784" t="s">
        <v>3</v>
      </c>
      <c r="H74" s="784"/>
      <c r="I74" s="784"/>
      <c r="J74" s="784"/>
      <c r="K74" s="785" t="s">
        <v>20</v>
      </c>
      <c r="L74" s="799" t="s">
        <v>283</v>
      </c>
      <c r="M74" s="800"/>
      <c r="N74" s="801"/>
      <c r="O74" s="799" t="s">
        <v>285</v>
      </c>
      <c r="P74" s="800"/>
      <c r="Q74" s="800"/>
      <c r="R74" s="800"/>
      <c r="S74" s="818"/>
      <c r="T74" s="819" t="s">
        <v>96</v>
      </c>
      <c r="U74" s="811"/>
      <c r="V74" s="426"/>
      <c r="W74" s="426"/>
    </row>
    <row r="75" spans="1:24" ht="30" x14ac:dyDescent="0.25">
      <c r="A75" s="781"/>
      <c r="B75" s="783"/>
      <c r="C75" s="3" t="s">
        <v>15</v>
      </c>
      <c r="D75" s="629" t="s">
        <v>16</v>
      </c>
      <c r="E75" s="164"/>
      <c r="F75" s="167" t="s">
        <v>17</v>
      </c>
      <c r="G75" s="3" t="s">
        <v>18</v>
      </c>
      <c r="H75" s="629" t="s">
        <v>16</v>
      </c>
      <c r="I75" s="552"/>
      <c r="J75" s="126" t="s">
        <v>17</v>
      </c>
      <c r="K75" s="786"/>
      <c r="L75" s="143"/>
      <c r="M75" s="125" t="s">
        <v>21</v>
      </c>
      <c r="N75" s="553" t="s">
        <v>282</v>
      </c>
      <c r="O75" s="438"/>
      <c r="P75" s="125" t="s">
        <v>284</v>
      </c>
      <c r="Q75" s="665"/>
      <c r="R75" s="665" t="s">
        <v>296</v>
      </c>
      <c r="S75" s="747" t="s">
        <v>286</v>
      </c>
      <c r="T75" s="812"/>
      <c r="U75" s="813"/>
      <c r="V75" s="426"/>
      <c r="W75" s="426"/>
    </row>
    <row r="76" spans="1:24" ht="15.75" thickBot="1" x14ac:dyDescent="0.3">
      <c r="A76" s="54" t="s">
        <v>11</v>
      </c>
      <c r="B76" s="15" t="s">
        <v>12</v>
      </c>
      <c r="C76" s="3" t="s">
        <v>4</v>
      </c>
      <c r="D76" s="3" t="s">
        <v>5</v>
      </c>
      <c r="E76" s="716"/>
      <c r="F76" s="717" t="s">
        <v>6</v>
      </c>
      <c r="G76" s="3" t="s">
        <v>7</v>
      </c>
      <c r="H76" s="3" t="s">
        <v>8</v>
      </c>
      <c r="I76" s="716"/>
      <c r="J76" s="126" t="s">
        <v>9</v>
      </c>
      <c r="K76" s="3" t="s">
        <v>19</v>
      </c>
      <c r="L76" s="716"/>
      <c r="M76" s="126" t="s">
        <v>10</v>
      </c>
      <c r="N76" s="126" t="s">
        <v>305</v>
      </c>
      <c r="O76" s="314"/>
      <c r="P76" s="313" t="s">
        <v>306</v>
      </c>
      <c r="Q76" s="748"/>
      <c r="R76" s="748" t="s">
        <v>303</v>
      </c>
      <c r="S76" s="749" t="s">
        <v>307</v>
      </c>
      <c r="T76" s="220"/>
      <c r="U76" s="714" t="s">
        <v>308</v>
      </c>
      <c r="V76" s="426"/>
      <c r="W76" s="426"/>
    </row>
    <row r="77" spans="1:24" x14ac:dyDescent="0.25">
      <c r="A77" s="6"/>
      <c r="B77" s="76"/>
      <c r="C77" s="77"/>
      <c r="D77" s="273"/>
      <c r="E77" s="182"/>
      <c r="F77" s="180"/>
      <c r="G77" s="77"/>
      <c r="H77" s="637"/>
      <c r="I77" s="153"/>
      <c r="J77" s="137"/>
      <c r="K77" s="7"/>
      <c r="L77" s="153"/>
      <c r="M77" s="137"/>
      <c r="N77" s="559"/>
      <c r="O77" s="67"/>
      <c r="P77" s="137"/>
      <c r="Q77" s="690"/>
      <c r="R77" s="691"/>
      <c r="S77" s="246"/>
      <c r="T77" s="233"/>
      <c r="U77" s="87"/>
      <c r="V77" s="430"/>
      <c r="W77" s="430"/>
    </row>
    <row r="78" spans="1:24" x14ac:dyDescent="0.25">
      <c r="A78" s="8" t="s">
        <v>73</v>
      </c>
      <c r="B78" s="13">
        <v>400000000</v>
      </c>
      <c r="C78" s="2" t="s">
        <v>74</v>
      </c>
      <c r="D78" s="654" t="s">
        <v>75</v>
      </c>
      <c r="E78" s="183"/>
      <c r="F78" s="75">
        <v>400000000</v>
      </c>
      <c r="G78" s="117" t="s">
        <v>120</v>
      </c>
      <c r="H78" s="662" t="s">
        <v>121</v>
      </c>
      <c r="I78" s="192"/>
      <c r="J78" s="129">
        <v>400000000</v>
      </c>
      <c r="K78" s="26">
        <f>F78-J78</f>
        <v>0</v>
      </c>
      <c r="L78" s="154"/>
      <c r="M78" s="129">
        <v>399517267.02000004</v>
      </c>
      <c r="N78" s="562">
        <f>F78-M78</f>
        <v>482732.97999995947</v>
      </c>
      <c r="O78" s="59"/>
      <c r="P78" s="129">
        <v>377419971.30000001</v>
      </c>
      <c r="Q78" s="692"/>
      <c r="R78" s="693">
        <v>22580028.699999999</v>
      </c>
      <c r="S78" s="581">
        <f>P78+R78</f>
        <v>400000000</v>
      </c>
      <c r="T78" s="234"/>
      <c r="U78" s="80">
        <f>J78-S78</f>
        <v>0</v>
      </c>
      <c r="V78" s="429"/>
      <c r="W78" s="429"/>
      <c r="X78" s="420">
        <f>M78-P78</f>
        <v>22097295.720000029</v>
      </c>
    </row>
    <row r="79" spans="1:24" x14ac:dyDescent="0.25">
      <c r="A79" s="22"/>
      <c r="B79" s="13"/>
      <c r="C79" s="2"/>
      <c r="D79" s="647"/>
      <c r="E79" s="146"/>
      <c r="F79" s="159"/>
      <c r="G79" s="2"/>
      <c r="H79" s="630"/>
      <c r="I79" s="155"/>
      <c r="J79" s="129"/>
      <c r="K79" s="24"/>
      <c r="L79" s="155"/>
      <c r="M79" s="129"/>
      <c r="N79" s="562"/>
      <c r="O79" s="59"/>
      <c r="P79" s="129"/>
      <c r="Q79" s="692"/>
      <c r="R79" s="693"/>
      <c r="S79" s="247"/>
      <c r="T79" s="226"/>
      <c r="U79" s="88"/>
      <c r="V79" s="430"/>
      <c r="W79" s="430"/>
    </row>
    <row r="80" spans="1:24" x14ac:dyDescent="0.25">
      <c r="A80" s="8" t="s">
        <v>22</v>
      </c>
      <c r="B80" s="13">
        <v>1260000000</v>
      </c>
      <c r="C80" s="2" t="s">
        <v>23</v>
      </c>
      <c r="D80" s="117" t="s">
        <v>24</v>
      </c>
      <c r="E80" s="172"/>
      <c r="F80" s="75">
        <v>1260000000</v>
      </c>
      <c r="G80" s="99" t="s">
        <v>99</v>
      </c>
      <c r="H80" s="662" t="s">
        <v>98</v>
      </c>
      <c r="I80" s="192"/>
      <c r="J80" s="129">
        <v>658623046</v>
      </c>
      <c r="K80" s="26">
        <f>B80-J82</f>
        <v>0</v>
      </c>
      <c r="L80" s="154"/>
      <c r="M80" s="129">
        <v>1259214318.75</v>
      </c>
      <c r="N80" s="562">
        <f>F80-M80</f>
        <v>785681.25</v>
      </c>
      <c r="O80" s="74"/>
      <c r="P80" s="129">
        <v>1190083077.48</v>
      </c>
      <c r="Q80" s="692"/>
      <c r="R80" s="693">
        <v>69916922.519999996</v>
      </c>
      <c r="S80" s="581">
        <f>P80+R80</f>
        <v>1260000000</v>
      </c>
      <c r="T80" s="234"/>
      <c r="U80" s="80">
        <f>J82-S80</f>
        <v>0</v>
      </c>
      <c r="V80" s="429"/>
      <c r="W80" s="429"/>
      <c r="X80" s="420">
        <f>M80-P80</f>
        <v>69131241.269999981</v>
      </c>
    </row>
    <row r="81" spans="1:24" ht="15.75" thickBot="1" x14ac:dyDescent="0.3">
      <c r="A81" s="48"/>
      <c r="B81" s="19"/>
      <c r="C81" s="20"/>
      <c r="D81" s="627"/>
      <c r="E81" s="176"/>
      <c r="F81" s="130"/>
      <c r="G81" s="409" t="s">
        <v>120</v>
      </c>
      <c r="H81" s="663" t="s">
        <v>121</v>
      </c>
      <c r="I81" s="64"/>
      <c r="J81" s="131">
        <v>601376954</v>
      </c>
      <c r="K81" s="52"/>
      <c r="L81" s="150"/>
      <c r="M81" s="131"/>
      <c r="N81" s="591"/>
      <c r="O81" s="118"/>
      <c r="P81" s="131"/>
      <c r="Q81" s="676"/>
      <c r="R81" s="694"/>
      <c r="S81" s="242"/>
      <c r="T81" s="235"/>
      <c r="U81" s="85"/>
      <c r="V81" s="429"/>
      <c r="W81" s="429"/>
    </row>
    <row r="82" spans="1:24" ht="15.75" thickBot="1" x14ac:dyDescent="0.3">
      <c r="A82" s="40"/>
      <c r="B82" s="41"/>
      <c r="C82" s="28"/>
      <c r="D82" s="255"/>
      <c r="E82" s="173"/>
      <c r="F82" s="138"/>
      <c r="G82" s="119"/>
      <c r="H82" s="664"/>
      <c r="I82" s="166"/>
      <c r="J82" s="78">
        <f>J80+J81</f>
        <v>1260000000</v>
      </c>
      <c r="K82" s="120"/>
      <c r="L82" s="156"/>
      <c r="M82" s="138"/>
      <c r="N82" s="597"/>
      <c r="O82" s="121"/>
      <c r="P82" s="138"/>
      <c r="Q82" s="695"/>
      <c r="R82" s="696"/>
      <c r="S82" s="248"/>
      <c r="T82" s="236"/>
      <c r="U82" s="122"/>
      <c r="V82" s="429"/>
      <c r="W82" s="429"/>
    </row>
    <row r="83" spans="1:24" x14ac:dyDescent="0.25">
      <c r="A83" s="22"/>
      <c r="B83" s="23"/>
      <c r="C83" s="24"/>
      <c r="D83" s="630"/>
      <c r="E83" s="155"/>
      <c r="F83" s="181"/>
      <c r="G83" s="24"/>
      <c r="H83" s="630"/>
      <c r="I83" s="155"/>
      <c r="J83" s="129"/>
      <c r="K83" s="24"/>
      <c r="L83" s="155"/>
      <c r="M83" s="129"/>
      <c r="N83" s="562"/>
      <c r="O83" s="59"/>
      <c r="P83" s="129"/>
      <c r="Q83" s="692"/>
      <c r="R83" s="693"/>
      <c r="S83" s="247"/>
      <c r="T83" s="226"/>
      <c r="U83" s="88"/>
      <c r="V83" s="430"/>
      <c r="W83" s="430"/>
    </row>
    <row r="84" spans="1:24" x14ac:dyDescent="0.25">
      <c r="A84" s="8" t="s">
        <v>40</v>
      </c>
      <c r="B84" s="13">
        <v>1501964000</v>
      </c>
      <c r="C84" s="2" t="s">
        <v>45</v>
      </c>
      <c r="D84" s="117" t="s">
        <v>46</v>
      </c>
      <c r="E84" s="172"/>
      <c r="F84" s="75">
        <v>1501964000</v>
      </c>
      <c r="G84" s="2" t="s">
        <v>43</v>
      </c>
      <c r="H84" s="117" t="s">
        <v>44</v>
      </c>
      <c r="I84" s="172"/>
      <c r="J84" s="75">
        <v>531466924</v>
      </c>
      <c r="K84" s="16">
        <f>F84-J84-J85-J86-J87-J88-J89-J90</f>
        <v>0</v>
      </c>
      <c r="L84" s="145"/>
      <c r="M84" s="75">
        <v>1501964000.0000002</v>
      </c>
      <c r="N84" s="560">
        <f>F84-M84</f>
        <v>0</v>
      </c>
      <c r="O84" s="60"/>
      <c r="P84" s="75">
        <v>1438880647.0699999</v>
      </c>
      <c r="Q84" s="677"/>
      <c r="R84" s="697">
        <v>63083352.93</v>
      </c>
      <c r="S84" s="581">
        <f>P84+R84</f>
        <v>1501964000</v>
      </c>
      <c r="T84" s="226"/>
      <c r="U84" s="80">
        <f>J91-S84</f>
        <v>0</v>
      </c>
      <c r="V84" s="429"/>
      <c r="W84" s="429"/>
      <c r="X84" s="420">
        <f>M84-P84</f>
        <v>63083352.930000305</v>
      </c>
    </row>
    <row r="85" spans="1:24" x14ac:dyDescent="0.25">
      <c r="A85" s="8"/>
      <c r="B85" s="13"/>
      <c r="C85" s="2"/>
      <c r="D85" s="647"/>
      <c r="E85" s="146"/>
      <c r="F85" s="159"/>
      <c r="G85" s="2" t="s">
        <v>42</v>
      </c>
      <c r="H85" s="117" t="s">
        <v>41</v>
      </c>
      <c r="I85" s="172"/>
      <c r="J85" s="75">
        <v>390418412</v>
      </c>
      <c r="K85" s="2"/>
      <c r="L85" s="146"/>
      <c r="M85" s="75"/>
      <c r="N85" s="560"/>
      <c r="O85" s="60"/>
      <c r="P85" s="75"/>
      <c r="Q85" s="677"/>
      <c r="R85" s="697"/>
      <c r="S85" s="243"/>
      <c r="T85" s="227"/>
      <c r="U85" s="82"/>
      <c r="V85" s="430"/>
      <c r="W85" s="430"/>
    </row>
    <row r="86" spans="1:24" x14ac:dyDescent="0.25">
      <c r="A86" s="8"/>
      <c r="B86" s="13"/>
      <c r="C86" s="2"/>
      <c r="D86" s="647"/>
      <c r="E86" s="146"/>
      <c r="F86" s="159"/>
      <c r="G86" s="2" t="s">
        <v>49</v>
      </c>
      <c r="H86" s="117" t="s">
        <v>50</v>
      </c>
      <c r="I86" s="172"/>
      <c r="J86" s="75">
        <v>100451846</v>
      </c>
      <c r="K86" s="2"/>
      <c r="L86" s="146"/>
      <c r="M86" s="75"/>
      <c r="N86" s="560"/>
      <c r="O86" s="60"/>
      <c r="P86" s="75"/>
      <c r="Q86" s="677"/>
      <c r="R86" s="697"/>
      <c r="S86" s="243"/>
      <c r="T86" s="227"/>
      <c r="U86" s="82"/>
      <c r="V86" s="430"/>
      <c r="W86" s="430"/>
    </row>
    <row r="87" spans="1:24" x14ac:dyDescent="0.25">
      <c r="A87" s="8"/>
      <c r="B87" s="13"/>
      <c r="C87" s="2"/>
      <c r="D87" s="647"/>
      <c r="E87" s="146"/>
      <c r="F87" s="159"/>
      <c r="G87" s="2" t="s">
        <v>47</v>
      </c>
      <c r="H87" s="117" t="s">
        <v>48</v>
      </c>
      <c r="I87" s="172"/>
      <c r="J87" s="75">
        <v>35801704</v>
      </c>
      <c r="K87" s="2"/>
      <c r="L87" s="146"/>
      <c r="M87" s="75"/>
      <c r="N87" s="560"/>
      <c r="O87" s="60"/>
      <c r="P87" s="75"/>
      <c r="Q87" s="677"/>
      <c r="R87" s="697"/>
      <c r="S87" s="243"/>
      <c r="T87" s="227"/>
      <c r="U87" s="82"/>
      <c r="V87" s="430"/>
      <c r="W87" s="430"/>
    </row>
    <row r="88" spans="1:24" x14ac:dyDescent="0.25">
      <c r="A88" s="8"/>
      <c r="B88" s="13"/>
      <c r="C88" s="2"/>
      <c r="D88" s="647"/>
      <c r="E88" s="146"/>
      <c r="F88" s="159"/>
      <c r="G88" s="2" t="s">
        <v>34</v>
      </c>
      <c r="H88" s="117" t="s">
        <v>31</v>
      </c>
      <c r="I88" s="172"/>
      <c r="J88" s="75">
        <v>123450804</v>
      </c>
      <c r="K88" s="2"/>
      <c r="L88" s="146"/>
      <c r="M88" s="75"/>
      <c r="N88" s="560"/>
      <c r="O88" s="60"/>
      <c r="P88" s="75"/>
      <c r="Q88" s="677"/>
      <c r="R88" s="697"/>
      <c r="S88" s="243"/>
      <c r="T88" s="227"/>
      <c r="U88" s="82"/>
      <c r="V88" s="430"/>
      <c r="W88" s="430"/>
    </row>
    <row r="89" spans="1:24" x14ac:dyDescent="0.25">
      <c r="A89" s="18"/>
      <c r="B89" s="19"/>
      <c r="C89" s="20"/>
      <c r="D89" s="629"/>
      <c r="E89" s="147"/>
      <c r="F89" s="161"/>
      <c r="G89" s="17" t="s">
        <v>76</v>
      </c>
      <c r="H89" s="627" t="s">
        <v>77</v>
      </c>
      <c r="I89" s="175"/>
      <c r="J89" s="188">
        <v>135675353</v>
      </c>
      <c r="K89" s="20"/>
      <c r="L89" s="147"/>
      <c r="M89" s="130"/>
      <c r="N89" s="564"/>
      <c r="O89" s="61"/>
      <c r="P89" s="130"/>
      <c r="Q89" s="678"/>
      <c r="R89" s="698"/>
      <c r="S89" s="244"/>
      <c r="T89" s="228"/>
      <c r="U89" s="83"/>
      <c r="V89" s="430"/>
      <c r="W89" s="430"/>
    </row>
    <row r="90" spans="1:24" ht="15.75" thickBot="1" x14ac:dyDescent="0.3">
      <c r="A90" s="9"/>
      <c r="B90" s="14"/>
      <c r="C90" s="10"/>
      <c r="D90" s="108"/>
      <c r="E90" s="157"/>
      <c r="F90" s="162"/>
      <c r="G90" s="92" t="s">
        <v>99</v>
      </c>
      <c r="H90" s="287" t="s">
        <v>98</v>
      </c>
      <c r="I90" s="177"/>
      <c r="J90" s="190">
        <v>184698957</v>
      </c>
      <c r="K90" s="10"/>
      <c r="L90" s="157"/>
      <c r="M90" s="139"/>
      <c r="N90" s="598"/>
      <c r="O90" s="68"/>
      <c r="P90" s="139"/>
      <c r="Q90" s="699"/>
      <c r="R90" s="700"/>
      <c r="S90" s="249"/>
      <c r="T90" s="225"/>
      <c r="U90" s="102"/>
      <c r="V90" s="430"/>
      <c r="W90" s="430"/>
    </row>
    <row r="91" spans="1:24" s="32" customFormat="1" ht="15.75" thickBot="1" x14ac:dyDescent="0.3">
      <c r="A91" s="39" t="s">
        <v>94</v>
      </c>
      <c r="B91" s="45">
        <f>SUM(B84:B90)</f>
        <v>1501964000</v>
      </c>
      <c r="C91" s="46"/>
      <c r="D91" s="655"/>
      <c r="E91" s="184"/>
      <c r="F91" s="140">
        <f>SUM(F84:F90)</f>
        <v>1501964000</v>
      </c>
      <c r="G91" s="100"/>
      <c r="H91" s="649"/>
      <c r="I91" s="178"/>
      <c r="J91" s="140">
        <f>SUM(J84:J90)</f>
        <v>1501964000</v>
      </c>
      <c r="K91" s="45">
        <f>SUM(K84:K90)</f>
        <v>0</v>
      </c>
      <c r="L91" s="101"/>
      <c r="M91" s="140">
        <f>SUM(M84:M90)</f>
        <v>1501964000.0000002</v>
      </c>
      <c r="N91" s="599"/>
      <c r="O91" s="101"/>
      <c r="P91" s="78">
        <f>SUM(P84:P90)</f>
        <v>1438880647.0699999</v>
      </c>
      <c r="Q91" s="701"/>
      <c r="R91" s="702"/>
      <c r="S91" s="250"/>
      <c r="T91" s="237"/>
      <c r="U91" s="70">
        <f>SUM(U84:U90)</f>
        <v>0</v>
      </c>
      <c r="V91" s="428"/>
      <c r="W91" s="428"/>
    </row>
    <row r="92" spans="1:24" s="32" customFormat="1" x14ac:dyDescent="0.25">
      <c r="A92" s="383" t="s">
        <v>249</v>
      </c>
      <c r="B92" s="405">
        <v>568500000</v>
      </c>
      <c r="C92" s="77" t="s">
        <v>250</v>
      </c>
      <c r="D92" s="114" t="s">
        <v>251</v>
      </c>
      <c r="E92" s="115"/>
      <c r="F92" s="403">
        <v>568500000</v>
      </c>
      <c r="G92" s="91" t="s">
        <v>253</v>
      </c>
      <c r="H92" s="642" t="s">
        <v>254</v>
      </c>
      <c r="I92" s="115"/>
      <c r="J92" s="403">
        <v>568500000</v>
      </c>
      <c r="K92" s="113">
        <f>F92-J92</f>
        <v>0</v>
      </c>
      <c r="L92" s="144"/>
      <c r="M92" s="403">
        <v>568500000</v>
      </c>
      <c r="N92" s="449">
        <f>F92-M92</f>
        <v>0</v>
      </c>
      <c r="O92" s="404"/>
      <c r="P92" s="403">
        <v>545543852.40999997</v>
      </c>
      <c r="Q92" s="669"/>
      <c r="R92" s="703">
        <v>22956147.59</v>
      </c>
      <c r="S92" s="581">
        <f>P92+R92</f>
        <v>568500000</v>
      </c>
      <c r="T92" s="384"/>
      <c r="U92" s="385">
        <f>J92-S92</f>
        <v>0</v>
      </c>
      <c r="V92" s="434"/>
      <c r="W92" s="434"/>
      <c r="X92" s="420">
        <f>M92-P92</f>
        <v>22956147.590000033</v>
      </c>
    </row>
    <row r="93" spans="1:24" s="32" customFormat="1" ht="15.75" thickBot="1" x14ac:dyDescent="0.3">
      <c r="A93" s="386"/>
      <c r="B93" s="348"/>
      <c r="C93" s="349"/>
      <c r="D93" s="650"/>
      <c r="E93" s="350"/>
      <c r="F93" s="351"/>
      <c r="G93" s="25"/>
      <c r="H93" s="641"/>
      <c r="I93" s="350"/>
      <c r="J93" s="389"/>
      <c r="K93" s="353"/>
      <c r="L93" s="354"/>
      <c r="M93" s="352"/>
      <c r="N93" s="557"/>
      <c r="O93" s="354"/>
      <c r="P93" s="352"/>
      <c r="Q93" s="685"/>
      <c r="R93" s="704"/>
      <c r="S93" s="612"/>
      <c r="T93" s="387"/>
      <c r="U93" s="355"/>
      <c r="V93" s="433"/>
      <c r="W93" s="433"/>
    </row>
    <row r="94" spans="1:24" s="32" customFormat="1" x14ac:dyDescent="0.25">
      <c r="A94" s="383" t="s">
        <v>255</v>
      </c>
      <c r="B94" s="405">
        <v>518590165.47000003</v>
      </c>
      <c r="C94" s="77" t="s">
        <v>256</v>
      </c>
      <c r="D94" s="114" t="s">
        <v>257</v>
      </c>
      <c r="E94" s="115"/>
      <c r="F94" s="403">
        <v>518590165.47000003</v>
      </c>
      <c r="G94" s="388" t="s">
        <v>258</v>
      </c>
      <c r="H94" s="114" t="s">
        <v>259</v>
      </c>
      <c r="I94" s="115"/>
      <c r="J94" s="393">
        <f>554122945/2</f>
        <v>277061472.5</v>
      </c>
      <c r="K94" s="113">
        <f>F94-J96</f>
        <v>0</v>
      </c>
      <c r="L94" s="144"/>
      <c r="M94" s="403">
        <v>518590165.47000003</v>
      </c>
      <c r="N94" s="449">
        <f>F94-M94</f>
        <v>0</v>
      </c>
      <c r="O94" s="404"/>
      <c r="P94" s="403">
        <v>500126937.60000002</v>
      </c>
      <c r="Q94" s="669"/>
      <c r="R94" s="703">
        <v>18463227.870000001</v>
      </c>
      <c r="S94" s="613">
        <f>P94+R94</f>
        <v>518590165.47000003</v>
      </c>
      <c r="T94" s="384"/>
      <c r="U94" s="385">
        <f>J96-S94</f>
        <v>0</v>
      </c>
      <c r="V94" s="434"/>
      <c r="W94" s="434"/>
      <c r="X94" s="420">
        <f>M94-P94</f>
        <v>18463227.870000005</v>
      </c>
    </row>
    <row r="95" spans="1:24" s="32" customFormat="1" ht="15.75" thickBot="1" x14ac:dyDescent="0.3">
      <c r="A95" s="386"/>
      <c r="B95" s="348"/>
      <c r="C95" s="349"/>
      <c r="D95" s="650"/>
      <c r="E95" s="350"/>
      <c r="F95" s="351"/>
      <c r="G95" s="17" t="s">
        <v>260</v>
      </c>
      <c r="H95" s="641" t="s">
        <v>261</v>
      </c>
      <c r="I95" s="350"/>
      <c r="J95" s="389">
        <v>241528692.97</v>
      </c>
      <c r="K95" s="353"/>
      <c r="L95" s="354"/>
      <c r="M95" s="352"/>
      <c r="N95" s="557"/>
      <c r="O95" s="354"/>
      <c r="P95" s="352"/>
      <c r="Q95" s="685"/>
      <c r="R95" s="704"/>
      <c r="S95" s="355"/>
      <c r="T95" s="387"/>
      <c r="U95" s="355"/>
      <c r="V95" s="433"/>
      <c r="W95" s="433"/>
    </row>
    <row r="96" spans="1:24" s="32" customFormat="1" ht="15.75" thickBot="1" x14ac:dyDescent="0.3">
      <c r="A96" s="36" t="s">
        <v>94</v>
      </c>
      <c r="B96" s="41"/>
      <c r="C96" s="28"/>
      <c r="D96" s="643"/>
      <c r="E96" s="170"/>
      <c r="F96" s="138"/>
      <c r="G96" s="42"/>
      <c r="H96" s="255"/>
      <c r="I96" s="173"/>
      <c r="J96" s="78">
        <f>SUM(J94:J95)</f>
        <v>518590165.47000003</v>
      </c>
      <c r="K96" s="390">
        <f>SUM(K94:K95)</f>
        <v>0</v>
      </c>
      <c r="L96" s="391"/>
      <c r="M96" s="78">
        <f>SUM(M94:M95)</f>
        <v>518590165.47000003</v>
      </c>
      <c r="N96" s="328"/>
      <c r="O96" s="391"/>
      <c r="P96" s="78">
        <f>SUM(P94:P95)</f>
        <v>500126937.60000002</v>
      </c>
      <c r="Q96" s="673"/>
      <c r="R96" s="705"/>
      <c r="S96" s="70"/>
      <c r="T96" s="392"/>
      <c r="U96" s="70">
        <f>SUM(U94:U95)</f>
        <v>0</v>
      </c>
      <c r="V96" s="428"/>
      <c r="W96" s="428"/>
    </row>
    <row r="97" spans="1:24" s="32" customFormat="1" x14ac:dyDescent="0.25">
      <c r="A97" s="330" t="s">
        <v>214</v>
      </c>
      <c r="B97" s="331"/>
      <c r="C97" s="332"/>
      <c r="D97" s="651"/>
      <c r="E97" s="333"/>
      <c r="F97" s="334"/>
      <c r="G97" s="332"/>
      <c r="H97" s="651"/>
      <c r="I97" s="333"/>
      <c r="J97" s="335"/>
      <c r="K97" s="336"/>
      <c r="L97" s="337"/>
      <c r="M97" s="335"/>
      <c r="N97" s="433"/>
      <c r="O97" s="337"/>
      <c r="P97" s="335"/>
      <c r="Q97" s="686"/>
      <c r="R97" s="706"/>
      <c r="S97" s="338"/>
      <c r="T97" s="339"/>
      <c r="U97" s="338"/>
      <c r="V97" s="433"/>
      <c r="W97" s="433"/>
    </row>
    <row r="98" spans="1:24" s="32" customFormat="1" ht="19.5" thickBot="1" x14ac:dyDescent="0.3">
      <c r="A98" s="356" t="s">
        <v>212</v>
      </c>
      <c r="B98" s="348"/>
      <c r="C98" s="349"/>
      <c r="D98" s="650"/>
      <c r="E98" s="350"/>
      <c r="F98" s="351"/>
      <c r="G98" s="349"/>
      <c r="H98" s="632"/>
      <c r="I98" s="350"/>
      <c r="J98" s="352"/>
      <c r="K98" s="353"/>
      <c r="L98" s="354"/>
      <c r="M98" s="352"/>
      <c r="N98" s="557"/>
      <c r="O98" s="354"/>
      <c r="P98" s="352"/>
      <c r="Q98" s="685"/>
      <c r="R98" s="704"/>
      <c r="S98" s="355"/>
      <c r="T98" s="378"/>
      <c r="U98" s="355"/>
      <c r="V98" s="433"/>
      <c r="W98" s="433"/>
    </row>
    <row r="99" spans="1:24" s="32" customFormat="1" ht="16.5" thickBot="1" x14ac:dyDescent="0.3">
      <c r="A99" s="29" t="s">
        <v>116</v>
      </c>
      <c r="B99" s="30">
        <f>B78+B80+B91+B92+B94</f>
        <v>4249054165.4700003</v>
      </c>
      <c r="C99" s="31"/>
      <c r="D99" s="648"/>
      <c r="E99" s="165"/>
      <c r="F99" s="78">
        <f>F78+F80+F91+F92+F94</f>
        <v>4249054165.4700003</v>
      </c>
      <c r="G99" s="31"/>
      <c r="H99" s="631"/>
      <c r="I99" s="165"/>
      <c r="J99" s="78">
        <f>J78+J82+J91+J92+J96</f>
        <v>4249054165.4700003</v>
      </c>
      <c r="K99" s="30">
        <f>K78+K80+K91</f>
        <v>0</v>
      </c>
      <c r="L99" s="55"/>
      <c r="M99" s="78">
        <f>M78+M80+M91+M92+M96</f>
        <v>4247785751.2400007</v>
      </c>
      <c r="N99" s="328">
        <f>SUM(N77:N98)</f>
        <v>1268414.2299999595</v>
      </c>
      <c r="O99" s="55"/>
      <c r="P99" s="78">
        <f>P78+P80+P91+P92+P96</f>
        <v>4052054485.8599997</v>
      </c>
      <c r="Q99" s="673"/>
      <c r="R99" s="705">
        <f>SUM(R77:R98)</f>
        <v>196999679.61000001</v>
      </c>
      <c r="S99" s="611">
        <f>SUM(S77:S98)</f>
        <v>4249054165.4700003</v>
      </c>
      <c r="T99" s="222"/>
      <c r="U99" s="70">
        <f>U78+U80+U91+U98+U92+U96</f>
        <v>0</v>
      </c>
      <c r="V99" s="428"/>
      <c r="W99" s="428"/>
    </row>
    <row r="100" spans="1:24" ht="12.75" customHeight="1" x14ac:dyDescent="0.25">
      <c r="U100" s="27"/>
      <c r="V100" s="27"/>
      <c r="W100" s="27"/>
    </row>
    <row r="101" spans="1:24" ht="15.75" customHeight="1" thickBot="1" x14ac:dyDescent="0.3">
      <c r="A101" s="4" t="s">
        <v>95</v>
      </c>
    </row>
    <row r="102" spans="1:24" ht="24.75" customHeight="1" x14ac:dyDescent="0.25">
      <c r="A102" s="780" t="s">
        <v>13</v>
      </c>
      <c r="B102" s="782" t="s">
        <v>14</v>
      </c>
      <c r="C102" s="784" t="s">
        <v>2</v>
      </c>
      <c r="D102" s="784"/>
      <c r="E102" s="784"/>
      <c r="F102" s="784"/>
      <c r="G102" s="784" t="s">
        <v>3</v>
      </c>
      <c r="H102" s="784"/>
      <c r="I102" s="784"/>
      <c r="J102" s="784"/>
      <c r="K102" s="785" t="s">
        <v>20</v>
      </c>
      <c r="L102" s="799" t="s">
        <v>283</v>
      </c>
      <c r="M102" s="800"/>
      <c r="N102" s="801"/>
      <c r="O102" s="799" t="s">
        <v>285</v>
      </c>
      <c r="P102" s="800"/>
      <c r="Q102" s="800"/>
      <c r="R102" s="800"/>
      <c r="S102" s="818"/>
      <c r="T102" s="819" t="s">
        <v>96</v>
      </c>
      <c r="U102" s="811"/>
      <c r="V102" s="426"/>
      <c r="W102" s="426"/>
    </row>
    <row r="103" spans="1:24" ht="27" customHeight="1" x14ac:dyDescent="0.25">
      <c r="A103" s="781"/>
      <c r="B103" s="783"/>
      <c r="C103" s="3" t="s">
        <v>15</v>
      </c>
      <c r="D103" s="629" t="s">
        <v>16</v>
      </c>
      <c r="E103" s="164"/>
      <c r="F103" s="167" t="s">
        <v>17</v>
      </c>
      <c r="G103" s="3" t="s">
        <v>18</v>
      </c>
      <c r="H103" s="629" t="s">
        <v>16</v>
      </c>
      <c r="I103" s="552"/>
      <c r="J103" s="126" t="s">
        <v>17</v>
      </c>
      <c r="K103" s="786"/>
      <c r="L103" s="143"/>
      <c r="M103" s="125" t="s">
        <v>21</v>
      </c>
      <c r="N103" s="553" t="s">
        <v>282</v>
      </c>
      <c r="O103" s="438"/>
      <c r="P103" s="125" t="s">
        <v>284</v>
      </c>
      <c r="Q103" s="665"/>
      <c r="R103" s="665" t="s">
        <v>296</v>
      </c>
      <c r="S103" s="747" t="s">
        <v>286</v>
      </c>
      <c r="T103" s="812"/>
      <c r="U103" s="813"/>
      <c r="V103" s="426"/>
      <c r="W103" s="426"/>
    </row>
    <row r="104" spans="1:24" ht="24.75" customHeight="1" thickBot="1" x14ac:dyDescent="0.3">
      <c r="A104" s="54" t="s">
        <v>11</v>
      </c>
      <c r="B104" s="15" t="s">
        <v>12</v>
      </c>
      <c r="C104" s="3" t="s">
        <v>4</v>
      </c>
      <c r="D104" s="3" t="s">
        <v>5</v>
      </c>
      <c r="E104" s="716"/>
      <c r="F104" s="717" t="s">
        <v>6</v>
      </c>
      <c r="G104" s="3" t="s">
        <v>7</v>
      </c>
      <c r="H104" s="3" t="s">
        <v>8</v>
      </c>
      <c r="I104" s="716"/>
      <c r="J104" s="126" t="s">
        <v>9</v>
      </c>
      <c r="K104" s="3" t="s">
        <v>19</v>
      </c>
      <c r="L104" s="716"/>
      <c r="M104" s="126" t="s">
        <v>10</v>
      </c>
      <c r="N104" s="126" t="s">
        <v>305</v>
      </c>
      <c r="O104" s="314"/>
      <c r="P104" s="313" t="s">
        <v>306</v>
      </c>
      <c r="Q104" s="748"/>
      <c r="R104" s="748" t="s">
        <v>303</v>
      </c>
      <c r="S104" s="749" t="s">
        <v>307</v>
      </c>
      <c r="T104" s="220"/>
      <c r="U104" s="714" t="s">
        <v>308</v>
      </c>
      <c r="V104" s="426"/>
      <c r="W104" s="426"/>
    </row>
    <row r="105" spans="1:24" ht="15.75" customHeight="1" x14ac:dyDescent="0.25">
      <c r="A105" s="6"/>
      <c r="B105" s="76"/>
      <c r="C105" s="77"/>
      <c r="D105" s="273"/>
      <c r="E105" s="182"/>
      <c r="F105" s="180"/>
      <c r="G105" s="7"/>
      <c r="H105" s="105"/>
      <c r="I105" s="153"/>
      <c r="J105" s="137"/>
      <c r="K105" s="7"/>
      <c r="L105" s="153"/>
      <c r="M105" s="137"/>
      <c r="N105" s="559"/>
      <c r="O105" s="67"/>
      <c r="P105" s="137"/>
      <c r="Q105" s="690"/>
      <c r="R105" s="690"/>
      <c r="S105" s="615"/>
      <c r="T105" s="233"/>
      <c r="U105" s="87"/>
      <c r="V105" s="430"/>
      <c r="W105" s="430"/>
    </row>
    <row r="106" spans="1:24" ht="15.75" customHeight="1" x14ac:dyDescent="0.25">
      <c r="A106" s="8" t="s">
        <v>73</v>
      </c>
      <c r="B106" s="13">
        <v>100000000</v>
      </c>
      <c r="C106" s="2" t="s">
        <v>74</v>
      </c>
      <c r="D106" s="654" t="s">
        <v>75</v>
      </c>
      <c r="E106" s="183"/>
      <c r="F106" s="75">
        <v>100000000</v>
      </c>
      <c r="G106" s="23">
        <v>0</v>
      </c>
      <c r="H106" s="626">
        <v>0</v>
      </c>
      <c r="I106" s="59"/>
      <c r="J106" s="129">
        <v>0</v>
      </c>
      <c r="K106" s="26">
        <f>F106-J106</f>
        <v>100000000</v>
      </c>
      <c r="L106" s="154"/>
      <c r="M106" s="129">
        <v>100000000</v>
      </c>
      <c r="N106" s="562">
        <f>F106-M106</f>
        <v>0</v>
      </c>
      <c r="O106" s="74"/>
      <c r="P106" s="129">
        <v>0</v>
      </c>
      <c r="Q106" s="692"/>
      <c r="R106" s="692">
        <v>0</v>
      </c>
      <c r="S106" s="608">
        <f>P106+R106</f>
        <v>0</v>
      </c>
      <c r="T106" s="234"/>
      <c r="U106" s="80">
        <f>J106-S106</f>
        <v>0</v>
      </c>
      <c r="V106" s="429"/>
      <c r="W106" s="429"/>
      <c r="X106" s="420">
        <f>M106-P106</f>
        <v>100000000</v>
      </c>
    </row>
    <row r="107" spans="1:24" ht="15.75" customHeight="1" x14ac:dyDescent="0.25">
      <c r="A107" s="22"/>
      <c r="B107" s="13"/>
      <c r="C107" s="2"/>
      <c r="D107" s="647"/>
      <c r="E107" s="146"/>
      <c r="F107" s="75"/>
      <c r="G107" s="24"/>
      <c r="H107" s="630"/>
      <c r="I107" s="155"/>
      <c r="J107" s="129"/>
      <c r="K107" s="24"/>
      <c r="L107" s="155"/>
      <c r="M107" s="129"/>
      <c r="N107" s="562"/>
      <c r="O107" s="59"/>
      <c r="P107" s="129"/>
      <c r="Q107" s="692"/>
      <c r="R107" s="692"/>
      <c r="S107" s="616"/>
      <c r="T107" s="226"/>
      <c r="U107" s="88"/>
      <c r="V107" s="430"/>
      <c r="W107" s="430"/>
    </row>
    <row r="108" spans="1:24" ht="15.75" customHeight="1" x14ac:dyDescent="0.25">
      <c r="A108" s="8" t="s">
        <v>22</v>
      </c>
      <c r="B108" s="13">
        <v>57800000</v>
      </c>
      <c r="C108" s="2" t="s">
        <v>23</v>
      </c>
      <c r="D108" s="117" t="s">
        <v>24</v>
      </c>
      <c r="E108" s="172"/>
      <c r="F108" s="75">
        <v>57800000</v>
      </c>
      <c r="G108" s="201" t="s">
        <v>192</v>
      </c>
      <c r="H108" s="627" t="s">
        <v>188</v>
      </c>
      <c r="I108" s="59"/>
      <c r="J108" s="75">
        <v>28964483</v>
      </c>
      <c r="K108" s="16">
        <f>B108-J110</f>
        <v>13527957</v>
      </c>
      <c r="L108" s="145"/>
      <c r="M108" s="75">
        <v>57800000</v>
      </c>
      <c r="N108" s="560">
        <f>F108-M108</f>
        <v>0</v>
      </c>
      <c r="O108" s="60"/>
      <c r="P108" s="75">
        <v>28602459.020000003</v>
      </c>
      <c r="Q108" s="677"/>
      <c r="R108" s="677">
        <v>10547092.210000001</v>
      </c>
      <c r="S108" s="608">
        <f>P108+R108</f>
        <v>39149551.230000004</v>
      </c>
      <c r="T108" s="234"/>
      <c r="U108" s="80">
        <f>J110-S108</f>
        <v>5122491.7699999958</v>
      </c>
      <c r="V108" s="429"/>
      <c r="W108" s="429"/>
      <c r="X108" s="420">
        <f>M108-P108</f>
        <v>29197540.979999997</v>
      </c>
    </row>
    <row r="109" spans="1:24" ht="15.75" customHeight="1" thickBot="1" x14ac:dyDescent="0.3">
      <c r="A109" s="48"/>
      <c r="B109" s="19"/>
      <c r="C109" s="20"/>
      <c r="D109" s="627"/>
      <c r="E109" s="176"/>
      <c r="F109" s="130"/>
      <c r="G109" s="201" t="s">
        <v>225</v>
      </c>
      <c r="H109" s="627" t="s">
        <v>226</v>
      </c>
      <c r="I109" s="62"/>
      <c r="J109" s="130">
        <v>15307560</v>
      </c>
      <c r="K109" s="21"/>
      <c r="L109" s="151"/>
      <c r="M109" s="130"/>
      <c r="N109" s="564"/>
      <c r="O109" s="61"/>
      <c r="P109" s="130"/>
      <c r="Q109" s="678"/>
      <c r="R109" s="678"/>
      <c r="S109" s="609"/>
      <c r="T109" s="367"/>
      <c r="U109" s="85"/>
      <c r="V109" s="429"/>
      <c r="W109" s="429"/>
    </row>
    <row r="110" spans="1:24" ht="15.75" customHeight="1" thickBot="1" x14ac:dyDescent="0.3">
      <c r="A110" s="36" t="s">
        <v>94</v>
      </c>
      <c r="B110" s="41"/>
      <c r="C110" s="28"/>
      <c r="D110" s="255"/>
      <c r="E110" s="173"/>
      <c r="F110" s="138"/>
      <c r="G110" s="278"/>
      <c r="H110" s="255"/>
      <c r="I110" s="368"/>
      <c r="J110" s="78">
        <f>SUM(J108:J109)</f>
        <v>44272043</v>
      </c>
      <c r="K110" s="120"/>
      <c r="L110" s="156"/>
      <c r="M110" s="138"/>
      <c r="N110" s="597"/>
      <c r="O110" s="368"/>
      <c r="P110" s="138"/>
      <c r="Q110" s="695"/>
      <c r="R110" s="695"/>
      <c r="S110" s="617"/>
      <c r="T110" s="236"/>
      <c r="U110" s="122"/>
      <c r="V110" s="429"/>
      <c r="W110" s="429"/>
    </row>
    <row r="111" spans="1:24" ht="15.75" customHeight="1" x14ac:dyDescent="0.25">
      <c r="A111" s="22"/>
      <c r="B111" s="23"/>
      <c r="C111" s="24"/>
      <c r="D111" s="630"/>
      <c r="E111" s="155"/>
      <c r="F111" s="129"/>
      <c r="G111" s="24"/>
      <c r="H111" s="628"/>
      <c r="I111" s="191"/>
      <c r="J111" s="129"/>
      <c r="K111" s="24"/>
      <c r="L111" s="155"/>
      <c r="M111" s="129"/>
      <c r="N111" s="562"/>
      <c r="O111" s="59"/>
      <c r="P111" s="129"/>
      <c r="Q111" s="692"/>
      <c r="R111" s="692"/>
      <c r="S111" s="616"/>
      <c r="T111" s="226"/>
      <c r="U111" s="88"/>
      <c r="V111" s="430"/>
      <c r="W111" s="430"/>
    </row>
    <row r="112" spans="1:24" ht="15.75" customHeight="1" x14ac:dyDescent="0.25">
      <c r="A112" s="8" t="s">
        <v>40</v>
      </c>
      <c r="B112" s="75">
        <v>150500000</v>
      </c>
      <c r="C112" s="2" t="s">
        <v>45</v>
      </c>
      <c r="D112" s="117" t="s">
        <v>46</v>
      </c>
      <c r="E112" s="172"/>
      <c r="F112" s="75">
        <v>150500000</v>
      </c>
      <c r="G112" s="24" t="s">
        <v>26</v>
      </c>
      <c r="H112" s="628" t="s">
        <v>27</v>
      </c>
      <c r="I112" s="191"/>
      <c r="J112" s="129">
        <v>72274819</v>
      </c>
      <c r="K112" s="26">
        <f>F112-J116</f>
        <v>0</v>
      </c>
      <c r="L112" s="154"/>
      <c r="M112" s="129">
        <v>150500000</v>
      </c>
      <c r="N112" s="562">
        <f>F112-M112</f>
        <v>0</v>
      </c>
      <c r="O112" s="59"/>
      <c r="P112" s="129">
        <v>138878130.34999999</v>
      </c>
      <c r="Q112" s="692"/>
      <c r="R112" s="692">
        <v>5192907.79</v>
      </c>
      <c r="S112" s="608">
        <f>P112+R112</f>
        <v>144071038.13999999</v>
      </c>
      <c r="T112" s="234"/>
      <c r="U112" s="80">
        <f>J116-S112</f>
        <v>6428961.8600000143</v>
      </c>
      <c r="V112" s="429"/>
      <c r="W112" s="429"/>
      <c r="X112" s="420">
        <f>M112-P112</f>
        <v>11621869.650000006</v>
      </c>
    </row>
    <row r="113" spans="1:24" ht="15.75" customHeight="1" x14ac:dyDescent="0.25">
      <c r="A113" s="8"/>
      <c r="B113" s="13"/>
      <c r="C113" s="2"/>
      <c r="D113" s="647"/>
      <c r="E113" s="146"/>
      <c r="F113" s="159"/>
      <c r="G113" s="293" t="s">
        <v>99</v>
      </c>
      <c r="H113" s="627" t="s">
        <v>98</v>
      </c>
      <c r="I113" s="176"/>
      <c r="J113" s="130">
        <v>23972475</v>
      </c>
      <c r="K113" s="2"/>
      <c r="L113" s="146"/>
      <c r="M113" s="75"/>
      <c r="N113" s="560"/>
      <c r="O113" s="60"/>
      <c r="P113" s="75"/>
      <c r="Q113" s="677"/>
      <c r="R113" s="677"/>
      <c r="S113" s="618"/>
      <c r="T113" s="227"/>
      <c r="U113" s="82"/>
      <c r="V113" s="430"/>
      <c r="W113" s="430"/>
    </row>
    <row r="114" spans="1:24" ht="15.75" customHeight="1" x14ac:dyDescent="0.25">
      <c r="A114" s="48"/>
      <c r="B114" s="49"/>
      <c r="C114" s="50"/>
      <c r="D114" s="3"/>
      <c r="E114" s="148"/>
      <c r="F114" s="160"/>
      <c r="G114" s="293" t="s">
        <v>169</v>
      </c>
      <c r="H114" s="627" t="s">
        <v>170</v>
      </c>
      <c r="I114" s="176"/>
      <c r="J114" s="130">
        <v>28470327</v>
      </c>
      <c r="K114" s="50"/>
      <c r="L114" s="148"/>
      <c r="M114" s="131"/>
      <c r="N114" s="591"/>
      <c r="O114" s="62"/>
      <c r="P114" s="131"/>
      <c r="Q114" s="676"/>
      <c r="R114" s="676"/>
      <c r="S114" s="619"/>
      <c r="U114" s="84"/>
      <c r="V114" s="430"/>
      <c r="W114" s="430"/>
    </row>
    <row r="115" spans="1:24" ht="15.75" customHeight="1" thickBot="1" x14ac:dyDescent="0.3">
      <c r="A115" s="9"/>
      <c r="B115" s="14"/>
      <c r="C115" s="10"/>
      <c r="D115" s="108"/>
      <c r="E115" s="157"/>
      <c r="F115" s="162"/>
      <c r="G115" s="201" t="s">
        <v>192</v>
      </c>
      <c r="H115" s="627" t="s">
        <v>188</v>
      </c>
      <c r="I115" s="177"/>
      <c r="J115" s="139">
        <v>25782379</v>
      </c>
      <c r="K115" s="10"/>
      <c r="L115" s="157"/>
      <c r="M115" s="139"/>
      <c r="N115" s="598"/>
      <c r="O115" s="68"/>
      <c r="P115" s="139"/>
      <c r="Q115" s="699"/>
      <c r="R115" s="699"/>
      <c r="S115" s="620"/>
      <c r="T115" s="225"/>
      <c r="U115" s="102"/>
      <c r="V115" s="430"/>
      <c r="W115" s="430"/>
    </row>
    <row r="116" spans="1:24" ht="15.75" customHeight="1" thickBot="1" x14ac:dyDescent="0.3">
      <c r="A116" s="36" t="s">
        <v>94</v>
      </c>
      <c r="B116" s="41"/>
      <c r="C116" s="28"/>
      <c r="D116" s="255"/>
      <c r="E116" s="173"/>
      <c r="F116" s="138"/>
      <c r="G116" s="278"/>
      <c r="H116" s="255"/>
      <c r="I116" s="368"/>
      <c r="J116" s="78">
        <f>SUM(J112:J115)</f>
        <v>150500000</v>
      </c>
      <c r="K116" s="120"/>
      <c r="L116" s="156"/>
      <c r="M116" s="138"/>
      <c r="N116" s="597"/>
      <c r="O116" s="368"/>
      <c r="P116" s="138"/>
      <c r="Q116" s="695"/>
      <c r="R116" s="695"/>
      <c r="S116" s="617"/>
      <c r="T116" s="236"/>
      <c r="U116" s="122"/>
      <c r="V116" s="429"/>
      <c r="W116" s="429"/>
    </row>
    <row r="117" spans="1:24" ht="15.75" customHeight="1" thickBot="1" x14ac:dyDescent="0.3">
      <c r="A117" s="29" t="s">
        <v>117</v>
      </c>
      <c r="B117" s="30">
        <f>SUM(B106:B115)</f>
        <v>308300000</v>
      </c>
      <c r="C117" s="31"/>
      <c r="D117" s="648"/>
      <c r="E117" s="165"/>
      <c r="F117" s="78">
        <f>SUM(F105:F115)</f>
        <v>308300000</v>
      </c>
      <c r="G117" s="31"/>
      <c r="H117" s="631"/>
      <c r="I117" s="165"/>
      <c r="J117" s="78">
        <f>J110+J116</f>
        <v>194772043</v>
      </c>
      <c r="K117" s="30">
        <f>SUM(K106:K115)</f>
        <v>113527957</v>
      </c>
      <c r="L117" s="55"/>
      <c r="M117" s="78">
        <f>SUM(M106:M115)</f>
        <v>308300000</v>
      </c>
      <c r="N117" s="78">
        <f>SUM(N106:N115)</f>
        <v>0</v>
      </c>
      <c r="O117" s="55"/>
      <c r="P117" s="78">
        <f>SUM(P106:P115)</f>
        <v>167480589.37</v>
      </c>
      <c r="Q117" s="673">
        <f t="shared" ref="Q117:R117" si="0">SUM(Q106:Q115)</f>
        <v>0</v>
      </c>
      <c r="R117" s="673">
        <f t="shared" si="0"/>
        <v>15740000</v>
      </c>
      <c r="S117" s="611">
        <f>SUM(S106:S115)</f>
        <v>183220589.37</v>
      </c>
      <c r="T117" s="222"/>
      <c r="U117" s="70">
        <f>SUM(U106:U115)</f>
        <v>11551453.63000001</v>
      </c>
      <c r="V117" s="428"/>
      <c r="W117" s="428"/>
    </row>
    <row r="118" spans="1:24" ht="15.75" customHeight="1" thickBot="1" x14ac:dyDescent="0.3">
      <c r="A118" s="29" t="s">
        <v>118</v>
      </c>
      <c r="B118" s="30">
        <f>B117+B99+B71</f>
        <v>31357916039.989998</v>
      </c>
      <c r="C118" s="31"/>
      <c r="D118" s="648"/>
      <c r="E118" s="165"/>
      <c r="F118" s="78">
        <f>F117+F99+F71</f>
        <v>31357916039.989998</v>
      </c>
      <c r="G118" s="31"/>
      <c r="H118" s="631"/>
      <c r="I118" s="165"/>
      <c r="J118" s="78">
        <f>J117+J99+J71</f>
        <v>29391252192.989998</v>
      </c>
      <c r="K118" s="30">
        <f>K117+K99+K71</f>
        <v>1966663848</v>
      </c>
      <c r="L118" s="55"/>
      <c r="M118" s="78">
        <f>M117+M99+M71</f>
        <v>30798836142.371002</v>
      </c>
      <c r="N118" s="78">
        <f>N117+N99+N71</f>
        <v>74679947.619998932</v>
      </c>
      <c r="O118" s="55"/>
      <c r="P118" s="78">
        <f>P117+P99+P71</f>
        <v>28938742304.09</v>
      </c>
      <c r="Q118" s="673"/>
      <c r="R118" s="673">
        <f>R117+R99+R71</f>
        <v>872150258.03999996</v>
      </c>
      <c r="S118" s="611">
        <f>S117+S99+S71</f>
        <v>29237119166.880001</v>
      </c>
      <c r="T118" s="222"/>
      <c r="U118" s="70">
        <f>U117+U99+U71</f>
        <v>154133026.10999954</v>
      </c>
      <c r="V118" s="428"/>
      <c r="W118" s="428"/>
    </row>
    <row r="119" spans="1:24" ht="15.75" customHeight="1" x14ac:dyDescent="0.25">
      <c r="B119" s="37"/>
      <c r="C119" s="32"/>
      <c r="D119" s="656"/>
      <c r="E119" s="32"/>
      <c r="F119" s="37"/>
      <c r="G119" s="32"/>
      <c r="H119" s="636"/>
      <c r="I119" s="32"/>
      <c r="J119" s="37"/>
      <c r="K119" s="37"/>
      <c r="L119" s="37"/>
      <c r="M119" s="37"/>
      <c r="N119" s="37"/>
      <c r="O119" s="37"/>
      <c r="P119" s="37"/>
      <c r="Q119" s="37"/>
      <c r="R119" s="37"/>
      <c r="S119" s="37"/>
      <c r="U119" s="37"/>
      <c r="V119" s="37"/>
      <c r="W119" s="37"/>
    </row>
    <row r="120" spans="1:24" ht="15.75" customHeight="1" thickBot="1" x14ac:dyDescent="0.3">
      <c r="A120" s="4" t="s">
        <v>201</v>
      </c>
    </row>
    <row r="121" spans="1:24" ht="15.75" customHeight="1" x14ac:dyDescent="0.25">
      <c r="A121" s="780" t="s">
        <v>13</v>
      </c>
      <c r="B121" s="782" t="s">
        <v>14</v>
      </c>
      <c r="C121" s="784" t="s">
        <v>2</v>
      </c>
      <c r="D121" s="784"/>
      <c r="E121" s="784"/>
      <c r="F121" s="784"/>
      <c r="G121" s="784" t="s">
        <v>3</v>
      </c>
      <c r="H121" s="784"/>
      <c r="I121" s="784"/>
      <c r="J121" s="784"/>
      <c r="K121" s="785" t="s">
        <v>20</v>
      </c>
      <c r="L121" s="799" t="s">
        <v>283</v>
      </c>
      <c r="M121" s="800"/>
      <c r="N121" s="801"/>
      <c r="O121" s="799" t="s">
        <v>285</v>
      </c>
      <c r="P121" s="800"/>
      <c r="Q121" s="800"/>
      <c r="R121" s="800"/>
      <c r="S121" s="800"/>
      <c r="T121" s="821" t="s">
        <v>96</v>
      </c>
      <c r="U121" s="811"/>
      <c r="V121" s="426"/>
      <c r="W121" s="426"/>
    </row>
    <row r="122" spans="1:24" ht="30" customHeight="1" x14ac:dyDescent="0.25">
      <c r="A122" s="781"/>
      <c r="B122" s="783"/>
      <c r="C122" s="3" t="s">
        <v>15</v>
      </c>
      <c r="D122" s="629" t="s">
        <v>16</v>
      </c>
      <c r="E122" s="164"/>
      <c r="F122" s="167" t="s">
        <v>17</v>
      </c>
      <c r="G122" s="3" t="s">
        <v>18</v>
      </c>
      <c r="H122" s="629" t="s">
        <v>16</v>
      </c>
      <c r="I122" s="552"/>
      <c r="J122" s="126" t="s">
        <v>17</v>
      </c>
      <c r="K122" s="786"/>
      <c r="L122" s="143"/>
      <c r="M122" s="125" t="s">
        <v>21</v>
      </c>
      <c r="N122" s="553" t="s">
        <v>282</v>
      </c>
      <c r="O122" s="438"/>
      <c r="P122" s="125" t="s">
        <v>284</v>
      </c>
      <c r="Q122" s="665"/>
      <c r="R122" s="665" t="s">
        <v>296</v>
      </c>
      <c r="S122" s="73" t="s">
        <v>286</v>
      </c>
      <c r="T122" s="822"/>
      <c r="U122" s="813"/>
      <c r="V122" s="426"/>
      <c r="W122" s="426"/>
    </row>
    <row r="123" spans="1:24" ht="15.75" customHeight="1" x14ac:dyDescent="0.25">
      <c r="A123" s="54" t="s">
        <v>11</v>
      </c>
      <c r="B123" s="15" t="s">
        <v>12</v>
      </c>
      <c r="C123" s="3" t="s">
        <v>4</v>
      </c>
      <c r="D123" s="3" t="s">
        <v>5</v>
      </c>
      <c r="E123" s="716"/>
      <c r="F123" s="717" t="s">
        <v>6</v>
      </c>
      <c r="G123" s="3" t="s">
        <v>7</v>
      </c>
      <c r="H123" s="3" t="s">
        <v>8</v>
      </c>
      <c r="I123" s="716"/>
      <c r="J123" s="126" t="s">
        <v>9</v>
      </c>
      <c r="K123" s="3" t="s">
        <v>19</v>
      </c>
      <c r="L123" s="716"/>
      <c r="M123" s="126" t="s">
        <v>10</v>
      </c>
      <c r="N123" s="126" t="s">
        <v>305</v>
      </c>
      <c r="O123" s="58"/>
      <c r="P123" s="126" t="s">
        <v>306</v>
      </c>
      <c r="Q123" s="666"/>
      <c r="R123" s="666" t="s">
        <v>303</v>
      </c>
      <c r="S123" s="746" t="s">
        <v>307</v>
      </c>
      <c r="T123" s="220"/>
      <c r="U123" s="714" t="s">
        <v>308</v>
      </c>
      <c r="V123" s="426"/>
      <c r="W123" s="426"/>
    </row>
    <row r="124" spans="1:24" ht="15.75" customHeight="1" x14ac:dyDescent="0.25">
      <c r="A124" s="22" t="s">
        <v>51</v>
      </c>
      <c r="B124" s="23">
        <v>3929360000</v>
      </c>
      <c r="C124" s="24" t="s">
        <v>64</v>
      </c>
      <c r="D124" s="628" t="s">
        <v>62</v>
      </c>
      <c r="E124" s="191"/>
      <c r="F124" s="129">
        <v>3929360000</v>
      </c>
      <c r="G124" s="24" t="s">
        <v>65</v>
      </c>
      <c r="H124" s="628" t="s">
        <v>62</v>
      </c>
      <c r="I124" s="191"/>
      <c r="J124" s="129">
        <v>3929360000</v>
      </c>
      <c r="K124" s="26">
        <f>F124-J124</f>
        <v>0</v>
      </c>
      <c r="L124" s="154"/>
      <c r="M124" s="129">
        <v>3929360000</v>
      </c>
      <c r="N124" s="562">
        <f>F124-M124</f>
        <v>0</v>
      </c>
      <c r="O124" s="59"/>
      <c r="P124" s="129">
        <v>3741081219.4499993</v>
      </c>
      <c r="Q124" s="692"/>
      <c r="R124" s="692">
        <v>188278780.55000001</v>
      </c>
      <c r="S124" s="448">
        <f>P124+R124</f>
        <v>3929359999.9999995</v>
      </c>
      <c r="T124" s="622"/>
      <c r="U124" s="80">
        <f>J124-S124</f>
        <v>0</v>
      </c>
      <c r="V124" s="429"/>
      <c r="W124" s="429"/>
      <c r="X124" s="420">
        <f>M124-P124</f>
        <v>188278780.55000067</v>
      </c>
    </row>
    <row r="125" spans="1:24" ht="15.75" customHeight="1" x14ac:dyDescent="0.25">
      <c r="A125" s="8" t="s">
        <v>71</v>
      </c>
      <c r="B125" s="13">
        <v>520818471.00999999</v>
      </c>
      <c r="C125" s="2"/>
      <c r="D125" s="117"/>
      <c r="E125" s="172"/>
      <c r="F125" s="75">
        <v>520818471.00999999</v>
      </c>
      <c r="G125" s="2"/>
      <c r="H125" s="117"/>
      <c r="I125" s="172"/>
      <c r="J125" s="141">
        <v>520818471.00999999</v>
      </c>
      <c r="K125" s="16"/>
      <c r="L125" s="145"/>
      <c r="M125" s="141">
        <v>520818471.00999999</v>
      </c>
      <c r="N125" s="563">
        <f>F125-M125</f>
        <v>0</v>
      </c>
      <c r="O125" s="69"/>
      <c r="P125" s="141">
        <v>510063352.06000012</v>
      </c>
      <c r="Q125" s="707"/>
      <c r="R125" s="707">
        <v>10755118.949999999</v>
      </c>
      <c r="S125" s="608">
        <f>P125+R125</f>
        <v>520818471.01000011</v>
      </c>
      <c r="T125" s="238"/>
      <c r="U125" s="81">
        <f>J125-S125</f>
        <v>0</v>
      </c>
      <c r="V125" s="429"/>
      <c r="W125" s="429"/>
      <c r="X125" s="420">
        <f>M125-P125</f>
        <v>10755118.949999869</v>
      </c>
    </row>
    <row r="126" spans="1:24" ht="15.75" customHeight="1" x14ac:dyDescent="0.25">
      <c r="A126" s="8" t="s">
        <v>231</v>
      </c>
      <c r="B126" s="13">
        <v>803980000</v>
      </c>
      <c r="C126" s="20" t="s">
        <v>105</v>
      </c>
      <c r="D126" s="117" t="s">
        <v>107</v>
      </c>
      <c r="E126" s="172"/>
      <c r="F126" s="75">
        <v>803980000</v>
      </c>
      <c r="G126" s="116" t="s">
        <v>112</v>
      </c>
      <c r="H126" s="117" t="s">
        <v>113</v>
      </c>
      <c r="I126" s="172"/>
      <c r="J126" s="75">
        <v>803980000</v>
      </c>
      <c r="K126" s="16">
        <f t="shared" ref="K126" si="1">F126-J126</f>
        <v>0</v>
      </c>
      <c r="L126" s="145"/>
      <c r="M126" s="75">
        <v>803980000</v>
      </c>
      <c r="N126" s="563">
        <f>F126-M126</f>
        <v>0</v>
      </c>
      <c r="O126" s="60"/>
      <c r="P126" s="75">
        <v>577551838.34000015</v>
      </c>
      <c r="Q126" s="677"/>
      <c r="R126" s="677">
        <v>134320108.94</v>
      </c>
      <c r="S126" s="608">
        <f>P126+R126</f>
        <v>711871947.28000021</v>
      </c>
      <c r="T126" s="227"/>
      <c r="U126" s="81">
        <f>J126-S126</f>
        <v>92108052.71999979</v>
      </c>
      <c r="V126" s="429"/>
      <c r="W126" s="429"/>
      <c r="X126" s="420">
        <f>M126-P126</f>
        <v>226428161.65999985</v>
      </c>
    </row>
    <row r="127" spans="1:24" ht="15.75" customHeight="1" x14ac:dyDescent="0.25">
      <c r="A127" s="789" t="s">
        <v>128</v>
      </c>
      <c r="B127" s="791">
        <v>394400000</v>
      </c>
      <c r="C127" s="793" t="s">
        <v>104</v>
      </c>
      <c r="D127" s="795" t="s">
        <v>106</v>
      </c>
      <c r="E127" s="797"/>
      <c r="F127" s="787">
        <v>394400000</v>
      </c>
      <c r="G127" s="201" t="s">
        <v>111</v>
      </c>
      <c r="H127" s="627" t="s">
        <v>114</v>
      </c>
      <c r="I127" s="202"/>
      <c r="J127" s="203">
        <v>207400000</v>
      </c>
      <c r="K127" s="806">
        <f>F127-J127-J128</f>
        <v>0</v>
      </c>
      <c r="L127" s="829"/>
      <c r="M127" s="787">
        <f>'[3]NHA Resettlement Sites 1'!$F$307</f>
        <v>287410688.86999995</v>
      </c>
      <c r="N127" s="791">
        <f>F127-M127</f>
        <v>106989311.13000005</v>
      </c>
      <c r="O127" s="823"/>
      <c r="P127" s="787">
        <v>245292985.41000003</v>
      </c>
      <c r="Q127" s="670"/>
      <c r="R127" s="814">
        <v>55412000</v>
      </c>
      <c r="S127" s="816">
        <f>P127+R127</f>
        <v>300704985.41000003</v>
      </c>
      <c r="T127" s="825"/>
      <c r="U127" s="827">
        <f>J127+J128-S127</f>
        <v>93695014.589999974</v>
      </c>
      <c r="V127" s="435"/>
      <c r="W127" s="435"/>
    </row>
    <row r="128" spans="1:24" ht="15.75" customHeight="1" x14ac:dyDescent="0.25">
      <c r="A128" s="790"/>
      <c r="B128" s="792"/>
      <c r="C128" s="794"/>
      <c r="D128" s="796"/>
      <c r="E128" s="798"/>
      <c r="F128" s="788"/>
      <c r="G128" s="201" t="s">
        <v>191</v>
      </c>
      <c r="H128" s="627" t="s">
        <v>188</v>
      </c>
      <c r="I128" s="202"/>
      <c r="J128" s="203">
        <v>187000000</v>
      </c>
      <c r="K128" s="807"/>
      <c r="L128" s="830"/>
      <c r="M128" s="788"/>
      <c r="N128" s="792"/>
      <c r="O128" s="824"/>
      <c r="P128" s="788"/>
      <c r="Q128" s="672"/>
      <c r="R128" s="815"/>
      <c r="S128" s="817"/>
      <c r="T128" s="826"/>
      <c r="U128" s="828"/>
      <c r="V128" s="435"/>
      <c r="W128" s="435"/>
    </row>
    <row r="129" spans="1:24" ht="15.75" customHeight="1" x14ac:dyDescent="0.25">
      <c r="A129" s="18" t="s">
        <v>128</v>
      </c>
      <c r="B129" s="19">
        <v>659600000</v>
      </c>
      <c r="C129" s="20" t="s">
        <v>126</v>
      </c>
      <c r="D129" s="627" t="s">
        <v>121</v>
      </c>
      <c r="E129" s="176"/>
      <c r="F129" s="130">
        <v>659600000</v>
      </c>
      <c r="G129" s="124" t="s">
        <v>127</v>
      </c>
      <c r="H129" s="627" t="s">
        <v>127</v>
      </c>
      <c r="I129" s="193"/>
      <c r="J129" s="130">
        <v>0</v>
      </c>
      <c r="K129" s="21">
        <f t="shared" ref="K129:K136" si="2">F129-J129</f>
        <v>659600000</v>
      </c>
      <c r="L129" s="151"/>
      <c r="M129" s="130">
        <v>0</v>
      </c>
      <c r="N129" s="563">
        <f>F129-M129</f>
        <v>659600000</v>
      </c>
      <c r="O129" s="61"/>
      <c r="P129" s="130">
        <v>0</v>
      </c>
      <c r="Q129" s="678"/>
      <c r="R129" s="678">
        <v>0</v>
      </c>
      <c r="S129" s="608">
        <f>P129+R129</f>
        <v>0</v>
      </c>
      <c r="T129" s="228"/>
      <c r="U129" s="81">
        <f>J129-S129</f>
        <v>0</v>
      </c>
      <c r="V129" s="429"/>
      <c r="W129" s="429"/>
    </row>
    <row r="130" spans="1:24" ht="15.75" customHeight="1" x14ac:dyDescent="0.25">
      <c r="A130" s="18" t="s">
        <v>156</v>
      </c>
      <c r="B130" s="19">
        <v>100000000</v>
      </c>
      <c r="C130" s="123" t="s">
        <v>124</v>
      </c>
      <c r="D130" s="627" t="s">
        <v>123</v>
      </c>
      <c r="E130" s="176"/>
      <c r="F130" s="130">
        <v>100000000</v>
      </c>
      <c r="G130" s="123" t="s">
        <v>125</v>
      </c>
      <c r="H130" s="627" t="s">
        <v>123</v>
      </c>
      <c r="I130" s="176"/>
      <c r="J130" s="130">
        <v>100000000</v>
      </c>
      <c r="K130" s="21">
        <f t="shared" si="2"/>
        <v>0</v>
      </c>
      <c r="L130" s="151"/>
      <c r="M130" s="130">
        <v>100000000</v>
      </c>
      <c r="N130" s="563">
        <f>F130-M130</f>
        <v>0</v>
      </c>
      <c r="O130" s="61"/>
      <c r="P130" s="130">
        <v>100000000</v>
      </c>
      <c r="Q130" s="678"/>
      <c r="R130" s="678">
        <v>0</v>
      </c>
      <c r="S130" s="608">
        <f>P130+R130</f>
        <v>100000000</v>
      </c>
      <c r="T130" s="228"/>
      <c r="U130" s="81">
        <f t="shared" ref="U130:U136" si="3">J130-S130</f>
        <v>0</v>
      </c>
      <c r="V130" s="429"/>
      <c r="W130" s="429"/>
      <c r="X130" s="420">
        <f t="shared" ref="X130:X143" si="4">M130-P130</f>
        <v>0</v>
      </c>
    </row>
    <row r="131" spans="1:24" ht="15.75" customHeight="1" x14ac:dyDescent="0.25">
      <c r="A131" s="18" t="s">
        <v>156</v>
      </c>
      <c r="B131" s="19">
        <v>100000000</v>
      </c>
      <c r="C131" s="123" t="s">
        <v>134</v>
      </c>
      <c r="D131" s="627" t="s">
        <v>135</v>
      </c>
      <c r="E131" s="176"/>
      <c r="F131" s="130">
        <v>100000000</v>
      </c>
      <c r="G131" s="123" t="s">
        <v>136</v>
      </c>
      <c r="H131" s="627" t="s">
        <v>135</v>
      </c>
      <c r="I131" s="176"/>
      <c r="J131" s="130">
        <v>100000000</v>
      </c>
      <c r="K131" s="21">
        <f t="shared" si="2"/>
        <v>0</v>
      </c>
      <c r="L131" s="151"/>
      <c r="M131" s="130">
        <v>100000000</v>
      </c>
      <c r="N131" s="563">
        <f t="shared" ref="N131:N136" si="5">F131-M131</f>
        <v>0</v>
      </c>
      <c r="O131" s="61"/>
      <c r="P131" s="130">
        <v>100000000</v>
      </c>
      <c r="Q131" s="678"/>
      <c r="R131" s="678">
        <v>0</v>
      </c>
      <c r="S131" s="608">
        <f>P131+R131</f>
        <v>100000000</v>
      </c>
      <c r="T131" s="228"/>
      <c r="U131" s="81">
        <f t="shared" si="3"/>
        <v>0</v>
      </c>
      <c r="V131" s="429"/>
      <c r="W131" s="429"/>
      <c r="X131" s="420">
        <f t="shared" si="4"/>
        <v>0</v>
      </c>
    </row>
    <row r="132" spans="1:24" ht="15.75" customHeight="1" x14ac:dyDescent="0.25">
      <c r="A132" s="18" t="s">
        <v>157</v>
      </c>
      <c r="B132" s="19">
        <v>100000000</v>
      </c>
      <c r="C132" s="123" t="s">
        <v>158</v>
      </c>
      <c r="D132" s="627" t="s">
        <v>159</v>
      </c>
      <c r="E132" s="176"/>
      <c r="F132" s="130">
        <v>100000000</v>
      </c>
      <c r="G132" s="123" t="s">
        <v>160</v>
      </c>
      <c r="H132" s="627" t="s">
        <v>159</v>
      </c>
      <c r="I132" s="176"/>
      <c r="J132" s="130">
        <v>100000000</v>
      </c>
      <c r="K132" s="21">
        <f t="shared" si="2"/>
        <v>0</v>
      </c>
      <c r="L132" s="151"/>
      <c r="M132" s="130">
        <v>100000000</v>
      </c>
      <c r="N132" s="563">
        <f t="shared" si="5"/>
        <v>0</v>
      </c>
      <c r="O132" s="61"/>
      <c r="P132" s="130">
        <v>99904116.819999993</v>
      </c>
      <c r="Q132" s="678"/>
      <c r="R132" s="678">
        <v>0</v>
      </c>
      <c r="S132" s="608">
        <f>P132+R132</f>
        <v>99904116.819999993</v>
      </c>
      <c r="T132" s="228"/>
      <c r="U132" s="81">
        <f t="shared" si="3"/>
        <v>95883.180000007153</v>
      </c>
      <c r="V132" s="429"/>
      <c r="W132" s="429"/>
      <c r="X132" s="420">
        <f t="shared" si="4"/>
        <v>95883.180000007153</v>
      </c>
    </row>
    <row r="133" spans="1:24" ht="15.75" customHeight="1" x14ac:dyDescent="0.25">
      <c r="A133" s="18" t="s">
        <v>174</v>
      </c>
      <c r="B133" s="19">
        <v>100000000</v>
      </c>
      <c r="C133" s="123" t="s">
        <v>176</v>
      </c>
      <c r="D133" s="627" t="s">
        <v>178</v>
      </c>
      <c r="E133" s="176"/>
      <c r="F133" s="130">
        <v>100000000</v>
      </c>
      <c r="G133" s="201" t="s">
        <v>189</v>
      </c>
      <c r="H133" s="627" t="s">
        <v>188</v>
      </c>
      <c r="I133" s="193"/>
      <c r="J133" s="130">
        <v>100000000</v>
      </c>
      <c r="K133" s="21">
        <f t="shared" si="2"/>
        <v>0</v>
      </c>
      <c r="L133" s="151"/>
      <c r="M133" s="130">
        <v>100000000</v>
      </c>
      <c r="N133" s="563">
        <f t="shared" si="5"/>
        <v>0</v>
      </c>
      <c r="O133" s="61"/>
      <c r="P133" s="130">
        <v>71577931.640000001</v>
      </c>
      <c r="Q133" s="678"/>
      <c r="R133" s="678">
        <v>0</v>
      </c>
      <c r="S133" s="608">
        <f t="shared" ref="S133:S136" si="6">P133+R133</f>
        <v>71577931.640000001</v>
      </c>
      <c r="T133" s="228"/>
      <c r="U133" s="81">
        <f t="shared" si="3"/>
        <v>28422068.359999999</v>
      </c>
      <c r="V133" s="429"/>
      <c r="W133" s="429"/>
      <c r="X133" s="420">
        <f t="shared" si="4"/>
        <v>28422068.359999999</v>
      </c>
    </row>
    <row r="134" spans="1:24" ht="15.75" customHeight="1" x14ac:dyDescent="0.25">
      <c r="A134" s="18" t="s">
        <v>175</v>
      </c>
      <c r="B134" s="19">
        <v>298560000</v>
      </c>
      <c r="C134" s="123" t="s">
        <v>177</v>
      </c>
      <c r="D134" s="627" t="s">
        <v>179</v>
      </c>
      <c r="E134" s="176"/>
      <c r="F134" s="75">
        <v>298560000</v>
      </c>
      <c r="G134" s="201" t="s">
        <v>189</v>
      </c>
      <c r="H134" s="627" t="s">
        <v>188</v>
      </c>
      <c r="I134" s="193"/>
      <c r="J134" s="75">
        <v>298560000</v>
      </c>
      <c r="K134" s="21">
        <f t="shared" si="2"/>
        <v>0</v>
      </c>
      <c r="L134" s="151"/>
      <c r="M134" s="75">
        <v>298560000</v>
      </c>
      <c r="N134" s="563">
        <f t="shared" si="5"/>
        <v>0</v>
      </c>
      <c r="O134" s="305"/>
      <c r="P134" s="130">
        <v>256493371.90000001</v>
      </c>
      <c r="Q134" s="678"/>
      <c r="R134" s="678">
        <v>0</v>
      </c>
      <c r="S134" s="608">
        <f t="shared" si="6"/>
        <v>256493371.90000001</v>
      </c>
      <c r="T134" s="228"/>
      <c r="U134" s="81">
        <f t="shared" si="3"/>
        <v>42066628.099999994</v>
      </c>
      <c r="V134" s="429"/>
      <c r="W134" s="429"/>
      <c r="X134" s="420">
        <f t="shared" si="4"/>
        <v>42066628.099999994</v>
      </c>
    </row>
    <row r="135" spans="1:24" ht="15.75" customHeight="1" x14ac:dyDescent="0.25">
      <c r="A135" s="209" t="s">
        <v>144</v>
      </c>
      <c r="B135" s="210">
        <v>15865308</v>
      </c>
      <c r="C135" s="201" t="s">
        <v>145</v>
      </c>
      <c r="D135" s="117" t="s">
        <v>146</v>
      </c>
      <c r="E135" s="211"/>
      <c r="F135" s="212">
        <v>15865308</v>
      </c>
      <c r="G135" s="201" t="s">
        <v>147</v>
      </c>
      <c r="H135" s="117" t="s">
        <v>146</v>
      </c>
      <c r="I135" s="211"/>
      <c r="J135" s="212">
        <v>15865308</v>
      </c>
      <c r="K135" s="204">
        <f t="shared" si="2"/>
        <v>0</v>
      </c>
      <c r="L135" s="213"/>
      <c r="M135" s="212">
        <v>15865307.779999999</v>
      </c>
      <c r="N135" s="563">
        <f t="shared" si="5"/>
        <v>0.22000000067055225</v>
      </c>
      <c r="O135" s="214"/>
      <c r="P135" s="212">
        <v>15865307.779999999</v>
      </c>
      <c r="Q135" s="708"/>
      <c r="R135" s="708">
        <v>0</v>
      </c>
      <c r="S135" s="608">
        <f t="shared" si="6"/>
        <v>15865307.779999999</v>
      </c>
      <c r="T135" s="227"/>
      <c r="U135" s="81">
        <f t="shared" si="3"/>
        <v>0.22000000067055225</v>
      </c>
      <c r="V135" s="436"/>
      <c r="W135" s="436"/>
      <c r="X135" s="420">
        <f t="shared" si="4"/>
        <v>0</v>
      </c>
    </row>
    <row r="136" spans="1:24" ht="31.5" customHeight="1" x14ac:dyDescent="0.25">
      <c r="A136" s="209" t="s">
        <v>233</v>
      </c>
      <c r="B136" s="210">
        <v>48136015</v>
      </c>
      <c r="C136" s="201" t="s">
        <v>148</v>
      </c>
      <c r="D136" s="117" t="s">
        <v>149</v>
      </c>
      <c r="E136" s="211"/>
      <c r="F136" s="212">
        <v>48136015</v>
      </c>
      <c r="G136" s="201" t="s">
        <v>150</v>
      </c>
      <c r="H136" s="117" t="s">
        <v>151</v>
      </c>
      <c r="I136" s="217"/>
      <c r="J136" s="212">
        <v>48136015</v>
      </c>
      <c r="K136" s="204">
        <f t="shared" si="2"/>
        <v>0</v>
      </c>
      <c r="L136" s="213"/>
      <c r="M136" s="212">
        <v>48136015</v>
      </c>
      <c r="N136" s="563">
        <f t="shared" si="5"/>
        <v>0</v>
      </c>
      <c r="O136" s="217"/>
      <c r="P136" s="212">
        <v>48136015</v>
      </c>
      <c r="Q136" s="708"/>
      <c r="R136" s="708">
        <v>0</v>
      </c>
      <c r="S136" s="608">
        <f t="shared" si="6"/>
        <v>48136015</v>
      </c>
      <c r="T136" s="240"/>
      <c r="U136" s="215">
        <f t="shared" si="3"/>
        <v>0</v>
      </c>
      <c r="V136" s="436"/>
      <c r="W136" s="436"/>
      <c r="X136" s="420">
        <f t="shared" si="4"/>
        <v>0</v>
      </c>
    </row>
    <row r="137" spans="1:24" ht="15.75" customHeight="1" x14ac:dyDescent="0.25">
      <c r="A137" s="802" t="s">
        <v>152</v>
      </c>
      <c r="B137" s="791">
        <v>509414488</v>
      </c>
      <c r="C137" s="804" t="s">
        <v>153</v>
      </c>
      <c r="D137" s="795" t="s">
        <v>146</v>
      </c>
      <c r="E137" s="797"/>
      <c r="F137" s="787">
        <v>509414488</v>
      </c>
      <c r="G137" s="201" t="s">
        <v>154</v>
      </c>
      <c r="H137" s="627" t="s">
        <v>146</v>
      </c>
      <c r="I137" s="202"/>
      <c r="J137" s="203">
        <v>34360000</v>
      </c>
      <c r="K137" s="806">
        <f>F137-J137-J138</f>
        <v>425054488</v>
      </c>
      <c r="L137" s="808" t="s">
        <v>140</v>
      </c>
      <c r="M137" s="787">
        <v>509414488</v>
      </c>
      <c r="N137" s="791">
        <f>F137-M137</f>
        <v>0</v>
      </c>
      <c r="O137" s="823"/>
      <c r="P137" s="787">
        <v>49964463.759999998</v>
      </c>
      <c r="Q137" s="670"/>
      <c r="R137" s="814">
        <v>0</v>
      </c>
      <c r="S137" s="816">
        <f>P137+R137</f>
        <v>49964463.759999998</v>
      </c>
      <c r="T137" s="825"/>
      <c r="U137" s="827">
        <f>J137+J138-S137</f>
        <v>34395536.240000002</v>
      </c>
      <c r="V137" s="435"/>
      <c r="W137" s="435"/>
      <c r="X137" s="420">
        <f t="shared" si="4"/>
        <v>459450024.24000001</v>
      </c>
    </row>
    <row r="138" spans="1:24" ht="15.75" customHeight="1" x14ac:dyDescent="0.25">
      <c r="A138" s="803"/>
      <c r="B138" s="792"/>
      <c r="C138" s="805"/>
      <c r="D138" s="796"/>
      <c r="E138" s="798"/>
      <c r="F138" s="788"/>
      <c r="G138" s="201" t="s">
        <v>190</v>
      </c>
      <c r="H138" s="627" t="s">
        <v>188</v>
      </c>
      <c r="I138" s="202"/>
      <c r="J138" s="203">
        <v>50000000</v>
      </c>
      <c r="K138" s="807"/>
      <c r="L138" s="809"/>
      <c r="M138" s="788"/>
      <c r="N138" s="792"/>
      <c r="O138" s="824"/>
      <c r="P138" s="788"/>
      <c r="Q138" s="672"/>
      <c r="R138" s="815"/>
      <c r="S138" s="817"/>
      <c r="T138" s="826"/>
      <c r="U138" s="828"/>
      <c r="V138" s="435"/>
      <c r="W138" s="435"/>
      <c r="X138" s="420">
        <f t="shared" si="4"/>
        <v>0</v>
      </c>
    </row>
    <row r="139" spans="1:24" ht="48" customHeight="1" x14ac:dyDescent="0.25">
      <c r="A139" s="265" t="s">
        <v>161</v>
      </c>
      <c r="B139" s="200">
        <v>49490000</v>
      </c>
      <c r="C139" s="201" t="s">
        <v>162</v>
      </c>
      <c r="D139" s="627" t="s">
        <v>163</v>
      </c>
      <c r="E139" s="202"/>
      <c r="F139" s="203">
        <v>49490000</v>
      </c>
      <c r="G139" s="201" t="s">
        <v>164</v>
      </c>
      <c r="H139" s="627" t="s">
        <v>163</v>
      </c>
      <c r="I139" s="202"/>
      <c r="J139" s="203">
        <v>49490000</v>
      </c>
      <c r="K139" s="204">
        <f t="shared" ref="K139:K143" si="7">F139-J139</f>
        <v>0</v>
      </c>
      <c r="L139" s="306"/>
      <c r="M139" s="203">
        <v>49490000</v>
      </c>
      <c r="N139" s="563">
        <f t="shared" ref="N139:N143" si="8">F139-M139</f>
        <v>0</v>
      </c>
      <c r="O139" s="377" t="s">
        <v>200</v>
      </c>
      <c r="P139" s="203">
        <v>0</v>
      </c>
      <c r="Q139" s="709"/>
      <c r="R139" s="709">
        <v>0</v>
      </c>
      <c r="S139" s="608">
        <f t="shared" ref="S139:S143" si="9">P139+R139</f>
        <v>0</v>
      </c>
      <c r="T139" s="306"/>
      <c r="U139" s="215">
        <f t="shared" ref="U139:U143" si="10">J139-S139</f>
        <v>49490000</v>
      </c>
      <c r="V139" s="436"/>
      <c r="W139" s="436"/>
      <c r="X139" s="420">
        <f t="shared" si="4"/>
        <v>49490000</v>
      </c>
    </row>
    <row r="140" spans="1:24" ht="34.5" customHeight="1" x14ac:dyDescent="0.25">
      <c r="A140" s="802" t="s">
        <v>206</v>
      </c>
      <c r="B140" s="200">
        <v>213354769</v>
      </c>
      <c r="C140" s="201" t="s">
        <v>184</v>
      </c>
      <c r="D140" s="627" t="s">
        <v>185</v>
      </c>
      <c r="E140" s="202"/>
      <c r="F140" s="203">
        <v>213354769</v>
      </c>
      <c r="G140" s="201" t="s">
        <v>186</v>
      </c>
      <c r="H140" s="627" t="s">
        <v>185</v>
      </c>
      <c r="I140" s="202"/>
      <c r="J140" s="203">
        <v>213354769</v>
      </c>
      <c r="K140" s="204">
        <f t="shared" si="7"/>
        <v>0</v>
      </c>
      <c r="L140" s="264"/>
      <c r="M140" s="203">
        <v>213354769</v>
      </c>
      <c r="N140" s="563">
        <f t="shared" si="8"/>
        <v>0</v>
      </c>
      <c r="O140" s="206"/>
      <c r="P140" s="203">
        <v>192482938.41999999</v>
      </c>
      <c r="Q140" s="709"/>
      <c r="R140" s="709">
        <v>0</v>
      </c>
      <c r="S140" s="608">
        <f t="shared" si="9"/>
        <v>192482938.41999999</v>
      </c>
      <c r="T140" s="228"/>
      <c r="U140" s="215">
        <f t="shared" si="10"/>
        <v>20871830.580000013</v>
      </c>
      <c r="V140" s="436"/>
      <c r="W140" s="436"/>
      <c r="X140" s="420">
        <f t="shared" si="4"/>
        <v>20871830.580000013</v>
      </c>
    </row>
    <row r="141" spans="1:24" ht="34.5" customHeight="1" x14ac:dyDescent="0.25">
      <c r="A141" s="803"/>
      <c r="B141" s="203">
        <v>106451630</v>
      </c>
      <c r="C141" s="201" t="s">
        <v>203</v>
      </c>
      <c r="D141" s="627" t="s">
        <v>204</v>
      </c>
      <c r="E141" s="202"/>
      <c r="F141" s="203">
        <v>106451630</v>
      </c>
      <c r="G141" s="201" t="s">
        <v>205</v>
      </c>
      <c r="H141" s="627" t="s">
        <v>204</v>
      </c>
      <c r="I141" s="202"/>
      <c r="J141" s="203">
        <v>106451630</v>
      </c>
      <c r="K141" s="204">
        <f t="shared" si="7"/>
        <v>0</v>
      </c>
      <c r="L141" s="264"/>
      <c r="M141" s="203">
        <v>106451630</v>
      </c>
      <c r="N141" s="563">
        <f t="shared" si="8"/>
        <v>0</v>
      </c>
      <c r="O141" s="206"/>
      <c r="P141" s="203">
        <v>95806463.939999998</v>
      </c>
      <c r="Q141" s="709"/>
      <c r="R141" s="709">
        <v>0</v>
      </c>
      <c r="S141" s="608">
        <f t="shared" si="9"/>
        <v>95806463.939999998</v>
      </c>
      <c r="T141" s="228"/>
      <c r="U141" s="215">
        <f t="shared" si="10"/>
        <v>10645166.060000002</v>
      </c>
      <c r="V141" s="436"/>
      <c r="W141" s="436"/>
      <c r="X141" s="420">
        <f t="shared" si="4"/>
        <v>10645166.060000002</v>
      </c>
    </row>
    <row r="142" spans="1:24" ht="21.75" customHeight="1" x14ac:dyDescent="0.25">
      <c r="A142" s="18" t="s">
        <v>196</v>
      </c>
      <c r="B142" s="203">
        <v>20000000</v>
      </c>
      <c r="C142" s="295" t="s">
        <v>194</v>
      </c>
      <c r="D142" s="117" t="s">
        <v>202</v>
      </c>
      <c r="E142" s="298"/>
      <c r="F142" s="299">
        <v>20000000</v>
      </c>
      <c r="G142" s="201" t="s">
        <v>215</v>
      </c>
      <c r="H142" s="627" t="s">
        <v>216</v>
      </c>
      <c r="I142" s="211"/>
      <c r="J142" s="212">
        <v>12218462</v>
      </c>
      <c r="K142" s="296">
        <f>F142-J142</f>
        <v>7781538</v>
      </c>
      <c r="L142" s="297"/>
      <c r="M142" s="212">
        <v>20000000</v>
      </c>
      <c r="N142" s="563">
        <f t="shared" si="8"/>
        <v>0</v>
      </c>
      <c r="O142" s="214"/>
      <c r="P142" s="212">
        <v>0</v>
      </c>
      <c r="Q142" s="708"/>
      <c r="R142" s="708">
        <v>0</v>
      </c>
      <c r="S142" s="608">
        <f t="shared" si="9"/>
        <v>0</v>
      </c>
      <c r="T142" s="227"/>
      <c r="U142" s="215">
        <f t="shared" si="10"/>
        <v>12218462</v>
      </c>
      <c r="V142" s="436"/>
      <c r="W142" s="436"/>
      <c r="X142" s="420">
        <f t="shared" si="4"/>
        <v>20000000</v>
      </c>
    </row>
    <row r="143" spans="1:24" ht="30.75" customHeight="1" thickBot="1" x14ac:dyDescent="0.3">
      <c r="A143" s="376" t="s">
        <v>232</v>
      </c>
      <c r="B143" s="216">
        <v>2433988</v>
      </c>
      <c r="C143" s="317" t="s">
        <v>207</v>
      </c>
      <c r="D143" s="194" t="s">
        <v>208</v>
      </c>
      <c r="E143" s="195"/>
      <c r="F143" s="126">
        <v>2433988</v>
      </c>
      <c r="G143" s="365" t="s">
        <v>209</v>
      </c>
      <c r="H143" s="287" t="s">
        <v>208</v>
      </c>
      <c r="I143" s="318"/>
      <c r="J143" s="126">
        <v>2433988</v>
      </c>
      <c r="K143" s="296">
        <f t="shared" si="7"/>
        <v>0</v>
      </c>
      <c r="L143" s="319"/>
      <c r="M143" s="316">
        <v>2433988</v>
      </c>
      <c r="N143" s="563">
        <f t="shared" si="8"/>
        <v>0</v>
      </c>
      <c r="O143" s="320"/>
      <c r="P143" s="316">
        <v>0</v>
      </c>
      <c r="Q143" s="710"/>
      <c r="R143" s="710">
        <v>0</v>
      </c>
      <c r="S143" s="608">
        <f t="shared" si="9"/>
        <v>0</v>
      </c>
      <c r="T143" s="321"/>
      <c r="U143" s="215">
        <f t="shared" si="10"/>
        <v>2433988</v>
      </c>
      <c r="V143" s="436"/>
      <c r="W143" s="436"/>
      <c r="X143" s="420">
        <f t="shared" si="4"/>
        <v>2433988</v>
      </c>
    </row>
    <row r="144" spans="1:24" ht="15.75" customHeight="1" thickBot="1" x14ac:dyDescent="0.3">
      <c r="A144" s="29" t="s">
        <v>87</v>
      </c>
      <c r="B144" s="30">
        <f>SUM(B124:B143)</f>
        <v>7971864669.0100002</v>
      </c>
      <c r="C144" s="31"/>
      <c r="D144" s="648"/>
      <c r="E144" s="165"/>
      <c r="F144" s="78">
        <f>SUM(F124:F143)</f>
        <v>7971864669.0100002</v>
      </c>
      <c r="G144" s="31"/>
      <c r="H144" s="631"/>
      <c r="I144" s="165"/>
      <c r="J144" s="78">
        <f>SUM(J124:J143)</f>
        <v>6879428643.0100002</v>
      </c>
      <c r="K144" s="30">
        <f>SUM(K124:K143)</f>
        <v>1092436026</v>
      </c>
      <c r="L144" s="55"/>
      <c r="M144" s="78">
        <f>SUM(M124:M143)</f>
        <v>7205275357.6599998</v>
      </c>
      <c r="N144" s="78">
        <f>SUM(N124:N143)</f>
        <v>766589311.35000014</v>
      </c>
      <c r="O144" s="55"/>
      <c r="P144" s="78">
        <f>SUM(P124:P143)</f>
        <v>6104220004.5199986</v>
      </c>
      <c r="Q144" s="673"/>
      <c r="R144" s="673">
        <f>SUM(R124:R143)</f>
        <v>388766008.44</v>
      </c>
      <c r="S144" s="611">
        <f>SUM(S124:S143)</f>
        <v>6492986012.9599981</v>
      </c>
      <c r="T144" s="222"/>
      <c r="U144" s="70">
        <f>SUM(U124:U143)</f>
        <v>386442630.04999977</v>
      </c>
      <c r="V144" s="428"/>
      <c r="W144" s="428"/>
    </row>
    <row r="145" spans="1:24" ht="12.75" customHeight="1" x14ac:dyDescent="0.25">
      <c r="U145" s="27"/>
      <c r="V145" s="27"/>
      <c r="W145" s="27"/>
    </row>
    <row r="146" spans="1:24" ht="16.5" thickBot="1" x14ac:dyDescent="0.3">
      <c r="A146" s="4" t="s">
        <v>297</v>
      </c>
    </row>
    <row r="147" spans="1:24" ht="15" customHeight="1" x14ac:dyDescent="0.25">
      <c r="A147" s="780" t="s">
        <v>13</v>
      </c>
      <c r="B147" s="782" t="s">
        <v>14</v>
      </c>
      <c r="C147" s="784" t="s">
        <v>2</v>
      </c>
      <c r="D147" s="784"/>
      <c r="E147" s="784"/>
      <c r="F147" s="784"/>
      <c r="G147" s="784" t="s">
        <v>3</v>
      </c>
      <c r="H147" s="784"/>
      <c r="I147" s="784"/>
      <c r="J147" s="784"/>
      <c r="K147" s="785" t="s">
        <v>20</v>
      </c>
      <c r="L147" s="799" t="s">
        <v>283</v>
      </c>
      <c r="M147" s="800"/>
      <c r="N147" s="801"/>
      <c r="O147" s="799" t="s">
        <v>285</v>
      </c>
      <c r="P147" s="800"/>
      <c r="Q147" s="800"/>
      <c r="R147" s="800"/>
      <c r="S147" s="801"/>
      <c r="T147" s="810" t="s">
        <v>96</v>
      </c>
      <c r="U147" s="811"/>
      <c r="V147" s="426"/>
      <c r="W147" s="426"/>
    </row>
    <row r="148" spans="1:24" ht="41.25" customHeight="1" x14ac:dyDescent="0.25">
      <c r="A148" s="781"/>
      <c r="B148" s="783"/>
      <c r="C148" s="3" t="s">
        <v>15</v>
      </c>
      <c r="D148" s="629" t="s">
        <v>16</v>
      </c>
      <c r="E148" s="164"/>
      <c r="F148" s="167" t="s">
        <v>17</v>
      </c>
      <c r="G148" s="3" t="s">
        <v>18</v>
      </c>
      <c r="H148" s="629" t="s">
        <v>16</v>
      </c>
      <c r="I148" s="552"/>
      <c r="J148" s="126" t="s">
        <v>17</v>
      </c>
      <c r="K148" s="786"/>
      <c r="L148" s="143"/>
      <c r="M148" s="125" t="s">
        <v>21</v>
      </c>
      <c r="N148" s="553" t="s">
        <v>282</v>
      </c>
      <c r="O148" s="438"/>
      <c r="P148" s="125" t="s">
        <v>284</v>
      </c>
      <c r="Q148" s="665"/>
      <c r="R148" s="665" t="s">
        <v>296</v>
      </c>
      <c r="S148" s="441" t="s">
        <v>286</v>
      </c>
      <c r="T148" s="812"/>
      <c r="U148" s="813"/>
      <c r="V148" s="426"/>
      <c r="W148" s="426"/>
    </row>
    <row r="149" spans="1:24" ht="15.75" thickBot="1" x14ac:dyDescent="0.3">
      <c r="A149" s="54" t="s">
        <v>11</v>
      </c>
      <c r="B149" s="15" t="s">
        <v>12</v>
      </c>
      <c r="C149" s="3" t="s">
        <v>4</v>
      </c>
      <c r="D149" s="3" t="s">
        <v>5</v>
      </c>
      <c r="E149" s="716"/>
      <c r="F149" s="717" t="s">
        <v>6</v>
      </c>
      <c r="G149" s="3" t="s">
        <v>7</v>
      </c>
      <c r="H149" s="3" t="s">
        <v>8</v>
      </c>
      <c r="I149" s="716"/>
      <c r="J149" s="126" t="s">
        <v>9</v>
      </c>
      <c r="K149" s="3" t="s">
        <v>19</v>
      </c>
      <c r="L149" s="716"/>
      <c r="M149" s="126" t="s">
        <v>10</v>
      </c>
      <c r="N149" s="126" t="s">
        <v>305</v>
      </c>
      <c r="O149" s="58"/>
      <c r="P149" s="126" t="s">
        <v>306</v>
      </c>
      <c r="Q149" s="666"/>
      <c r="R149" s="666" t="s">
        <v>303</v>
      </c>
      <c r="S149" s="15" t="s">
        <v>307</v>
      </c>
      <c r="T149" s="220"/>
      <c r="U149" s="714" t="s">
        <v>308</v>
      </c>
      <c r="V149" s="426"/>
      <c r="W149" s="426"/>
    </row>
    <row r="150" spans="1:24" ht="4.5" customHeight="1" x14ac:dyDescent="0.25">
      <c r="A150" s="6"/>
      <c r="B150" s="12"/>
      <c r="C150" s="7"/>
      <c r="D150" s="105"/>
      <c r="E150" s="153"/>
      <c r="F150" s="137"/>
      <c r="G150" s="7"/>
      <c r="H150" s="637"/>
      <c r="I150" s="153"/>
      <c r="J150" s="137"/>
      <c r="K150" s="7"/>
      <c r="L150" s="153"/>
      <c r="M150" s="137"/>
      <c r="N150" s="559"/>
      <c r="O150" s="67"/>
      <c r="P150" s="137"/>
      <c r="Q150" s="690"/>
      <c r="R150" s="690"/>
      <c r="S150" s="615"/>
      <c r="T150" s="233"/>
      <c r="U150" s="87"/>
      <c r="V150" s="430"/>
      <c r="W150" s="430"/>
    </row>
    <row r="151" spans="1:24" x14ac:dyDescent="0.25">
      <c r="A151" s="8" t="s">
        <v>52</v>
      </c>
      <c r="B151" s="13">
        <v>4500000000</v>
      </c>
      <c r="C151" s="2" t="s">
        <v>66</v>
      </c>
      <c r="D151" s="117" t="s">
        <v>67</v>
      </c>
      <c r="E151" s="172"/>
      <c r="F151" s="75">
        <v>4500000000</v>
      </c>
      <c r="G151" s="2" t="s">
        <v>70</v>
      </c>
      <c r="H151" s="117" t="s">
        <v>67</v>
      </c>
      <c r="I151" s="176"/>
      <c r="J151" s="75">
        <v>1210000000</v>
      </c>
      <c r="K151" s="16">
        <f>F151-J151-J152</f>
        <v>2476000000</v>
      </c>
      <c r="L151" s="145"/>
      <c r="M151" s="75">
        <v>1210000000</v>
      </c>
      <c r="N151" s="563">
        <v>0</v>
      </c>
      <c r="O151" s="61"/>
      <c r="P151" s="75">
        <v>1210000000</v>
      </c>
      <c r="Q151" s="677"/>
      <c r="R151" s="677">
        <v>0</v>
      </c>
      <c r="S151" s="621">
        <f>P151+R151</f>
        <v>1210000000</v>
      </c>
      <c r="T151" s="227"/>
      <c r="U151" s="81">
        <f>J151-S151</f>
        <v>0</v>
      </c>
      <c r="V151" s="429"/>
      <c r="W151" s="429"/>
      <c r="X151" s="420">
        <f t="shared" ref="X151:X165" si="11">M151-P151</f>
        <v>0</v>
      </c>
    </row>
    <row r="152" spans="1:24" ht="15" customHeight="1" x14ac:dyDescent="0.3">
      <c r="A152" s="8"/>
      <c r="B152" s="13"/>
      <c r="C152" s="2"/>
      <c r="D152" s="647"/>
      <c r="E152" s="146"/>
      <c r="F152" s="75"/>
      <c r="G152" s="2" t="s">
        <v>68</v>
      </c>
      <c r="H152" s="117" t="s">
        <v>69</v>
      </c>
      <c r="I152" s="377" t="s">
        <v>239</v>
      </c>
      <c r="J152" s="75">
        <v>814000000</v>
      </c>
      <c r="K152" s="2"/>
      <c r="L152" s="146"/>
      <c r="M152" s="75"/>
      <c r="N152" s="563">
        <f>F152-M152</f>
        <v>0</v>
      </c>
      <c r="O152" s="377" t="s">
        <v>239</v>
      </c>
      <c r="P152" s="75">
        <v>814000000</v>
      </c>
      <c r="Q152" s="677"/>
      <c r="R152" s="677">
        <v>0</v>
      </c>
      <c r="S152" s="621">
        <f t="shared" ref="S152:S165" si="12">P152+R152</f>
        <v>814000000</v>
      </c>
      <c r="T152" s="239"/>
      <c r="U152" s="81">
        <f t="shared" ref="U152:U165" si="13">J152-S152</f>
        <v>0</v>
      </c>
      <c r="V152" s="429"/>
      <c r="W152" s="429"/>
      <c r="X152" s="420">
        <f t="shared" si="11"/>
        <v>-814000000</v>
      </c>
    </row>
    <row r="153" spans="1:24" ht="15.75" customHeight="1" x14ac:dyDescent="0.25">
      <c r="A153" s="8" t="s">
        <v>53</v>
      </c>
      <c r="B153" s="13">
        <v>69200000</v>
      </c>
      <c r="C153" s="2" t="s">
        <v>58</v>
      </c>
      <c r="D153" s="117" t="s">
        <v>59</v>
      </c>
      <c r="E153" s="172"/>
      <c r="F153" s="75">
        <v>69200000</v>
      </c>
      <c r="G153" s="2" t="s">
        <v>60</v>
      </c>
      <c r="H153" s="117" t="s">
        <v>59</v>
      </c>
      <c r="I153" s="191"/>
      <c r="J153" s="75">
        <v>69200000</v>
      </c>
      <c r="K153" s="16">
        <f>F153-J153</f>
        <v>0</v>
      </c>
      <c r="L153" s="145"/>
      <c r="M153" s="75">
        <v>69066266.480000004</v>
      </c>
      <c r="N153" s="563">
        <f t="shared" ref="N153:N165" si="14">F153-M153</f>
        <v>133733.51999999583</v>
      </c>
      <c r="O153" s="59"/>
      <c r="P153" s="75">
        <v>69066266.480000004</v>
      </c>
      <c r="Q153" s="677"/>
      <c r="R153" s="677">
        <v>133733.51999999999</v>
      </c>
      <c r="S153" s="621">
        <f t="shared" si="12"/>
        <v>69200000</v>
      </c>
      <c r="T153" s="227"/>
      <c r="U153" s="81">
        <f t="shared" si="13"/>
        <v>0</v>
      </c>
      <c r="V153" s="429"/>
      <c r="W153" s="429"/>
      <c r="X153" s="420">
        <f t="shared" si="11"/>
        <v>0</v>
      </c>
    </row>
    <row r="154" spans="1:24" x14ac:dyDescent="0.25">
      <c r="A154" s="18" t="s">
        <v>54</v>
      </c>
      <c r="B154" s="19">
        <v>32552000</v>
      </c>
      <c r="C154" s="20" t="s">
        <v>55</v>
      </c>
      <c r="D154" s="627" t="s">
        <v>56</v>
      </c>
      <c r="E154" s="176"/>
      <c r="F154" s="130">
        <v>32552000</v>
      </c>
      <c r="G154" s="20" t="s">
        <v>57</v>
      </c>
      <c r="H154" s="627" t="s">
        <v>56</v>
      </c>
      <c r="I154" s="176"/>
      <c r="J154" s="130">
        <v>32552000</v>
      </c>
      <c r="K154" s="21">
        <f t="shared" ref="K154:K162" si="15">F154-J154</f>
        <v>0</v>
      </c>
      <c r="L154" s="151"/>
      <c r="M154" s="130">
        <v>32552000</v>
      </c>
      <c r="N154" s="563">
        <f t="shared" si="14"/>
        <v>0</v>
      </c>
      <c r="O154" s="60"/>
      <c r="P154" s="130">
        <v>0</v>
      </c>
      <c r="Q154" s="678"/>
      <c r="R154" s="678">
        <v>0</v>
      </c>
      <c r="S154" s="621">
        <f t="shared" si="12"/>
        <v>0</v>
      </c>
      <c r="T154" s="228"/>
      <c r="U154" s="81">
        <f t="shared" si="13"/>
        <v>32552000</v>
      </c>
      <c r="V154" s="429"/>
      <c r="W154" s="429"/>
      <c r="X154" s="420">
        <f t="shared" si="11"/>
        <v>32552000</v>
      </c>
    </row>
    <row r="155" spans="1:24" s="208" customFormat="1" ht="27.75" customHeight="1" x14ac:dyDescent="0.25">
      <c r="A155" s="199" t="s">
        <v>180</v>
      </c>
      <c r="B155" s="200">
        <v>7000000</v>
      </c>
      <c r="C155" s="201" t="s">
        <v>129</v>
      </c>
      <c r="D155" s="627" t="s">
        <v>130</v>
      </c>
      <c r="E155" s="202"/>
      <c r="F155" s="203">
        <v>7000000</v>
      </c>
      <c r="G155" s="201" t="s">
        <v>131</v>
      </c>
      <c r="H155" s="627" t="s">
        <v>130</v>
      </c>
      <c r="I155" s="202"/>
      <c r="J155" s="203">
        <v>7000000</v>
      </c>
      <c r="K155" s="204">
        <f t="shared" si="15"/>
        <v>0</v>
      </c>
      <c r="L155" s="205"/>
      <c r="M155" s="203">
        <v>6761714.6900000004</v>
      </c>
      <c r="N155" s="563">
        <f t="shared" si="14"/>
        <v>238285.30999999959</v>
      </c>
      <c r="O155" s="304"/>
      <c r="P155" s="203">
        <v>6218970.1000000006</v>
      </c>
      <c r="Q155" s="709"/>
      <c r="R155" s="709">
        <v>0</v>
      </c>
      <c r="S155" s="621">
        <f t="shared" si="12"/>
        <v>6218970.1000000006</v>
      </c>
      <c r="T155" s="228"/>
      <c r="U155" s="81">
        <f t="shared" si="13"/>
        <v>781029.89999999944</v>
      </c>
      <c r="V155" s="436"/>
      <c r="W155" s="436"/>
      <c r="X155" s="420">
        <f t="shared" si="11"/>
        <v>542744.58999999985</v>
      </c>
    </row>
    <row r="156" spans="1:24" s="208" customFormat="1" ht="29.25" customHeight="1" x14ac:dyDescent="0.25">
      <c r="A156" s="199" t="s">
        <v>181</v>
      </c>
      <c r="B156" s="200">
        <v>9000000</v>
      </c>
      <c r="C156" s="201" t="s">
        <v>162</v>
      </c>
      <c r="D156" s="627" t="s">
        <v>163</v>
      </c>
      <c r="E156" s="202"/>
      <c r="F156" s="203">
        <v>8346749</v>
      </c>
      <c r="G156" s="201" t="s">
        <v>164</v>
      </c>
      <c r="H156" s="627" t="s">
        <v>163</v>
      </c>
      <c r="I156" s="202"/>
      <c r="J156" s="203">
        <v>8346749</v>
      </c>
      <c r="K156" s="204">
        <f t="shared" si="15"/>
        <v>0</v>
      </c>
      <c r="L156" s="264"/>
      <c r="M156" s="279">
        <v>7333969.6200000001</v>
      </c>
      <c r="N156" s="563">
        <f t="shared" si="14"/>
        <v>1012779.3799999999</v>
      </c>
      <c r="O156" s="206"/>
      <c r="P156" s="203">
        <v>6600572.6600000001</v>
      </c>
      <c r="Q156" s="709"/>
      <c r="R156" s="709">
        <v>0</v>
      </c>
      <c r="S156" s="621">
        <f t="shared" si="12"/>
        <v>6600572.6600000001</v>
      </c>
      <c r="T156" s="228"/>
      <c r="U156" s="81">
        <f t="shared" si="13"/>
        <v>1746176.3399999999</v>
      </c>
      <c r="V156" s="436"/>
      <c r="W156" s="436"/>
      <c r="X156" s="420">
        <f t="shared" si="11"/>
        <v>733396.96</v>
      </c>
    </row>
    <row r="157" spans="1:24" s="208" customFormat="1" ht="30" x14ac:dyDescent="0.25">
      <c r="A157" s="199" t="s">
        <v>165</v>
      </c>
      <c r="B157" s="200">
        <v>61349000</v>
      </c>
      <c r="C157" s="201" t="s">
        <v>162</v>
      </c>
      <c r="D157" s="627" t="s">
        <v>163</v>
      </c>
      <c r="E157" s="202"/>
      <c r="F157" s="203">
        <v>57792633</v>
      </c>
      <c r="G157" s="201" t="s">
        <v>164</v>
      </c>
      <c r="H157" s="627" t="s">
        <v>163</v>
      </c>
      <c r="I157" s="202"/>
      <c r="J157" s="203">
        <v>57792633</v>
      </c>
      <c r="K157" s="204">
        <f t="shared" si="15"/>
        <v>0</v>
      </c>
      <c r="L157" s="264"/>
      <c r="M157" s="203">
        <v>53629427.759999998</v>
      </c>
      <c r="N157" s="563">
        <f t="shared" si="14"/>
        <v>4163205.2400000021</v>
      </c>
      <c r="O157" s="206"/>
      <c r="P157" s="203">
        <v>48311484.980000004</v>
      </c>
      <c r="Q157" s="709"/>
      <c r="R157" s="709">
        <v>0</v>
      </c>
      <c r="S157" s="621">
        <f t="shared" si="12"/>
        <v>48311484.980000004</v>
      </c>
      <c r="T157" s="228"/>
      <c r="U157" s="81">
        <f t="shared" si="13"/>
        <v>9481148.0199999958</v>
      </c>
      <c r="V157" s="436"/>
      <c r="W157" s="436"/>
      <c r="X157" s="420">
        <f t="shared" si="11"/>
        <v>5317942.7799999937</v>
      </c>
    </row>
    <row r="158" spans="1:24" s="208" customFormat="1" ht="30" x14ac:dyDescent="0.25">
      <c r="A158" s="199" t="s">
        <v>197</v>
      </c>
      <c r="B158" s="212">
        <v>12000000</v>
      </c>
      <c r="C158" s="295" t="s">
        <v>194</v>
      </c>
      <c r="D158" s="117" t="s">
        <v>202</v>
      </c>
      <c r="E158" s="298"/>
      <c r="F158" s="299">
        <v>12000000</v>
      </c>
      <c r="G158" s="201" t="s">
        <v>215</v>
      </c>
      <c r="H158" s="627" t="s">
        <v>226</v>
      </c>
      <c r="I158" s="211"/>
      <c r="J158" s="212">
        <v>12000000</v>
      </c>
      <c r="K158" s="296">
        <f t="shared" si="15"/>
        <v>0</v>
      </c>
      <c r="L158" s="297"/>
      <c r="M158" s="212">
        <v>12000000</v>
      </c>
      <c r="N158" s="563">
        <f t="shared" si="14"/>
        <v>0</v>
      </c>
      <c r="O158" s="214"/>
      <c r="P158" s="212">
        <v>0</v>
      </c>
      <c r="Q158" s="708"/>
      <c r="R158" s="708">
        <v>0</v>
      </c>
      <c r="S158" s="621">
        <f t="shared" si="12"/>
        <v>0</v>
      </c>
      <c r="T158" s="227"/>
      <c r="U158" s="81">
        <f t="shared" si="13"/>
        <v>12000000</v>
      </c>
      <c r="V158" s="436"/>
      <c r="W158" s="436"/>
      <c r="X158" s="420">
        <f t="shared" si="11"/>
        <v>12000000</v>
      </c>
    </row>
    <row r="159" spans="1:24" s="208" customFormat="1" ht="30" x14ac:dyDescent="0.25">
      <c r="A159" s="199" t="s">
        <v>198</v>
      </c>
      <c r="B159" s="212">
        <v>153000000</v>
      </c>
      <c r="C159" s="295" t="s">
        <v>194</v>
      </c>
      <c r="D159" s="117" t="s">
        <v>202</v>
      </c>
      <c r="E159" s="298"/>
      <c r="F159" s="299">
        <v>153000000</v>
      </c>
      <c r="G159" s="201" t="s">
        <v>215</v>
      </c>
      <c r="H159" s="627" t="s">
        <v>226</v>
      </c>
      <c r="I159" s="211"/>
      <c r="J159" s="212">
        <v>153000000</v>
      </c>
      <c r="K159" s="296">
        <f t="shared" si="15"/>
        <v>0</v>
      </c>
      <c r="L159" s="323"/>
      <c r="M159" s="212">
        <v>153000000</v>
      </c>
      <c r="N159" s="563">
        <f t="shared" si="14"/>
        <v>0</v>
      </c>
      <c r="O159" s="214"/>
      <c r="P159" s="212">
        <v>137030258.41999999</v>
      </c>
      <c r="Q159" s="708"/>
      <c r="R159" s="708">
        <v>0</v>
      </c>
      <c r="S159" s="621">
        <f t="shared" si="12"/>
        <v>137030258.41999999</v>
      </c>
      <c r="T159" s="227"/>
      <c r="U159" s="81">
        <f t="shared" si="13"/>
        <v>15969741.580000013</v>
      </c>
      <c r="V159" s="436"/>
      <c r="W159" s="436"/>
      <c r="X159" s="420">
        <f t="shared" si="11"/>
        <v>15969741.580000013</v>
      </c>
    </row>
    <row r="160" spans="1:24" s="208" customFormat="1" ht="24.75" customHeight="1" x14ac:dyDescent="0.25">
      <c r="A160" s="199" t="s">
        <v>199</v>
      </c>
      <c r="B160" s="203">
        <v>20000000</v>
      </c>
      <c r="C160" s="201" t="s">
        <v>194</v>
      </c>
      <c r="D160" s="627" t="s">
        <v>202</v>
      </c>
      <c r="E160" s="411"/>
      <c r="F160" s="413">
        <v>20000000</v>
      </c>
      <c r="G160" s="201" t="s">
        <v>195</v>
      </c>
      <c r="H160" s="627" t="s">
        <v>202</v>
      </c>
      <c r="I160" s="202"/>
      <c r="J160" s="203">
        <v>20000000</v>
      </c>
      <c r="K160" s="204">
        <f t="shared" si="15"/>
        <v>0</v>
      </c>
      <c r="L160" s="366"/>
      <c r="M160" s="203">
        <v>20000000</v>
      </c>
      <c r="N160" s="563">
        <f t="shared" si="14"/>
        <v>0</v>
      </c>
      <c r="O160" s="206"/>
      <c r="P160" s="203">
        <v>14876091.380000001</v>
      </c>
      <c r="Q160" s="709"/>
      <c r="R160" s="709">
        <v>0</v>
      </c>
      <c r="S160" s="621">
        <f t="shared" si="12"/>
        <v>14876091.380000001</v>
      </c>
      <c r="T160" s="228"/>
      <c r="U160" s="81">
        <f t="shared" si="13"/>
        <v>5123908.6199999992</v>
      </c>
      <c r="V160" s="436"/>
      <c r="W160" s="436"/>
      <c r="X160" s="420">
        <f t="shared" si="11"/>
        <v>5123908.6199999992</v>
      </c>
    </row>
    <row r="161" spans="1:24" s="208" customFormat="1" ht="18.75" customHeight="1" x14ac:dyDescent="0.25">
      <c r="A161" s="209" t="s">
        <v>217</v>
      </c>
      <c r="B161" s="212">
        <v>11806000</v>
      </c>
      <c r="C161" s="201" t="s">
        <v>219</v>
      </c>
      <c r="D161" s="117" t="s">
        <v>222</v>
      </c>
      <c r="E161" s="298"/>
      <c r="F161" s="299">
        <v>11806000</v>
      </c>
      <c r="G161" s="201" t="s">
        <v>221</v>
      </c>
      <c r="H161" s="117" t="s">
        <v>222</v>
      </c>
      <c r="I161" s="211"/>
      <c r="J161" s="299">
        <v>11806000</v>
      </c>
      <c r="K161" s="204">
        <f t="shared" si="15"/>
        <v>0</v>
      </c>
      <c r="L161" s="323"/>
      <c r="M161" s="212">
        <v>11806000</v>
      </c>
      <c r="N161" s="563">
        <f t="shared" si="14"/>
        <v>0</v>
      </c>
      <c r="O161" s="214"/>
      <c r="P161" s="212">
        <v>0</v>
      </c>
      <c r="Q161" s="708"/>
      <c r="R161" s="708">
        <v>0</v>
      </c>
      <c r="S161" s="621">
        <f t="shared" si="12"/>
        <v>0</v>
      </c>
      <c r="T161" s="227"/>
      <c r="U161" s="81">
        <f t="shared" si="13"/>
        <v>11806000</v>
      </c>
      <c r="V161" s="436"/>
      <c r="W161" s="436"/>
      <c r="X161" s="420">
        <f t="shared" si="11"/>
        <v>11806000</v>
      </c>
    </row>
    <row r="162" spans="1:24" s="208" customFormat="1" ht="18.75" customHeight="1" x14ac:dyDescent="0.25">
      <c r="A162" s="199" t="s">
        <v>218</v>
      </c>
      <c r="B162" s="203">
        <v>8354824</v>
      </c>
      <c r="C162" s="201" t="s">
        <v>220</v>
      </c>
      <c r="D162" s="627" t="s">
        <v>222</v>
      </c>
      <c r="E162" s="411"/>
      <c r="F162" s="413">
        <v>8354824</v>
      </c>
      <c r="G162" s="201" t="s">
        <v>224</v>
      </c>
      <c r="H162" s="627" t="s">
        <v>222</v>
      </c>
      <c r="I162" s="202"/>
      <c r="J162" s="413">
        <v>8354824</v>
      </c>
      <c r="K162" s="204">
        <f t="shared" si="15"/>
        <v>0</v>
      </c>
      <c r="L162" s="366"/>
      <c r="M162" s="203">
        <v>8354824</v>
      </c>
      <c r="N162" s="563">
        <f t="shared" si="14"/>
        <v>0</v>
      </c>
      <c r="O162" s="206"/>
      <c r="P162" s="203">
        <v>0</v>
      </c>
      <c r="Q162" s="709"/>
      <c r="R162" s="709">
        <v>0</v>
      </c>
      <c r="S162" s="621">
        <f t="shared" si="12"/>
        <v>0</v>
      </c>
      <c r="T162" s="228"/>
      <c r="U162" s="81">
        <f t="shared" si="13"/>
        <v>8354824</v>
      </c>
      <c r="V162" s="436"/>
      <c r="W162" s="436"/>
      <c r="X162" s="420">
        <f t="shared" si="11"/>
        <v>8354824</v>
      </c>
    </row>
    <row r="163" spans="1:24" s="208" customFormat="1" ht="18.75" customHeight="1" x14ac:dyDescent="0.25">
      <c r="A163" s="199" t="s">
        <v>234</v>
      </c>
      <c r="B163" s="203">
        <v>11890679</v>
      </c>
      <c r="C163" s="201" t="s">
        <v>235</v>
      </c>
      <c r="D163" s="627" t="s">
        <v>226</v>
      </c>
      <c r="E163" s="294" t="s">
        <v>240</v>
      </c>
      <c r="F163" s="413">
        <v>11890679</v>
      </c>
      <c r="G163" s="124" t="s">
        <v>127</v>
      </c>
      <c r="H163" s="627" t="s">
        <v>127</v>
      </c>
      <c r="I163" s="193"/>
      <c r="J163" s="130">
        <v>0</v>
      </c>
      <c r="K163" s="204">
        <v>0</v>
      </c>
      <c r="L163" s="366"/>
      <c r="M163" s="413">
        <v>11890679</v>
      </c>
      <c r="N163" s="563">
        <f t="shared" si="14"/>
        <v>0</v>
      </c>
      <c r="O163" s="206"/>
      <c r="P163" s="203">
        <v>0</v>
      </c>
      <c r="Q163" s="709"/>
      <c r="R163" s="709">
        <v>0</v>
      </c>
      <c r="S163" s="621">
        <f t="shared" si="12"/>
        <v>0</v>
      </c>
      <c r="T163" s="228"/>
      <c r="U163" s="81">
        <f t="shared" si="13"/>
        <v>0</v>
      </c>
      <c r="V163" s="436"/>
      <c r="W163" s="436"/>
      <c r="X163" s="420">
        <f t="shared" si="11"/>
        <v>11890679</v>
      </c>
    </row>
    <row r="164" spans="1:24" s="208" customFormat="1" ht="28.5" customHeight="1" x14ac:dyDescent="0.25">
      <c r="A164" s="199" t="s">
        <v>236</v>
      </c>
      <c r="B164" s="203">
        <v>4046092000</v>
      </c>
      <c r="C164" s="201" t="s">
        <v>237</v>
      </c>
      <c r="D164" s="627" t="s">
        <v>238</v>
      </c>
      <c r="E164" s="294" t="s">
        <v>240</v>
      </c>
      <c r="F164" s="413">
        <v>4046092000</v>
      </c>
      <c r="G164" s="124" t="s">
        <v>127</v>
      </c>
      <c r="H164" s="627" t="s">
        <v>127</v>
      </c>
      <c r="I164" s="193"/>
      <c r="J164" s="130">
        <v>0</v>
      </c>
      <c r="K164" s="204">
        <v>0</v>
      </c>
      <c r="L164" s="366"/>
      <c r="M164" s="413">
        <v>4046092000</v>
      </c>
      <c r="N164" s="563">
        <f t="shared" si="14"/>
        <v>0</v>
      </c>
      <c r="O164" s="206"/>
      <c r="P164" s="203">
        <v>0</v>
      </c>
      <c r="Q164" s="709"/>
      <c r="R164" s="709">
        <v>0</v>
      </c>
      <c r="S164" s="621">
        <f t="shared" si="12"/>
        <v>0</v>
      </c>
      <c r="T164" s="228"/>
      <c r="U164" s="81">
        <f t="shared" si="13"/>
        <v>0</v>
      </c>
      <c r="V164" s="436"/>
      <c r="W164" s="436"/>
      <c r="X164" s="420">
        <f t="shared" si="11"/>
        <v>4046092000</v>
      </c>
    </row>
    <row r="165" spans="1:24" s="208" customFormat="1" ht="28.5" customHeight="1" thickBot="1" x14ac:dyDescent="0.3">
      <c r="A165" s="379" t="s">
        <v>242</v>
      </c>
      <c r="B165" s="216">
        <v>145837000</v>
      </c>
      <c r="C165" s="365" t="s">
        <v>243</v>
      </c>
      <c r="D165" s="382" t="s">
        <v>244</v>
      </c>
      <c r="E165" s="377" t="s">
        <v>241</v>
      </c>
      <c r="F165" s="127">
        <v>145837000</v>
      </c>
      <c r="G165" s="365" t="s">
        <v>243</v>
      </c>
      <c r="H165" s="382" t="s">
        <v>244</v>
      </c>
      <c r="I165" s="377" t="s">
        <v>241</v>
      </c>
      <c r="J165" s="216">
        <v>145837000</v>
      </c>
      <c r="K165" s="204">
        <v>0</v>
      </c>
      <c r="L165" s="380"/>
      <c r="M165" s="127">
        <v>145837000</v>
      </c>
      <c r="N165" s="563">
        <f t="shared" si="14"/>
        <v>0</v>
      </c>
      <c r="O165" s="381"/>
      <c r="P165" s="216">
        <v>0</v>
      </c>
      <c r="Q165" s="711"/>
      <c r="R165" s="711">
        <v>0</v>
      </c>
      <c r="S165" s="621">
        <f t="shared" si="12"/>
        <v>0</v>
      </c>
      <c r="T165" s="225"/>
      <c r="U165" s="81">
        <f t="shared" si="13"/>
        <v>145837000</v>
      </c>
      <c r="V165" s="436"/>
      <c r="W165" s="436"/>
      <c r="X165" s="420">
        <f t="shared" si="11"/>
        <v>145837000</v>
      </c>
    </row>
    <row r="166" spans="1:24" s="32" customFormat="1" ht="16.5" thickBot="1" x14ac:dyDescent="0.3">
      <c r="A166" s="33" t="s">
        <v>87</v>
      </c>
      <c r="B166" s="34">
        <f>SUM(B151:B165)</f>
        <v>9088081503</v>
      </c>
      <c r="C166" s="35"/>
      <c r="D166" s="657" t="s">
        <v>223</v>
      </c>
      <c r="E166" s="185"/>
      <c r="F166" s="142">
        <f>SUM(F151:F165)</f>
        <v>9083871885</v>
      </c>
      <c r="G166" s="35"/>
      <c r="H166" s="638"/>
      <c r="I166" s="185"/>
      <c r="J166" s="142">
        <f>SUM(J151:J165)</f>
        <v>2549889206</v>
      </c>
      <c r="K166" s="34">
        <f>SUM(K151:K165)</f>
        <v>2476000000</v>
      </c>
      <c r="L166" s="57"/>
      <c r="M166" s="142">
        <f>SUM(M151:M165)</f>
        <v>5788323881.5500002</v>
      </c>
      <c r="N166" s="142">
        <f>SUM(N151:N165)</f>
        <v>5548003.4499999974</v>
      </c>
      <c r="O166" s="57"/>
      <c r="P166" s="142">
        <f>SUM(P151:P165)</f>
        <v>2306103644.02</v>
      </c>
      <c r="Q166" s="712"/>
      <c r="R166" s="712">
        <f>SUM(R151:R165)</f>
        <v>133733.51999999999</v>
      </c>
      <c r="S166" s="614">
        <f>SUM(S151:S165)</f>
        <v>2306237377.54</v>
      </c>
      <c r="T166" s="224"/>
      <c r="U166" s="70">
        <f>SUM(U151:U165)</f>
        <v>243651828.46000001</v>
      </c>
      <c r="V166" s="428"/>
      <c r="W166" s="428"/>
    </row>
    <row r="167" spans="1:24" ht="15.75" thickBot="1" x14ac:dyDescent="0.3">
      <c r="A167" s="36" t="s">
        <v>88</v>
      </c>
      <c r="B167" s="30">
        <f>B166+B99+B71+B117+B144</f>
        <v>48417862212</v>
      </c>
      <c r="C167" s="28"/>
      <c r="D167" s="658"/>
      <c r="E167" s="186"/>
      <c r="F167" s="78">
        <f>F166+F99+F71+F117+F144</f>
        <v>48413652594</v>
      </c>
      <c r="G167" s="28"/>
      <c r="H167" s="639"/>
      <c r="I167" s="186"/>
      <c r="J167" s="78">
        <f>J166+J99+J71+J117+J144</f>
        <v>38820570042</v>
      </c>
      <c r="K167" s="30">
        <f>K166+K99+K71+K117+K144</f>
        <v>5535099874</v>
      </c>
      <c r="L167" s="55"/>
      <c r="M167" s="78">
        <f>M166+M99+M71+M117+M144</f>
        <v>43792435381.581009</v>
      </c>
      <c r="N167" s="78">
        <f>N166+N99+N71+N117+N144</f>
        <v>846817262.41999912</v>
      </c>
      <c r="O167" s="55"/>
      <c r="P167" s="78">
        <f>P166+P99+P71+P117+P144</f>
        <v>37349065952.629997</v>
      </c>
      <c r="Q167" s="673" t="s">
        <v>295</v>
      </c>
      <c r="R167" s="673">
        <f>R166+R99+R71+R117+R144</f>
        <v>1261050000</v>
      </c>
      <c r="S167" s="611">
        <f>S166+S99+S71+S117+S144</f>
        <v>38036342557.379997</v>
      </c>
      <c r="T167" s="222"/>
      <c r="U167" s="70">
        <f>U166+U99+U71+U117+U144</f>
        <v>784227484.61999941</v>
      </c>
      <c r="V167" s="428"/>
      <c r="W167" s="428"/>
    </row>
    <row r="168" spans="1:24" x14ac:dyDescent="0.25">
      <c r="A168" s="551" t="s">
        <v>311</v>
      </c>
      <c r="B168" s="722"/>
      <c r="C168" s="7"/>
      <c r="D168" s="105"/>
      <c r="E168" s="153"/>
      <c r="F168" s="724"/>
      <c r="G168" s="7"/>
      <c r="H168" s="637"/>
      <c r="I168" s="153"/>
      <c r="J168" s="724"/>
      <c r="K168" s="722"/>
      <c r="L168" s="725"/>
      <c r="M168" s="724"/>
      <c r="N168" s="722"/>
      <c r="O168" s="725"/>
      <c r="P168" s="724"/>
      <c r="Q168" s="729"/>
      <c r="R168" s="727"/>
      <c r="S168" s="725"/>
      <c r="T168" s="731"/>
      <c r="U168" s="733"/>
      <c r="V168" s="428"/>
      <c r="W168" s="428"/>
    </row>
    <row r="169" spans="1:24" x14ac:dyDescent="0.25">
      <c r="A169" s="356" t="s">
        <v>312</v>
      </c>
      <c r="B169" s="348"/>
      <c r="C169" s="2"/>
      <c r="D169" s="647"/>
      <c r="E169" s="146"/>
      <c r="F169" s="351"/>
      <c r="G169" s="2"/>
      <c r="H169" s="739"/>
      <c r="I169" s="146"/>
      <c r="J169" s="351"/>
      <c r="K169" s="348"/>
      <c r="L169" s="740"/>
      <c r="M169" s="351"/>
      <c r="N169" s="348"/>
      <c r="O169" s="740"/>
      <c r="P169" s="351"/>
      <c r="Q169" s="742"/>
      <c r="R169" s="741"/>
      <c r="S169" s="740"/>
      <c r="T169" s="745"/>
      <c r="U169" s="743">
        <v>352244160.11000001</v>
      </c>
      <c r="V169" s="428"/>
      <c r="W169" s="428"/>
    </row>
    <row r="170" spans="1:24" x14ac:dyDescent="0.25">
      <c r="A170" s="356" t="s">
        <v>313</v>
      </c>
      <c r="B170" s="348"/>
      <c r="C170" s="2"/>
      <c r="D170" s="647"/>
      <c r="E170" s="146"/>
      <c r="F170" s="351"/>
      <c r="G170" s="2"/>
      <c r="H170" s="739"/>
      <c r="I170" s="146"/>
      <c r="J170" s="351"/>
      <c r="K170" s="348"/>
      <c r="L170" s="740"/>
      <c r="M170" s="351"/>
      <c r="N170" s="348"/>
      <c r="O170" s="740"/>
      <c r="P170" s="351"/>
      <c r="Q170" s="742"/>
      <c r="R170" s="741"/>
      <c r="S170" s="740"/>
      <c r="T170" s="745"/>
      <c r="U170" s="743">
        <v>71254654.890000001</v>
      </c>
      <c r="V170" s="428"/>
      <c r="W170" s="428"/>
    </row>
    <row r="171" spans="1:24" x14ac:dyDescent="0.25">
      <c r="A171" s="356" t="s">
        <v>314</v>
      </c>
      <c r="B171" s="348"/>
      <c r="C171" s="2"/>
      <c r="D171" s="647"/>
      <c r="E171" s="146"/>
      <c r="F171" s="351"/>
      <c r="G171" s="2"/>
      <c r="H171" s="739"/>
      <c r="I171" s="146"/>
      <c r="J171" s="351"/>
      <c r="K171" s="348"/>
      <c r="L171" s="740"/>
      <c r="M171" s="351"/>
      <c r="N171" s="348"/>
      <c r="O171" s="740"/>
      <c r="P171" s="351"/>
      <c r="Q171" s="742"/>
      <c r="R171" s="741"/>
      <c r="S171" s="740"/>
      <c r="T171" s="745"/>
      <c r="U171" s="743">
        <v>265417678.75999999</v>
      </c>
      <c r="V171" s="428"/>
      <c r="W171" s="428"/>
    </row>
    <row r="172" spans="1:24" ht="15.75" thickBot="1" x14ac:dyDescent="0.3">
      <c r="A172" s="357"/>
      <c r="B172" s="340"/>
      <c r="C172" s="10"/>
      <c r="D172" s="108"/>
      <c r="E172" s="157"/>
      <c r="F172" s="343"/>
      <c r="G172" s="10"/>
      <c r="H172" s="723"/>
      <c r="I172" s="157"/>
      <c r="J172" s="343"/>
      <c r="K172" s="340"/>
      <c r="L172" s="726"/>
      <c r="M172" s="343"/>
      <c r="N172" s="340"/>
      <c r="O172" s="726"/>
      <c r="P172" s="343"/>
      <c r="Q172" s="730"/>
      <c r="R172" s="728"/>
      <c r="S172" s="726"/>
      <c r="T172" s="732"/>
      <c r="U172" s="744"/>
      <c r="V172" s="428"/>
      <c r="W172" s="428"/>
    </row>
    <row r="173" spans="1:24" ht="15.75" thickBot="1" x14ac:dyDescent="0.3">
      <c r="A173" s="39" t="s">
        <v>310</v>
      </c>
      <c r="B173" s="45"/>
      <c r="C173" s="734"/>
      <c r="D173" s="310"/>
      <c r="E173" s="735"/>
      <c r="F173" s="140"/>
      <c r="G173" s="734"/>
      <c r="H173" s="736"/>
      <c r="I173" s="735"/>
      <c r="J173" s="140"/>
      <c r="K173" s="45"/>
      <c r="L173" s="101"/>
      <c r="M173" s="140"/>
      <c r="N173" s="45"/>
      <c r="O173" s="101"/>
      <c r="P173" s="140"/>
      <c r="Q173" s="737"/>
      <c r="R173" s="702"/>
      <c r="S173" s="101"/>
      <c r="T173" s="738"/>
      <c r="U173" s="250">
        <f>U167+U169+U170+U171</f>
        <v>1473143978.3799996</v>
      </c>
      <c r="V173" s="428"/>
      <c r="W173" s="428"/>
    </row>
    <row r="174" spans="1:24" s="301" customFormat="1" x14ac:dyDescent="0.25">
      <c r="A174" s="324" t="s">
        <v>210</v>
      </c>
      <c r="B174" s="300"/>
      <c r="D174" s="659"/>
      <c r="F174" s="300"/>
      <c r="G174" s="302"/>
      <c r="H174" s="640"/>
      <c r="I174" s="300"/>
      <c r="J174" s="300"/>
      <c r="K174" s="300"/>
      <c r="L174" s="300"/>
      <c r="M174" s="300"/>
      <c r="N174" s="300"/>
      <c r="O174" s="300"/>
      <c r="P174" s="300"/>
      <c r="Q174" s="300"/>
      <c r="R174" s="300"/>
      <c r="S174" s="300"/>
      <c r="T174" s="303"/>
      <c r="U174" s="515"/>
      <c r="V174" s="302"/>
      <c r="W174" s="302"/>
    </row>
    <row r="175" spans="1:24" s="301" customFormat="1" x14ac:dyDescent="0.25">
      <c r="A175" s="324" t="s">
        <v>211</v>
      </c>
      <c r="B175" s="300"/>
      <c r="D175" s="660"/>
      <c r="F175" s="300"/>
      <c r="G175" s="302"/>
      <c r="H175" s="640"/>
      <c r="I175" s="300"/>
      <c r="J175" s="300"/>
      <c r="K175" s="300"/>
      <c r="L175" s="300"/>
      <c r="M175" s="300"/>
      <c r="N175" s="300"/>
      <c r="O175" s="300"/>
      <c r="P175" s="300"/>
      <c r="Q175" s="300"/>
      <c r="R175" s="300"/>
      <c r="S175" s="300"/>
      <c r="T175" s="303"/>
      <c r="U175" s="515"/>
      <c r="V175" s="302"/>
      <c r="W175" s="302"/>
    </row>
    <row r="176" spans="1:24" s="301" customFormat="1" ht="12" x14ac:dyDescent="0.2">
      <c r="A176" s="325" t="s">
        <v>289</v>
      </c>
      <c r="B176" s="300"/>
      <c r="D176" s="660"/>
      <c r="F176" s="300"/>
      <c r="G176" s="302"/>
      <c r="H176" s="640"/>
      <c r="I176" s="300"/>
      <c r="J176" s="300"/>
      <c r="K176" s="300"/>
      <c r="L176" s="300"/>
      <c r="M176" s="300"/>
      <c r="N176" s="300"/>
      <c r="O176" s="300"/>
      <c r="P176" s="300"/>
      <c r="Q176" s="300"/>
      <c r="R176" s="300"/>
      <c r="S176" s="300"/>
      <c r="T176" s="303"/>
      <c r="U176" s="302"/>
      <c r="V176" s="302"/>
      <c r="W176" s="302"/>
    </row>
    <row r="177" spans="1:23" s="301" customFormat="1" ht="12" x14ac:dyDescent="0.2">
      <c r="A177" s="325" t="s">
        <v>290</v>
      </c>
      <c r="B177" s="300"/>
      <c r="D177" s="660"/>
      <c r="F177" s="300"/>
      <c r="G177" s="302"/>
      <c r="H177" s="640"/>
      <c r="I177" s="300"/>
      <c r="J177" s="300"/>
      <c r="K177" s="300"/>
      <c r="L177" s="300"/>
      <c r="M177" s="300"/>
      <c r="N177" s="300"/>
      <c r="O177" s="300"/>
      <c r="P177" s="300"/>
      <c r="Q177" s="300"/>
      <c r="R177" s="300"/>
      <c r="S177" s="300"/>
      <c r="T177" s="303"/>
      <c r="U177" s="302"/>
      <c r="V177" s="302"/>
      <c r="W177" s="302"/>
    </row>
    <row r="178" spans="1:23" s="301" customFormat="1" ht="12" x14ac:dyDescent="0.2">
      <c r="A178" s="325" t="s">
        <v>291</v>
      </c>
      <c r="B178" s="300"/>
      <c r="D178" s="660"/>
      <c r="F178" s="300"/>
      <c r="G178" s="302"/>
      <c r="H178" s="640"/>
      <c r="I178" s="300"/>
      <c r="J178" s="300"/>
      <c r="K178" s="300"/>
      <c r="L178" s="300"/>
      <c r="M178" s="300"/>
      <c r="N178" s="300"/>
      <c r="O178" s="300"/>
      <c r="P178" s="300"/>
      <c r="Q178" s="300"/>
      <c r="R178" s="300"/>
      <c r="S178" s="300"/>
      <c r="T178" s="303"/>
      <c r="U178" s="302"/>
      <c r="V178" s="302"/>
      <c r="W178" s="302"/>
    </row>
    <row r="179" spans="1:23" s="301" customFormat="1" ht="12" x14ac:dyDescent="0.2">
      <c r="A179" s="325" t="s">
        <v>292</v>
      </c>
      <c r="B179" s="300"/>
      <c r="D179" s="660"/>
      <c r="F179" s="300"/>
      <c r="G179" s="302"/>
      <c r="H179" s="640"/>
      <c r="I179" s="300"/>
      <c r="J179" s="300"/>
      <c r="K179" s="300"/>
      <c r="L179" s="300"/>
      <c r="M179" s="300"/>
      <c r="N179" s="300"/>
      <c r="O179" s="300"/>
      <c r="P179" s="300"/>
      <c r="Q179" s="300"/>
      <c r="R179" s="300"/>
      <c r="S179" s="300"/>
      <c r="T179" s="303"/>
      <c r="U179" s="302"/>
      <c r="V179" s="302"/>
      <c r="W179" s="302"/>
    </row>
    <row r="180" spans="1:23" s="301" customFormat="1" ht="12" x14ac:dyDescent="0.2">
      <c r="A180" s="324" t="s">
        <v>293</v>
      </c>
      <c r="B180" s="300"/>
      <c r="D180" s="660"/>
      <c r="F180" s="300"/>
      <c r="G180" s="302"/>
      <c r="H180" s="640"/>
      <c r="I180" s="300"/>
      <c r="J180" s="300"/>
      <c r="K180" s="300"/>
      <c r="L180" s="300"/>
      <c r="M180" s="300"/>
      <c r="N180" s="300"/>
      <c r="O180" s="300"/>
      <c r="P180" s="300"/>
      <c r="Q180" s="300"/>
      <c r="R180" s="300"/>
      <c r="S180" s="300"/>
      <c r="T180" s="303"/>
      <c r="U180" s="302"/>
      <c r="V180" s="302"/>
      <c r="W180" s="302"/>
    </row>
    <row r="181" spans="1:23" s="301" customFormat="1" ht="12" x14ac:dyDescent="0.2">
      <c r="A181" s="324" t="s">
        <v>294</v>
      </c>
      <c r="B181" s="300"/>
      <c r="D181" s="660"/>
      <c r="F181" s="300"/>
      <c r="G181" s="302"/>
      <c r="H181" s="640"/>
      <c r="I181" s="300"/>
      <c r="J181" s="300"/>
      <c r="K181" s="300"/>
      <c r="L181" s="300"/>
      <c r="M181" s="300"/>
      <c r="N181" s="300"/>
      <c r="O181" s="300"/>
      <c r="P181" s="300"/>
      <c r="Q181" s="300"/>
      <c r="R181" s="300"/>
      <c r="S181" s="300"/>
      <c r="T181" s="303"/>
      <c r="U181" s="302"/>
      <c r="V181" s="302"/>
      <c r="W181" s="302"/>
    </row>
    <row r="182" spans="1:23" s="301" customFormat="1" ht="12" customHeight="1" x14ac:dyDescent="0.2">
      <c r="A182" s="820" t="s">
        <v>298</v>
      </c>
      <c r="B182" s="820"/>
      <c r="C182" s="820"/>
      <c r="D182" s="820"/>
      <c r="E182" s="820"/>
      <c r="F182" s="820"/>
      <c r="G182" s="820"/>
      <c r="H182" s="820"/>
      <c r="I182" s="820"/>
      <c r="J182" s="820"/>
      <c r="K182" s="820"/>
      <c r="L182" s="820"/>
      <c r="M182" s="820"/>
      <c r="N182" s="820"/>
      <c r="O182" s="820"/>
      <c r="P182" s="820"/>
      <c r="Q182" s="820"/>
      <c r="R182" s="820"/>
      <c r="S182" s="820"/>
      <c r="T182" s="820"/>
      <c r="U182" s="820"/>
      <c r="V182" s="302"/>
      <c r="W182" s="302"/>
    </row>
    <row r="183" spans="1:23" x14ac:dyDescent="0.25">
      <c r="K183" s="27"/>
      <c r="L183" s="27"/>
    </row>
    <row r="184" spans="1:23" x14ac:dyDescent="0.25">
      <c r="A184" s="11" t="s">
        <v>89</v>
      </c>
      <c r="F184" t="s">
        <v>91</v>
      </c>
      <c r="N184"/>
      <c r="R184" t="s">
        <v>92</v>
      </c>
    </row>
    <row r="185" spans="1:23" ht="10.5" customHeight="1" x14ac:dyDescent="0.25">
      <c r="A185" s="11"/>
      <c r="N185"/>
      <c r="R185"/>
    </row>
    <row r="186" spans="1:23" s="11" customFormat="1" x14ac:dyDescent="0.25">
      <c r="C186"/>
      <c r="D186" s="1"/>
      <c r="E186"/>
      <c r="F186"/>
      <c r="G186"/>
      <c r="H186" s="208"/>
      <c r="I186"/>
      <c r="K186"/>
      <c r="L186"/>
      <c r="N186"/>
      <c r="R186"/>
      <c r="T186" s="89"/>
      <c r="U186"/>
      <c r="V186"/>
      <c r="W186"/>
    </row>
    <row r="187" spans="1:23" s="11" customFormat="1" x14ac:dyDescent="0.25">
      <c r="A187" s="37" t="s">
        <v>90</v>
      </c>
      <c r="B187" s="37"/>
      <c r="C187"/>
      <c r="D187" s="1"/>
      <c r="E187"/>
      <c r="F187" s="32" t="s">
        <v>173</v>
      </c>
      <c r="G187" s="32"/>
      <c r="H187" s="636"/>
      <c r="I187" s="32"/>
      <c r="J187" s="37"/>
      <c r="K187"/>
      <c r="L187" s="32"/>
      <c r="N187" s="32"/>
      <c r="O187" s="37"/>
      <c r="R187" s="32" t="s">
        <v>183</v>
      </c>
      <c r="T187" s="89"/>
      <c r="U187"/>
      <c r="V187"/>
      <c r="W187"/>
    </row>
    <row r="188" spans="1:23" s="11" customFormat="1" x14ac:dyDescent="0.25">
      <c r="A188" s="11" t="s">
        <v>93</v>
      </c>
      <c r="C188"/>
      <c r="D188" s="1"/>
      <c r="E188"/>
      <c r="F188" t="s">
        <v>172</v>
      </c>
      <c r="G188"/>
      <c r="H188" s="208"/>
      <c r="I188"/>
      <c r="K188"/>
      <c r="L188"/>
      <c r="N188"/>
      <c r="R188" t="s">
        <v>182</v>
      </c>
      <c r="T188" s="89"/>
      <c r="U188"/>
      <c r="V188"/>
      <c r="W188"/>
    </row>
    <row r="189" spans="1:23" s="11" customFormat="1" x14ac:dyDescent="0.25">
      <c r="A189"/>
      <c r="C189"/>
      <c r="D189" s="1"/>
      <c r="E189"/>
      <c r="F189"/>
      <c r="G189"/>
      <c r="H189" s="208"/>
      <c r="I189"/>
      <c r="K189"/>
      <c r="L189"/>
      <c r="N189"/>
      <c r="R189" t="s">
        <v>122</v>
      </c>
      <c r="T189" s="89"/>
      <c r="U189"/>
      <c r="V189"/>
      <c r="W189"/>
    </row>
  </sheetData>
  <mergeCells count="74">
    <mergeCell ref="A182:U182"/>
    <mergeCell ref="T121:U122"/>
    <mergeCell ref="L147:N147"/>
    <mergeCell ref="O147:S147"/>
    <mergeCell ref="T147:U148"/>
    <mergeCell ref="O137:O138"/>
    <mergeCell ref="P137:P138"/>
    <mergeCell ref="T137:T138"/>
    <mergeCell ref="U137:U138"/>
    <mergeCell ref="T127:T128"/>
    <mergeCell ref="U127:U128"/>
    <mergeCell ref="K127:K128"/>
    <mergeCell ref="L127:L128"/>
    <mergeCell ref="M127:M128"/>
    <mergeCell ref="O127:O128"/>
    <mergeCell ref="P127:P128"/>
    <mergeCell ref="O7:S7"/>
    <mergeCell ref="T7:U8"/>
    <mergeCell ref="N127:N128"/>
    <mergeCell ref="N137:N138"/>
    <mergeCell ref="R127:R128"/>
    <mergeCell ref="S137:S138"/>
    <mergeCell ref="R137:R138"/>
    <mergeCell ref="S127:S128"/>
    <mergeCell ref="L74:N74"/>
    <mergeCell ref="O74:S74"/>
    <mergeCell ref="T74:U75"/>
    <mergeCell ref="L102:N102"/>
    <mergeCell ref="O102:S102"/>
    <mergeCell ref="T102:U103"/>
    <mergeCell ref="L121:N121"/>
    <mergeCell ref="O121:S121"/>
    <mergeCell ref="L7:N7"/>
    <mergeCell ref="A140:A141"/>
    <mergeCell ref="A147:A148"/>
    <mergeCell ref="B147:B148"/>
    <mergeCell ref="C147:F147"/>
    <mergeCell ref="G147:J147"/>
    <mergeCell ref="K147:K148"/>
    <mergeCell ref="A137:A138"/>
    <mergeCell ref="B137:B138"/>
    <mergeCell ref="C137:C138"/>
    <mergeCell ref="D137:D138"/>
    <mergeCell ref="E137:E138"/>
    <mergeCell ref="F137:F138"/>
    <mergeCell ref="K137:K138"/>
    <mergeCell ref="L137:L138"/>
    <mergeCell ref="M137:M138"/>
    <mergeCell ref="F127:F128"/>
    <mergeCell ref="A121:A122"/>
    <mergeCell ref="B121:B122"/>
    <mergeCell ref="C121:F121"/>
    <mergeCell ref="G121:J121"/>
    <mergeCell ref="A127:A128"/>
    <mergeCell ref="B127:B128"/>
    <mergeCell ref="C127:C128"/>
    <mergeCell ref="D127:D128"/>
    <mergeCell ref="E127:E128"/>
    <mergeCell ref="K121:K122"/>
    <mergeCell ref="A102:A103"/>
    <mergeCell ref="B102:B103"/>
    <mergeCell ref="C102:F102"/>
    <mergeCell ref="G102:J102"/>
    <mergeCell ref="K102:K103"/>
    <mergeCell ref="A74:A75"/>
    <mergeCell ref="B74:B75"/>
    <mergeCell ref="C74:F74"/>
    <mergeCell ref="G74:J74"/>
    <mergeCell ref="K74:K75"/>
    <mergeCell ref="A7:A8"/>
    <mergeCell ref="B7:B8"/>
    <mergeCell ref="C7:F7"/>
    <mergeCell ref="G7:J7"/>
    <mergeCell ref="K7:K8"/>
  </mergeCells>
  <printOptions horizontalCentered="1"/>
  <pageMargins left="0" right="0" top="0" bottom="0" header="0.31496062992125984" footer="0.31496062992125984"/>
  <pageSetup paperSize="256" scale="55" orientation="landscape" r:id="rId1"/>
  <rowBreaks count="3" manualBreakCount="3">
    <brk id="72" max="20" man="1"/>
    <brk id="119" max="17" man="1"/>
    <brk id="145"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3"/>
  <sheetViews>
    <sheetView view="pageBreakPreview" zoomScaleSheetLayoutView="100" workbookViewId="0">
      <pane xSplit="1" ySplit="9" topLeftCell="B96" activePane="bottomRight" state="frozen"/>
      <selection pane="topRight" activeCell="B1" sqref="B1"/>
      <selection pane="bottomLeft" activeCell="A10" sqref="A10"/>
      <selection pane="bottomRight" activeCell="P105" sqref="P105"/>
    </sheetView>
  </sheetViews>
  <sheetFormatPr defaultRowHeight="15" x14ac:dyDescent="0.25"/>
  <cols>
    <col min="1" max="1" width="42.42578125" customWidth="1"/>
    <col min="2" max="2" width="17.85546875" style="11" customWidth="1"/>
    <col min="3" max="3" width="1.7109375" customWidth="1"/>
    <col min="4" max="4" width="17.5703125" customWidth="1"/>
    <col min="5" max="5" width="1.42578125" customWidth="1"/>
    <col min="6" max="6" width="17.42578125" style="11" customWidth="1"/>
    <col min="7" max="7" width="16.42578125" customWidth="1"/>
    <col min="8" max="8" width="2.5703125" customWidth="1"/>
    <col min="9" max="10" width="17.7109375" style="11" customWidth="1"/>
    <col min="11" max="11" width="2.5703125" style="11" customWidth="1"/>
    <col min="12" max="12" width="17.42578125" style="11" customWidth="1"/>
    <col min="13" max="13" width="2.7109375" style="11" customWidth="1"/>
    <col min="14" max="15" width="17.42578125" style="11" customWidth="1"/>
    <col min="16" max="16" width="16.85546875" style="11" customWidth="1"/>
    <col min="17" max="17" width="2.85546875" style="89" hidden="1" customWidth="1"/>
    <col min="18" max="20" width="17.140625" hidden="1" customWidth="1"/>
    <col min="21" max="21" width="17.140625" style="451" hidden="1" customWidth="1"/>
    <col min="22" max="22" width="17.85546875" hidden="1" customWidth="1"/>
  </cols>
  <sheetData>
    <row r="1" spans="1:21" ht="10.5" customHeight="1" x14ac:dyDescent="0.25"/>
    <row r="2" spans="1:21" ht="18.75" x14ac:dyDescent="0.3">
      <c r="A2" s="5" t="s">
        <v>0</v>
      </c>
    </row>
    <row r="3" spans="1:21" ht="18.75" x14ac:dyDescent="0.3">
      <c r="A3" s="5" t="s">
        <v>1</v>
      </c>
    </row>
    <row r="4" spans="1:21" ht="18.75" x14ac:dyDescent="0.3">
      <c r="A4" s="5" t="s">
        <v>304</v>
      </c>
    </row>
    <row r="5" spans="1:21" ht="11.25" customHeight="1" x14ac:dyDescent="0.25">
      <c r="A5" s="4"/>
    </row>
    <row r="6" spans="1:21" ht="16.5" thickBot="1" x14ac:dyDescent="0.3">
      <c r="A6" s="4" t="s">
        <v>39</v>
      </c>
    </row>
    <row r="7" spans="1:21" ht="16.5" customHeight="1" x14ac:dyDescent="0.25">
      <c r="A7" s="780" t="s">
        <v>13</v>
      </c>
      <c r="B7" s="782" t="s">
        <v>14</v>
      </c>
      <c r="C7" s="843" t="s">
        <v>280</v>
      </c>
      <c r="D7" s="844"/>
      <c r="E7" s="847" t="s">
        <v>281</v>
      </c>
      <c r="F7" s="844"/>
      <c r="G7" s="785" t="s">
        <v>20</v>
      </c>
      <c r="H7" s="799" t="s">
        <v>283</v>
      </c>
      <c r="I7" s="800"/>
      <c r="J7" s="801"/>
      <c r="K7" s="831" t="s">
        <v>285</v>
      </c>
      <c r="L7" s="832"/>
      <c r="M7" s="832"/>
      <c r="N7" s="832"/>
      <c r="O7" s="833"/>
      <c r="P7" s="837" t="s">
        <v>288</v>
      </c>
      <c r="Q7" s="218"/>
      <c r="R7" s="811" t="s">
        <v>279</v>
      </c>
      <c r="S7" s="811" t="s">
        <v>276</v>
      </c>
      <c r="T7" s="421"/>
      <c r="U7" s="835" t="s">
        <v>275</v>
      </c>
    </row>
    <row r="8" spans="1:21" ht="28.5" customHeight="1" x14ac:dyDescent="0.25">
      <c r="A8" s="781"/>
      <c r="B8" s="783"/>
      <c r="C8" s="845"/>
      <c r="D8" s="846"/>
      <c r="E8" s="848"/>
      <c r="F8" s="846"/>
      <c r="G8" s="786"/>
      <c r="H8" s="143"/>
      <c r="I8" s="125" t="s">
        <v>21</v>
      </c>
      <c r="J8" s="553" t="s">
        <v>282</v>
      </c>
      <c r="K8" s="73"/>
      <c r="L8" s="567" t="s">
        <v>284</v>
      </c>
      <c r="M8" s="568"/>
      <c r="N8" s="568" t="s">
        <v>296</v>
      </c>
      <c r="O8" s="425" t="s">
        <v>286</v>
      </c>
      <c r="P8" s="838"/>
      <c r="Q8" s="219"/>
      <c r="R8" s="813"/>
      <c r="S8" s="813"/>
      <c r="T8" s="422" t="s">
        <v>278</v>
      </c>
      <c r="U8" s="836"/>
    </row>
    <row r="9" spans="1:21" s="1" customFormat="1" ht="15.75" thickBot="1" x14ac:dyDescent="0.3">
      <c r="A9" s="54" t="s">
        <v>11</v>
      </c>
      <c r="B9" s="15" t="s">
        <v>12</v>
      </c>
      <c r="C9" s="104"/>
      <c r="D9" s="158" t="s">
        <v>4</v>
      </c>
      <c r="E9" s="104"/>
      <c r="F9" s="126" t="s">
        <v>5</v>
      </c>
      <c r="G9" s="3" t="s">
        <v>299</v>
      </c>
      <c r="H9" s="104"/>
      <c r="I9" s="126" t="s">
        <v>7</v>
      </c>
      <c r="J9" s="554" t="s">
        <v>309</v>
      </c>
      <c r="K9" s="58"/>
      <c r="L9" s="126" t="s">
        <v>9</v>
      </c>
      <c r="M9" s="554"/>
      <c r="N9" s="554" t="s">
        <v>300</v>
      </c>
      <c r="O9" s="601" t="s">
        <v>301</v>
      </c>
      <c r="P9" s="575" t="s">
        <v>302</v>
      </c>
      <c r="Q9" s="220"/>
      <c r="R9" s="813"/>
      <c r="S9" s="813"/>
      <c r="T9" s="422"/>
      <c r="U9" s="836"/>
    </row>
    <row r="10" spans="1:21" s="1" customFormat="1" ht="18.75" x14ac:dyDescent="0.25">
      <c r="A10" s="551" t="s">
        <v>193</v>
      </c>
      <c r="B10" s="550">
        <v>862944000</v>
      </c>
      <c r="C10" s="549"/>
      <c r="D10" s="546">
        <v>862944000</v>
      </c>
      <c r="E10" s="549"/>
      <c r="F10" s="546">
        <v>794831852</v>
      </c>
      <c r="G10" s="548">
        <f t="shared" ref="G10:G16" si="0">D10-F10</f>
        <v>68112148</v>
      </c>
      <c r="H10" s="545"/>
      <c r="I10" s="546">
        <v>862944000</v>
      </c>
      <c r="J10" s="384">
        <f>D10-I10</f>
        <v>0</v>
      </c>
      <c r="K10" s="547"/>
      <c r="L10" s="546">
        <v>755043847.98000026</v>
      </c>
      <c r="M10" s="384"/>
      <c r="N10" s="384">
        <v>0</v>
      </c>
      <c r="O10" s="550">
        <f>L10+N10</f>
        <v>755043847.98000026</v>
      </c>
      <c r="P10" s="576">
        <f>F10-O10</f>
        <v>39788004.019999743</v>
      </c>
      <c r="Q10" s="573"/>
      <c r="R10" s="544">
        <f t="shared" ref="R10:R24" si="1">F10-L10</f>
        <v>39788004.019999743</v>
      </c>
      <c r="S10" s="544">
        <v>0</v>
      </c>
      <c r="T10" s="544"/>
      <c r="U10" s="480">
        <f>R10-S10</f>
        <v>39788004.019999743</v>
      </c>
    </row>
    <row r="11" spans="1:21" s="1" customFormat="1" ht="18.75" x14ac:dyDescent="0.25">
      <c r="A11" s="356" t="s">
        <v>166</v>
      </c>
      <c r="B11" s="528">
        <v>1817100000</v>
      </c>
      <c r="C11" s="527"/>
      <c r="D11" s="523">
        <v>1817100000</v>
      </c>
      <c r="E11" s="527"/>
      <c r="F11" s="523">
        <v>663929056</v>
      </c>
      <c r="G11" s="526">
        <f t="shared" si="0"/>
        <v>1153170944</v>
      </c>
      <c r="H11" s="543"/>
      <c r="I11" s="523">
        <v>1816280484.5900002</v>
      </c>
      <c r="J11" s="503">
        <f>D11-I11</f>
        <v>819515.40999984741</v>
      </c>
      <c r="K11" s="524"/>
      <c r="L11" s="523">
        <v>1688972161.3399997</v>
      </c>
      <c r="M11" s="574" t="s">
        <v>138</v>
      </c>
      <c r="N11" s="503">
        <v>-1025043105.34</v>
      </c>
      <c r="O11" s="528">
        <f>L11+N11</f>
        <v>663929055.99999964</v>
      </c>
      <c r="P11" s="577">
        <f>F11-O11</f>
        <v>0</v>
      </c>
      <c r="Q11" s="574" t="s">
        <v>138</v>
      </c>
      <c r="R11" s="541">
        <f t="shared" si="1"/>
        <v>-1025043105.3399997</v>
      </c>
      <c r="S11" s="541">
        <v>-1025043105.34</v>
      </c>
      <c r="T11" s="541"/>
      <c r="U11" s="478">
        <v>0</v>
      </c>
    </row>
    <row r="12" spans="1:21" s="1" customFormat="1" ht="21" customHeight="1" x14ac:dyDescent="0.25">
      <c r="A12" s="356" t="s">
        <v>132</v>
      </c>
      <c r="B12" s="528">
        <v>1817100000</v>
      </c>
      <c r="C12" s="527"/>
      <c r="D12" s="523">
        <v>1817100000</v>
      </c>
      <c r="E12" s="527"/>
      <c r="F12" s="523">
        <v>1669647151</v>
      </c>
      <c r="G12" s="526">
        <f t="shared" si="0"/>
        <v>147452849</v>
      </c>
      <c r="H12" s="543"/>
      <c r="I12" s="523">
        <v>1813161340.8300002</v>
      </c>
      <c r="J12" s="503">
        <f t="shared" ref="J12:J24" si="2">D12-I12</f>
        <v>3938659.1699998379</v>
      </c>
      <c r="K12" s="524"/>
      <c r="L12" s="523">
        <v>1592357612.9300001</v>
      </c>
      <c r="M12" s="503"/>
      <c r="N12" s="503">
        <v>0</v>
      </c>
      <c r="O12" s="528">
        <f t="shared" ref="O12:O24" si="3">L12+N12</f>
        <v>1592357612.9300001</v>
      </c>
      <c r="P12" s="577">
        <f t="shared" ref="P12:P24" si="4">F12-O12</f>
        <v>77289538.069999933</v>
      </c>
      <c r="Q12" s="574"/>
      <c r="R12" s="541">
        <f t="shared" si="1"/>
        <v>77289538.069999933</v>
      </c>
      <c r="S12" s="541">
        <v>0</v>
      </c>
      <c r="T12" s="541"/>
      <c r="U12" s="478">
        <f>R12-S12</f>
        <v>77289538.069999933</v>
      </c>
    </row>
    <row r="13" spans="1:21" s="1" customFormat="1" ht="18.75" x14ac:dyDescent="0.25">
      <c r="A13" s="356" t="s">
        <v>102</v>
      </c>
      <c r="B13" s="528">
        <v>1817384000</v>
      </c>
      <c r="C13" s="527"/>
      <c r="D13" s="523">
        <v>1817384000</v>
      </c>
      <c r="E13" s="527"/>
      <c r="F13" s="523">
        <v>1817384000</v>
      </c>
      <c r="G13" s="526">
        <f t="shared" si="0"/>
        <v>0</v>
      </c>
      <c r="H13" s="525"/>
      <c r="I13" s="523">
        <v>1817384000</v>
      </c>
      <c r="J13" s="503">
        <f t="shared" si="2"/>
        <v>0</v>
      </c>
      <c r="K13" s="524"/>
      <c r="L13" s="523">
        <f>1610891209.65+'[4]Savings Fund Sources'!$F$19</f>
        <v>1692856199.9400001</v>
      </c>
      <c r="M13" s="503"/>
      <c r="N13" s="503">
        <f>'[5]Overall Summary'!$F$17</f>
        <v>99023769.670000002</v>
      </c>
      <c r="O13" s="528">
        <f t="shared" si="3"/>
        <v>1791879969.6100001</v>
      </c>
      <c r="P13" s="577">
        <f t="shared" si="4"/>
        <v>25504030.389999866</v>
      </c>
      <c r="Q13" s="542"/>
      <c r="R13" s="541">
        <f t="shared" si="1"/>
        <v>124527800.05999994</v>
      </c>
      <c r="S13" s="541">
        <v>74503090.180000007</v>
      </c>
      <c r="T13" s="541">
        <f>131989700.17-25504030.39</f>
        <v>106485669.78</v>
      </c>
      <c r="U13" s="478">
        <f t="shared" ref="U13:U24" si="5">R13-S13-T13</f>
        <v>-56460959.900000066</v>
      </c>
    </row>
    <row r="14" spans="1:21" s="1" customFormat="1" x14ac:dyDescent="0.25">
      <c r="A14" s="540" t="s">
        <v>101</v>
      </c>
      <c r="B14" s="528">
        <v>528220264</v>
      </c>
      <c r="C14" s="527"/>
      <c r="D14" s="523">
        <v>528220264</v>
      </c>
      <c r="E14" s="527"/>
      <c r="F14" s="523">
        <v>528220264</v>
      </c>
      <c r="G14" s="526">
        <f t="shared" si="0"/>
        <v>0</v>
      </c>
      <c r="H14" s="525"/>
      <c r="I14" s="523">
        <v>527071185.09999996</v>
      </c>
      <c r="J14" s="503">
        <f t="shared" si="2"/>
        <v>1149078.9000000358</v>
      </c>
      <c r="K14" s="524"/>
      <c r="L14" s="523">
        <f>447421386.56+'[4]Savings Fund Sources'!$F$18</f>
        <v>473087895.24000001</v>
      </c>
      <c r="M14" s="503"/>
      <c r="N14" s="503">
        <f>'[5]Overall Summary'!$F$16</f>
        <v>55132368.759999998</v>
      </c>
      <c r="O14" s="528">
        <f t="shared" si="3"/>
        <v>528220264</v>
      </c>
      <c r="P14" s="577">
        <f t="shared" si="4"/>
        <v>0</v>
      </c>
      <c r="Q14" s="503"/>
      <c r="R14" s="502">
        <f t="shared" si="1"/>
        <v>55132368.75999999</v>
      </c>
      <c r="S14" s="502">
        <v>14649918.07</v>
      </c>
      <c r="T14" s="502">
        <v>66148959.370000057</v>
      </c>
      <c r="U14" s="478">
        <f t="shared" si="5"/>
        <v>-25666508.680000067</v>
      </c>
    </row>
    <row r="15" spans="1:21" x14ac:dyDescent="0.25">
      <c r="A15" s="356" t="s">
        <v>73</v>
      </c>
      <c r="B15" s="535">
        <v>1500000000</v>
      </c>
      <c r="C15" s="539"/>
      <c r="D15" s="534">
        <v>1500000000</v>
      </c>
      <c r="E15" s="533"/>
      <c r="F15" s="534">
        <v>1500000000</v>
      </c>
      <c r="G15" s="526">
        <f t="shared" si="0"/>
        <v>0</v>
      </c>
      <c r="H15" s="538"/>
      <c r="I15" s="534">
        <v>1464705294.8600001</v>
      </c>
      <c r="J15" s="503">
        <f t="shared" si="2"/>
        <v>35294705.139999866</v>
      </c>
      <c r="K15" s="538"/>
      <c r="L15" s="534">
        <f>1317464775.42+'[4]Savings Fund Sources'!$F$17</f>
        <v>1333008310.8200002</v>
      </c>
      <c r="M15" s="555"/>
      <c r="N15" s="555">
        <f>'[5]Overall Summary'!$F$15</f>
        <v>166991689.17999998</v>
      </c>
      <c r="O15" s="528">
        <f t="shared" si="3"/>
        <v>1500000000.0000002</v>
      </c>
      <c r="P15" s="577">
        <f t="shared" si="4"/>
        <v>0</v>
      </c>
      <c r="Q15" s="537"/>
      <c r="R15" s="502">
        <f t="shared" si="1"/>
        <v>166991689.17999983</v>
      </c>
      <c r="S15" s="502">
        <v>156786449.94999999</v>
      </c>
      <c r="T15" s="502">
        <v>25748774.630000412</v>
      </c>
      <c r="U15" s="478">
        <f t="shared" si="5"/>
        <v>-15543535.400000572</v>
      </c>
    </row>
    <row r="16" spans="1:21" x14ac:dyDescent="0.25">
      <c r="A16" s="356" t="s">
        <v>22</v>
      </c>
      <c r="B16" s="535">
        <v>6358000000</v>
      </c>
      <c r="C16" s="533"/>
      <c r="D16" s="534">
        <v>6358000000</v>
      </c>
      <c r="E16" s="533"/>
      <c r="F16" s="534">
        <v>6358000000</v>
      </c>
      <c r="G16" s="526">
        <f t="shared" si="0"/>
        <v>0</v>
      </c>
      <c r="H16" s="531"/>
      <c r="I16" s="534">
        <v>6350951561.1199999</v>
      </c>
      <c r="J16" s="503">
        <f t="shared" si="2"/>
        <v>7048438.8800001144</v>
      </c>
      <c r="K16" s="538"/>
      <c r="L16" s="534">
        <f>5731817428.5+'[4]Savings Fund Sources'!$F$16</f>
        <v>6057823774.1999998</v>
      </c>
      <c r="M16" s="555"/>
      <c r="N16" s="555">
        <f>'[5]Overall Summary'!$F$14</f>
        <v>300176225.80000001</v>
      </c>
      <c r="O16" s="528">
        <f t="shared" si="3"/>
        <v>6358000000</v>
      </c>
      <c r="P16" s="577">
        <f t="shared" si="4"/>
        <v>0</v>
      </c>
      <c r="Q16" s="537"/>
      <c r="R16" s="502">
        <f t="shared" si="1"/>
        <v>300176225.80000019</v>
      </c>
      <c r="S16" s="502">
        <v>189413922.71000001</v>
      </c>
      <c r="T16" s="502">
        <v>436768648.78999996</v>
      </c>
      <c r="U16" s="478">
        <f t="shared" si="5"/>
        <v>-326006345.69999981</v>
      </c>
    </row>
    <row r="17" spans="1:22" ht="18.75" x14ac:dyDescent="0.3">
      <c r="A17" s="356" t="s">
        <v>277</v>
      </c>
      <c r="B17" s="535">
        <v>2879181528.9899998</v>
      </c>
      <c r="C17" s="536" t="s">
        <v>139</v>
      </c>
      <c r="D17" s="389">
        <v>2879181528.9899998</v>
      </c>
      <c r="E17" s="533"/>
      <c r="F17" s="389">
        <v>2879181528.9899998</v>
      </c>
      <c r="G17" s="532">
        <v>0</v>
      </c>
      <c r="H17" s="531"/>
      <c r="I17" s="389">
        <v>2865790765.96</v>
      </c>
      <c r="J17" s="503">
        <f t="shared" si="2"/>
        <v>13390763.029999733</v>
      </c>
      <c r="K17" s="530"/>
      <c r="L17" s="389">
        <f>2592966496.46+'[4]Savings Fund Sources'!$F$14</f>
        <v>2737260671.04</v>
      </c>
      <c r="M17" s="556"/>
      <c r="N17" s="556">
        <f>'[5]Overall Summary'!$F$13</f>
        <v>141920857.94999999</v>
      </c>
      <c r="O17" s="528">
        <f t="shared" si="3"/>
        <v>2879181528.9899998</v>
      </c>
      <c r="P17" s="577">
        <f t="shared" si="4"/>
        <v>0</v>
      </c>
      <c r="Q17" s="387"/>
      <c r="R17" s="502">
        <f t="shared" si="1"/>
        <v>141920857.94999981</v>
      </c>
      <c r="S17" s="502">
        <v>102085645.67</v>
      </c>
      <c r="T17" s="502">
        <v>184129386.86000019</v>
      </c>
      <c r="U17" s="478">
        <f t="shared" si="5"/>
        <v>-144294174.5800004</v>
      </c>
    </row>
    <row r="18" spans="1:22" x14ac:dyDescent="0.25">
      <c r="A18" s="356" t="s">
        <v>40</v>
      </c>
      <c r="B18" s="535">
        <v>3752565000</v>
      </c>
      <c r="C18" s="533"/>
      <c r="D18" s="534">
        <v>3752565000</v>
      </c>
      <c r="E18" s="533"/>
      <c r="F18" s="389">
        <v>3752565001</v>
      </c>
      <c r="G18" s="532">
        <v>0</v>
      </c>
      <c r="H18" s="531"/>
      <c r="I18" s="389">
        <v>3750596431.6100006</v>
      </c>
      <c r="J18" s="503">
        <f t="shared" si="2"/>
        <v>1968568.3899993896</v>
      </c>
      <c r="K18" s="530"/>
      <c r="L18" s="389">
        <f>3413500113.15+'[4]Savings Fund Sources'!$F$13</f>
        <v>3557014608.5300002</v>
      </c>
      <c r="M18" s="556"/>
      <c r="N18" s="556">
        <f>'[5]Overall Summary'!$F$12</f>
        <v>195550392.47000003</v>
      </c>
      <c r="O18" s="528">
        <f t="shared" si="3"/>
        <v>3752565001</v>
      </c>
      <c r="P18" s="577">
        <f t="shared" si="4"/>
        <v>0</v>
      </c>
      <c r="Q18" s="387"/>
      <c r="R18" s="502">
        <f t="shared" si="1"/>
        <v>195550392.46999979</v>
      </c>
      <c r="S18" s="502">
        <v>134377813.53999999</v>
      </c>
      <c r="T18" s="502">
        <v>204687074.30999991</v>
      </c>
      <c r="U18" s="478">
        <f t="shared" si="5"/>
        <v>-143514495.38000011</v>
      </c>
    </row>
    <row r="19" spans="1:22" s="32" customFormat="1" x14ac:dyDescent="0.25">
      <c r="A19" s="508" t="s">
        <v>245</v>
      </c>
      <c r="B19" s="528">
        <v>1264000000</v>
      </c>
      <c r="C19" s="527"/>
      <c r="D19" s="523">
        <v>1264000000</v>
      </c>
      <c r="E19" s="527"/>
      <c r="F19" s="523">
        <v>1264000000</v>
      </c>
      <c r="G19" s="526">
        <f t="shared" ref="G19:G24" si="6">D19-F19</f>
        <v>0</v>
      </c>
      <c r="H19" s="525"/>
      <c r="I19" s="523">
        <v>1264000000.0009999</v>
      </c>
      <c r="J19" s="503">
        <v>0</v>
      </c>
      <c r="K19" s="524"/>
      <c r="L19" s="523">
        <f>1237081688.8</f>
        <v>1237081688.8</v>
      </c>
      <c r="M19" s="503"/>
      <c r="N19" s="503">
        <f>'[5]Overall Summary'!$D$11</f>
        <v>26918311.200000003</v>
      </c>
      <c r="O19" s="528">
        <f t="shared" si="3"/>
        <v>1264000000</v>
      </c>
      <c r="P19" s="577">
        <f t="shared" si="4"/>
        <v>0</v>
      </c>
      <c r="Q19" s="503"/>
      <c r="R19" s="502">
        <f t="shared" si="1"/>
        <v>26918311.200000048</v>
      </c>
      <c r="S19" s="502">
        <v>26918311.199999999</v>
      </c>
      <c r="T19" s="502">
        <v>4.8428773880004883E-8</v>
      </c>
      <c r="U19" s="478">
        <f t="shared" si="5"/>
        <v>0</v>
      </c>
    </row>
    <row r="20" spans="1:22" s="32" customFormat="1" x14ac:dyDescent="0.25">
      <c r="A20" s="508" t="s">
        <v>249</v>
      </c>
      <c r="B20" s="528">
        <v>2000000000</v>
      </c>
      <c r="C20" s="527"/>
      <c r="D20" s="523">
        <v>2000000000</v>
      </c>
      <c r="E20" s="527"/>
      <c r="F20" s="523">
        <v>2000000000</v>
      </c>
      <c r="G20" s="526">
        <f t="shared" si="6"/>
        <v>0</v>
      </c>
      <c r="H20" s="525"/>
      <c r="I20" s="523">
        <v>1999077447.51</v>
      </c>
      <c r="J20" s="503">
        <f t="shared" si="2"/>
        <v>922552.49000000954</v>
      </c>
      <c r="K20" s="524"/>
      <c r="L20" s="523">
        <f>1887774378.53+'[4]Savings Fund Sources'!$F$12</f>
        <v>1939765756.6399999</v>
      </c>
      <c r="M20" s="503"/>
      <c r="N20" s="503">
        <f>'[5]Overall Summary'!$D$10+22262404.43</f>
        <v>60234243.359999999</v>
      </c>
      <c r="O20" s="528">
        <f t="shared" si="3"/>
        <v>1999999999.9999998</v>
      </c>
      <c r="P20" s="577">
        <f t="shared" si="4"/>
        <v>0</v>
      </c>
      <c r="Q20" s="503"/>
      <c r="R20" s="502">
        <f t="shared" si="1"/>
        <v>60234243.360000134</v>
      </c>
      <c r="S20" s="502">
        <v>37971838.93</v>
      </c>
      <c r="T20" s="502">
        <v>74253782.536999762</v>
      </c>
      <c r="U20" s="478">
        <f t="shared" si="5"/>
        <v>-51991378.106999628</v>
      </c>
    </row>
    <row r="21" spans="1:22" s="32" customFormat="1" x14ac:dyDescent="0.25">
      <c r="A21" s="508" t="s">
        <v>255</v>
      </c>
      <c r="B21" s="528">
        <v>589655724.52999997</v>
      </c>
      <c r="C21" s="527"/>
      <c r="D21" s="523">
        <v>589655724.52999997</v>
      </c>
      <c r="E21" s="527"/>
      <c r="F21" s="529">
        <v>589655724.52999997</v>
      </c>
      <c r="G21" s="526">
        <f t="shared" si="6"/>
        <v>0</v>
      </c>
      <c r="H21" s="525"/>
      <c r="I21" s="523">
        <v>583642898.80999994</v>
      </c>
      <c r="J21" s="503">
        <f t="shared" si="2"/>
        <v>6012825.7200000286</v>
      </c>
      <c r="K21" s="524"/>
      <c r="L21" s="523">
        <f>536062304.11+'[4]Savings Fund Sources'!$F$11</f>
        <v>552077194.39999998</v>
      </c>
      <c r="M21" s="503"/>
      <c r="N21" s="503">
        <f>'[5]Overall Summary'!$D$9+1880678.41</f>
        <v>37578530.130000003</v>
      </c>
      <c r="O21" s="528">
        <f t="shared" si="3"/>
        <v>589655724.52999997</v>
      </c>
      <c r="P21" s="577">
        <f t="shared" si="4"/>
        <v>0</v>
      </c>
      <c r="Q21" s="503"/>
      <c r="R21" s="502">
        <f t="shared" si="1"/>
        <v>37578530.129999995</v>
      </c>
      <c r="S21" s="502">
        <v>35697851.719999999</v>
      </c>
      <c r="T21" s="502">
        <v>17895568.700000018</v>
      </c>
      <c r="U21" s="478">
        <f t="shared" si="5"/>
        <v>-16014890.290000021</v>
      </c>
    </row>
    <row r="22" spans="1:22" s="32" customFormat="1" x14ac:dyDescent="0.25">
      <c r="A22" s="508" t="s">
        <v>262</v>
      </c>
      <c r="B22" s="528">
        <v>600000000</v>
      </c>
      <c r="C22" s="527"/>
      <c r="D22" s="523">
        <v>600000000</v>
      </c>
      <c r="E22" s="527"/>
      <c r="F22" s="523">
        <v>115600050</v>
      </c>
      <c r="G22" s="526">
        <f t="shared" si="6"/>
        <v>484399950</v>
      </c>
      <c r="H22" s="525"/>
      <c r="I22" s="523">
        <v>115600050</v>
      </c>
      <c r="J22" s="503">
        <f>F22-I22</f>
        <v>0</v>
      </c>
      <c r="K22" s="524"/>
      <c r="L22" s="523">
        <f>115600050</f>
        <v>115600050</v>
      </c>
      <c r="M22" s="503"/>
      <c r="N22" s="503">
        <v>0</v>
      </c>
      <c r="O22" s="528">
        <f t="shared" si="3"/>
        <v>115600050</v>
      </c>
      <c r="P22" s="577">
        <f t="shared" si="4"/>
        <v>0</v>
      </c>
      <c r="Q22" s="503"/>
      <c r="R22" s="502">
        <f t="shared" si="1"/>
        <v>0</v>
      </c>
      <c r="S22" s="502">
        <v>0</v>
      </c>
      <c r="T22" s="502"/>
      <c r="U22" s="478">
        <f t="shared" si="5"/>
        <v>0</v>
      </c>
    </row>
    <row r="23" spans="1:22" s="32" customFormat="1" x14ac:dyDescent="0.25">
      <c r="A23" s="508" t="s">
        <v>266</v>
      </c>
      <c r="B23" s="528">
        <v>200000000</v>
      </c>
      <c r="C23" s="527"/>
      <c r="D23" s="523">
        <v>200000000</v>
      </c>
      <c r="E23" s="527"/>
      <c r="F23" s="523">
        <v>200000000</v>
      </c>
      <c r="G23" s="526">
        <f t="shared" si="6"/>
        <v>0</v>
      </c>
      <c r="H23" s="525"/>
      <c r="I23" s="523">
        <v>199999999.99999997</v>
      </c>
      <c r="J23" s="503">
        <f t="shared" si="2"/>
        <v>0</v>
      </c>
      <c r="K23" s="524"/>
      <c r="L23" s="523">
        <f>200000000</f>
        <v>200000000</v>
      </c>
      <c r="M23" s="503"/>
      <c r="N23" s="503">
        <v>0</v>
      </c>
      <c r="O23" s="528">
        <f t="shared" si="3"/>
        <v>200000000</v>
      </c>
      <c r="P23" s="577">
        <f t="shared" si="4"/>
        <v>0</v>
      </c>
      <c r="Q23" s="503"/>
      <c r="R23" s="502">
        <f t="shared" si="1"/>
        <v>0</v>
      </c>
      <c r="S23" s="502">
        <v>0</v>
      </c>
      <c r="T23" s="502"/>
      <c r="U23" s="478">
        <f t="shared" si="5"/>
        <v>0</v>
      </c>
    </row>
    <row r="24" spans="1:22" s="32" customFormat="1" ht="15.75" thickBot="1" x14ac:dyDescent="0.3">
      <c r="A24" s="501" t="s">
        <v>271</v>
      </c>
      <c r="B24" s="522">
        <v>814411357</v>
      </c>
      <c r="C24" s="521"/>
      <c r="D24" s="517">
        <v>814411357</v>
      </c>
      <c r="E24" s="521"/>
      <c r="F24" s="517">
        <v>814411357</v>
      </c>
      <c r="G24" s="520">
        <f t="shared" si="6"/>
        <v>0</v>
      </c>
      <c r="H24" s="519"/>
      <c r="I24" s="517">
        <v>811544930.74000001</v>
      </c>
      <c r="J24" s="522">
        <f t="shared" si="2"/>
        <v>2866426.2599999905</v>
      </c>
      <c r="K24" s="518"/>
      <c r="L24" s="517">
        <f>772841914.43+'[4]Savings Fund Sources'!$F$10</f>
        <v>787257457</v>
      </c>
      <c r="M24" s="498"/>
      <c r="N24" s="498">
        <f>'[5]Overall Summary'!$D$8+4810905.25</f>
        <v>27153900</v>
      </c>
      <c r="O24" s="528">
        <f t="shared" si="3"/>
        <v>814411357</v>
      </c>
      <c r="P24" s="577">
        <f t="shared" si="4"/>
        <v>0</v>
      </c>
      <c r="Q24" s="498"/>
      <c r="R24" s="497">
        <f t="shared" si="1"/>
        <v>27153900</v>
      </c>
      <c r="S24" s="497">
        <v>22342994.75</v>
      </c>
      <c r="T24" s="497">
        <v>19226447.82</v>
      </c>
      <c r="U24" s="478">
        <f t="shared" si="5"/>
        <v>-14415542.57</v>
      </c>
    </row>
    <row r="25" spans="1:22" s="32" customFormat="1" x14ac:dyDescent="0.25">
      <c r="A25" s="330" t="s">
        <v>214</v>
      </c>
      <c r="B25" s="331"/>
      <c r="C25" s="333"/>
      <c r="D25" s="334"/>
      <c r="E25" s="333"/>
      <c r="F25" s="335"/>
      <c r="G25" s="336"/>
      <c r="H25" s="337"/>
      <c r="I25" s="335"/>
      <c r="J25" s="433"/>
      <c r="K25" s="337"/>
      <c r="L25" s="335"/>
      <c r="M25" s="433"/>
      <c r="N25" s="433"/>
      <c r="O25" s="570"/>
      <c r="P25" s="569"/>
      <c r="Q25" s="339"/>
      <c r="R25" s="338"/>
      <c r="S25" s="338"/>
      <c r="T25" s="338"/>
      <c r="U25" s="516"/>
    </row>
    <row r="26" spans="1:22" s="32" customFormat="1" ht="15" customHeight="1" x14ac:dyDescent="0.25">
      <c r="A26" s="356" t="s">
        <v>287</v>
      </c>
      <c r="B26" s="348"/>
      <c r="C26" s="350"/>
      <c r="D26" s="351"/>
      <c r="E26" s="350"/>
      <c r="F26" s="352"/>
      <c r="G26" s="353"/>
      <c r="H26" s="354"/>
      <c r="I26" s="352"/>
      <c r="J26" s="557"/>
      <c r="K26" s="354"/>
      <c r="L26" s="352"/>
      <c r="M26" s="557"/>
      <c r="N26" s="556"/>
      <c r="O26" s="528"/>
      <c r="P26" s="578"/>
      <c r="Q26" s="378" t="s">
        <v>137</v>
      </c>
      <c r="R26" s="355">
        <v>-819411861</v>
      </c>
      <c r="S26" s="355">
        <f>102651230.07+213281221.73</f>
        <v>315932451.79999995</v>
      </c>
      <c r="T26" s="355"/>
      <c r="U26" s="493"/>
      <c r="V26" s="515"/>
    </row>
    <row r="27" spans="1:22" s="32" customFormat="1" ht="15.75" customHeight="1" thickBot="1" x14ac:dyDescent="0.3">
      <c r="A27" s="357" t="s">
        <v>213</v>
      </c>
      <c r="B27" s="340"/>
      <c r="C27" s="342"/>
      <c r="D27" s="343"/>
      <c r="E27" s="342"/>
      <c r="F27" s="344"/>
      <c r="G27" s="345"/>
      <c r="H27" s="346"/>
      <c r="I27" s="344"/>
      <c r="J27" s="558"/>
      <c r="K27" s="346"/>
      <c r="L27" s="344"/>
      <c r="M27" s="378" t="s">
        <v>137</v>
      </c>
      <c r="N27" s="571">
        <v>573773395.25</v>
      </c>
      <c r="O27" s="528"/>
      <c r="P27" s="579"/>
      <c r="Q27" s="326" t="s">
        <v>140</v>
      </c>
      <c r="R27" s="347">
        <v>573773395.25</v>
      </c>
      <c r="S27" s="347">
        <v>573773395.25</v>
      </c>
      <c r="T27" s="347"/>
      <c r="U27" s="514"/>
      <c r="V27" s="471"/>
    </row>
    <row r="28" spans="1:22" s="32" customFormat="1" ht="16.5" thickBot="1" x14ac:dyDescent="0.3">
      <c r="A28" s="461" t="s">
        <v>115</v>
      </c>
      <c r="B28" s="459">
        <f>SUM(B10:B27)</f>
        <v>26800561874.519997</v>
      </c>
      <c r="C28" s="472"/>
      <c r="D28" s="457">
        <f>SUM(D10:D27)</f>
        <v>26800561874.519997</v>
      </c>
      <c r="E28" s="472"/>
      <c r="F28" s="457">
        <f>SUM(F10:F27)</f>
        <v>24947425984.519997</v>
      </c>
      <c r="G28" s="459">
        <f>SUM(G10:G27)</f>
        <v>1853135891</v>
      </c>
      <c r="H28" s="458"/>
      <c r="I28" s="457">
        <f>SUM(I10:I27)</f>
        <v>26242750391.131001</v>
      </c>
      <c r="J28" s="457">
        <f>SUM(J10:J27)</f>
        <v>73411533.389998853</v>
      </c>
      <c r="K28" s="458"/>
      <c r="L28" s="457">
        <f>SUM(L10:L27)</f>
        <v>24719207228.860001</v>
      </c>
      <c r="M28" s="458"/>
      <c r="N28" s="457">
        <f t="shared" ref="N28" si="7">SUM(N10:N27)</f>
        <v>659410578.42999983</v>
      </c>
      <c r="O28" s="457">
        <f>SUM(O10:O27)</f>
        <v>24804844412.040001</v>
      </c>
      <c r="P28" s="455">
        <f>SUM(P10:P27)</f>
        <v>142581572.47999954</v>
      </c>
      <c r="Q28" s="456"/>
      <c r="R28" s="455">
        <f>SUM(R10:R27)</f>
        <v>-17419710.090000272</v>
      </c>
      <c r="S28" s="455">
        <f>SUM(S10:S27)</f>
        <v>659410578.42999995</v>
      </c>
      <c r="T28" s="455">
        <f>SUM(T10:T27)</f>
        <v>1135344312.7970002</v>
      </c>
      <c r="U28" s="454">
        <f>SUM(U10:U27)</f>
        <v>-676830288.51700103</v>
      </c>
      <c r="V28" s="471"/>
    </row>
    <row r="29" spans="1:22" s="32" customFormat="1" ht="16.5" thickBot="1" x14ac:dyDescent="0.3">
      <c r="A29" s="327"/>
      <c r="B29" s="328"/>
      <c r="C29" s="329"/>
      <c r="D29" s="328"/>
      <c r="E29" s="329"/>
      <c r="F29" s="328"/>
      <c r="G29" s="328"/>
      <c r="H29" s="328"/>
      <c r="I29" s="328"/>
      <c r="J29" s="328"/>
      <c r="K29" s="328"/>
      <c r="L29" s="328"/>
      <c r="M29" s="328"/>
      <c r="N29" s="328"/>
      <c r="O29" s="572"/>
      <c r="P29" s="572"/>
      <c r="Q29" s="222"/>
      <c r="R29" s="70"/>
      <c r="S29" s="70"/>
      <c r="T29" s="70"/>
      <c r="U29" s="513"/>
    </row>
    <row r="30" spans="1:22" ht="17.25" customHeight="1" x14ac:dyDescent="0.25">
      <c r="G30" s="27"/>
      <c r="H30" s="27"/>
      <c r="R30" s="11"/>
      <c r="S30" s="11"/>
      <c r="T30" s="11"/>
      <c r="U30" s="512"/>
    </row>
    <row r="31" spans="1:22" ht="16.5" thickBot="1" x14ac:dyDescent="0.3">
      <c r="A31" s="4" t="s">
        <v>38</v>
      </c>
    </row>
    <row r="32" spans="1:22" x14ac:dyDescent="0.25">
      <c r="A32" s="780" t="s">
        <v>13</v>
      </c>
      <c r="B32" s="782" t="s">
        <v>14</v>
      </c>
      <c r="C32" s="843" t="s">
        <v>280</v>
      </c>
      <c r="D32" s="844"/>
      <c r="E32" s="847" t="s">
        <v>281</v>
      </c>
      <c r="F32" s="844"/>
      <c r="G32" s="849" t="s">
        <v>20</v>
      </c>
      <c r="H32" s="799" t="s">
        <v>283</v>
      </c>
      <c r="I32" s="800"/>
      <c r="J32" s="801"/>
      <c r="K32" s="831" t="s">
        <v>285</v>
      </c>
      <c r="L32" s="832"/>
      <c r="M32" s="832"/>
      <c r="N32" s="832"/>
      <c r="O32" s="833"/>
      <c r="P32" s="837" t="s">
        <v>288</v>
      </c>
      <c r="Q32" s="218"/>
      <c r="R32" s="811" t="s">
        <v>96</v>
      </c>
      <c r="S32" s="811" t="s">
        <v>276</v>
      </c>
      <c r="T32" s="421"/>
      <c r="U32" s="835" t="s">
        <v>275</v>
      </c>
    </row>
    <row r="33" spans="1:22" ht="30" x14ac:dyDescent="0.25">
      <c r="A33" s="781"/>
      <c r="B33" s="783"/>
      <c r="C33" s="845"/>
      <c r="D33" s="846"/>
      <c r="E33" s="848"/>
      <c r="F33" s="846"/>
      <c r="G33" s="850"/>
      <c r="H33" s="143"/>
      <c r="I33" s="125" t="s">
        <v>21</v>
      </c>
      <c r="J33" s="553" t="s">
        <v>282</v>
      </c>
      <c r="K33" s="73"/>
      <c r="L33" s="567" t="s">
        <v>284</v>
      </c>
      <c r="M33" s="568"/>
      <c r="N33" s="568" t="s">
        <v>296</v>
      </c>
      <c r="O33" s="441" t="s">
        <v>286</v>
      </c>
      <c r="P33" s="838"/>
      <c r="Q33" s="219"/>
      <c r="R33" s="813"/>
      <c r="S33" s="813"/>
      <c r="T33" s="422"/>
      <c r="U33" s="836"/>
    </row>
    <row r="34" spans="1:22" ht="15.75" thickBot="1" x14ac:dyDescent="0.3">
      <c r="A34" s="54" t="s">
        <v>11</v>
      </c>
      <c r="B34" s="15" t="s">
        <v>12</v>
      </c>
      <c r="C34" s="716"/>
      <c r="D34" s="717" t="s">
        <v>4</v>
      </c>
      <c r="E34" s="716"/>
      <c r="F34" s="126" t="s">
        <v>5</v>
      </c>
      <c r="G34" s="3" t="s">
        <v>299</v>
      </c>
      <c r="H34" s="716"/>
      <c r="I34" s="126" t="s">
        <v>7</v>
      </c>
      <c r="J34" s="554" t="s">
        <v>309</v>
      </c>
      <c r="K34" s="58"/>
      <c r="L34" s="126" t="s">
        <v>9</v>
      </c>
      <c r="M34" s="554"/>
      <c r="N34" s="554" t="s">
        <v>300</v>
      </c>
      <c r="O34" s="601" t="s">
        <v>301</v>
      </c>
      <c r="P34" s="715" t="s">
        <v>302</v>
      </c>
      <c r="Q34" s="220"/>
      <c r="R34" s="813"/>
      <c r="S34" s="813"/>
      <c r="T34" s="422"/>
      <c r="U34" s="836"/>
    </row>
    <row r="35" spans="1:22" x14ac:dyDescent="0.25">
      <c r="A35" s="6" t="s">
        <v>73</v>
      </c>
      <c r="B35" s="12">
        <v>400000000</v>
      </c>
      <c r="C35" s="486"/>
      <c r="D35" s="137">
        <v>400000000</v>
      </c>
      <c r="E35" s="511"/>
      <c r="F35" s="137">
        <v>400000000</v>
      </c>
      <c r="G35" s="485">
        <f>D35-F35</f>
        <v>0</v>
      </c>
      <c r="H35" s="484"/>
      <c r="I35" s="137">
        <v>399517267.02000004</v>
      </c>
      <c r="J35" s="384">
        <f>D35-I35</f>
        <v>482732.97999995947</v>
      </c>
      <c r="K35" s="67"/>
      <c r="L35" s="137">
        <f>373034978.77+'[4]Savings Fund Sources'!$F$34</f>
        <v>377419971.29999995</v>
      </c>
      <c r="M35" s="67"/>
      <c r="N35" s="137">
        <f>'[5]OverallSummary(excl. ALECO10MVA'!$F$28</f>
        <v>22580028.700000003</v>
      </c>
      <c r="O35" s="550">
        <f>L35+N35</f>
        <v>399999999.99999994</v>
      </c>
      <c r="P35" s="450">
        <f>F35-O35</f>
        <v>0</v>
      </c>
      <c r="Q35" s="482"/>
      <c r="R35" s="481">
        <f>F35-L35</f>
        <v>22580028.700000048</v>
      </c>
      <c r="S35" s="481">
        <v>22392748.300000001</v>
      </c>
      <c r="T35" s="481"/>
      <c r="U35" s="480">
        <f>R35-S35</f>
        <v>187280.40000004694</v>
      </c>
    </row>
    <row r="36" spans="1:22" x14ac:dyDescent="0.25">
      <c r="A36" s="8" t="s">
        <v>22</v>
      </c>
      <c r="B36" s="13">
        <v>1260000000</v>
      </c>
      <c r="C36" s="172"/>
      <c r="D36" s="75">
        <v>1260000000</v>
      </c>
      <c r="E36" s="510"/>
      <c r="F36" s="75">
        <v>1260000000</v>
      </c>
      <c r="G36" s="16">
        <f>D36-F36</f>
        <v>0</v>
      </c>
      <c r="H36" s="145"/>
      <c r="I36" s="75">
        <v>1259214318.75</v>
      </c>
      <c r="J36" s="503">
        <f>D36-I36</f>
        <v>785681.25</v>
      </c>
      <c r="K36" s="509"/>
      <c r="L36" s="75">
        <f>1155177514.77+'[4]Savings Fund Sources'!$F$33</f>
        <v>1190083077.48</v>
      </c>
      <c r="M36" s="60"/>
      <c r="N36" s="75">
        <f>'[5]OverallSummary(excl. ALECO10MVA'!$F$27</f>
        <v>69916922.520000011</v>
      </c>
      <c r="O36" s="528">
        <f>L36+N36</f>
        <v>1260000000</v>
      </c>
      <c r="P36" s="581">
        <f>F36-O36</f>
        <v>0</v>
      </c>
      <c r="Q36" s="479"/>
      <c r="R36" s="81">
        <f>F36-L36</f>
        <v>69916922.519999981</v>
      </c>
      <c r="S36" s="81">
        <v>65420772.210000001</v>
      </c>
      <c r="T36" s="81"/>
      <c r="U36" s="478">
        <f>R36-S36</f>
        <v>4496150.30999998</v>
      </c>
    </row>
    <row r="37" spans="1:22" x14ac:dyDescent="0.25">
      <c r="A37" s="8" t="s">
        <v>40</v>
      </c>
      <c r="B37" s="13">
        <v>1501964000</v>
      </c>
      <c r="C37" s="172"/>
      <c r="D37" s="75">
        <v>1501964000</v>
      </c>
      <c r="E37" s="172"/>
      <c r="F37" s="75">
        <v>1501964000</v>
      </c>
      <c r="G37" s="16">
        <f>D37-F37</f>
        <v>0</v>
      </c>
      <c r="H37" s="145"/>
      <c r="I37" s="75">
        <v>1501964000.0000002</v>
      </c>
      <c r="J37" s="503">
        <f t="shared" ref="J37:J39" si="8">D37-I37</f>
        <v>0</v>
      </c>
      <c r="K37" s="60"/>
      <c r="L37" s="75">
        <f>1365186739.83+'[4]Savings Fund Sources'!$F$32</f>
        <v>1438880647.0699999</v>
      </c>
      <c r="M37" s="60"/>
      <c r="N37" s="75">
        <f>'[5]OverallSummary(excl. ALECO10MVA'!$F$26</f>
        <v>63083352.929999992</v>
      </c>
      <c r="O37" s="528">
        <f t="shared" ref="O37:O39" si="9">L37+N37</f>
        <v>1501964000</v>
      </c>
      <c r="P37" s="581">
        <f t="shared" ref="P37:P39" si="10">F37-O37</f>
        <v>0</v>
      </c>
      <c r="Q37" s="227"/>
      <c r="R37" s="81">
        <f>F37-L37</f>
        <v>63083352.930000067</v>
      </c>
      <c r="S37" s="81">
        <v>63083352.93</v>
      </c>
      <c r="T37" s="81"/>
      <c r="U37" s="478">
        <f>R37-S37</f>
        <v>6.7055225372314453E-8</v>
      </c>
    </row>
    <row r="38" spans="1:22" s="32" customFormat="1" x14ac:dyDescent="0.25">
      <c r="A38" s="508" t="s">
        <v>249</v>
      </c>
      <c r="B38" s="507">
        <v>568500000</v>
      </c>
      <c r="C38" s="298"/>
      <c r="D38" s="299">
        <v>568500000</v>
      </c>
      <c r="E38" s="298"/>
      <c r="F38" s="299">
        <v>568500000</v>
      </c>
      <c r="G38" s="506">
        <f>D38-F38</f>
        <v>0</v>
      </c>
      <c r="H38" s="505"/>
      <c r="I38" s="299">
        <v>568500000</v>
      </c>
      <c r="J38" s="503">
        <f t="shared" si="8"/>
        <v>0</v>
      </c>
      <c r="K38" s="504"/>
      <c r="L38" s="299">
        <f>541201051.56+'[4]Savings Fund Sources'!$F$31</f>
        <v>545543852.40999997</v>
      </c>
      <c r="M38" s="504"/>
      <c r="N38" s="299">
        <f>'[5]OverallSummary(excl. ALECO10MVA'!$F$25</f>
        <v>22956147.589999996</v>
      </c>
      <c r="O38" s="528">
        <f t="shared" si="9"/>
        <v>568500000</v>
      </c>
      <c r="P38" s="581">
        <f t="shared" si="10"/>
        <v>0</v>
      </c>
      <c r="Q38" s="503"/>
      <c r="R38" s="502">
        <f>F38-L38</f>
        <v>22956147.590000033</v>
      </c>
      <c r="S38" s="502">
        <v>13530611.289999999</v>
      </c>
      <c r="T38" s="502"/>
      <c r="U38" s="478">
        <f>R38-S38</f>
        <v>9425536.3000000343</v>
      </c>
    </row>
    <row r="39" spans="1:22" s="32" customFormat="1" ht="15.75" thickBot="1" x14ac:dyDescent="0.3">
      <c r="A39" s="501" t="s">
        <v>255</v>
      </c>
      <c r="B39" s="107">
        <v>518590165.47000003</v>
      </c>
      <c r="C39" s="288"/>
      <c r="D39" s="127">
        <v>518590165.47000003</v>
      </c>
      <c r="E39" s="288"/>
      <c r="F39" s="500">
        <v>518590165.47000003</v>
      </c>
      <c r="G39" s="289">
        <f>D39-F39</f>
        <v>0</v>
      </c>
      <c r="H39" s="499"/>
      <c r="I39" s="127">
        <v>518590165.47000003</v>
      </c>
      <c r="J39" s="522">
        <f t="shared" si="8"/>
        <v>0</v>
      </c>
      <c r="K39" s="110"/>
      <c r="L39" s="127">
        <f>482083629.87+'[4]Savings Fund Sources'!$F$30</f>
        <v>500126937.60000002</v>
      </c>
      <c r="M39" s="110"/>
      <c r="N39" s="127">
        <f>'[5]OverallSummary(excl. ALECO10MVA'!$F$24</f>
        <v>18463227.870000001</v>
      </c>
      <c r="O39" s="528">
        <f t="shared" si="9"/>
        <v>518590165.47000003</v>
      </c>
      <c r="P39" s="581">
        <f t="shared" si="10"/>
        <v>0</v>
      </c>
      <c r="Q39" s="498"/>
      <c r="R39" s="497">
        <f>F39-L39</f>
        <v>18463227.870000005</v>
      </c>
      <c r="S39" s="497">
        <v>18463227.870000001</v>
      </c>
      <c r="T39" s="497"/>
      <c r="U39" s="476">
        <f>R39-S39</f>
        <v>0</v>
      </c>
    </row>
    <row r="40" spans="1:22" s="32" customFormat="1" hidden="1" x14ac:dyDescent="0.25">
      <c r="A40" s="330" t="s">
        <v>214</v>
      </c>
      <c r="B40" s="331"/>
      <c r="C40" s="333"/>
      <c r="D40" s="334"/>
      <c r="E40" s="333"/>
      <c r="F40" s="335"/>
      <c r="G40" s="336"/>
      <c r="H40" s="337"/>
      <c r="I40" s="335"/>
      <c r="J40" s="433"/>
      <c r="K40" s="337"/>
      <c r="L40" s="335"/>
      <c r="M40" s="337"/>
      <c r="N40" s="335"/>
      <c r="O40" s="336"/>
      <c r="P40" s="495"/>
      <c r="Q40" s="496"/>
      <c r="R40" s="495"/>
      <c r="S40" s="495"/>
      <c r="T40" s="495"/>
      <c r="U40" s="494"/>
    </row>
    <row r="41" spans="1:22" s="32" customFormat="1" ht="19.5" hidden="1" thickBot="1" x14ac:dyDescent="0.3">
      <c r="A41" s="356" t="s">
        <v>212</v>
      </c>
      <c r="B41" s="348"/>
      <c r="C41" s="350"/>
      <c r="D41" s="351"/>
      <c r="E41" s="350"/>
      <c r="F41" s="352"/>
      <c r="G41" s="353"/>
      <c r="H41" s="354"/>
      <c r="I41" s="352"/>
      <c r="J41" s="557"/>
      <c r="K41" s="354"/>
      <c r="L41" s="352"/>
      <c r="M41" s="354"/>
      <c r="N41" s="352"/>
      <c r="O41" s="353"/>
      <c r="P41" s="355"/>
      <c r="Q41" s="378" t="s">
        <v>137</v>
      </c>
      <c r="R41" s="355">
        <v>-135370571.06</v>
      </c>
      <c r="S41" s="355">
        <f>11296945.66+2812021.35</f>
        <v>14108967.01</v>
      </c>
      <c r="T41" s="355"/>
      <c r="U41" s="493">
        <f>R41-S41</f>
        <v>-149479538.06999999</v>
      </c>
    </row>
    <row r="42" spans="1:22" s="32" customFormat="1" ht="16.5" thickBot="1" x14ac:dyDescent="0.3">
      <c r="A42" s="461" t="s">
        <v>116</v>
      </c>
      <c r="B42" s="459">
        <f>SUM(B35:B41)</f>
        <v>4249054165.4700003</v>
      </c>
      <c r="C42" s="472"/>
      <c r="D42" s="457">
        <f>SUM(D35:D41)</f>
        <v>4249054165.4700003</v>
      </c>
      <c r="E42" s="472"/>
      <c r="F42" s="457">
        <f>SUM(F35:F41)</f>
        <v>4249054165.4700003</v>
      </c>
      <c r="G42" s="459">
        <f>SUM(G35:G41)</f>
        <v>0</v>
      </c>
      <c r="H42" s="458"/>
      <c r="I42" s="457">
        <f>SUM(I35:I41)</f>
        <v>4247785751.2400007</v>
      </c>
      <c r="J42" s="459">
        <f>SUM(J35:J41)</f>
        <v>1268414.2299999595</v>
      </c>
      <c r="K42" s="458"/>
      <c r="L42" s="457">
        <f>SUM(L35:L41)</f>
        <v>4052054485.8599997</v>
      </c>
      <c r="M42" s="458"/>
      <c r="N42" s="457">
        <f t="shared" ref="N42:P42" si="11">SUM(N35:N41)</f>
        <v>196999679.61000001</v>
      </c>
      <c r="O42" s="457">
        <f t="shared" si="11"/>
        <v>4249054165.4700003</v>
      </c>
      <c r="P42" s="455">
        <f t="shared" si="11"/>
        <v>0</v>
      </c>
      <c r="Q42" s="456"/>
      <c r="R42" s="455">
        <f>SUM(R35:R41)</f>
        <v>61629108.550000131</v>
      </c>
      <c r="S42" s="458">
        <f>SUM(S35:S41)</f>
        <v>196999679.60999998</v>
      </c>
      <c r="T42" s="492"/>
      <c r="U42" s="491">
        <f>SUM(U35:U41)</f>
        <v>-135370571.05999985</v>
      </c>
      <c r="V42" s="471">
        <f>R42-S42</f>
        <v>-135370571.05999985</v>
      </c>
    </row>
    <row r="43" spans="1:22" ht="12.75" customHeight="1" x14ac:dyDescent="0.25">
      <c r="R43" s="27"/>
      <c r="S43" s="27"/>
      <c r="T43" s="27"/>
      <c r="U43" s="470"/>
    </row>
    <row r="44" spans="1:22" ht="15.75" customHeight="1" thickBot="1" x14ac:dyDescent="0.3">
      <c r="A44" s="4" t="s">
        <v>95</v>
      </c>
    </row>
    <row r="45" spans="1:22" ht="24.75" customHeight="1" x14ac:dyDescent="0.25">
      <c r="A45" s="780" t="s">
        <v>13</v>
      </c>
      <c r="B45" s="782" t="s">
        <v>14</v>
      </c>
      <c r="C45" s="843" t="s">
        <v>280</v>
      </c>
      <c r="D45" s="844"/>
      <c r="E45" s="847" t="s">
        <v>281</v>
      </c>
      <c r="F45" s="844"/>
      <c r="G45" s="785" t="s">
        <v>20</v>
      </c>
      <c r="H45" s="799" t="s">
        <v>283</v>
      </c>
      <c r="I45" s="800"/>
      <c r="J45" s="801"/>
      <c r="K45" s="831" t="s">
        <v>285</v>
      </c>
      <c r="L45" s="832"/>
      <c r="M45" s="832"/>
      <c r="N45" s="832"/>
      <c r="O45" s="833"/>
      <c r="P45" s="837" t="s">
        <v>288</v>
      </c>
      <c r="Q45" s="218"/>
      <c r="R45" s="811" t="s">
        <v>96</v>
      </c>
      <c r="S45" s="811" t="s">
        <v>276</v>
      </c>
      <c r="T45" s="421"/>
      <c r="U45" s="835" t="s">
        <v>275</v>
      </c>
    </row>
    <row r="46" spans="1:22" ht="27" customHeight="1" x14ac:dyDescent="0.25">
      <c r="A46" s="781"/>
      <c r="B46" s="783"/>
      <c r="C46" s="845"/>
      <c r="D46" s="846"/>
      <c r="E46" s="848"/>
      <c r="F46" s="846"/>
      <c r="G46" s="786"/>
      <c r="H46" s="143"/>
      <c r="I46" s="125" t="s">
        <v>21</v>
      </c>
      <c r="J46" s="553" t="s">
        <v>282</v>
      </c>
      <c r="K46" s="73"/>
      <c r="L46" s="567" t="s">
        <v>284</v>
      </c>
      <c r="M46" s="568"/>
      <c r="N46" s="568" t="s">
        <v>296</v>
      </c>
      <c r="O46" s="441" t="s">
        <v>286</v>
      </c>
      <c r="P46" s="838"/>
      <c r="Q46" s="219"/>
      <c r="R46" s="813"/>
      <c r="S46" s="813"/>
      <c r="T46" s="422"/>
      <c r="U46" s="836"/>
    </row>
    <row r="47" spans="1:22" ht="24.75" customHeight="1" thickBot="1" x14ac:dyDescent="0.3">
      <c r="A47" s="54" t="s">
        <v>11</v>
      </c>
      <c r="B47" s="15" t="s">
        <v>12</v>
      </c>
      <c r="C47" s="716"/>
      <c r="D47" s="717" t="s">
        <v>4</v>
      </c>
      <c r="E47" s="716"/>
      <c r="F47" s="126" t="s">
        <v>5</v>
      </c>
      <c r="G47" s="3" t="s">
        <v>299</v>
      </c>
      <c r="H47" s="716"/>
      <c r="I47" s="126" t="s">
        <v>7</v>
      </c>
      <c r="J47" s="554" t="s">
        <v>309</v>
      </c>
      <c r="K47" s="58"/>
      <c r="L47" s="126" t="s">
        <v>9</v>
      </c>
      <c r="M47" s="554"/>
      <c r="N47" s="554" t="s">
        <v>300</v>
      </c>
      <c r="O47" s="601" t="s">
        <v>301</v>
      </c>
      <c r="P47" s="715" t="s">
        <v>302</v>
      </c>
      <c r="Q47" s="220"/>
      <c r="R47" s="813"/>
      <c r="S47" s="813"/>
      <c r="T47" s="422"/>
      <c r="U47" s="836"/>
    </row>
    <row r="48" spans="1:22" ht="15.75" customHeight="1" thickBot="1" x14ac:dyDescent="0.3">
      <c r="A48" s="90"/>
      <c r="B48" s="76"/>
      <c r="C48" s="182"/>
      <c r="D48" s="180"/>
      <c r="E48" s="182"/>
      <c r="F48" s="489"/>
      <c r="G48" s="77"/>
      <c r="H48" s="182"/>
      <c r="I48" s="489"/>
      <c r="J48" s="561"/>
      <c r="K48" s="490"/>
      <c r="L48" s="489"/>
      <c r="M48" s="490"/>
      <c r="N48" s="489"/>
      <c r="O48" s="76"/>
      <c r="P48" s="582"/>
      <c r="Q48" s="224"/>
      <c r="R48" s="488"/>
      <c r="S48" s="488"/>
      <c r="T48" s="488"/>
      <c r="U48" s="487"/>
    </row>
    <row r="49" spans="1:22" ht="15.75" customHeight="1" x14ac:dyDescent="0.25">
      <c r="A49" s="6" t="s">
        <v>73</v>
      </c>
      <c r="B49" s="12">
        <v>100000000</v>
      </c>
      <c r="C49" s="486"/>
      <c r="D49" s="137">
        <v>100000000</v>
      </c>
      <c r="E49" s="67"/>
      <c r="F49" s="137">
        <v>0</v>
      </c>
      <c r="G49" s="485">
        <f>D49-F49</f>
        <v>100000000</v>
      </c>
      <c r="H49" s="484"/>
      <c r="I49" s="137">
        <v>100000000</v>
      </c>
      <c r="J49" s="559">
        <f>D49-I49</f>
        <v>0</v>
      </c>
      <c r="K49" s="483"/>
      <c r="L49" s="137">
        <v>0</v>
      </c>
      <c r="M49" s="67"/>
      <c r="N49" s="137">
        <v>0</v>
      </c>
      <c r="O49" s="442">
        <f>L49+N49</f>
        <v>0</v>
      </c>
      <c r="P49" s="450">
        <f>F49-O49</f>
        <v>0</v>
      </c>
      <c r="Q49" s="482"/>
      <c r="R49" s="481">
        <f>F49-L49</f>
        <v>0</v>
      </c>
      <c r="S49" s="481">
        <v>0</v>
      </c>
      <c r="T49" s="481"/>
      <c r="U49" s="480">
        <f>R49-S49</f>
        <v>0</v>
      </c>
    </row>
    <row r="50" spans="1:22" ht="15.75" customHeight="1" x14ac:dyDescent="0.25">
      <c r="A50" s="8" t="s">
        <v>22</v>
      </c>
      <c r="B50" s="13">
        <v>57800000</v>
      </c>
      <c r="C50" s="172"/>
      <c r="D50" s="75">
        <v>57800000</v>
      </c>
      <c r="E50" s="60"/>
      <c r="F50" s="75">
        <v>44272043</v>
      </c>
      <c r="G50" s="16">
        <f>D50-F50</f>
        <v>13527957</v>
      </c>
      <c r="H50" s="145"/>
      <c r="I50" s="75">
        <v>57800000</v>
      </c>
      <c r="J50" s="560">
        <f>D50-I50</f>
        <v>0</v>
      </c>
      <c r="K50" s="60"/>
      <c r="L50" s="75">
        <v>28602459.020000003</v>
      </c>
      <c r="M50" s="60"/>
      <c r="N50" s="75">
        <v>10547092.210000001</v>
      </c>
      <c r="O50" s="507">
        <f>L50+N50</f>
        <v>39149551.230000004</v>
      </c>
      <c r="P50" s="581">
        <f>F50-O50</f>
        <v>5122491.7699999958</v>
      </c>
      <c r="Q50" s="479"/>
      <c r="R50" s="81">
        <f>F50-L50</f>
        <v>15669583.979999997</v>
      </c>
      <c r="S50" s="81">
        <v>10547092.210000001</v>
      </c>
      <c r="T50" s="81"/>
      <c r="U50" s="478">
        <f>R50-S50</f>
        <v>5122491.7699999958</v>
      </c>
    </row>
    <row r="51" spans="1:22" ht="15.75" customHeight="1" thickBot="1" x14ac:dyDescent="0.3">
      <c r="A51" s="9" t="s">
        <v>40</v>
      </c>
      <c r="B51" s="139">
        <v>150500000</v>
      </c>
      <c r="C51" s="177"/>
      <c r="D51" s="139">
        <v>150500000</v>
      </c>
      <c r="E51" s="177"/>
      <c r="F51" s="139">
        <v>150500000</v>
      </c>
      <c r="G51" s="38">
        <f>D51-F51</f>
        <v>0</v>
      </c>
      <c r="H51" s="152"/>
      <c r="I51" s="139">
        <v>150500000</v>
      </c>
      <c r="J51" s="560">
        <f>D51-I51</f>
        <v>0</v>
      </c>
      <c r="K51" s="68"/>
      <c r="L51" s="139">
        <v>138878130.34999999</v>
      </c>
      <c r="M51" s="68"/>
      <c r="N51" s="139">
        <v>5192907.79</v>
      </c>
      <c r="O51" s="507">
        <f>L51+N51</f>
        <v>144071038.13999999</v>
      </c>
      <c r="P51" s="581">
        <f>F51-O51</f>
        <v>6428961.8600000143</v>
      </c>
      <c r="Q51" s="477"/>
      <c r="R51" s="96">
        <f>F51-L51</f>
        <v>11621869.650000006</v>
      </c>
      <c r="S51" s="96">
        <v>5192907.7899999972</v>
      </c>
      <c r="T51" s="96"/>
      <c r="U51" s="476">
        <f>R51-S51</f>
        <v>6428961.8600000087</v>
      </c>
    </row>
    <row r="52" spans="1:22" ht="15.75" customHeight="1" thickBot="1" x14ac:dyDescent="0.3">
      <c r="A52" s="461" t="s">
        <v>117</v>
      </c>
      <c r="B52" s="459">
        <f>SUM(B49:B51)</f>
        <v>308300000</v>
      </c>
      <c r="C52" s="472"/>
      <c r="D52" s="457">
        <f>SUM(D49:D51)</f>
        <v>308300000</v>
      </c>
      <c r="E52" s="472"/>
      <c r="F52" s="457">
        <f>SUM(F49:F51)</f>
        <v>194772043</v>
      </c>
      <c r="G52" s="459">
        <f>SUM(G49:G51)</f>
        <v>113527957</v>
      </c>
      <c r="H52" s="458"/>
      <c r="I52" s="457">
        <f>SUM(I49:I51)</f>
        <v>308300000</v>
      </c>
      <c r="J52" s="457">
        <f>SUM(J49:J51)</f>
        <v>0</v>
      </c>
      <c r="K52" s="458"/>
      <c r="L52" s="457">
        <f>SUM(L49:L51)</f>
        <v>167480589.37</v>
      </c>
      <c r="M52" s="458"/>
      <c r="N52" s="457">
        <f t="shared" ref="N52:P52" si="12">SUM(N49:N51)</f>
        <v>15740000</v>
      </c>
      <c r="O52" s="457">
        <f t="shared" si="12"/>
        <v>183220589.37</v>
      </c>
      <c r="P52" s="455">
        <f t="shared" si="12"/>
        <v>11551453.63000001</v>
      </c>
      <c r="Q52" s="456"/>
      <c r="R52" s="455">
        <f>SUM(R49:R51)</f>
        <v>27291453.630000003</v>
      </c>
      <c r="S52" s="455">
        <f>SUM(S49:S51)</f>
        <v>15739999.999999998</v>
      </c>
      <c r="T52" s="455"/>
      <c r="U52" s="454">
        <f>SUM(U49:U51)</f>
        <v>11551453.630000005</v>
      </c>
      <c r="V52" s="471">
        <f>R52-S52</f>
        <v>11551453.630000005</v>
      </c>
    </row>
    <row r="53" spans="1:22" ht="15.75" customHeight="1" thickBot="1" x14ac:dyDescent="0.3">
      <c r="A53" s="461" t="s">
        <v>118</v>
      </c>
      <c r="B53" s="459">
        <f>B52+B42+B28</f>
        <v>31357916039.989998</v>
      </c>
      <c r="C53" s="472"/>
      <c r="D53" s="457">
        <f>D52+D42+D28</f>
        <v>31357916039.989998</v>
      </c>
      <c r="E53" s="472"/>
      <c r="F53" s="457">
        <f>F52+F42+F28</f>
        <v>29391252192.989998</v>
      </c>
      <c r="G53" s="459">
        <f>G52+G42+G28</f>
        <v>1966663848</v>
      </c>
      <c r="H53" s="458"/>
      <c r="I53" s="457">
        <f>I52+I42+I28</f>
        <v>30798836142.371002</v>
      </c>
      <c r="J53" s="457">
        <f>J52+J42+J28</f>
        <v>74679947.619998813</v>
      </c>
      <c r="K53" s="458"/>
      <c r="L53" s="457">
        <f>L52+L42+L28</f>
        <v>28938742304.09</v>
      </c>
      <c r="M53" s="458"/>
      <c r="N53" s="457">
        <f t="shared" ref="N53:P53" si="13">N52+N42+N28</f>
        <v>872150258.03999984</v>
      </c>
      <c r="O53" s="457">
        <f t="shared" si="13"/>
        <v>29237119166.880001</v>
      </c>
      <c r="P53" s="455">
        <f t="shared" si="13"/>
        <v>154133026.10999954</v>
      </c>
      <c r="Q53" s="456"/>
      <c r="R53" s="455">
        <f>R52+R42+R28</f>
        <v>71500852.089999855</v>
      </c>
      <c r="S53" s="455">
        <f>S52+S42+S28</f>
        <v>872150258.03999996</v>
      </c>
      <c r="T53" s="455"/>
      <c r="U53" s="454">
        <f>U52+U42+U28</f>
        <v>-800649405.94700086</v>
      </c>
      <c r="V53" s="471">
        <f>R53-S53</f>
        <v>-800649405.95000005</v>
      </c>
    </row>
    <row r="54" spans="1:22" ht="15.75" customHeight="1" x14ac:dyDescent="0.25">
      <c r="B54" s="37"/>
      <c r="C54" s="32"/>
      <c r="D54" s="37"/>
      <c r="E54" s="32"/>
      <c r="F54" s="37"/>
      <c r="G54" s="37"/>
      <c r="H54" s="37"/>
      <c r="I54" s="37"/>
      <c r="J54" s="37"/>
      <c r="K54" s="37"/>
      <c r="L54" s="37"/>
      <c r="M54" s="37"/>
      <c r="N54" s="37"/>
      <c r="O54" s="37"/>
      <c r="P54" s="37"/>
      <c r="R54" s="37"/>
      <c r="S54" s="37"/>
      <c r="T54" s="37"/>
      <c r="U54" s="475"/>
    </row>
    <row r="55" spans="1:22" ht="15.75" customHeight="1" thickBot="1" x14ac:dyDescent="0.3">
      <c r="A55" s="4" t="s">
        <v>201</v>
      </c>
    </row>
    <row r="56" spans="1:22" ht="15.75" customHeight="1" x14ac:dyDescent="0.25">
      <c r="A56" s="780" t="s">
        <v>13</v>
      </c>
      <c r="B56" s="782" t="s">
        <v>14</v>
      </c>
      <c r="C56" s="843" t="s">
        <v>280</v>
      </c>
      <c r="D56" s="844"/>
      <c r="E56" s="847" t="s">
        <v>281</v>
      </c>
      <c r="F56" s="844"/>
      <c r="G56" s="849" t="s">
        <v>20</v>
      </c>
      <c r="H56" s="799" t="s">
        <v>283</v>
      </c>
      <c r="I56" s="800"/>
      <c r="J56" s="801"/>
      <c r="K56" s="831" t="s">
        <v>285</v>
      </c>
      <c r="L56" s="832"/>
      <c r="M56" s="832"/>
      <c r="N56" s="832"/>
      <c r="O56" s="833"/>
      <c r="P56" s="837" t="s">
        <v>288</v>
      </c>
      <c r="Q56" s="218"/>
      <c r="R56" s="811" t="s">
        <v>96</v>
      </c>
      <c r="S56" s="811" t="s">
        <v>276</v>
      </c>
      <c r="T56" s="421"/>
      <c r="U56" s="835" t="s">
        <v>275</v>
      </c>
    </row>
    <row r="57" spans="1:22" ht="38.25" customHeight="1" x14ac:dyDescent="0.25">
      <c r="A57" s="781"/>
      <c r="B57" s="783"/>
      <c r="C57" s="845"/>
      <c r="D57" s="846"/>
      <c r="E57" s="848"/>
      <c r="F57" s="846"/>
      <c r="G57" s="850"/>
      <c r="H57" s="143"/>
      <c r="I57" s="125" t="s">
        <v>21</v>
      </c>
      <c r="J57" s="553" t="s">
        <v>282</v>
      </c>
      <c r="K57" s="73"/>
      <c r="L57" s="567" t="s">
        <v>284</v>
      </c>
      <c r="M57" s="568"/>
      <c r="N57" s="568" t="s">
        <v>296</v>
      </c>
      <c r="O57" s="713" t="s">
        <v>286</v>
      </c>
      <c r="P57" s="838"/>
      <c r="Q57" s="307"/>
      <c r="R57" s="813"/>
      <c r="S57" s="813"/>
      <c r="T57" s="422"/>
      <c r="U57" s="836"/>
    </row>
    <row r="58" spans="1:22" ht="15.75" customHeight="1" thickBot="1" x14ac:dyDescent="0.3">
      <c r="A58" s="308" t="s">
        <v>11</v>
      </c>
      <c r="B58" s="309" t="s">
        <v>12</v>
      </c>
      <c r="C58" s="311"/>
      <c r="D58" s="312" t="s">
        <v>4</v>
      </c>
      <c r="E58" s="311"/>
      <c r="F58" s="313" t="s">
        <v>5</v>
      </c>
      <c r="G58" s="310" t="s">
        <v>299</v>
      </c>
      <c r="H58" s="311"/>
      <c r="I58" s="313" t="s">
        <v>7</v>
      </c>
      <c r="J58" s="719" t="s">
        <v>309</v>
      </c>
      <c r="K58" s="314"/>
      <c r="L58" s="313" t="s">
        <v>9</v>
      </c>
      <c r="M58" s="719"/>
      <c r="N58" s="719" t="s">
        <v>300</v>
      </c>
      <c r="O58" s="720" t="s">
        <v>301</v>
      </c>
      <c r="P58" s="721" t="s">
        <v>302</v>
      </c>
      <c r="Q58" s="315"/>
      <c r="R58" s="834"/>
      <c r="S58" s="834"/>
      <c r="T58" s="422"/>
      <c r="U58" s="836"/>
    </row>
    <row r="59" spans="1:22" ht="15.75" customHeight="1" x14ac:dyDescent="0.25">
      <c r="A59" s="22" t="s">
        <v>51</v>
      </c>
      <c r="B59" s="23">
        <v>3929360000</v>
      </c>
      <c r="C59" s="191"/>
      <c r="D59" s="129">
        <v>3929360000</v>
      </c>
      <c r="E59" s="191"/>
      <c r="F59" s="129">
        <v>3929360000</v>
      </c>
      <c r="G59" s="26">
        <f>D59-F59</f>
        <v>0</v>
      </c>
      <c r="H59" s="154"/>
      <c r="I59" s="129">
        <v>3929360000</v>
      </c>
      <c r="J59" s="562">
        <f>D59-I59</f>
        <v>0</v>
      </c>
      <c r="K59" s="59"/>
      <c r="L59" s="129">
        <v>3741081219.4499993</v>
      </c>
      <c r="M59" s="59"/>
      <c r="N59" s="129">
        <f>'[5]Overall Summary'!$F$32</f>
        <v>188278780.54999986</v>
      </c>
      <c r="O59" s="444">
        <f>L59+N59</f>
        <v>3929359999.999999</v>
      </c>
      <c r="P59" s="718">
        <f>F59-O59</f>
        <v>0</v>
      </c>
      <c r="Q59" s="226"/>
      <c r="R59" s="80">
        <f>F59-L59</f>
        <v>188278780.55000067</v>
      </c>
      <c r="S59" s="80">
        <v>188278780.55000001</v>
      </c>
      <c r="T59" s="80"/>
      <c r="U59" s="474">
        <f>R59-S59</f>
        <v>6.5565109252929688E-7</v>
      </c>
    </row>
    <row r="60" spans="1:22" ht="15.75" customHeight="1" x14ac:dyDescent="0.25">
      <c r="A60" s="8" t="s">
        <v>71</v>
      </c>
      <c r="B60" s="13">
        <v>520818471.00999999</v>
      </c>
      <c r="C60" s="172"/>
      <c r="D60" s="75">
        <v>520818471.00999999</v>
      </c>
      <c r="E60" s="172"/>
      <c r="F60" s="141">
        <v>520818471.00999999</v>
      </c>
      <c r="G60" s="16"/>
      <c r="H60" s="145"/>
      <c r="I60" s="141">
        <v>520818471.00999999</v>
      </c>
      <c r="J60" s="563">
        <f>D60-I60</f>
        <v>0</v>
      </c>
      <c r="K60" s="69"/>
      <c r="L60" s="141">
        <v>510063352.06000012</v>
      </c>
      <c r="M60" s="69"/>
      <c r="N60" s="141">
        <f>'[5]Overall Summary'!$F$34</f>
        <v>10755118.949999996</v>
      </c>
      <c r="O60" s="507">
        <f>L60+N60</f>
        <v>520818471.01000011</v>
      </c>
      <c r="P60" s="581">
        <f>F60-O60</f>
        <v>0</v>
      </c>
      <c r="Q60" s="238"/>
      <c r="R60" s="81">
        <f>F60-L60</f>
        <v>10755118.949999869</v>
      </c>
      <c r="S60" s="81">
        <v>10755118.949999999</v>
      </c>
      <c r="T60" s="81"/>
      <c r="U60" s="473">
        <f>R60-S60</f>
        <v>-1.3038516044616699E-7</v>
      </c>
    </row>
    <row r="61" spans="1:22" ht="15.75" customHeight="1" x14ac:dyDescent="0.25">
      <c r="A61" s="8" t="s">
        <v>231</v>
      </c>
      <c r="B61" s="13">
        <v>803980000</v>
      </c>
      <c r="C61" s="172"/>
      <c r="D61" s="75">
        <v>803980000</v>
      </c>
      <c r="E61" s="172"/>
      <c r="F61" s="75">
        <v>803980000</v>
      </c>
      <c r="G61" s="16">
        <f>D61-F61</f>
        <v>0</v>
      </c>
      <c r="H61" s="145"/>
      <c r="I61" s="75">
        <v>803980000</v>
      </c>
      <c r="J61" s="563">
        <f>D61-I61</f>
        <v>0</v>
      </c>
      <c r="K61" s="60"/>
      <c r="L61" s="75">
        <v>577551838.34000015</v>
      </c>
      <c r="M61" s="60"/>
      <c r="N61" s="75">
        <f>'[5]Overall Summary'!$F$33</f>
        <v>134320108.94000003</v>
      </c>
      <c r="O61" s="507">
        <f>L61+N61</f>
        <v>711871947.28000021</v>
      </c>
      <c r="P61" s="581">
        <f t="shared" ref="P61" si="14">F61-O61</f>
        <v>92108052.71999979</v>
      </c>
      <c r="Q61" s="227"/>
      <c r="R61" s="81">
        <f>F61-L61</f>
        <v>226428161.65999985</v>
      </c>
      <c r="S61" s="81">
        <v>134320108.94</v>
      </c>
      <c r="T61" s="81"/>
      <c r="U61" s="473">
        <f>R61-S61</f>
        <v>92108052.71999985</v>
      </c>
    </row>
    <row r="62" spans="1:22" ht="15.75" customHeight="1" x14ac:dyDescent="0.25">
      <c r="A62" s="789" t="s">
        <v>128</v>
      </c>
      <c r="B62" s="791">
        <v>394400000</v>
      </c>
      <c r="C62" s="797"/>
      <c r="D62" s="787">
        <v>394400000</v>
      </c>
      <c r="E62" s="202"/>
      <c r="F62" s="203">
        <v>207400000</v>
      </c>
      <c r="G62" s="806">
        <f>D62-F62-F63</f>
        <v>0</v>
      </c>
      <c r="H62" s="829"/>
      <c r="I62" s="787">
        <v>287410688.86999995</v>
      </c>
      <c r="J62" s="791">
        <f>D62-I62</f>
        <v>106989311.13000005</v>
      </c>
      <c r="K62" s="823"/>
      <c r="L62" s="787">
        <v>245292985.41000003</v>
      </c>
      <c r="M62" s="447"/>
      <c r="N62" s="787">
        <f>'[5]OverallSummary(excl. ALECO10MVA'!$F$36</f>
        <v>55412000</v>
      </c>
      <c r="O62" s="791">
        <f>L62+N62</f>
        <v>300704985.41000003</v>
      </c>
      <c r="P62" s="816">
        <f>F62+F63-O62</f>
        <v>93695014.589999974</v>
      </c>
      <c r="Q62" s="825"/>
      <c r="R62" s="827">
        <f>F62+F63-L62</f>
        <v>149107014.58999997</v>
      </c>
      <c r="S62" s="839">
        <v>22860000</v>
      </c>
      <c r="T62" s="423"/>
      <c r="U62" s="841">
        <f>R62-S62</f>
        <v>126247014.58999997</v>
      </c>
    </row>
    <row r="63" spans="1:22" ht="15.75" customHeight="1" x14ac:dyDescent="0.25">
      <c r="A63" s="790"/>
      <c r="B63" s="792"/>
      <c r="C63" s="798"/>
      <c r="D63" s="788"/>
      <c r="E63" s="202"/>
      <c r="F63" s="203">
        <v>187000000</v>
      </c>
      <c r="G63" s="807"/>
      <c r="H63" s="830"/>
      <c r="I63" s="788"/>
      <c r="J63" s="792"/>
      <c r="K63" s="824"/>
      <c r="L63" s="788"/>
      <c r="M63" s="448"/>
      <c r="N63" s="788"/>
      <c r="O63" s="792"/>
      <c r="P63" s="817"/>
      <c r="Q63" s="826"/>
      <c r="R63" s="828"/>
      <c r="S63" s="840"/>
      <c r="T63" s="424"/>
      <c r="U63" s="842"/>
    </row>
    <row r="64" spans="1:22" ht="15.75" customHeight="1" x14ac:dyDescent="0.25">
      <c r="A64" s="18" t="s">
        <v>128</v>
      </c>
      <c r="B64" s="19">
        <v>659600000</v>
      </c>
      <c r="C64" s="176"/>
      <c r="D64" s="130">
        <v>659600000</v>
      </c>
      <c r="E64" s="193"/>
      <c r="F64" s="130">
        <v>0</v>
      </c>
      <c r="G64" s="21">
        <f t="shared" ref="G64:G71" si="15">D64-F64</f>
        <v>659600000</v>
      </c>
      <c r="H64" s="151"/>
      <c r="I64" s="130">
        <v>0</v>
      </c>
      <c r="J64" s="564">
        <f>D64-I64</f>
        <v>659600000</v>
      </c>
      <c r="K64" s="61"/>
      <c r="L64" s="130">
        <v>0</v>
      </c>
      <c r="M64" s="61"/>
      <c r="N64" s="130">
        <v>0</v>
      </c>
      <c r="O64" s="507">
        <f>L64+N64</f>
        <v>0</v>
      </c>
      <c r="P64" s="581">
        <f t="shared" ref="P64:P71" si="16">F64-O64</f>
        <v>0</v>
      </c>
      <c r="Q64" s="228"/>
      <c r="R64" s="86">
        <f t="shared" ref="R64:R71" si="17">F64-L64</f>
        <v>0</v>
      </c>
      <c r="S64" s="86">
        <v>0</v>
      </c>
      <c r="T64" s="86"/>
      <c r="U64" s="473">
        <f t="shared" ref="U64:U72" si="18">R64-S64</f>
        <v>0</v>
      </c>
    </row>
    <row r="65" spans="1:22" ht="15.75" customHeight="1" x14ac:dyDescent="0.25">
      <c r="A65" s="18" t="s">
        <v>156</v>
      </c>
      <c r="B65" s="19">
        <v>100000000</v>
      </c>
      <c r="C65" s="176"/>
      <c r="D65" s="130">
        <v>100000000</v>
      </c>
      <c r="E65" s="176"/>
      <c r="F65" s="130">
        <v>100000000</v>
      </c>
      <c r="G65" s="21">
        <f t="shared" si="15"/>
        <v>0</v>
      </c>
      <c r="H65" s="151"/>
      <c r="I65" s="130">
        <v>100000000</v>
      </c>
      <c r="J65" s="564">
        <f t="shared" ref="J65:J71" si="19">D65-I65</f>
        <v>0</v>
      </c>
      <c r="K65" s="61"/>
      <c r="L65" s="130">
        <v>100000000</v>
      </c>
      <c r="M65" s="61"/>
      <c r="N65" s="130">
        <v>0</v>
      </c>
      <c r="O65" s="507">
        <f>L65+N65</f>
        <v>100000000</v>
      </c>
      <c r="P65" s="581">
        <f t="shared" si="16"/>
        <v>0</v>
      </c>
      <c r="Q65" s="228"/>
      <c r="R65" s="86">
        <f t="shared" si="17"/>
        <v>0</v>
      </c>
      <c r="S65" s="86">
        <v>0</v>
      </c>
      <c r="T65" s="86"/>
      <c r="U65" s="473">
        <f t="shared" si="18"/>
        <v>0</v>
      </c>
    </row>
    <row r="66" spans="1:22" ht="15.75" customHeight="1" x14ac:dyDescent="0.25">
      <c r="A66" s="18" t="s">
        <v>156</v>
      </c>
      <c r="B66" s="19">
        <v>100000000</v>
      </c>
      <c r="C66" s="176"/>
      <c r="D66" s="130">
        <v>100000000</v>
      </c>
      <c r="E66" s="176"/>
      <c r="F66" s="130">
        <v>100000000</v>
      </c>
      <c r="G66" s="21">
        <f t="shared" si="15"/>
        <v>0</v>
      </c>
      <c r="H66" s="151"/>
      <c r="I66" s="130">
        <v>100000000</v>
      </c>
      <c r="J66" s="564">
        <f t="shared" si="19"/>
        <v>0</v>
      </c>
      <c r="K66" s="61"/>
      <c r="L66" s="130">
        <v>100000000</v>
      </c>
      <c r="M66" s="61"/>
      <c r="N66" s="130">
        <v>0</v>
      </c>
      <c r="O66" s="507">
        <f t="shared" ref="O66:O71" si="20">L66+N66</f>
        <v>100000000</v>
      </c>
      <c r="P66" s="581">
        <f t="shared" si="16"/>
        <v>0</v>
      </c>
      <c r="Q66" s="228"/>
      <c r="R66" s="86">
        <f t="shared" si="17"/>
        <v>0</v>
      </c>
      <c r="S66" s="86">
        <v>0</v>
      </c>
      <c r="T66" s="86"/>
      <c r="U66" s="473">
        <f t="shared" si="18"/>
        <v>0</v>
      </c>
    </row>
    <row r="67" spans="1:22" ht="15.75" customHeight="1" x14ac:dyDescent="0.25">
      <c r="A67" s="18" t="s">
        <v>157</v>
      </c>
      <c r="B67" s="19">
        <v>100000000</v>
      </c>
      <c r="C67" s="176"/>
      <c r="D67" s="130">
        <v>100000000</v>
      </c>
      <c r="E67" s="176"/>
      <c r="F67" s="130">
        <v>100000000</v>
      </c>
      <c r="G67" s="21">
        <f t="shared" si="15"/>
        <v>0</v>
      </c>
      <c r="H67" s="151"/>
      <c r="I67" s="130">
        <v>100000000</v>
      </c>
      <c r="J67" s="564">
        <f t="shared" si="19"/>
        <v>0</v>
      </c>
      <c r="K67" s="61"/>
      <c r="L67" s="130">
        <v>99904116.819999993</v>
      </c>
      <c r="M67" s="61"/>
      <c r="N67" s="130">
        <v>0</v>
      </c>
      <c r="O67" s="507">
        <f t="shared" si="20"/>
        <v>99904116.819999993</v>
      </c>
      <c r="P67" s="581">
        <f t="shared" si="16"/>
        <v>95883.180000007153</v>
      </c>
      <c r="Q67" s="228"/>
      <c r="R67" s="86">
        <f t="shared" si="17"/>
        <v>95883.180000007153</v>
      </c>
      <c r="S67" s="86">
        <v>0</v>
      </c>
      <c r="T67" s="86"/>
      <c r="U67" s="473">
        <f t="shared" si="18"/>
        <v>95883.180000007153</v>
      </c>
    </row>
    <row r="68" spans="1:22" ht="15.75" customHeight="1" x14ac:dyDescent="0.25">
      <c r="A68" s="18" t="s">
        <v>174</v>
      </c>
      <c r="B68" s="19">
        <v>100000000</v>
      </c>
      <c r="C68" s="176"/>
      <c r="D68" s="130">
        <v>100000000</v>
      </c>
      <c r="E68" s="193"/>
      <c r="F68" s="130">
        <v>100000000</v>
      </c>
      <c r="G68" s="21">
        <f t="shared" si="15"/>
        <v>0</v>
      </c>
      <c r="H68" s="151"/>
      <c r="I68" s="130">
        <v>100000000</v>
      </c>
      <c r="J68" s="564">
        <f t="shared" si="19"/>
        <v>0</v>
      </c>
      <c r="K68" s="61"/>
      <c r="L68" s="130">
        <v>71577931.640000001</v>
      </c>
      <c r="M68" s="61"/>
      <c r="N68" s="130">
        <v>0</v>
      </c>
      <c r="O68" s="507">
        <f t="shared" si="20"/>
        <v>71577931.640000001</v>
      </c>
      <c r="P68" s="581">
        <f t="shared" si="16"/>
        <v>28422068.359999999</v>
      </c>
      <c r="Q68" s="228"/>
      <c r="R68" s="86">
        <f t="shared" si="17"/>
        <v>28422068.359999999</v>
      </c>
      <c r="S68" s="86">
        <v>0</v>
      </c>
      <c r="T68" s="86"/>
      <c r="U68" s="473">
        <f t="shared" si="18"/>
        <v>28422068.359999999</v>
      </c>
    </row>
    <row r="69" spans="1:22" ht="15.75" customHeight="1" x14ac:dyDescent="0.25">
      <c r="A69" s="18" t="s">
        <v>175</v>
      </c>
      <c r="B69" s="19">
        <v>298560000</v>
      </c>
      <c r="C69" s="176"/>
      <c r="D69" s="75">
        <v>298560000</v>
      </c>
      <c r="E69" s="193"/>
      <c r="F69" s="75">
        <v>298560000</v>
      </c>
      <c r="G69" s="21">
        <f t="shared" si="15"/>
        <v>0</v>
      </c>
      <c r="H69" s="151"/>
      <c r="I69" s="75">
        <v>298560000</v>
      </c>
      <c r="J69" s="564">
        <f t="shared" si="19"/>
        <v>0</v>
      </c>
      <c r="K69" s="305"/>
      <c r="L69" s="130">
        <v>256493371.90000001</v>
      </c>
      <c r="M69" s="61"/>
      <c r="N69" s="130">
        <v>0</v>
      </c>
      <c r="O69" s="507">
        <f t="shared" si="20"/>
        <v>256493371.90000001</v>
      </c>
      <c r="P69" s="581">
        <f t="shared" si="16"/>
        <v>42066628.099999994</v>
      </c>
      <c r="Q69" s="228"/>
      <c r="R69" s="86">
        <f t="shared" si="17"/>
        <v>42066628.099999994</v>
      </c>
      <c r="S69" s="86">
        <v>0</v>
      </c>
      <c r="T69" s="86"/>
      <c r="U69" s="473">
        <f t="shared" si="18"/>
        <v>42066628.099999994</v>
      </c>
    </row>
    <row r="70" spans="1:22" ht="15.75" customHeight="1" x14ac:dyDescent="0.25">
      <c r="A70" s="209" t="s">
        <v>144</v>
      </c>
      <c r="B70" s="210">
        <v>15865308</v>
      </c>
      <c r="C70" s="211"/>
      <c r="D70" s="212">
        <v>15865308</v>
      </c>
      <c r="E70" s="211"/>
      <c r="F70" s="212">
        <v>15865308</v>
      </c>
      <c r="G70" s="204">
        <f t="shared" si="15"/>
        <v>0</v>
      </c>
      <c r="H70" s="213"/>
      <c r="I70" s="212">
        <v>15865307.779999999</v>
      </c>
      <c r="J70" s="564">
        <f t="shared" si="19"/>
        <v>0.22000000067055225</v>
      </c>
      <c r="K70" s="214"/>
      <c r="L70" s="212">
        <v>15865307.779999999</v>
      </c>
      <c r="M70" s="206"/>
      <c r="N70" s="130">
        <v>0</v>
      </c>
      <c r="O70" s="507">
        <f t="shared" si="20"/>
        <v>15865307.779999999</v>
      </c>
      <c r="P70" s="581">
        <f t="shared" si="16"/>
        <v>0.22000000067055225</v>
      </c>
      <c r="Q70" s="227"/>
      <c r="R70" s="215">
        <f t="shared" si="17"/>
        <v>0.22000000067055225</v>
      </c>
      <c r="S70" s="215">
        <v>0</v>
      </c>
      <c r="T70" s="215"/>
      <c r="U70" s="473">
        <f t="shared" si="18"/>
        <v>0.22000000067055225</v>
      </c>
    </row>
    <row r="71" spans="1:22" ht="31.5" customHeight="1" x14ac:dyDescent="0.25">
      <c r="A71" s="209" t="s">
        <v>233</v>
      </c>
      <c r="B71" s="210">
        <v>48136015</v>
      </c>
      <c r="C71" s="211"/>
      <c r="D71" s="212">
        <v>48136015</v>
      </c>
      <c r="E71" s="217"/>
      <c r="F71" s="212">
        <v>48136015</v>
      </c>
      <c r="G71" s="204">
        <f t="shared" si="15"/>
        <v>0</v>
      </c>
      <c r="H71" s="213"/>
      <c r="I71" s="212">
        <v>48136015</v>
      </c>
      <c r="J71" s="564">
        <f t="shared" si="19"/>
        <v>0</v>
      </c>
      <c r="K71" s="217"/>
      <c r="L71" s="212">
        <v>48136015</v>
      </c>
      <c r="M71" s="206"/>
      <c r="N71" s="130">
        <v>0</v>
      </c>
      <c r="O71" s="507">
        <f t="shared" si="20"/>
        <v>48136015</v>
      </c>
      <c r="P71" s="581">
        <f t="shared" si="16"/>
        <v>0</v>
      </c>
      <c r="Q71" s="240"/>
      <c r="R71" s="215">
        <f t="shared" si="17"/>
        <v>0</v>
      </c>
      <c r="S71" s="215">
        <v>0</v>
      </c>
      <c r="T71" s="215"/>
      <c r="U71" s="473">
        <f t="shared" si="18"/>
        <v>0</v>
      </c>
    </row>
    <row r="72" spans="1:22" ht="15.75" customHeight="1" x14ac:dyDescent="0.25">
      <c r="A72" s="802" t="s">
        <v>152</v>
      </c>
      <c r="B72" s="791">
        <v>509414488</v>
      </c>
      <c r="C72" s="797"/>
      <c r="D72" s="787">
        <v>509414488</v>
      </c>
      <c r="E72" s="202"/>
      <c r="F72" s="203">
        <v>34360000</v>
      </c>
      <c r="G72" s="806">
        <f>D72-F72-F73</f>
        <v>425054488</v>
      </c>
      <c r="H72" s="808" t="s">
        <v>140</v>
      </c>
      <c r="I72" s="787">
        <v>509414488</v>
      </c>
      <c r="J72" s="791">
        <f>D72-I72</f>
        <v>0</v>
      </c>
      <c r="K72" s="823"/>
      <c r="L72" s="787">
        <v>49964463.759999998</v>
      </c>
      <c r="M72" s="447"/>
      <c r="N72" s="787">
        <v>0</v>
      </c>
      <c r="O72" s="791">
        <f>L72+N72</f>
        <v>49964463.759999998</v>
      </c>
      <c r="P72" s="816">
        <f>F72+F73-O72</f>
        <v>34395536.240000002</v>
      </c>
      <c r="Q72" s="825"/>
      <c r="R72" s="827">
        <f>F72+F73-L72</f>
        <v>34395536.240000002</v>
      </c>
      <c r="S72" s="839">
        <v>0</v>
      </c>
      <c r="T72" s="423"/>
      <c r="U72" s="841">
        <f t="shared" si="18"/>
        <v>34395536.240000002</v>
      </c>
    </row>
    <row r="73" spans="1:22" ht="15.75" customHeight="1" x14ac:dyDescent="0.25">
      <c r="A73" s="803"/>
      <c r="B73" s="792"/>
      <c r="C73" s="798"/>
      <c r="D73" s="788"/>
      <c r="E73" s="202"/>
      <c r="F73" s="203">
        <v>50000000</v>
      </c>
      <c r="G73" s="807"/>
      <c r="H73" s="809"/>
      <c r="I73" s="788"/>
      <c r="J73" s="792"/>
      <c r="K73" s="824"/>
      <c r="L73" s="788"/>
      <c r="M73" s="448"/>
      <c r="N73" s="788"/>
      <c r="O73" s="792"/>
      <c r="P73" s="817"/>
      <c r="Q73" s="826"/>
      <c r="R73" s="828"/>
      <c r="S73" s="840"/>
      <c r="T73" s="424"/>
      <c r="U73" s="842"/>
    </row>
    <row r="74" spans="1:22" ht="48" customHeight="1" x14ac:dyDescent="0.25">
      <c r="A74" s="265" t="s">
        <v>161</v>
      </c>
      <c r="B74" s="200">
        <v>49490000</v>
      </c>
      <c r="C74" s="202"/>
      <c r="D74" s="203">
        <v>49490000</v>
      </c>
      <c r="E74" s="202"/>
      <c r="F74" s="203">
        <v>49490000</v>
      </c>
      <c r="G74" s="204">
        <f>D74-F74</f>
        <v>0</v>
      </c>
      <c r="H74" s="306"/>
      <c r="I74" s="203">
        <v>49490000</v>
      </c>
      <c r="J74" s="565">
        <f>D74-I74</f>
        <v>0</v>
      </c>
      <c r="K74" s="377" t="s">
        <v>200</v>
      </c>
      <c r="L74" s="203">
        <v>0</v>
      </c>
      <c r="M74" s="206"/>
      <c r="N74" s="130">
        <v>0</v>
      </c>
      <c r="O74" s="507">
        <f t="shared" ref="O74:O78" si="21">L74+N74</f>
        <v>0</v>
      </c>
      <c r="P74" s="581">
        <f t="shared" ref="P74:P78" si="22">F74-O74</f>
        <v>49490000</v>
      </c>
      <c r="Q74" s="306"/>
      <c r="R74" s="207">
        <f>F74-L74</f>
        <v>49490000</v>
      </c>
      <c r="S74" s="207">
        <v>0</v>
      </c>
      <c r="T74" s="207"/>
      <c r="U74" s="473">
        <f>R74-S74</f>
        <v>49490000</v>
      </c>
    </row>
    <row r="75" spans="1:22" ht="34.5" customHeight="1" x14ac:dyDescent="0.25">
      <c r="A75" s="802" t="s">
        <v>206</v>
      </c>
      <c r="B75" s="200">
        <v>213354769</v>
      </c>
      <c r="C75" s="202"/>
      <c r="D75" s="203">
        <v>213354769</v>
      </c>
      <c r="E75" s="202"/>
      <c r="F75" s="203">
        <v>213354769</v>
      </c>
      <c r="G75" s="204">
        <f>D75-F75</f>
        <v>0</v>
      </c>
      <c r="H75" s="264"/>
      <c r="I75" s="203">
        <v>213354769</v>
      </c>
      <c r="J75" s="565">
        <f t="shared" ref="J75:J78" si="23">D75-I75</f>
        <v>0</v>
      </c>
      <c r="K75" s="206"/>
      <c r="L75" s="203">
        <v>192482938.41999999</v>
      </c>
      <c r="M75" s="206"/>
      <c r="N75" s="130">
        <v>0</v>
      </c>
      <c r="O75" s="507">
        <f t="shared" si="21"/>
        <v>192482938.41999999</v>
      </c>
      <c r="P75" s="581">
        <f t="shared" si="22"/>
        <v>20871830.580000013</v>
      </c>
      <c r="Q75" s="228"/>
      <c r="R75" s="207">
        <f>F75-L75</f>
        <v>20871830.580000013</v>
      </c>
      <c r="S75" s="207">
        <v>0</v>
      </c>
      <c r="T75" s="207"/>
      <c r="U75" s="473">
        <f>R75-S75</f>
        <v>20871830.580000013</v>
      </c>
    </row>
    <row r="76" spans="1:22" ht="34.5" customHeight="1" x14ac:dyDescent="0.25">
      <c r="A76" s="803"/>
      <c r="B76" s="203">
        <v>106451630</v>
      </c>
      <c r="C76" s="202"/>
      <c r="D76" s="203">
        <v>106451630</v>
      </c>
      <c r="E76" s="202"/>
      <c r="F76" s="203">
        <v>106451630</v>
      </c>
      <c r="G76" s="204">
        <f>D76-F76</f>
        <v>0</v>
      </c>
      <c r="H76" s="264"/>
      <c r="I76" s="203">
        <v>106451630</v>
      </c>
      <c r="J76" s="565">
        <f t="shared" si="23"/>
        <v>0</v>
      </c>
      <c r="K76" s="206"/>
      <c r="L76" s="203">
        <v>95806463.939999998</v>
      </c>
      <c r="M76" s="206"/>
      <c r="N76" s="130">
        <v>0</v>
      </c>
      <c r="O76" s="507">
        <f t="shared" si="21"/>
        <v>95806463.939999998</v>
      </c>
      <c r="P76" s="581">
        <f t="shared" si="22"/>
        <v>10645166.060000002</v>
      </c>
      <c r="Q76" s="228"/>
      <c r="R76" s="207">
        <f>F76-L76</f>
        <v>10645166.060000002</v>
      </c>
      <c r="S76" s="207">
        <v>0</v>
      </c>
      <c r="T76" s="207"/>
      <c r="U76" s="473">
        <f>R76-S76</f>
        <v>10645166.060000002</v>
      </c>
    </row>
    <row r="77" spans="1:22" ht="21.75" customHeight="1" x14ac:dyDescent="0.25">
      <c r="A77" s="18" t="s">
        <v>196</v>
      </c>
      <c r="B77" s="203">
        <v>20000000</v>
      </c>
      <c r="C77" s="298"/>
      <c r="D77" s="299">
        <v>20000000</v>
      </c>
      <c r="E77" s="211"/>
      <c r="F77" s="212">
        <v>12218462</v>
      </c>
      <c r="G77" s="296">
        <f>D77-F77</f>
        <v>7781538</v>
      </c>
      <c r="H77" s="297"/>
      <c r="I77" s="212">
        <v>20000000</v>
      </c>
      <c r="J77" s="565">
        <f t="shared" si="23"/>
        <v>0</v>
      </c>
      <c r="K77" s="214"/>
      <c r="L77" s="212">
        <v>0</v>
      </c>
      <c r="M77" s="206"/>
      <c r="N77" s="130">
        <v>0</v>
      </c>
      <c r="O77" s="507">
        <f t="shared" si="21"/>
        <v>0</v>
      </c>
      <c r="P77" s="581">
        <f t="shared" si="22"/>
        <v>12218462</v>
      </c>
      <c r="Q77" s="227"/>
      <c r="R77" s="215">
        <f>F77-L77</f>
        <v>12218462</v>
      </c>
      <c r="S77" s="215">
        <v>0</v>
      </c>
      <c r="T77" s="215"/>
      <c r="U77" s="473">
        <f>R77-S77</f>
        <v>12218462</v>
      </c>
    </row>
    <row r="78" spans="1:22" ht="30.75" customHeight="1" thickBot="1" x14ac:dyDescent="0.3">
      <c r="A78" s="376" t="s">
        <v>232</v>
      </c>
      <c r="B78" s="216">
        <v>2433988</v>
      </c>
      <c r="C78" s="195"/>
      <c r="D78" s="126">
        <v>2433988</v>
      </c>
      <c r="E78" s="318"/>
      <c r="F78" s="126">
        <v>2433988</v>
      </c>
      <c r="G78" s="296">
        <f>D78-F78</f>
        <v>0</v>
      </c>
      <c r="H78" s="319"/>
      <c r="I78" s="316">
        <v>2433988</v>
      </c>
      <c r="J78" s="565">
        <f t="shared" si="23"/>
        <v>0</v>
      </c>
      <c r="K78" s="320"/>
      <c r="L78" s="316">
        <v>0</v>
      </c>
      <c r="M78" s="381"/>
      <c r="N78" s="130">
        <v>0</v>
      </c>
      <c r="O78" s="507">
        <f t="shared" si="21"/>
        <v>0</v>
      </c>
      <c r="P78" s="581">
        <f t="shared" si="22"/>
        <v>2433988</v>
      </c>
      <c r="Q78" s="321"/>
      <c r="R78" s="322">
        <f>F78-L78</f>
        <v>2433988</v>
      </c>
      <c r="S78" s="322">
        <v>0</v>
      </c>
      <c r="T78" s="322"/>
      <c r="U78" s="473">
        <f>R78-S78</f>
        <v>2433988</v>
      </c>
    </row>
    <row r="79" spans="1:22" ht="15.75" customHeight="1" thickBot="1" x14ac:dyDescent="0.3">
      <c r="A79" s="461" t="s">
        <v>87</v>
      </c>
      <c r="B79" s="459">
        <f>SUM(B59:B78)</f>
        <v>7971864669.0100002</v>
      </c>
      <c r="C79" s="472"/>
      <c r="D79" s="457">
        <f>SUM(D59:D78)</f>
        <v>7971864669.0100002</v>
      </c>
      <c r="E79" s="472"/>
      <c r="F79" s="457">
        <f>SUM(F59:F78)</f>
        <v>6879428643.0100002</v>
      </c>
      <c r="G79" s="459">
        <f>SUM(G59:G78)</f>
        <v>1092436026</v>
      </c>
      <c r="H79" s="458"/>
      <c r="I79" s="457">
        <f>SUM(I59:I78)</f>
        <v>7205275357.6599998</v>
      </c>
      <c r="J79" s="457">
        <f>SUM(J59:J78)</f>
        <v>766589311.35000014</v>
      </c>
      <c r="K79" s="458"/>
      <c r="L79" s="457">
        <f>SUM(L59:L78)</f>
        <v>6104220004.5199986</v>
      </c>
      <c r="M79" s="458"/>
      <c r="N79" s="457">
        <f t="shared" ref="N79:P79" si="24">SUM(N59:N78)</f>
        <v>388766008.43999988</v>
      </c>
      <c r="O79" s="457">
        <f t="shared" si="24"/>
        <v>6492986012.9599981</v>
      </c>
      <c r="P79" s="455">
        <f t="shared" si="24"/>
        <v>386442630.04999977</v>
      </c>
      <c r="Q79" s="456"/>
      <c r="R79" s="455">
        <f>SUM(R59:R78)</f>
        <v>775208638.49000049</v>
      </c>
      <c r="S79" s="455">
        <f>SUM(S59:S78)</f>
        <v>356214008.44</v>
      </c>
      <c r="T79" s="455"/>
      <c r="U79" s="454">
        <f>SUM(U59:U78)</f>
        <v>418994630.05000049</v>
      </c>
      <c r="V79" s="471">
        <f>R79-S79</f>
        <v>418994630.05000049</v>
      </c>
    </row>
    <row r="80" spans="1:22" ht="12.75" customHeight="1" x14ac:dyDescent="0.25">
      <c r="R80" s="27"/>
      <c r="S80" s="27"/>
      <c r="T80" s="27"/>
      <c r="U80" s="470"/>
    </row>
    <row r="81" spans="1:21" ht="16.5" thickBot="1" x14ac:dyDescent="0.3">
      <c r="A81" s="4" t="s">
        <v>297</v>
      </c>
    </row>
    <row r="82" spans="1:21" x14ac:dyDescent="0.25">
      <c r="A82" s="780" t="s">
        <v>13</v>
      </c>
      <c r="B82" s="782" t="s">
        <v>14</v>
      </c>
      <c r="C82" s="843" t="s">
        <v>280</v>
      </c>
      <c r="D82" s="844"/>
      <c r="E82" s="847" t="s">
        <v>281</v>
      </c>
      <c r="F82" s="844"/>
      <c r="G82" s="849" t="s">
        <v>20</v>
      </c>
      <c r="H82" s="799" t="s">
        <v>283</v>
      </c>
      <c r="I82" s="800"/>
      <c r="J82" s="801"/>
      <c r="K82" s="831" t="s">
        <v>285</v>
      </c>
      <c r="L82" s="832"/>
      <c r="M82" s="832"/>
      <c r="N82" s="832"/>
      <c r="O82" s="833"/>
      <c r="P82" s="837" t="s">
        <v>288</v>
      </c>
      <c r="Q82" s="218"/>
      <c r="R82" s="811" t="s">
        <v>96</v>
      </c>
      <c r="S82" s="811" t="s">
        <v>276</v>
      </c>
      <c r="T82" s="421"/>
      <c r="U82" s="835" t="s">
        <v>275</v>
      </c>
    </row>
    <row r="83" spans="1:21" ht="41.25" customHeight="1" x14ac:dyDescent="0.25">
      <c r="A83" s="781"/>
      <c r="B83" s="783"/>
      <c r="C83" s="845"/>
      <c r="D83" s="846"/>
      <c r="E83" s="848"/>
      <c r="F83" s="846"/>
      <c r="G83" s="850"/>
      <c r="H83" s="143"/>
      <c r="I83" s="125" t="s">
        <v>21</v>
      </c>
      <c r="J83" s="553" t="s">
        <v>282</v>
      </c>
      <c r="K83" s="73"/>
      <c r="L83" s="567" t="s">
        <v>284</v>
      </c>
      <c r="M83" s="568"/>
      <c r="N83" s="568" t="s">
        <v>296</v>
      </c>
      <c r="O83" s="441" t="s">
        <v>286</v>
      </c>
      <c r="P83" s="838"/>
      <c r="Q83" s="219"/>
      <c r="R83" s="813"/>
      <c r="S83" s="813"/>
      <c r="T83" s="422"/>
      <c r="U83" s="836"/>
    </row>
    <row r="84" spans="1:21" ht="15.75" thickBot="1" x14ac:dyDescent="0.3">
      <c r="A84" s="308" t="s">
        <v>11</v>
      </c>
      <c r="B84" s="309" t="s">
        <v>12</v>
      </c>
      <c r="C84" s="311"/>
      <c r="D84" s="312" t="s">
        <v>4</v>
      </c>
      <c r="E84" s="311"/>
      <c r="F84" s="313" t="s">
        <v>5</v>
      </c>
      <c r="G84" s="310" t="s">
        <v>299</v>
      </c>
      <c r="H84" s="311"/>
      <c r="I84" s="313" t="s">
        <v>7</v>
      </c>
      <c r="J84" s="719" t="s">
        <v>309</v>
      </c>
      <c r="K84" s="314"/>
      <c r="L84" s="313" t="s">
        <v>9</v>
      </c>
      <c r="M84" s="719"/>
      <c r="N84" s="719" t="s">
        <v>300</v>
      </c>
      <c r="O84" s="720" t="s">
        <v>301</v>
      </c>
      <c r="P84" s="721" t="s">
        <v>302</v>
      </c>
      <c r="Q84" s="220"/>
      <c r="R84" s="813"/>
      <c r="S84" s="834"/>
      <c r="T84" s="422"/>
      <c r="U84" s="836"/>
    </row>
    <row r="85" spans="1:21" ht="4.5" customHeight="1" x14ac:dyDescent="0.25">
      <c r="A85" s="6"/>
      <c r="B85" s="12"/>
      <c r="C85" s="153"/>
      <c r="D85" s="137"/>
      <c r="E85" s="153"/>
      <c r="F85" s="137"/>
      <c r="G85" s="7"/>
      <c r="H85" s="153"/>
      <c r="I85" s="137"/>
      <c r="J85" s="559"/>
      <c r="K85" s="67"/>
      <c r="L85" s="137"/>
      <c r="M85" s="559"/>
      <c r="N85" s="137"/>
      <c r="O85" s="12"/>
      <c r="P85" s="246"/>
      <c r="Q85" s="233"/>
      <c r="R85" s="87"/>
      <c r="S85" s="87"/>
      <c r="T85" s="87"/>
      <c r="U85" s="469"/>
    </row>
    <row r="86" spans="1:21" x14ac:dyDescent="0.25">
      <c r="A86" s="8" t="s">
        <v>52</v>
      </c>
      <c r="B86" s="13">
        <v>4500000000</v>
      </c>
      <c r="C86" s="172"/>
      <c r="D86" s="75">
        <v>4500000000</v>
      </c>
      <c r="E86" s="176"/>
      <c r="F86" s="75">
        <v>1210000000</v>
      </c>
      <c r="G86" s="16">
        <f>D86-F86-F87</f>
        <v>2476000000</v>
      </c>
      <c r="H86" s="145"/>
      <c r="I86" s="75">
        <v>1210000000</v>
      </c>
      <c r="J86" s="564">
        <f>F86-I86</f>
        <v>0</v>
      </c>
      <c r="K86" s="61"/>
      <c r="L86" s="75">
        <v>1210000000</v>
      </c>
      <c r="M86" s="560"/>
      <c r="N86" s="75">
        <v>0</v>
      </c>
      <c r="O86" s="507">
        <f>L86+N86</f>
        <v>1210000000</v>
      </c>
      <c r="P86" s="581">
        <f t="shared" ref="P86:P100" si="25">F86-O86</f>
        <v>0</v>
      </c>
      <c r="Q86" s="227"/>
      <c r="R86" s="81">
        <f t="shared" ref="R86:R97" si="26">F86-L86</f>
        <v>0</v>
      </c>
      <c r="S86" s="81">
        <v>0</v>
      </c>
      <c r="T86" s="81"/>
      <c r="U86" s="468">
        <f t="shared" ref="U86:U100" si="27">R86-S86</f>
        <v>0</v>
      </c>
    </row>
    <row r="87" spans="1:21" ht="15" customHeight="1" x14ac:dyDescent="0.3">
      <c r="A87" s="8"/>
      <c r="B87" s="13"/>
      <c r="C87" s="146"/>
      <c r="D87" s="75"/>
      <c r="E87" s="580" t="s">
        <v>239</v>
      </c>
      <c r="F87" s="75">
        <v>814000000</v>
      </c>
      <c r="G87" s="2"/>
      <c r="H87" s="146"/>
      <c r="I87" s="75"/>
      <c r="J87" s="560">
        <v>0</v>
      </c>
      <c r="K87" s="580" t="s">
        <v>239</v>
      </c>
      <c r="L87" s="75">
        <v>814000000</v>
      </c>
      <c r="M87" s="560"/>
      <c r="N87" s="75">
        <v>0</v>
      </c>
      <c r="O87" s="507">
        <f t="shared" ref="O87:O100" si="28">L87+N87</f>
        <v>814000000</v>
      </c>
      <c r="P87" s="581">
        <f t="shared" si="25"/>
        <v>0</v>
      </c>
      <c r="Q87" s="239"/>
      <c r="R87" s="81">
        <f t="shared" si="26"/>
        <v>0</v>
      </c>
      <c r="S87" s="81">
        <v>0</v>
      </c>
      <c r="T87" s="81"/>
      <c r="U87" s="468">
        <f t="shared" si="27"/>
        <v>0</v>
      </c>
    </row>
    <row r="88" spans="1:21" ht="15.75" customHeight="1" x14ac:dyDescent="0.25">
      <c r="A88" s="8" t="s">
        <v>53</v>
      </c>
      <c r="B88" s="13">
        <v>69200000</v>
      </c>
      <c r="C88" s="172"/>
      <c r="D88" s="75">
        <v>69200000</v>
      </c>
      <c r="E88" s="191"/>
      <c r="F88" s="75">
        <v>69200000</v>
      </c>
      <c r="G88" s="16">
        <f t="shared" ref="G88:G97" si="29">D88-F88</f>
        <v>0</v>
      </c>
      <c r="H88" s="145"/>
      <c r="I88" s="75">
        <v>69066266.480000004</v>
      </c>
      <c r="J88" s="562">
        <f>D88-I88</f>
        <v>133733.51999999583</v>
      </c>
      <c r="K88" s="59"/>
      <c r="L88" s="75">
        <v>69066266.480000004</v>
      </c>
      <c r="M88" s="560"/>
      <c r="N88" s="75">
        <f>'[5]Overall Summary'!$F$35</f>
        <v>133733.51999999999</v>
      </c>
      <c r="O88" s="507">
        <f t="shared" si="28"/>
        <v>69200000</v>
      </c>
      <c r="P88" s="581">
        <f t="shared" si="25"/>
        <v>0</v>
      </c>
      <c r="Q88" s="227"/>
      <c r="R88" s="81">
        <f t="shared" si="26"/>
        <v>133733.51999999583</v>
      </c>
      <c r="S88" s="81">
        <v>133733.51999999999</v>
      </c>
      <c r="T88" s="81"/>
      <c r="U88" s="468">
        <f t="shared" si="27"/>
        <v>-4.1618477553129196E-9</v>
      </c>
    </row>
    <row r="89" spans="1:21" x14ac:dyDescent="0.25">
      <c r="A89" s="18" t="s">
        <v>54</v>
      </c>
      <c r="B89" s="19">
        <v>32552000</v>
      </c>
      <c r="C89" s="176"/>
      <c r="D89" s="130">
        <v>32552000</v>
      </c>
      <c r="E89" s="176"/>
      <c r="F89" s="130">
        <v>32552000</v>
      </c>
      <c r="G89" s="21">
        <f t="shared" si="29"/>
        <v>0</v>
      </c>
      <c r="H89" s="151"/>
      <c r="I89" s="130">
        <v>32552000</v>
      </c>
      <c r="J89" s="562">
        <f t="shared" ref="J89:J100" si="30">D89-I89</f>
        <v>0</v>
      </c>
      <c r="K89" s="60"/>
      <c r="L89" s="130">
        <v>0</v>
      </c>
      <c r="M89" s="564"/>
      <c r="N89" s="130">
        <v>0</v>
      </c>
      <c r="O89" s="507">
        <f t="shared" si="28"/>
        <v>0</v>
      </c>
      <c r="P89" s="581">
        <f t="shared" si="25"/>
        <v>32552000</v>
      </c>
      <c r="Q89" s="228"/>
      <c r="R89" s="86">
        <f t="shared" si="26"/>
        <v>32552000</v>
      </c>
      <c r="S89" s="86">
        <v>32552000</v>
      </c>
      <c r="T89" s="86"/>
      <c r="U89" s="468">
        <f t="shared" si="27"/>
        <v>0</v>
      </c>
    </row>
    <row r="90" spans="1:21" s="208" customFormat="1" ht="27.75" customHeight="1" x14ac:dyDescent="0.25">
      <c r="A90" s="199" t="s">
        <v>180</v>
      </c>
      <c r="B90" s="200">
        <v>7000000</v>
      </c>
      <c r="C90" s="202"/>
      <c r="D90" s="203">
        <v>7000000</v>
      </c>
      <c r="E90" s="202"/>
      <c r="F90" s="203">
        <v>7000000</v>
      </c>
      <c r="G90" s="204">
        <f t="shared" si="29"/>
        <v>0</v>
      </c>
      <c r="H90" s="205"/>
      <c r="I90" s="203">
        <v>6761714.6900000004</v>
      </c>
      <c r="J90" s="234">
        <f t="shared" si="30"/>
        <v>238285.30999999959</v>
      </c>
      <c r="K90" s="304"/>
      <c r="L90" s="203">
        <v>6218970.1000000006</v>
      </c>
      <c r="M90" s="565"/>
      <c r="N90" s="203">
        <v>0</v>
      </c>
      <c r="O90" s="507">
        <f t="shared" si="28"/>
        <v>6218970.1000000006</v>
      </c>
      <c r="P90" s="581">
        <f t="shared" si="25"/>
        <v>781029.89999999944</v>
      </c>
      <c r="Q90" s="228"/>
      <c r="R90" s="207">
        <f t="shared" si="26"/>
        <v>781029.89999999944</v>
      </c>
      <c r="S90" s="207">
        <v>0</v>
      </c>
      <c r="T90" s="207"/>
      <c r="U90" s="468">
        <f t="shared" si="27"/>
        <v>781029.89999999944</v>
      </c>
    </row>
    <row r="91" spans="1:21" s="208" customFormat="1" ht="29.25" customHeight="1" x14ac:dyDescent="0.25">
      <c r="A91" s="199" t="s">
        <v>181</v>
      </c>
      <c r="B91" s="200">
        <v>9000000</v>
      </c>
      <c r="C91" s="202"/>
      <c r="D91" s="203">
        <v>8346749</v>
      </c>
      <c r="E91" s="202"/>
      <c r="F91" s="203">
        <v>8346749</v>
      </c>
      <c r="G91" s="204">
        <f t="shared" si="29"/>
        <v>0</v>
      </c>
      <c r="H91" s="264"/>
      <c r="I91" s="279">
        <v>7333969.6200000001</v>
      </c>
      <c r="J91" s="234">
        <f t="shared" si="30"/>
        <v>1012779.3799999999</v>
      </c>
      <c r="K91" s="206"/>
      <c r="L91" s="203">
        <v>6600572.6600000001</v>
      </c>
      <c r="M91" s="565"/>
      <c r="N91" s="203">
        <v>0</v>
      </c>
      <c r="O91" s="507">
        <f t="shared" si="28"/>
        <v>6600572.6600000001</v>
      </c>
      <c r="P91" s="581">
        <f t="shared" si="25"/>
        <v>1746176.3399999999</v>
      </c>
      <c r="Q91" s="228"/>
      <c r="R91" s="207">
        <f t="shared" si="26"/>
        <v>1746176.3399999999</v>
      </c>
      <c r="S91" s="207">
        <v>0</v>
      </c>
      <c r="T91" s="207"/>
      <c r="U91" s="468">
        <f t="shared" si="27"/>
        <v>1746176.3399999999</v>
      </c>
    </row>
    <row r="92" spans="1:21" s="208" customFormat="1" ht="30" x14ac:dyDescent="0.25">
      <c r="A92" s="199" t="s">
        <v>165</v>
      </c>
      <c r="B92" s="200">
        <v>61349000</v>
      </c>
      <c r="C92" s="202"/>
      <c r="D92" s="203">
        <v>57792633</v>
      </c>
      <c r="E92" s="202"/>
      <c r="F92" s="203">
        <v>57792633</v>
      </c>
      <c r="G92" s="204">
        <f t="shared" si="29"/>
        <v>0</v>
      </c>
      <c r="H92" s="264"/>
      <c r="I92" s="203">
        <v>53629427.759999998</v>
      </c>
      <c r="J92" s="234">
        <f t="shared" si="30"/>
        <v>4163205.2400000021</v>
      </c>
      <c r="K92" s="206"/>
      <c r="L92" s="203">
        <v>48311484.980000004</v>
      </c>
      <c r="M92" s="565"/>
      <c r="N92" s="203">
        <v>0</v>
      </c>
      <c r="O92" s="507">
        <f t="shared" si="28"/>
        <v>48311484.980000004</v>
      </c>
      <c r="P92" s="581">
        <f t="shared" si="25"/>
        <v>9481148.0199999958</v>
      </c>
      <c r="Q92" s="228"/>
      <c r="R92" s="207">
        <f t="shared" si="26"/>
        <v>9481148.0199999958</v>
      </c>
      <c r="S92" s="207">
        <v>0</v>
      </c>
      <c r="T92" s="207"/>
      <c r="U92" s="468">
        <f t="shared" si="27"/>
        <v>9481148.0199999958</v>
      </c>
    </row>
    <row r="93" spans="1:21" s="208" customFormat="1" ht="30" x14ac:dyDescent="0.25">
      <c r="A93" s="199" t="s">
        <v>197</v>
      </c>
      <c r="B93" s="212">
        <v>12000000</v>
      </c>
      <c r="C93" s="298"/>
      <c r="D93" s="299">
        <v>12000000</v>
      </c>
      <c r="E93" s="211"/>
      <c r="F93" s="212">
        <v>12000000</v>
      </c>
      <c r="G93" s="296">
        <f t="shared" si="29"/>
        <v>0</v>
      </c>
      <c r="H93" s="297"/>
      <c r="I93" s="212">
        <v>12000000</v>
      </c>
      <c r="J93" s="234">
        <f t="shared" si="30"/>
        <v>0</v>
      </c>
      <c r="K93" s="214"/>
      <c r="L93" s="212">
        <v>0</v>
      </c>
      <c r="M93" s="479"/>
      <c r="N93" s="212">
        <v>0</v>
      </c>
      <c r="O93" s="507">
        <f t="shared" si="28"/>
        <v>0</v>
      </c>
      <c r="P93" s="581">
        <f t="shared" si="25"/>
        <v>12000000</v>
      </c>
      <c r="Q93" s="227"/>
      <c r="R93" s="207">
        <f t="shared" si="26"/>
        <v>12000000</v>
      </c>
      <c r="S93" s="207">
        <v>0</v>
      </c>
      <c r="T93" s="207"/>
      <c r="U93" s="468">
        <f t="shared" si="27"/>
        <v>12000000</v>
      </c>
    </row>
    <row r="94" spans="1:21" s="208" customFormat="1" ht="30" x14ac:dyDescent="0.25">
      <c r="A94" s="199" t="s">
        <v>198</v>
      </c>
      <c r="B94" s="212">
        <v>153000000</v>
      </c>
      <c r="C94" s="298"/>
      <c r="D94" s="299">
        <v>153000000</v>
      </c>
      <c r="E94" s="211"/>
      <c r="F94" s="212">
        <v>153000000</v>
      </c>
      <c r="G94" s="296">
        <f t="shared" si="29"/>
        <v>0</v>
      </c>
      <c r="H94" s="323"/>
      <c r="I94" s="212">
        <v>153000000</v>
      </c>
      <c r="J94" s="234">
        <f t="shared" si="30"/>
        <v>0</v>
      </c>
      <c r="K94" s="214"/>
      <c r="L94" s="212">
        <v>137030258.41999999</v>
      </c>
      <c r="M94" s="479"/>
      <c r="N94" s="212">
        <v>0</v>
      </c>
      <c r="O94" s="507">
        <f t="shared" si="28"/>
        <v>137030258.41999999</v>
      </c>
      <c r="P94" s="581">
        <f t="shared" si="25"/>
        <v>15969741.580000013</v>
      </c>
      <c r="Q94" s="227"/>
      <c r="R94" s="207">
        <f t="shared" si="26"/>
        <v>15969741.580000013</v>
      </c>
      <c r="S94" s="207">
        <v>0</v>
      </c>
      <c r="T94" s="207"/>
      <c r="U94" s="468">
        <f t="shared" si="27"/>
        <v>15969741.580000013</v>
      </c>
    </row>
    <row r="95" spans="1:21" s="208" customFormat="1" ht="24.75" customHeight="1" x14ac:dyDescent="0.25">
      <c r="A95" s="199" t="s">
        <v>199</v>
      </c>
      <c r="B95" s="203">
        <v>20000000</v>
      </c>
      <c r="C95" s="445"/>
      <c r="D95" s="446">
        <v>20000000</v>
      </c>
      <c r="E95" s="202"/>
      <c r="F95" s="203">
        <v>20000000</v>
      </c>
      <c r="G95" s="204">
        <f t="shared" si="29"/>
        <v>0</v>
      </c>
      <c r="H95" s="366"/>
      <c r="I95" s="203">
        <v>20000000</v>
      </c>
      <c r="J95" s="234">
        <f t="shared" si="30"/>
        <v>0</v>
      </c>
      <c r="K95" s="206"/>
      <c r="L95" s="203">
        <v>14876091.380000001</v>
      </c>
      <c r="M95" s="565"/>
      <c r="N95" s="203">
        <v>0</v>
      </c>
      <c r="O95" s="507">
        <f t="shared" si="28"/>
        <v>14876091.380000001</v>
      </c>
      <c r="P95" s="581">
        <f t="shared" si="25"/>
        <v>5123908.6199999992</v>
      </c>
      <c r="Q95" s="228"/>
      <c r="R95" s="207">
        <f t="shared" si="26"/>
        <v>5123908.6199999992</v>
      </c>
      <c r="S95" s="207">
        <v>0</v>
      </c>
      <c r="T95" s="207"/>
      <c r="U95" s="468">
        <f t="shared" si="27"/>
        <v>5123908.6199999992</v>
      </c>
    </row>
    <row r="96" spans="1:21" s="208" customFormat="1" ht="18.75" customHeight="1" x14ac:dyDescent="0.25">
      <c r="A96" s="209" t="s">
        <v>217</v>
      </c>
      <c r="B96" s="212">
        <v>11806000</v>
      </c>
      <c r="C96" s="298"/>
      <c r="D96" s="299">
        <v>11806000</v>
      </c>
      <c r="E96" s="211"/>
      <c r="F96" s="299">
        <v>11806000</v>
      </c>
      <c r="G96" s="204">
        <f t="shared" si="29"/>
        <v>0</v>
      </c>
      <c r="H96" s="323"/>
      <c r="I96" s="212">
        <v>11806000</v>
      </c>
      <c r="J96" s="234">
        <f t="shared" si="30"/>
        <v>0</v>
      </c>
      <c r="K96" s="214"/>
      <c r="L96" s="212">
        <v>0</v>
      </c>
      <c r="M96" s="479"/>
      <c r="N96" s="212">
        <v>0</v>
      </c>
      <c r="O96" s="507">
        <f t="shared" si="28"/>
        <v>0</v>
      </c>
      <c r="P96" s="581">
        <f t="shared" si="25"/>
        <v>11806000</v>
      </c>
      <c r="Q96" s="227"/>
      <c r="R96" s="207">
        <f t="shared" si="26"/>
        <v>11806000</v>
      </c>
      <c r="S96" s="207">
        <v>0</v>
      </c>
      <c r="T96" s="207"/>
      <c r="U96" s="468">
        <f t="shared" si="27"/>
        <v>11806000</v>
      </c>
    </row>
    <row r="97" spans="1:22" s="208" customFormat="1" ht="18.75" customHeight="1" x14ac:dyDescent="0.25">
      <c r="A97" s="199" t="s">
        <v>218</v>
      </c>
      <c r="B97" s="203">
        <v>8354824</v>
      </c>
      <c r="C97" s="445"/>
      <c r="D97" s="446">
        <v>8354824</v>
      </c>
      <c r="E97" s="202"/>
      <c r="F97" s="446">
        <v>8354824</v>
      </c>
      <c r="G97" s="204">
        <f t="shared" si="29"/>
        <v>0</v>
      </c>
      <c r="H97" s="366"/>
      <c r="I97" s="203">
        <v>8354824</v>
      </c>
      <c r="J97" s="234">
        <f t="shared" si="30"/>
        <v>0</v>
      </c>
      <c r="K97" s="206"/>
      <c r="L97" s="203">
        <v>0</v>
      </c>
      <c r="M97" s="565"/>
      <c r="N97" s="203">
        <v>0</v>
      </c>
      <c r="O97" s="507">
        <f t="shared" si="28"/>
        <v>0</v>
      </c>
      <c r="P97" s="581">
        <f t="shared" si="25"/>
        <v>8354824</v>
      </c>
      <c r="Q97" s="228"/>
      <c r="R97" s="207">
        <f t="shared" si="26"/>
        <v>8354824</v>
      </c>
      <c r="S97" s="207">
        <v>0</v>
      </c>
      <c r="T97" s="207"/>
      <c r="U97" s="468">
        <f t="shared" si="27"/>
        <v>8354824</v>
      </c>
    </row>
    <row r="98" spans="1:22" s="208" customFormat="1" ht="18.75" customHeight="1" x14ac:dyDescent="0.25">
      <c r="A98" s="199" t="s">
        <v>234</v>
      </c>
      <c r="B98" s="203">
        <v>11890679</v>
      </c>
      <c r="C98" s="294" t="s">
        <v>240</v>
      </c>
      <c r="D98" s="446">
        <v>11890679</v>
      </c>
      <c r="E98" s="193"/>
      <c r="F98" s="130">
        <v>0</v>
      </c>
      <c r="G98" s="204">
        <v>0</v>
      </c>
      <c r="H98" s="366"/>
      <c r="I98" s="446">
        <v>11890679</v>
      </c>
      <c r="J98" s="234">
        <f t="shared" si="30"/>
        <v>0</v>
      </c>
      <c r="K98" s="206"/>
      <c r="L98" s="203">
        <v>0</v>
      </c>
      <c r="M98" s="565"/>
      <c r="N98" s="203">
        <v>0</v>
      </c>
      <c r="O98" s="507">
        <f t="shared" si="28"/>
        <v>0</v>
      </c>
      <c r="P98" s="581">
        <f t="shared" si="25"/>
        <v>0</v>
      </c>
      <c r="Q98" s="228"/>
      <c r="R98" s="207">
        <v>0</v>
      </c>
      <c r="S98" s="207">
        <v>0</v>
      </c>
      <c r="T98" s="207"/>
      <c r="U98" s="468">
        <f t="shared" si="27"/>
        <v>0</v>
      </c>
    </row>
    <row r="99" spans="1:22" s="208" customFormat="1" ht="28.5" customHeight="1" x14ac:dyDescent="0.25">
      <c r="A99" s="199" t="s">
        <v>236</v>
      </c>
      <c r="B99" s="203">
        <v>4046092000</v>
      </c>
      <c r="C99" s="294" t="s">
        <v>240</v>
      </c>
      <c r="D99" s="446">
        <v>4046092000</v>
      </c>
      <c r="E99" s="193"/>
      <c r="F99" s="130">
        <v>0</v>
      </c>
      <c r="G99" s="204">
        <v>0</v>
      </c>
      <c r="H99" s="366"/>
      <c r="I99" s="446">
        <v>4046092000</v>
      </c>
      <c r="J99" s="234">
        <f t="shared" si="30"/>
        <v>0</v>
      </c>
      <c r="K99" s="206"/>
      <c r="L99" s="203">
        <v>0</v>
      </c>
      <c r="M99" s="565"/>
      <c r="N99" s="203">
        <v>0</v>
      </c>
      <c r="O99" s="507">
        <f t="shared" si="28"/>
        <v>0</v>
      </c>
      <c r="P99" s="581">
        <f t="shared" si="25"/>
        <v>0</v>
      </c>
      <c r="Q99" s="228"/>
      <c r="R99" s="207">
        <v>0</v>
      </c>
      <c r="S99" s="207">
        <v>0</v>
      </c>
      <c r="T99" s="207"/>
      <c r="U99" s="468">
        <f t="shared" si="27"/>
        <v>0</v>
      </c>
    </row>
    <row r="100" spans="1:22" s="208" customFormat="1" ht="28.5" customHeight="1" thickBot="1" x14ac:dyDescent="0.3">
      <c r="A100" s="379" t="s">
        <v>242</v>
      </c>
      <c r="B100" s="216">
        <v>145837000</v>
      </c>
      <c r="C100" s="377" t="s">
        <v>241</v>
      </c>
      <c r="D100" s="127">
        <v>145837000</v>
      </c>
      <c r="E100" s="377" t="s">
        <v>241</v>
      </c>
      <c r="F100" s="216">
        <v>145837000</v>
      </c>
      <c r="G100" s="204">
        <v>0</v>
      </c>
      <c r="H100" s="380"/>
      <c r="I100" s="127">
        <v>145837000</v>
      </c>
      <c r="J100" s="234">
        <f t="shared" si="30"/>
        <v>0</v>
      </c>
      <c r="K100" s="381"/>
      <c r="L100" s="216">
        <v>0</v>
      </c>
      <c r="M100" s="477"/>
      <c r="N100" s="216">
        <v>0</v>
      </c>
      <c r="O100" s="507">
        <f t="shared" si="28"/>
        <v>0</v>
      </c>
      <c r="P100" s="581">
        <f t="shared" si="25"/>
        <v>145837000</v>
      </c>
      <c r="Q100" s="225"/>
      <c r="R100" s="207">
        <f>F100-L100</f>
        <v>145837000</v>
      </c>
      <c r="S100" s="207">
        <v>0</v>
      </c>
      <c r="T100" s="207"/>
      <c r="U100" s="468">
        <f t="shared" si="27"/>
        <v>145837000</v>
      </c>
    </row>
    <row r="101" spans="1:22" s="32" customFormat="1" ht="16.5" thickBot="1" x14ac:dyDescent="0.3">
      <c r="A101" s="467" t="s">
        <v>87</v>
      </c>
      <c r="B101" s="465">
        <f>SUM(B86:B100)</f>
        <v>9088081503</v>
      </c>
      <c r="C101" s="466"/>
      <c r="D101" s="463">
        <f>SUM(D86:D100)</f>
        <v>9083871885</v>
      </c>
      <c r="E101" s="466"/>
      <c r="F101" s="463">
        <f>SUM(F86:F100)</f>
        <v>2549889206</v>
      </c>
      <c r="G101" s="465">
        <f>SUM(G86:G100)</f>
        <v>2476000000</v>
      </c>
      <c r="H101" s="464"/>
      <c r="I101" s="463">
        <f>SUM(I86:I100)</f>
        <v>5788323881.5500002</v>
      </c>
      <c r="J101" s="463">
        <f>SUM(J86:J100)</f>
        <v>5548003.4499999974</v>
      </c>
      <c r="K101" s="464"/>
      <c r="L101" s="457">
        <f>SUM(L86:L100)</f>
        <v>2306103644.02</v>
      </c>
      <c r="M101" s="492"/>
      <c r="N101" s="463">
        <f t="shared" ref="N101:P101" si="31">SUM(N86:N100)</f>
        <v>133733.51999999999</v>
      </c>
      <c r="O101" s="463">
        <f t="shared" si="31"/>
        <v>2306237377.54</v>
      </c>
      <c r="P101" s="583">
        <f t="shared" si="31"/>
        <v>243651828.46000001</v>
      </c>
      <c r="Q101" s="462"/>
      <c r="R101" s="455">
        <f>SUM(R86:R100)</f>
        <v>243785561.98000002</v>
      </c>
      <c r="S101" s="455">
        <f>SUM(S86:S100)</f>
        <v>32685733.52</v>
      </c>
      <c r="T101" s="455"/>
      <c r="U101" s="454">
        <f>SUM(U86:U100)</f>
        <v>211099828.46000001</v>
      </c>
    </row>
    <row r="102" spans="1:22" ht="16.5" thickBot="1" x14ac:dyDescent="0.3">
      <c r="A102" s="461" t="s">
        <v>88</v>
      </c>
      <c r="B102" s="459">
        <f>B101+B42+B28+B52+B79</f>
        <v>48417862212</v>
      </c>
      <c r="C102" s="460"/>
      <c r="D102" s="457">
        <f>D101+D42+D28+D52+D79</f>
        <v>48413652594</v>
      </c>
      <c r="E102" s="460"/>
      <c r="F102" s="457">
        <f>F101+F42+F28+F52+F79</f>
        <v>38820570042</v>
      </c>
      <c r="G102" s="459">
        <f>G101+G42+G28+G52+G79</f>
        <v>5535099874</v>
      </c>
      <c r="H102" s="458"/>
      <c r="I102" s="457">
        <f>I101+I42+I28+I52+I79</f>
        <v>43792435381.581009</v>
      </c>
      <c r="J102" s="457">
        <f>J101+J42+J28+J52+J79</f>
        <v>846817262.419999</v>
      </c>
      <c r="K102" s="458"/>
      <c r="L102" s="457">
        <f>L101+L42+L28+L52+L79</f>
        <v>37349065952.629997</v>
      </c>
      <c r="M102" s="584" t="s">
        <v>295</v>
      </c>
      <c r="N102" s="457">
        <f t="shared" ref="N102:P102" si="32">N101+N42+N28+N52+N79</f>
        <v>1261049999.9999998</v>
      </c>
      <c r="O102" s="457">
        <f t="shared" si="32"/>
        <v>38036342557.379997</v>
      </c>
      <c r="P102" s="455">
        <f t="shared" si="32"/>
        <v>784227484.61999941</v>
      </c>
      <c r="Q102" s="456"/>
      <c r="R102" s="455">
        <f>R101+R42+R28+R52+R79</f>
        <v>1090495052.5600004</v>
      </c>
      <c r="S102" s="455">
        <f>S101+S42+S28+S52+S79</f>
        <v>1261050000</v>
      </c>
      <c r="T102" s="455"/>
      <c r="U102" s="454">
        <f>U101+U42+U28+U52+U79</f>
        <v>-170554947.43700033</v>
      </c>
      <c r="V102" s="453">
        <f>R102-S102</f>
        <v>-170554947.43999958</v>
      </c>
    </row>
    <row r="103" spans="1:22" s="754" customFormat="1" ht="15.75" x14ac:dyDescent="0.25">
      <c r="A103" s="551" t="s">
        <v>315</v>
      </c>
      <c r="B103" s="755"/>
      <c r="C103" s="759"/>
      <c r="D103" s="762"/>
      <c r="E103" s="759"/>
      <c r="F103" s="762"/>
      <c r="G103" s="755"/>
      <c r="H103" s="765"/>
      <c r="I103" s="762"/>
      <c r="J103" s="755"/>
      <c r="K103" s="765"/>
      <c r="L103" s="762"/>
      <c r="M103" s="768"/>
      <c r="N103" s="762"/>
      <c r="O103" s="755"/>
      <c r="P103" s="756"/>
      <c r="Q103" s="751"/>
      <c r="R103" s="750"/>
      <c r="S103" s="750"/>
      <c r="T103" s="750"/>
      <c r="U103" s="752"/>
      <c r="V103" s="753"/>
    </row>
    <row r="104" spans="1:22" s="754" customFormat="1" ht="15.75" x14ac:dyDescent="0.25">
      <c r="A104" s="356" t="s">
        <v>312</v>
      </c>
      <c r="B104" s="757"/>
      <c r="C104" s="760"/>
      <c r="D104" s="763"/>
      <c r="E104" s="760"/>
      <c r="F104" s="763"/>
      <c r="G104" s="757"/>
      <c r="H104" s="766"/>
      <c r="I104" s="763"/>
      <c r="J104" s="757"/>
      <c r="K104" s="766"/>
      <c r="L104" s="763"/>
      <c r="M104" s="769"/>
      <c r="N104" s="763"/>
      <c r="O104" s="757"/>
      <c r="P104" s="778">
        <v>352244160.11000001</v>
      </c>
      <c r="Q104" s="751"/>
      <c r="R104" s="750"/>
      <c r="S104" s="750"/>
      <c r="T104" s="750"/>
      <c r="U104" s="752"/>
      <c r="V104" s="753"/>
    </row>
    <row r="105" spans="1:22" s="754" customFormat="1" ht="15.75" x14ac:dyDescent="0.25">
      <c r="A105" s="356" t="s">
        <v>313</v>
      </c>
      <c r="B105" s="757"/>
      <c r="C105" s="760"/>
      <c r="D105" s="763"/>
      <c r="E105" s="760"/>
      <c r="F105" s="763"/>
      <c r="G105" s="757"/>
      <c r="H105" s="766"/>
      <c r="I105" s="763"/>
      <c r="J105" s="757"/>
      <c r="K105" s="766"/>
      <c r="L105" s="763"/>
      <c r="M105" s="769"/>
      <c r="N105" s="763"/>
      <c r="O105" s="757"/>
      <c r="P105" s="778">
        <v>71254654.890000001</v>
      </c>
      <c r="Q105" s="751"/>
      <c r="R105" s="750"/>
      <c r="S105" s="750"/>
      <c r="T105" s="750"/>
      <c r="U105" s="752"/>
      <c r="V105" s="753"/>
    </row>
    <row r="106" spans="1:22" s="754" customFormat="1" ht="16.5" thickBot="1" x14ac:dyDescent="0.3">
      <c r="A106" s="357" t="s">
        <v>314</v>
      </c>
      <c r="B106" s="758"/>
      <c r="C106" s="761"/>
      <c r="D106" s="764"/>
      <c r="E106" s="761"/>
      <c r="F106" s="764"/>
      <c r="G106" s="758"/>
      <c r="H106" s="767"/>
      <c r="I106" s="764"/>
      <c r="J106" s="758"/>
      <c r="K106" s="767"/>
      <c r="L106" s="764"/>
      <c r="M106" s="770"/>
      <c r="N106" s="764"/>
      <c r="O106" s="758"/>
      <c r="P106" s="779">
        <v>265417678.75999999</v>
      </c>
      <c r="Q106" s="751"/>
      <c r="R106" s="750"/>
      <c r="S106" s="750"/>
      <c r="T106" s="750"/>
      <c r="U106" s="752"/>
      <c r="V106" s="753"/>
    </row>
    <row r="107" spans="1:22" s="754" customFormat="1" ht="16.5" thickBot="1" x14ac:dyDescent="0.3">
      <c r="A107" s="771" t="s">
        <v>310</v>
      </c>
      <c r="B107" s="772"/>
      <c r="C107" s="773"/>
      <c r="D107" s="774"/>
      <c r="E107" s="773"/>
      <c r="F107" s="774"/>
      <c r="G107" s="772"/>
      <c r="H107" s="775"/>
      <c r="I107" s="774"/>
      <c r="J107" s="772"/>
      <c r="K107" s="775"/>
      <c r="L107" s="774"/>
      <c r="M107" s="776"/>
      <c r="N107" s="774"/>
      <c r="O107" s="772"/>
      <c r="P107" s="777">
        <f>P102+P104+P105+P106</f>
        <v>1473143978.3799996</v>
      </c>
      <c r="Q107" s="751"/>
      <c r="R107" s="750"/>
      <c r="S107" s="750"/>
      <c r="T107" s="750"/>
      <c r="U107" s="752"/>
      <c r="V107" s="753"/>
    </row>
    <row r="108" spans="1:22" s="301" customFormat="1" ht="12" x14ac:dyDescent="0.2">
      <c r="A108" s="324" t="s">
        <v>210</v>
      </c>
      <c r="B108" s="300"/>
      <c r="D108" s="302"/>
      <c r="F108" s="300"/>
      <c r="G108" s="302"/>
      <c r="H108" s="302"/>
      <c r="I108" s="300"/>
      <c r="J108" s="300"/>
      <c r="K108" s="300"/>
      <c r="L108" s="300"/>
      <c r="M108" s="300"/>
      <c r="N108" s="300"/>
      <c r="O108" s="300"/>
      <c r="P108" s="300"/>
      <c r="Q108" s="303"/>
      <c r="R108" s="302"/>
      <c r="S108" s="302"/>
      <c r="T108" s="302"/>
      <c r="U108" s="452"/>
    </row>
    <row r="109" spans="1:22" s="301" customFormat="1" ht="12" x14ac:dyDescent="0.2">
      <c r="A109" s="324" t="s">
        <v>211</v>
      </c>
      <c r="B109" s="300"/>
      <c r="F109" s="300"/>
      <c r="G109" s="302"/>
      <c r="H109" s="302"/>
      <c r="I109" s="300"/>
      <c r="J109" s="300"/>
      <c r="K109" s="300"/>
      <c r="L109" s="300"/>
      <c r="M109" s="300"/>
      <c r="N109" s="300"/>
      <c r="O109" s="300"/>
      <c r="P109" s="300"/>
      <c r="Q109" s="303"/>
      <c r="R109" s="302"/>
      <c r="S109" s="302"/>
      <c r="T109" s="302"/>
      <c r="U109" s="452"/>
    </row>
    <row r="110" spans="1:22" s="301" customFormat="1" ht="12" x14ac:dyDescent="0.2">
      <c r="A110" s="325" t="s">
        <v>289</v>
      </c>
      <c r="B110" s="300"/>
      <c r="F110" s="300"/>
      <c r="G110" s="302"/>
      <c r="H110" s="302"/>
      <c r="I110" s="300"/>
      <c r="J110" s="300"/>
      <c r="K110" s="300"/>
      <c r="L110" s="300"/>
      <c r="M110" s="300"/>
      <c r="N110" s="300"/>
      <c r="O110" s="300"/>
      <c r="P110" s="300"/>
      <c r="Q110" s="303"/>
      <c r="R110" s="302"/>
      <c r="S110" s="302"/>
      <c r="T110" s="302"/>
      <c r="U110" s="452"/>
    </row>
    <row r="111" spans="1:22" s="301" customFormat="1" ht="12" x14ac:dyDescent="0.2">
      <c r="A111" s="325" t="s">
        <v>290</v>
      </c>
      <c r="B111" s="300"/>
      <c r="F111" s="300"/>
      <c r="G111" s="302"/>
      <c r="H111" s="302"/>
      <c r="I111" s="300"/>
      <c r="J111" s="300"/>
      <c r="K111" s="300"/>
      <c r="L111" s="300"/>
      <c r="M111" s="300"/>
      <c r="N111" s="300"/>
      <c r="O111" s="300"/>
      <c r="P111" s="300"/>
      <c r="Q111" s="303"/>
      <c r="R111" s="302"/>
      <c r="S111" s="302"/>
      <c r="T111" s="302"/>
      <c r="U111" s="452"/>
    </row>
    <row r="112" spans="1:22" s="301" customFormat="1" ht="12" x14ac:dyDescent="0.2">
      <c r="A112" s="325" t="s">
        <v>291</v>
      </c>
      <c r="B112" s="300"/>
      <c r="F112" s="300"/>
      <c r="G112" s="302"/>
      <c r="H112" s="302"/>
      <c r="I112" s="300"/>
      <c r="J112" s="300"/>
      <c r="K112" s="300"/>
      <c r="L112" s="300"/>
      <c r="M112" s="300"/>
      <c r="N112" s="300"/>
      <c r="O112" s="300"/>
      <c r="P112" s="300"/>
      <c r="Q112" s="303"/>
      <c r="R112" s="302"/>
      <c r="S112" s="302"/>
      <c r="T112" s="302"/>
      <c r="U112" s="452"/>
    </row>
    <row r="113" spans="1:21" s="301" customFormat="1" ht="12" x14ac:dyDescent="0.2">
      <c r="A113" s="325" t="s">
        <v>292</v>
      </c>
      <c r="B113" s="300"/>
      <c r="F113" s="300"/>
      <c r="G113" s="302"/>
      <c r="H113" s="302"/>
      <c r="I113" s="300"/>
      <c r="J113" s="300"/>
      <c r="K113" s="300"/>
      <c r="L113" s="300"/>
      <c r="M113" s="300"/>
      <c r="N113" s="300"/>
      <c r="O113" s="300"/>
      <c r="P113" s="300"/>
      <c r="Q113" s="303"/>
      <c r="R113" s="302"/>
      <c r="S113" s="302"/>
      <c r="T113" s="302"/>
      <c r="U113" s="452"/>
    </row>
    <row r="114" spans="1:21" s="301" customFormat="1" ht="12" x14ac:dyDescent="0.2">
      <c r="A114" s="324" t="s">
        <v>293</v>
      </c>
      <c r="B114" s="300"/>
      <c r="F114" s="300"/>
      <c r="G114" s="302"/>
      <c r="H114" s="302"/>
      <c r="I114" s="300"/>
      <c r="J114" s="300"/>
      <c r="K114" s="300"/>
      <c r="L114" s="300"/>
      <c r="M114" s="300"/>
      <c r="N114" s="300"/>
      <c r="O114" s="300"/>
      <c r="P114" s="300"/>
      <c r="Q114" s="303"/>
      <c r="R114" s="302"/>
      <c r="S114" s="302"/>
      <c r="T114" s="302"/>
      <c r="U114" s="452"/>
    </row>
    <row r="115" spans="1:21" s="301" customFormat="1" ht="12" x14ac:dyDescent="0.2">
      <c r="A115" s="324" t="s">
        <v>294</v>
      </c>
      <c r="B115" s="300"/>
      <c r="F115" s="300"/>
      <c r="G115" s="302"/>
      <c r="H115" s="302"/>
      <c r="I115" s="300"/>
      <c r="J115" s="300"/>
      <c r="K115" s="300"/>
      <c r="L115" s="300"/>
      <c r="M115" s="300"/>
      <c r="N115" s="300"/>
      <c r="O115" s="300"/>
      <c r="P115" s="300"/>
      <c r="Q115" s="303"/>
      <c r="R115" s="302"/>
      <c r="S115" s="302"/>
      <c r="T115" s="302"/>
      <c r="U115" s="452"/>
    </row>
    <row r="116" spans="1:21" s="301" customFormat="1" ht="24" customHeight="1" x14ac:dyDescent="0.2">
      <c r="A116" s="851" t="s">
        <v>298</v>
      </c>
      <c r="B116" s="851"/>
      <c r="C116" s="851"/>
      <c r="D116" s="851"/>
      <c r="E116" s="851"/>
      <c r="F116" s="851"/>
      <c r="G116" s="851"/>
      <c r="H116" s="851"/>
      <c r="I116" s="851"/>
      <c r="J116" s="851"/>
      <c r="K116" s="851"/>
      <c r="L116" s="851"/>
      <c r="M116" s="851"/>
      <c r="N116" s="851"/>
      <c r="O116" s="851"/>
      <c r="P116" s="851"/>
      <c r="Q116" s="303"/>
      <c r="R116" s="302"/>
      <c r="S116" s="302"/>
      <c r="T116" s="302"/>
      <c r="U116" s="452"/>
    </row>
    <row r="117" spans="1:21" x14ac:dyDescent="0.25">
      <c r="G117" s="27"/>
      <c r="H117" s="27"/>
    </row>
    <row r="118" spans="1:21" x14ac:dyDescent="0.25">
      <c r="A118" s="11" t="s">
        <v>89</v>
      </c>
      <c r="G118" t="s">
        <v>91</v>
      </c>
      <c r="J118"/>
      <c r="N118" t="s">
        <v>92</v>
      </c>
    </row>
    <row r="119" spans="1:21" ht="10.5" customHeight="1" x14ac:dyDescent="0.25">
      <c r="A119" s="11"/>
      <c r="J119"/>
      <c r="N119"/>
    </row>
    <row r="120" spans="1:21" s="11" customFormat="1" x14ac:dyDescent="0.25">
      <c r="C120"/>
      <c r="E120"/>
      <c r="G120"/>
      <c r="H120"/>
      <c r="J120"/>
      <c r="N120"/>
      <c r="Q120" s="89"/>
      <c r="R120"/>
      <c r="S120"/>
      <c r="T120"/>
      <c r="U120" s="451"/>
    </row>
    <row r="121" spans="1:21" s="11" customFormat="1" x14ac:dyDescent="0.25">
      <c r="A121" s="37" t="s">
        <v>90</v>
      </c>
      <c r="B121" s="37"/>
      <c r="C121"/>
      <c r="E121" s="32"/>
      <c r="F121" s="37"/>
      <c r="G121" s="32" t="s">
        <v>173</v>
      </c>
      <c r="H121" s="32"/>
      <c r="J121" s="32"/>
      <c r="K121" s="37"/>
      <c r="N121" s="32" t="s">
        <v>183</v>
      </c>
      <c r="Q121" s="89"/>
      <c r="R121"/>
      <c r="S121"/>
      <c r="T121"/>
      <c r="U121" s="451"/>
    </row>
    <row r="122" spans="1:21" s="11" customFormat="1" x14ac:dyDescent="0.25">
      <c r="A122" s="11" t="s">
        <v>93</v>
      </c>
      <c r="C122"/>
      <c r="E122"/>
      <c r="G122" t="s">
        <v>172</v>
      </c>
      <c r="H122"/>
      <c r="J122"/>
      <c r="N122" t="s">
        <v>182</v>
      </c>
      <c r="Q122" s="89"/>
      <c r="R122"/>
      <c r="S122"/>
      <c r="T122"/>
      <c r="U122" s="451"/>
    </row>
    <row r="123" spans="1:21" s="11" customFormat="1" x14ac:dyDescent="0.25">
      <c r="A123"/>
      <c r="C123"/>
      <c r="D123"/>
      <c r="E123"/>
      <c r="G123"/>
      <c r="H123"/>
      <c r="J123"/>
      <c r="N123" t="s">
        <v>122</v>
      </c>
      <c r="Q123" s="89"/>
      <c r="R123"/>
      <c r="S123"/>
      <c r="T123"/>
      <c r="U123" s="451"/>
    </row>
  </sheetData>
  <mergeCells count="91">
    <mergeCell ref="A116:P116"/>
    <mergeCell ref="K7:O7"/>
    <mergeCell ref="R7:R9"/>
    <mergeCell ref="S7:S9"/>
    <mergeCell ref="U7:U9"/>
    <mergeCell ref="A32:A33"/>
    <mergeCell ref="B32:B33"/>
    <mergeCell ref="C32:D33"/>
    <mergeCell ref="E32:F33"/>
    <mergeCell ref="G32:G33"/>
    <mergeCell ref="H32:J32"/>
    <mergeCell ref="A7:A8"/>
    <mergeCell ref="B7:B8"/>
    <mergeCell ref="C7:D8"/>
    <mergeCell ref="E7:F8"/>
    <mergeCell ref="G7:G8"/>
    <mergeCell ref="H7:J7"/>
    <mergeCell ref="K32:O32"/>
    <mergeCell ref="R32:R34"/>
    <mergeCell ref="S32:S34"/>
    <mergeCell ref="U32:U34"/>
    <mergeCell ref="A45:A46"/>
    <mergeCell ref="B45:B46"/>
    <mergeCell ref="C45:D46"/>
    <mergeCell ref="E45:F46"/>
    <mergeCell ref="G45:G46"/>
    <mergeCell ref="H45:J45"/>
    <mergeCell ref="K45:O45"/>
    <mergeCell ref="R45:R47"/>
    <mergeCell ref="S45:S47"/>
    <mergeCell ref="U45:U47"/>
    <mergeCell ref="A56:A57"/>
    <mergeCell ref="B56:B57"/>
    <mergeCell ref="C56:D57"/>
    <mergeCell ref="E56:F57"/>
    <mergeCell ref="G56:G57"/>
    <mergeCell ref="H56:J56"/>
    <mergeCell ref="K56:O56"/>
    <mergeCell ref="R56:R58"/>
    <mergeCell ref="S56:S58"/>
    <mergeCell ref="U56:U58"/>
    <mergeCell ref="H62:H63"/>
    <mergeCell ref="A72:A73"/>
    <mergeCell ref="B72:B73"/>
    <mergeCell ref="C72:C73"/>
    <mergeCell ref="D72:D73"/>
    <mergeCell ref="G72:G73"/>
    <mergeCell ref="A62:A63"/>
    <mergeCell ref="B62:B63"/>
    <mergeCell ref="C62:C63"/>
    <mergeCell ref="D62:D63"/>
    <mergeCell ref="G62:G63"/>
    <mergeCell ref="G82:G83"/>
    <mergeCell ref="I72:I73"/>
    <mergeCell ref="J72:J73"/>
    <mergeCell ref="K72:K73"/>
    <mergeCell ref="L72:L73"/>
    <mergeCell ref="H72:H73"/>
    <mergeCell ref="A75:A76"/>
    <mergeCell ref="A82:A83"/>
    <mergeCell ref="B82:B83"/>
    <mergeCell ref="C82:D83"/>
    <mergeCell ref="E82:F83"/>
    <mergeCell ref="S82:S84"/>
    <mergeCell ref="U82:U84"/>
    <mergeCell ref="P7:P8"/>
    <mergeCell ref="P32:P33"/>
    <mergeCell ref="P45:P46"/>
    <mergeCell ref="P56:P57"/>
    <mergeCell ref="P82:P83"/>
    <mergeCell ref="Q72:Q73"/>
    <mergeCell ref="R72:R73"/>
    <mergeCell ref="S72:S73"/>
    <mergeCell ref="U72:U73"/>
    <mergeCell ref="Q62:Q63"/>
    <mergeCell ref="R62:R63"/>
    <mergeCell ref="S62:S63"/>
    <mergeCell ref="U62:U63"/>
    <mergeCell ref="P62:P63"/>
    <mergeCell ref="P72:P73"/>
    <mergeCell ref="H82:J82"/>
    <mergeCell ref="K82:O82"/>
    <mergeCell ref="R82:R84"/>
    <mergeCell ref="N72:N73"/>
    <mergeCell ref="O72:O73"/>
    <mergeCell ref="O62:O63"/>
    <mergeCell ref="I62:I63"/>
    <mergeCell ref="J62:J63"/>
    <mergeCell ref="K62:K63"/>
    <mergeCell ref="L62:L63"/>
    <mergeCell ref="N62:N63"/>
  </mergeCells>
  <printOptions horizontalCentered="1"/>
  <pageMargins left="0" right="0" top="0" bottom="0" header="0.31496062992125984" footer="0.31496062992125984"/>
  <pageSetup paperSize="256" scale="70" orientation="landscape" r:id="rId1"/>
  <rowBreaks count="2" manualBreakCount="2">
    <brk id="53" max="14" man="1"/>
    <brk id="80" max="1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FUR as of 03-31-20 Detailed</vt:lpstr>
      <vt:lpstr>FUR as of 03-31-20 Simplifi (2</vt:lpstr>
      <vt:lpstr>'FUR as of 03-31-20 Detailed'!Print_Area</vt:lpstr>
      <vt:lpstr>'FUR as of 03-31-20 Simplifi (2'!Print_Area</vt:lpstr>
      <vt:lpstr>'FUR as of 03-31-20 Detailed'!Print_Titles</vt:lpstr>
      <vt:lpstr>'FUR as of 03-31-20 Simplifi (2'!Print_Titles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hidalgodjm</dc:creator>
  <cp:lastModifiedBy>Daril Jeff Hidalgo</cp:lastModifiedBy>
  <cp:lastPrinted>2020-04-22T01:54:49Z</cp:lastPrinted>
  <dcterms:created xsi:type="dcterms:W3CDTF">2015-05-19T07:50:22Z</dcterms:created>
  <dcterms:modified xsi:type="dcterms:W3CDTF">2020-04-22T01:54:54Z</dcterms:modified>
</cp:coreProperties>
</file>