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workbookProtection lockStructure="1"/>
  <bookViews>
    <workbookView xWindow="-15" yWindow="-15" windowWidth="9570" windowHeight="4200" firstSheet="3" activeTab="4"/>
  </bookViews>
  <sheets>
    <sheet name="Chart1" sheetId="2" r:id="rId1"/>
    <sheet name="Sheet1" sheetId="3" r:id="rId2"/>
    <sheet name="Sheet2" sheetId="5" r:id="rId3"/>
    <sheet name="Sheet3" sheetId="6" r:id="rId4"/>
    <sheet name="TOBEPAID" sheetId="1" r:id="rId5"/>
  </sheets>
  <definedNames>
    <definedName name="_Regression_Int" localSheetId="4" hidden="1">1</definedName>
    <definedName name="_xlnm.Print_Area" localSheetId="3">Sheet3!$A$1662</definedName>
    <definedName name="_xlnm.Print_Area" localSheetId="4">TOBEPAID!$A$1296</definedName>
    <definedName name="_xlnm.Print_Area">TOBEPAID!$B$1235:$AB$1279</definedName>
    <definedName name="Print_Area_MI" localSheetId="4">TOBEPAID!$B$1235:$AB$1279</definedName>
    <definedName name="PRINT_AREA_MI">TOBEPAID!$B$1235:$AB$1279</definedName>
    <definedName name="_xlnm.Print_Titles" localSheetId="3">Sheet3!$1:$7</definedName>
    <definedName name="_xlnm.Print_Titles">TOBEPAID!$1:$8</definedName>
    <definedName name="Print_Titles_MI" localSheetId="4">TOBEPAID!$1:$9</definedName>
    <definedName name="PRINT_TITLES_MI">TOBEPAID!$1:$8</definedName>
  </definedNames>
  <calcPr calcId="145621"/>
</workbook>
</file>

<file path=xl/calcChain.xml><?xml version="1.0" encoding="utf-8"?>
<calcChain xmlns="http://schemas.openxmlformats.org/spreadsheetml/2006/main">
  <c r="D1436" i="6" l="1"/>
  <c r="H1327" i="6"/>
  <c r="H1564" i="6"/>
  <c r="D1578" i="6"/>
  <c r="R1548" i="6"/>
  <c r="H1548" i="6"/>
  <c r="H1578" i="6"/>
  <c r="H1571" i="6"/>
  <c r="D1571" i="6"/>
  <c r="H1570" i="6"/>
  <c r="D1570" i="6"/>
  <c r="H1551" i="6"/>
  <c r="D1551" i="6"/>
  <c r="H1436" i="6"/>
  <c r="H1318" i="6"/>
  <c r="D1318" i="6"/>
  <c r="H1305" i="6"/>
  <c r="Y1305" i="6" s="1"/>
  <c r="D1305" i="6"/>
  <c r="H1117" i="6"/>
  <c r="D1117" i="6"/>
  <c r="H1054" i="6"/>
  <c r="H895" i="6"/>
  <c r="H724" i="6"/>
  <c r="Y724" i="6" s="1"/>
  <c r="Z724" i="6" s="1"/>
  <c r="D724" i="6"/>
  <c r="H644" i="6"/>
  <c r="D644" i="6"/>
  <c r="H532" i="6"/>
  <c r="H522" i="6"/>
  <c r="D522" i="6"/>
  <c r="H509" i="6"/>
  <c r="D509" i="6"/>
  <c r="H335" i="6"/>
  <c r="D335" i="6"/>
  <c r="H322" i="6"/>
  <c r="Y322" i="6" s="1"/>
  <c r="Z322" i="6" s="1"/>
  <c r="D322" i="6"/>
  <c r="H281" i="6"/>
  <c r="D281" i="6"/>
  <c r="H148" i="6"/>
  <c r="Y148" i="6" s="1"/>
  <c r="D148" i="6"/>
  <c r="D1564" i="6"/>
  <c r="Y678" i="6"/>
  <c r="D678" i="6"/>
  <c r="Y926" i="6"/>
  <c r="D926" i="6"/>
  <c r="Y1457" i="6"/>
  <c r="D1457" i="6"/>
  <c r="Y34" i="6"/>
  <c r="D34" i="6"/>
  <c r="H1459" i="6"/>
  <c r="Y1459" i="6" s="1"/>
  <c r="D1459" i="6"/>
  <c r="Y1436" i="6"/>
  <c r="H1347" i="6"/>
  <c r="Y1347" i="6" s="1"/>
  <c r="D1347" i="6"/>
  <c r="H1298" i="6"/>
  <c r="H558" i="6"/>
  <c r="D558" i="6"/>
  <c r="D1548" i="6"/>
  <c r="H1238" i="6"/>
  <c r="D1238" i="6"/>
  <c r="H1235" i="6"/>
  <c r="H965" i="6"/>
  <c r="H627" i="6"/>
  <c r="Y627" i="6" s="1"/>
  <c r="Z627" i="6" s="1"/>
  <c r="D627" i="6"/>
  <c r="H496" i="6"/>
  <c r="D496" i="6"/>
  <c r="H40" i="6"/>
  <c r="D40" i="6"/>
  <c r="Z1457" i="6" l="1"/>
  <c r="Z34" i="6"/>
  <c r="Z926" i="6"/>
  <c r="Z678" i="6"/>
  <c r="Z148" i="6"/>
  <c r="Z1459" i="6"/>
  <c r="Z1347" i="6"/>
  <c r="Z1436" i="6"/>
  <c r="Z1305" i="6"/>
  <c r="H1562" i="6"/>
  <c r="Y1562" i="6" s="1"/>
  <c r="Y1571" i="6"/>
  <c r="Z1571" i="6" s="1"/>
  <c r="Y1551" i="6"/>
  <c r="D1562" i="6"/>
  <c r="D1575" i="6"/>
  <c r="D1574" i="6"/>
  <c r="D1573" i="6"/>
  <c r="D1568" i="6"/>
  <c r="D1567" i="6"/>
  <c r="D1228" i="6"/>
  <c r="AF1273" i="6" s="1"/>
  <c r="D1507" i="6"/>
  <c r="H1219" i="6"/>
  <c r="D1219" i="6"/>
  <c r="H1185" i="6"/>
  <c r="Y1185" i="6" s="1"/>
  <c r="D1185" i="6"/>
  <c r="H666" i="6"/>
  <c r="Y666" i="6" s="1"/>
  <c r="D666" i="6"/>
  <c r="Y644" i="6"/>
  <c r="Z644" i="6" s="1"/>
  <c r="Y595" i="6"/>
  <c r="Z595" i="6" s="1"/>
  <c r="H595" i="6"/>
  <c r="D595" i="6"/>
  <c r="H536" i="6"/>
  <c r="Y536" i="6" s="1"/>
  <c r="H446" i="6"/>
  <c r="Y446" i="6" s="1"/>
  <c r="Z446" i="6" s="1"/>
  <c r="D448" i="6"/>
  <c r="D446" i="6"/>
  <c r="H372" i="6"/>
  <c r="Z359" i="6"/>
  <c r="Y359" i="6"/>
  <c r="D359" i="6"/>
  <c r="Y372" i="6"/>
  <c r="Y281" i="6"/>
  <c r="D170" i="6"/>
  <c r="H123" i="6"/>
  <c r="H125" i="6"/>
  <c r="Y125" i="6" s="1"/>
  <c r="D125" i="6"/>
  <c r="H349" i="6"/>
  <c r="D536" i="6"/>
  <c r="D349" i="6"/>
  <c r="D123" i="6"/>
  <c r="H1176" i="6"/>
  <c r="H691" i="6"/>
  <c r="Y691" i="6" s="1"/>
  <c r="H642" i="6"/>
  <c r="Y642" i="6" s="1"/>
  <c r="Z642" i="6" s="1"/>
  <c r="D642" i="6"/>
  <c r="Y1570" i="6"/>
  <c r="Y1507" i="6"/>
  <c r="Y170" i="6"/>
  <c r="H1356" i="6"/>
  <c r="Y1356" i="6" s="1"/>
  <c r="H1355" i="6"/>
  <c r="Y1355" i="6" s="1"/>
  <c r="D1355" i="6"/>
  <c r="H1342" i="6"/>
  <c r="D1342" i="6"/>
  <c r="Y1318" i="6"/>
  <c r="H1289" i="6"/>
  <c r="Y1289" i="6" s="1"/>
  <c r="Z1289" i="6" s="1"/>
  <c r="D1289" i="6"/>
  <c r="H968" i="6"/>
  <c r="Y968" i="6" s="1"/>
  <c r="D968" i="6"/>
  <c r="H655" i="6"/>
  <c r="Y655" i="6" s="1"/>
  <c r="Z655" i="6" s="1"/>
  <c r="D655" i="6"/>
  <c r="H510" i="6"/>
  <c r="H192" i="6"/>
  <c r="Y192" i="6" s="1"/>
  <c r="D192" i="6"/>
  <c r="H449" i="6"/>
  <c r="Y449" i="6" s="1"/>
  <c r="Z449" i="6" s="1"/>
  <c r="D450" i="6"/>
  <c r="H1316" i="6"/>
  <c r="Y1316" i="6" s="1"/>
  <c r="H1315" i="6"/>
  <c r="D1315" i="6"/>
  <c r="D1288" i="6"/>
  <c r="H1288" i="6" s="1"/>
  <c r="Y1288" i="6" s="1"/>
  <c r="Z1288" i="6" s="1"/>
  <c r="D1287" i="6"/>
  <c r="H1287" i="6" s="1"/>
  <c r="Y1287" i="6" s="1"/>
  <c r="H391" i="6"/>
  <c r="D737" i="6"/>
  <c r="H737" i="6" s="1"/>
  <c r="Y737" i="6" s="1"/>
  <c r="Z737" i="6" s="1"/>
  <c r="D571" i="6"/>
  <c r="H571" i="6" s="1"/>
  <c r="Y571" i="6" s="1"/>
  <c r="D391" i="6"/>
  <c r="D212" i="6"/>
  <c r="H212" i="6" s="1"/>
  <c r="Y212" i="6" s="1"/>
  <c r="Z212" i="6" s="1"/>
  <c r="D1565" i="6"/>
  <c r="H1565" i="6"/>
  <c r="H1472" i="6"/>
  <c r="Y1472" i="6" s="1"/>
  <c r="H1372" i="6"/>
  <c r="Y1372" i="6" s="1"/>
  <c r="D1372" i="6"/>
  <c r="H795" i="6"/>
  <c r="Y795" i="6" s="1"/>
  <c r="D795" i="6"/>
  <c r="Y532" i="6"/>
  <c r="Y335" i="6"/>
  <c r="H272" i="6"/>
  <c r="H695" i="6"/>
  <c r="Y695" i="6" s="1"/>
  <c r="D695" i="6"/>
  <c r="H667" i="6"/>
  <c r="Y667" i="6" s="1"/>
  <c r="D667" i="6"/>
  <c r="H654" i="6"/>
  <c r="Y654" i="6" s="1"/>
  <c r="D654" i="6"/>
  <c r="H643" i="6"/>
  <c r="D643" i="6"/>
  <c r="D947" i="6"/>
  <c r="H1512" i="6"/>
  <c r="Y1512" i="6" s="1"/>
  <c r="Z1512" i="6" s="1"/>
  <c r="D1512" i="6"/>
  <c r="H1300" i="6"/>
  <c r="Y1300" i="6" s="1"/>
  <c r="H172" i="6"/>
  <c r="Y172" i="6" s="1"/>
  <c r="D172" i="6"/>
  <c r="Z172" i="6" s="1"/>
  <c r="H1406" i="6"/>
  <c r="Y1406" i="6" s="1"/>
  <c r="D1406" i="6"/>
  <c r="H1186" i="6"/>
  <c r="Y1186" i="6" s="1"/>
  <c r="D1186" i="6"/>
  <c r="H809" i="6"/>
  <c r="H641" i="6"/>
  <c r="Y641" i="6" s="1"/>
  <c r="D641" i="6"/>
  <c r="H491" i="6"/>
  <c r="H371" i="6"/>
  <c r="Y371" i="6" s="1"/>
  <c r="H262" i="6"/>
  <c r="D262" i="6"/>
  <c r="H177" i="6"/>
  <c r="Y177" i="6" s="1"/>
  <c r="Z177" i="6" s="1"/>
  <c r="D177" i="6"/>
  <c r="D809" i="6"/>
  <c r="Y275" i="6"/>
  <c r="D275" i="6"/>
  <c r="H1249" i="6"/>
  <c r="Y1249" i="6" s="1"/>
  <c r="H904" i="6"/>
  <c r="Y904" i="6" s="1"/>
  <c r="H492" i="6"/>
  <c r="Y492" i="6" s="1"/>
  <c r="D492" i="6"/>
  <c r="H147" i="6"/>
  <c r="Y147" i="6" s="1"/>
  <c r="R1565" i="6"/>
  <c r="R1402" i="6"/>
  <c r="Y1402" i="6" s="1"/>
  <c r="H1405" i="6"/>
  <c r="Y1405" i="6" s="1"/>
  <c r="D1405" i="6"/>
  <c r="R1404" i="6"/>
  <c r="Y1404" i="6" s="1"/>
  <c r="D1404" i="6"/>
  <c r="H1268" i="6"/>
  <c r="Y1268" i="6" s="1"/>
  <c r="D1268" i="6"/>
  <c r="Y1578" i="6"/>
  <c r="H1455" i="6"/>
  <c r="H1346" i="6"/>
  <c r="Y1346" i="6" s="1"/>
  <c r="D1346" i="6"/>
  <c r="H1345" i="6"/>
  <c r="Y1345" i="6" s="1"/>
  <c r="D1345" i="6"/>
  <c r="H1025" i="6"/>
  <c r="Y1025" i="6" s="1"/>
  <c r="D1025" i="6"/>
  <c r="H947" i="6"/>
  <c r="Y947" i="6" s="1"/>
  <c r="H715" i="6"/>
  <c r="Y715" i="6" s="1"/>
  <c r="D715" i="6"/>
  <c r="H611" i="6"/>
  <c r="H215" i="6"/>
  <c r="Y215" i="6" s="1"/>
  <c r="D215" i="6"/>
  <c r="D1461" i="6"/>
  <c r="D1455" i="6"/>
  <c r="H1304" i="6"/>
  <c r="Y1304" i="6" s="1"/>
  <c r="D1304" i="6"/>
  <c r="Y1054" i="6"/>
  <c r="H214" i="6"/>
  <c r="Y214" i="6" s="1"/>
  <c r="D214" i="6"/>
  <c r="H62" i="6"/>
  <c r="Y62" i="6" s="1"/>
  <c r="D62" i="6"/>
  <c r="H39" i="6"/>
  <c r="Y39" i="6" s="1"/>
  <c r="D39" i="6"/>
  <c r="R1358" i="6"/>
  <c r="Y1358" i="6" s="1"/>
  <c r="R1357" i="6"/>
  <c r="Y1357" i="6" s="1"/>
  <c r="H1286" i="6"/>
  <c r="Y1286" i="6" s="1"/>
  <c r="D1286" i="6"/>
  <c r="H1285" i="6"/>
  <c r="Y1285" i="6" s="1"/>
  <c r="D1285" i="6"/>
  <c r="H1272" i="6"/>
  <c r="Y1272" i="6" s="1"/>
  <c r="D1272" i="6"/>
  <c r="H1225" i="6"/>
  <c r="Y1225" i="6" s="1"/>
  <c r="D1225" i="6"/>
  <c r="H303" i="6"/>
  <c r="Y303" i="6" s="1"/>
  <c r="D147" i="6"/>
  <c r="H138" i="6"/>
  <c r="Y138" i="6" s="1"/>
  <c r="D138" i="6"/>
  <c r="H69" i="6"/>
  <c r="Y69" i="6" s="1"/>
  <c r="D494" i="6"/>
  <c r="H494" i="6"/>
  <c r="Y494" i="6" s="1"/>
  <c r="H197" i="6"/>
  <c r="Y197" i="6" s="1"/>
  <c r="D197" i="6"/>
  <c r="H186" i="6"/>
  <c r="Y186" i="6" s="1"/>
  <c r="D69" i="6"/>
  <c r="O7" i="3"/>
  <c r="AE7" i="3" s="1"/>
  <c r="AJ7" i="3"/>
  <c r="D12" i="3"/>
  <c r="H12" i="3"/>
  <c r="R12" i="3"/>
  <c r="H13" i="3"/>
  <c r="N13" i="3"/>
  <c r="R13" i="3"/>
  <c r="X13" i="3" s="1"/>
  <c r="H14" i="3"/>
  <c r="N14" i="3"/>
  <c r="R14" i="3"/>
  <c r="H15" i="3"/>
  <c r="N15" i="3" s="1"/>
  <c r="R15" i="3"/>
  <c r="H16" i="3"/>
  <c r="N16" i="3"/>
  <c r="R16" i="3"/>
  <c r="Y16" i="3" s="1"/>
  <c r="Z16" i="3" s="1"/>
  <c r="E18" i="3"/>
  <c r="F18" i="3"/>
  <c r="I18" i="3"/>
  <c r="J18" i="3"/>
  <c r="K18" i="3"/>
  <c r="L18" i="3"/>
  <c r="AH66" i="3"/>
  <c r="O18" i="3"/>
  <c r="P18" i="3"/>
  <c r="AK66" i="3" s="1"/>
  <c r="S18" i="3"/>
  <c r="T18" i="3"/>
  <c r="U18" i="3"/>
  <c r="V18" i="3"/>
  <c r="AM66" i="3" s="1"/>
  <c r="B19" i="3"/>
  <c r="D20" i="3"/>
  <c r="O20" i="3"/>
  <c r="R20" i="3" s="1"/>
  <c r="D21" i="3"/>
  <c r="D26" i="3" s="1"/>
  <c r="H21" i="3"/>
  <c r="N21" i="3"/>
  <c r="R21" i="3"/>
  <c r="H22" i="3"/>
  <c r="N22" i="3" s="1"/>
  <c r="R22" i="3"/>
  <c r="X22" i="3"/>
  <c r="Y22" i="3"/>
  <c r="H23" i="3"/>
  <c r="N23" i="3" s="1"/>
  <c r="R23" i="3"/>
  <c r="X23" i="3" s="1"/>
  <c r="H24" i="3"/>
  <c r="R24" i="3"/>
  <c r="X24" i="3" s="1"/>
  <c r="E26" i="3"/>
  <c r="F26" i="3"/>
  <c r="I26" i="3"/>
  <c r="J26" i="3"/>
  <c r="K26" i="3"/>
  <c r="L26" i="3"/>
  <c r="AH65" i="3" s="1"/>
  <c r="O26" i="3"/>
  <c r="P26" i="3"/>
  <c r="S26" i="3"/>
  <c r="T26" i="3"/>
  <c r="U26" i="3"/>
  <c r="V26" i="3"/>
  <c r="AM65" i="3" s="1"/>
  <c r="D29" i="3"/>
  <c r="H29" i="3"/>
  <c r="N29" i="3" s="1"/>
  <c r="R29" i="3"/>
  <c r="X29" i="3"/>
  <c r="D30" i="3"/>
  <c r="H30" i="3"/>
  <c r="R30" i="3"/>
  <c r="H31" i="3"/>
  <c r="N31" i="3" s="1"/>
  <c r="R31" i="3"/>
  <c r="H32" i="3"/>
  <c r="N32" i="3" s="1"/>
  <c r="R32" i="3"/>
  <c r="H33" i="3"/>
  <c r="N33" i="3" s="1"/>
  <c r="R33" i="3"/>
  <c r="H34" i="3"/>
  <c r="N34" i="3"/>
  <c r="R34" i="3"/>
  <c r="H35" i="3"/>
  <c r="N35" i="3" s="1"/>
  <c r="R35" i="3"/>
  <c r="E37" i="3"/>
  <c r="F37" i="3"/>
  <c r="I37" i="3"/>
  <c r="J37" i="3"/>
  <c r="K37" i="3"/>
  <c r="L37" i="3"/>
  <c r="O37" i="3"/>
  <c r="P37" i="3"/>
  <c r="S37" i="3"/>
  <c r="T37" i="3"/>
  <c r="U37" i="3"/>
  <c r="V37" i="3"/>
  <c r="D39" i="3"/>
  <c r="O39" i="3"/>
  <c r="R39" i="3" s="1"/>
  <c r="H40" i="3"/>
  <c r="N40" i="3" s="1"/>
  <c r="R40" i="3"/>
  <c r="H41" i="3"/>
  <c r="N41" i="3" s="1"/>
  <c r="R41" i="3"/>
  <c r="H42" i="3"/>
  <c r="N42" i="3"/>
  <c r="R42" i="3"/>
  <c r="D44" i="3"/>
  <c r="E44" i="3"/>
  <c r="F44" i="3"/>
  <c r="I44" i="3"/>
  <c r="J44" i="3"/>
  <c r="K44" i="3"/>
  <c r="L44" i="3"/>
  <c r="AH64" i="3" s="1"/>
  <c r="O44" i="3"/>
  <c r="P44" i="3"/>
  <c r="S44" i="3"/>
  <c r="T44" i="3"/>
  <c r="U44" i="3"/>
  <c r="V44" i="3"/>
  <c r="D47" i="3"/>
  <c r="H47" i="3"/>
  <c r="N47" i="3" s="1"/>
  <c r="O47" i="3"/>
  <c r="R47" i="3"/>
  <c r="S47" i="3"/>
  <c r="T47" i="3"/>
  <c r="T56" i="3" s="1"/>
  <c r="H48" i="3"/>
  <c r="N48" i="3"/>
  <c r="R48" i="3"/>
  <c r="X48" i="3" s="1"/>
  <c r="H49" i="3"/>
  <c r="N49" i="3"/>
  <c r="R49" i="3"/>
  <c r="H50" i="3"/>
  <c r="R50" i="3"/>
  <c r="X50" i="3" s="1"/>
  <c r="H51" i="3"/>
  <c r="N51" i="3" s="1"/>
  <c r="R51" i="3"/>
  <c r="X51" i="3" s="1"/>
  <c r="D52" i="3"/>
  <c r="E52" i="3"/>
  <c r="AE58" i="3"/>
  <c r="O52" i="3"/>
  <c r="R52" i="3" s="1"/>
  <c r="H53" i="3"/>
  <c r="N53" i="3"/>
  <c r="O53" i="3"/>
  <c r="S53" i="3"/>
  <c r="H54" i="3"/>
  <c r="N54" i="3"/>
  <c r="R54" i="3"/>
  <c r="F56" i="3"/>
  <c r="I56" i="3"/>
  <c r="J56" i="3"/>
  <c r="K56" i="3"/>
  <c r="L56" i="3"/>
  <c r="P56" i="3"/>
  <c r="U56" i="3"/>
  <c r="V56" i="3"/>
  <c r="AD57" i="3"/>
  <c r="AE57" i="3"/>
  <c r="AF57" i="3"/>
  <c r="AH57" i="3"/>
  <c r="AJ57" i="3"/>
  <c r="AK57" i="3"/>
  <c r="AM57" i="3"/>
  <c r="AF58" i="3"/>
  <c r="AH58" i="3"/>
  <c r="AK58" i="3"/>
  <c r="AM58" i="3"/>
  <c r="D59" i="3"/>
  <c r="H59" i="3"/>
  <c r="N59" i="3"/>
  <c r="R59" i="3"/>
  <c r="AE59" i="3"/>
  <c r="AF59" i="3"/>
  <c r="AH59" i="3"/>
  <c r="AJ59" i="3"/>
  <c r="AL59" i="3" s="1"/>
  <c r="AK59" i="3"/>
  <c r="AM59" i="3"/>
  <c r="H60" i="3"/>
  <c r="Y60" i="3" s="1"/>
  <c r="R60" i="3"/>
  <c r="X60" i="3"/>
  <c r="Z60" i="3"/>
  <c r="H61" i="3"/>
  <c r="R61" i="3"/>
  <c r="X61" i="3" s="1"/>
  <c r="AD61" i="3"/>
  <c r="AE61" i="3"/>
  <c r="AF61" i="3"/>
  <c r="AH61" i="3"/>
  <c r="AJ61" i="3"/>
  <c r="AK61" i="3"/>
  <c r="AL61" i="3" s="1"/>
  <c r="AN61" i="3" s="1"/>
  <c r="AM61" i="3"/>
  <c r="H62" i="3"/>
  <c r="N62" i="3" s="1"/>
  <c r="R62" i="3"/>
  <c r="AD62" i="3"/>
  <c r="AE62" i="3"/>
  <c r="AG62" i="3" s="1"/>
  <c r="AI62" i="3" s="1"/>
  <c r="AF62" i="3"/>
  <c r="AH62" i="3"/>
  <c r="AK62" i="3"/>
  <c r="AM62" i="3"/>
  <c r="H63" i="3"/>
  <c r="N63" i="3"/>
  <c r="O63" i="3"/>
  <c r="V63" i="3"/>
  <c r="V67" i="3"/>
  <c r="AD63" i="3"/>
  <c r="AE63" i="3"/>
  <c r="AF63" i="3"/>
  <c r="AH63" i="3"/>
  <c r="AJ63" i="3"/>
  <c r="AL63" i="3" s="1"/>
  <c r="AK63" i="3"/>
  <c r="AM63" i="3"/>
  <c r="H64" i="3"/>
  <c r="N64" i="3" s="1"/>
  <c r="R64" i="3"/>
  <c r="AD64" i="3"/>
  <c r="AE64" i="3"/>
  <c r="AF64" i="3"/>
  <c r="AJ64" i="3"/>
  <c r="AK64" i="3"/>
  <c r="AL64" i="3"/>
  <c r="AM64" i="3"/>
  <c r="H65" i="3"/>
  <c r="N65" i="3" s="1"/>
  <c r="R65" i="3"/>
  <c r="AD65" i="3"/>
  <c r="AE65" i="3"/>
  <c r="AG65" i="3" s="1"/>
  <c r="AF65" i="3"/>
  <c r="AJ65" i="3"/>
  <c r="AK65" i="3"/>
  <c r="AD66" i="3"/>
  <c r="AE66" i="3"/>
  <c r="AF66" i="3"/>
  <c r="AG66" i="3" s="1"/>
  <c r="AJ66" i="3"/>
  <c r="AL66" i="3" s="1"/>
  <c r="AN66" i="3" s="1"/>
  <c r="D67" i="3"/>
  <c r="E67" i="3"/>
  <c r="F67" i="3"/>
  <c r="I67" i="3"/>
  <c r="I69" i="3" s="1"/>
  <c r="J67" i="3"/>
  <c r="K67" i="3"/>
  <c r="L67" i="3"/>
  <c r="L69" i="3" s="1"/>
  <c r="P67" i="3"/>
  <c r="S67" i="3"/>
  <c r="T67" i="3"/>
  <c r="T69" i="3" s="1"/>
  <c r="U67" i="3"/>
  <c r="AD67" i="3"/>
  <c r="AE67" i="3"/>
  <c r="AG67" i="3"/>
  <c r="AF67" i="3"/>
  <c r="AH67" i="3"/>
  <c r="AJ67" i="3"/>
  <c r="AK67" i="3"/>
  <c r="AL67" i="3" s="1"/>
  <c r="AM67" i="3"/>
  <c r="AD68" i="3"/>
  <c r="AE68" i="3"/>
  <c r="AF68" i="3"/>
  <c r="AH68" i="3"/>
  <c r="AJ68" i="3"/>
  <c r="AL68" i="3"/>
  <c r="AK68" i="3"/>
  <c r="AM68" i="3"/>
  <c r="H76" i="3"/>
  <c r="N76" i="3" s="1"/>
  <c r="R76" i="3"/>
  <c r="D77" i="3"/>
  <c r="E77" i="3"/>
  <c r="H77" i="3" s="1"/>
  <c r="R77" i="3"/>
  <c r="X77" i="3"/>
  <c r="H78" i="3"/>
  <c r="N78" i="3" s="1"/>
  <c r="AA78" i="3" s="1"/>
  <c r="R78" i="3"/>
  <c r="X78" i="3" s="1"/>
  <c r="D79" i="3"/>
  <c r="H79" i="3"/>
  <c r="N79" i="3"/>
  <c r="R79" i="3"/>
  <c r="D80" i="3"/>
  <c r="AD111" i="3" s="1"/>
  <c r="H80" i="3"/>
  <c r="N80" i="3" s="1"/>
  <c r="O80" i="3"/>
  <c r="R80" i="3" s="1"/>
  <c r="X80" i="3"/>
  <c r="H81" i="3"/>
  <c r="N81" i="3" s="1"/>
  <c r="R81" i="3"/>
  <c r="X81" i="3"/>
  <c r="F83" i="3"/>
  <c r="I83" i="3"/>
  <c r="J83" i="3"/>
  <c r="K83" i="3"/>
  <c r="L83" i="3"/>
  <c r="O83" i="3"/>
  <c r="P83" i="3"/>
  <c r="S83" i="3"/>
  <c r="T83" i="3"/>
  <c r="U83" i="3"/>
  <c r="V83" i="3"/>
  <c r="H86" i="3"/>
  <c r="R86" i="3"/>
  <c r="X86" i="3"/>
  <c r="H87" i="3"/>
  <c r="N87" i="3" s="1"/>
  <c r="R87" i="3"/>
  <c r="X87" i="3" s="1"/>
  <c r="AB87" i="3"/>
  <c r="H88" i="3"/>
  <c r="N88" i="3" s="1"/>
  <c r="R88" i="3"/>
  <c r="X88" i="3"/>
  <c r="Y88" i="3"/>
  <c r="Z88" i="3" s="1"/>
  <c r="D89" i="3"/>
  <c r="H89" i="3"/>
  <c r="N89" i="3" s="1"/>
  <c r="R89" i="3"/>
  <c r="D90" i="3"/>
  <c r="H90" i="3"/>
  <c r="N90" i="3" s="1"/>
  <c r="O90" i="3"/>
  <c r="O93" i="3" s="1"/>
  <c r="H91" i="3"/>
  <c r="N91" i="3" s="1"/>
  <c r="R91" i="3"/>
  <c r="X91" i="3"/>
  <c r="Y91" i="3"/>
  <c r="Z91" i="3" s="1"/>
  <c r="D93" i="3"/>
  <c r="E93" i="3"/>
  <c r="F93" i="3"/>
  <c r="I93" i="3"/>
  <c r="J93" i="3"/>
  <c r="K93" i="3"/>
  <c r="L93" i="3"/>
  <c r="AH117" i="3" s="1"/>
  <c r="P93" i="3"/>
  <c r="S93" i="3"/>
  <c r="T93" i="3"/>
  <c r="U93" i="3"/>
  <c r="V93" i="3"/>
  <c r="D96" i="3"/>
  <c r="AD108" i="3" s="1"/>
  <c r="H96" i="3"/>
  <c r="L96" i="3"/>
  <c r="R96" i="3"/>
  <c r="S96" i="3"/>
  <c r="H97" i="3"/>
  <c r="R97" i="3"/>
  <c r="X97" i="3"/>
  <c r="H98" i="3"/>
  <c r="L98" i="3"/>
  <c r="R98" i="3"/>
  <c r="S98" i="3"/>
  <c r="X98" i="3"/>
  <c r="H99" i="3"/>
  <c r="L99" i="3"/>
  <c r="R99" i="3"/>
  <c r="E101" i="3"/>
  <c r="F101" i="3"/>
  <c r="I101" i="3"/>
  <c r="J101" i="3"/>
  <c r="K101" i="3"/>
  <c r="O101" i="3"/>
  <c r="P101" i="3"/>
  <c r="T101" i="3"/>
  <c r="U101" i="3"/>
  <c r="V101" i="3"/>
  <c r="H104" i="3"/>
  <c r="N104" i="3"/>
  <c r="R104" i="3"/>
  <c r="H105" i="3"/>
  <c r="N105" i="3" s="1"/>
  <c r="R105" i="3"/>
  <c r="H106" i="3"/>
  <c r="O106" i="3"/>
  <c r="R106" i="3"/>
  <c r="X106" i="3" s="1"/>
  <c r="AD107" i="3"/>
  <c r="AE107" i="3"/>
  <c r="AF107" i="3"/>
  <c r="AH107" i="3"/>
  <c r="AJ107" i="3"/>
  <c r="AK107" i="3"/>
  <c r="AM107" i="3"/>
  <c r="D108" i="3"/>
  <c r="E108" i="3"/>
  <c r="F108" i="3"/>
  <c r="I108" i="3"/>
  <c r="J108" i="3"/>
  <c r="K108" i="3"/>
  <c r="L108" i="3"/>
  <c r="AH111" i="3" s="1"/>
  <c r="O108" i="3"/>
  <c r="P108" i="3"/>
  <c r="S108" i="3"/>
  <c r="T108" i="3"/>
  <c r="U108" i="3"/>
  <c r="V108" i="3"/>
  <c r="W108" i="3"/>
  <c r="AE108" i="3"/>
  <c r="AF108" i="3"/>
  <c r="AG108" i="3" s="1"/>
  <c r="AH108" i="3"/>
  <c r="AJ108" i="3"/>
  <c r="AK108" i="3"/>
  <c r="AM108" i="3"/>
  <c r="AD109" i="3"/>
  <c r="AE109" i="3"/>
  <c r="AF109" i="3"/>
  <c r="AJ109" i="3"/>
  <c r="AK109" i="3"/>
  <c r="AM109" i="3"/>
  <c r="AE110" i="3"/>
  <c r="AF110" i="3"/>
  <c r="AG110" i="3" s="1"/>
  <c r="AH110" i="3"/>
  <c r="AJ110" i="3"/>
  <c r="AK110" i="3"/>
  <c r="AM110" i="3"/>
  <c r="H111" i="3"/>
  <c r="N111" i="3" s="1"/>
  <c r="R111" i="3"/>
  <c r="AE111" i="3"/>
  <c r="AF111" i="3"/>
  <c r="AG111" i="3" s="1"/>
  <c r="AK111" i="3"/>
  <c r="AM111" i="3"/>
  <c r="H112" i="3"/>
  <c r="N112" i="3" s="1"/>
  <c r="R112" i="3"/>
  <c r="X112" i="3" s="1"/>
  <c r="Y112" i="3"/>
  <c r="Z112" i="3" s="1"/>
  <c r="D113" i="3"/>
  <c r="AD113" i="3" s="1"/>
  <c r="E113" i="3"/>
  <c r="R113" i="3"/>
  <c r="X113" i="3" s="1"/>
  <c r="AF113" i="3"/>
  <c r="AH113" i="3"/>
  <c r="AJ113" i="3"/>
  <c r="AK113" i="3"/>
  <c r="AL113" i="3" s="1"/>
  <c r="AM113" i="3"/>
  <c r="D114" i="3"/>
  <c r="AD110" i="3" s="1"/>
  <c r="H114" i="3"/>
  <c r="N114" i="3"/>
  <c r="R114" i="3"/>
  <c r="AD114" i="3"/>
  <c r="AE114" i="3"/>
  <c r="AF114" i="3"/>
  <c r="AG114" i="3" s="1"/>
  <c r="AJ114" i="3"/>
  <c r="AK114" i="3"/>
  <c r="AM114" i="3"/>
  <c r="H115" i="3"/>
  <c r="R115" i="3"/>
  <c r="X115" i="3" s="1"/>
  <c r="AD115" i="3"/>
  <c r="AE115" i="3"/>
  <c r="AF115" i="3"/>
  <c r="AG115" i="3" s="1"/>
  <c r="AH115" i="3"/>
  <c r="AJ115" i="3"/>
  <c r="AK115" i="3"/>
  <c r="AL115" i="3" s="1"/>
  <c r="AM115" i="3"/>
  <c r="AD116" i="3"/>
  <c r="AE116" i="3"/>
  <c r="AF116" i="3"/>
  <c r="AG116" i="3" s="1"/>
  <c r="AJ116" i="3"/>
  <c r="AL116" i="3" s="1"/>
  <c r="AK116" i="3"/>
  <c r="AM116" i="3"/>
  <c r="F117" i="3"/>
  <c r="I117" i="3"/>
  <c r="J117" i="3"/>
  <c r="K117" i="3"/>
  <c r="L117" i="3"/>
  <c r="O117" i="3"/>
  <c r="P117" i="3"/>
  <c r="S117" i="3"/>
  <c r="T117" i="3"/>
  <c r="U117" i="3"/>
  <c r="V117" i="3"/>
  <c r="W117" i="3"/>
  <c r="AA117" i="3"/>
  <c r="AD117" i="3"/>
  <c r="AE117" i="3"/>
  <c r="AF117" i="3"/>
  <c r="AG117" i="3" s="1"/>
  <c r="AJ117" i="3"/>
  <c r="AK117" i="3"/>
  <c r="AL117" i="3" s="1"/>
  <c r="AM117" i="3"/>
  <c r="AD118" i="3"/>
  <c r="AE118" i="3"/>
  <c r="AG118" i="3" s="1"/>
  <c r="AF118" i="3"/>
  <c r="AH118" i="3"/>
  <c r="AJ118" i="3"/>
  <c r="AL118" i="3" s="1"/>
  <c r="AN118" i="3" s="1"/>
  <c r="AK118" i="3"/>
  <c r="AM118" i="3"/>
  <c r="V119" i="3"/>
  <c r="D124" i="3"/>
  <c r="H124" i="3"/>
  <c r="R124" i="3"/>
  <c r="X124" i="3" s="1"/>
  <c r="H125" i="3"/>
  <c r="N125" i="3" s="1"/>
  <c r="R125" i="3"/>
  <c r="X125" i="3" s="1"/>
  <c r="H126" i="3"/>
  <c r="N126" i="3" s="1"/>
  <c r="R126" i="3"/>
  <c r="D127" i="3"/>
  <c r="H127" i="3"/>
  <c r="N127" i="3" s="1"/>
  <c r="R127" i="3"/>
  <c r="H128" i="3"/>
  <c r="R128" i="3"/>
  <c r="H129" i="3"/>
  <c r="R129" i="3"/>
  <c r="X129" i="3" s="1"/>
  <c r="E131" i="3"/>
  <c r="F131" i="3"/>
  <c r="I131" i="3"/>
  <c r="J131" i="3"/>
  <c r="K131" i="3"/>
  <c r="L131" i="3"/>
  <c r="O131" i="3"/>
  <c r="P131" i="3"/>
  <c r="S131" i="3"/>
  <c r="T131" i="3"/>
  <c r="U131" i="3"/>
  <c r="V131" i="3"/>
  <c r="AA131" i="3"/>
  <c r="D134" i="3"/>
  <c r="H134" i="3"/>
  <c r="N134" i="3" s="1"/>
  <c r="R134" i="3"/>
  <c r="H135" i="3"/>
  <c r="R135" i="3"/>
  <c r="X135" i="3" s="1"/>
  <c r="H136" i="3"/>
  <c r="R136" i="3"/>
  <c r="H137" i="3"/>
  <c r="N137" i="3" s="1"/>
  <c r="R137" i="3"/>
  <c r="H138" i="3"/>
  <c r="R138" i="3"/>
  <c r="X138" i="3" s="1"/>
  <c r="H139" i="3"/>
  <c r="N139" i="3" s="1"/>
  <c r="R139" i="3"/>
  <c r="E141" i="3"/>
  <c r="F141" i="3"/>
  <c r="I141" i="3"/>
  <c r="J141" i="3"/>
  <c r="K141" i="3"/>
  <c r="L141" i="3"/>
  <c r="O141" i="3"/>
  <c r="P141" i="3"/>
  <c r="S141" i="3"/>
  <c r="T141" i="3"/>
  <c r="U141" i="3"/>
  <c r="V141" i="3"/>
  <c r="AA141" i="3"/>
  <c r="D143" i="3"/>
  <c r="O143" i="3"/>
  <c r="R143" i="3" s="1"/>
  <c r="D144" i="3"/>
  <c r="H144" i="3"/>
  <c r="N144" i="3" s="1"/>
  <c r="O144" i="3"/>
  <c r="R144" i="3" s="1"/>
  <c r="Y144" i="3" s="1"/>
  <c r="H145" i="3"/>
  <c r="R145" i="3"/>
  <c r="X145" i="3" s="1"/>
  <c r="D146" i="3"/>
  <c r="H146" i="3"/>
  <c r="N146" i="3" s="1"/>
  <c r="R146" i="3"/>
  <c r="X146" i="3" s="1"/>
  <c r="H147" i="3"/>
  <c r="N147" i="3" s="1"/>
  <c r="R147" i="3"/>
  <c r="H148" i="3"/>
  <c r="N148" i="3" s="1"/>
  <c r="R148" i="3"/>
  <c r="Y148" i="3"/>
  <c r="Z148" i="3" s="1"/>
  <c r="D149" i="3"/>
  <c r="E149" i="3"/>
  <c r="H149" i="3"/>
  <c r="N149" i="3" s="1"/>
  <c r="R149" i="3"/>
  <c r="H150" i="3"/>
  <c r="N150" i="3" s="1"/>
  <c r="O150" i="3"/>
  <c r="R150" i="3" s="1"/>
  <c r="O153" i="3"/>
  <c r="H151" i="3"/>
  <c r="N151" i="3" s="1"/>
  <c r="R151" i="3"/>
  <c r="E153" i="3"/>
  <c r="F153" i="3"/>
  <c r="I153" i="3"/>
  <c r="J153" i="3"/>
  <c r="K153" i="3"/>
  <c r="L153" i="3"/>
  <c r="P153" i="3"/>
  <c r="S153" i="3"/>
  <c r="T153" i="3"/>
  <c r="U153" i="3"/>
  <c r="V153" i="3"/>
  <c r="AA153" i="3"/>
  <c r="H156" i="3"/>
  <c r="R156" i="3"/>
  <c r="X156" i="3"/>
  <c r="H157" i="3"/>
  <c r="N157" i="3"/>
  <c r="R157" i="3"/>
  <c r="H158" i="3"/>
  <c r="N158" i="3" s="1"/>
  <c r="R158" i="3"/>
  <c r="X158" i="3" s="1"/>
  <c r="D159" i="3"/>
  <c r="D162" i="3" s="1"/>
  <c r="H159" i="3"/>
  <c r="R159" i="3"/>
  <c r="X159" i="3" s="1"/>
  <c r="H160" i="3"/>
  <c r="R160" i="3"/>
  <c r="E162" i="3"/>
  <c r="F162" i="3"/>
  <c r="I162" i="3"/>
  <c r="J162" i="3"/>
  <c r="K162" i="3"/>
  <c r="L162" i="3"/>
  <c r="O162" i="3"/>
  <c r="P162" i="3"/>
  <c r="R162" i="3"/>
  <c r="S162" i="3"/>
  <c r="T162" i="3"/>
  <c r="U162" i="3"/>
  <c r="V162" i="3"/>
  <c r="AA162" i="3"/>
  <c r="H165" i="3"/>
  <c r="N165" i="3" s="1"/>
  <c r="R165" i="3"/>
  <c r="H166" i="3"/>
  <c r="N166" i="3" s="1"/>
  <c r="R166" i="3"/>
  <c r="H167" i="3"/>
  <c r="R167" i="3"/>
  <c r="X167" i="3" s="1"/>
  <c r="D168" i="3"/>
  <c r="H168" i="3"/>
  <c r="N168" i="3" s="1"/>
  <c r="O168" i="3"/>
  <c r="H169" i="3"/>
  <c r="N169" i="3" s="1"/>
  <c r="O169" i="3"/>
  <c r="R169" i="3" s="1"/>
  <c r="X169" i="3"/>
  <c r="H170" i="3"/>
  <c r="N170" i="3" s="1"/>
  <c r="R170" i="3"/>
  <c r="X170" i="3" s="1"/>
  <c r="E172" i="3"/>
  <c r="F172" i="3"/>
  <c r="I172" i="3"/>
  <c r="J172" i="3"/>
  <c r="K172" i="3"/>
  <c r="L172" i="3"/>
  <c r="O172" i="3"/>
  <c r="P172" i="3"/>
  <c r="S172" i="3"/>
  <c r="T172" i="3"/>
  <c r="U172" i="3"/>
  <c r="V172" i="3"/>
  <c r="AA172" i="3"/>
  <c r="D175" i="3"/>
  <c r="H175" i="3"/>
  <c r="R175" i="3"/>
  <c r="X175" i="3" s="1"/>
  <c r="D176" i="3"/>
  <c r="AD186" i="3" s="1"/>
  <c r="H176" i="3"/>
  <c r="N176" i="3" s="1"/>
  <c r="R176" i="3"/>
  <c r="X176" i="3" s="1"/>
  <c r="H177" i="3"/>
  <c r="N177" i="3"/>
  <c r="R177" i="3"/>
  <c r="X177" i="3" s="1"/>
  <c r="Y177" i="3"/>
  <c r="Z177" i="3"/>
  <c r="H178" i="3"/>
  <c r="N178" i="3" s="1"/>
  <c r="O178" i="3"/>
  <c r="O181" i="3" s="1"/>
  <c r="R178" i="3"/>
  <c r="AD178" i="3"/>
  <c r="AE178" i="3"/>
  <c r="AF178" i="3"/>
  <c r="AH178" i="3"/>
  <c r="AJ178" i="3"/>
  <c r="AK178" i="3"/>
  <c r="AM178" i="3"/>
  <c r="H179" i="3"/>
  <c r="R179" i="3"/>
  <c r="X179" i="3"/>
  <c r="AE179" i="3"/>
  <c r="AF179" i="3"/>
  <c r="AG179" i="3"/>
  <c r="AH179" i="3"/>
  <c r="AJ179" i="3"/>
  <c r="AK179" i="3"/>
  <c r="AM179" i="3"/>
  <c r="AD180" i="3"/>
  <c r="AE180" i="3"/>
  <c r="AF180" i="3"/>
  <c r="AH180" i="3"/>
  <c r="AJ180" i="3"/>
  <c r="AL180" i="3" s="1"/>
  <c r="AN180" i="3" s="1"/>
  <c r="AK180" i="3"/>
  <c r="AM180" i="3"/>
  <c r="E181" i="3"/>
  <c r="F181" i="3"/>
  <c r="I181" i="3"/>
  <c r="J181" i="3"/>
  <c r="K181" i="3"/>
  <c r="L181" i="3"/>
  <c r="P181" i="3"/>
  <c r="S181" i="3"/>
  <c r="T181" i="3"/>
  <c r="U181" i="3"/>
  <c r="V181" i="3"/>
  <c r="AA181" i="3"/>
  <c r="AE181" i="3"/>
  <c r="AF181" i="3"/>
  <c r="AG181" i="3"/>
  <c r="AH181" i="3"/>
  <c r="AJ181" i="3"/>
  <c r="AK181" i="3"/>
  <c r="AM181" i="3"/>
  <c r="AD182" i="3"/>
  <c r="AE182" i="3"/>
  <c r="AG182" i="3" s="1"/>
  <c r="AF182" i="3"/>
  <c r="AH182" i="3"/>
  <c r="AJ182" i="3"/>
  <c r="AL182" i="3" s="1"/>
  <c r="AK182" i="3"/>
  <c r="AM182" i="3"/>
  <c r="AE183" i="3"/>
  <c r="AF183" i="3"/>
  <c r="AH183" i="3"/>
  <c r="AK183" i="3"/>
  <c r="AM183" i="3"/>
  <c r="H184" i="3"/>
  <c r="R184" i="3"/>
  <c r="X184" i="3"/>
  <c r="AD184" i="3"/>
  <c r="AE184" i="3"/>
  <c r="AF184" i="3"/>
  <c r="AH184" i="3"/>
  <c r="AJ184" i="3"/>
  <c r="AL184" i="3" s="1"/>
  <c r="AK184" i="3"/>
  <c r="AM184" i="3"/>
  <c r="H185" i="3"/>
  <c r="R185" i="3"/>
  <c r="X185" i="3"/>
  <c r="AD185" i="3"/>
  <c r="AE185" i="3"/>
  <c r="AF185" i="3"/>
  <c r="AG185" i="3" s="1"/>
  <c r="AH185" i="3"/>
  <c r="AJ185" i="3"/>
  <c r="AK185" i="3"/>
  <c r="AM185" i="3"/>
  <c r="AE186" i="3"/>
  <c r="AG186" i="3" s="1"/>
  <c r="AF186" i="3"/>
  <c r="AH186" i="3"/>
  <c r="AJ186" i="3"/>
  <c r="AK186" i="3"/>
  <c r="AM186" i="3"/>
  <c r="D187" i="3"/>
  <c r="E187" i="3"/>
  <c r="F187" i="3"/>
  <c r="I187" i="3"/>
  <c r="J187" i="3"/>
  <c r="K187" i="3"/>
  <c r="L187" i="3"/>
  <c r="O187" i="3"/>
  <c r="P187" i="3"/>
  <c r="R187" i="3"/>
  <c r="S187" i="3"/>
  <c r="T187" i="3"/>
  <c r="U187" i="3"/>
  <c r="V187" i="3"/>
  <c r="AA187" i="3"/>
  <c r="AD187" i="3"/>
  <c r="AE187" i="3"/>
  <c r="AF187" i="3"/>
  <c r="AG187" i="3" s="1"/>
  <c r="AH187" i="3"/>
  <c r="AJ187" i="3"/>
  <c r="AK187" i="3"/>
  <c r="AM187" i="3"/>
  <c r="AD188" i="3"/>
  <c r="AE188" i="3"/>
  <c r="AF188" i="3"/>
  <c r="AG188" i="3" s="1"/>
  <c r="AH188" i="3"/>
  <c r="AJ188" i="3"/>
  <c r="AK188" i="3"/>
  <c r="AL188" i="3" s="1"/>
  <c r="AM188" i="3"/>
  <c r="D195" i="3"/>
  <c r="H195" i="3"/>
  <c r="N195" i="3" s="1"/>
  <c r="O195" i="3"/>
  <c r="O202" i="3" s="1"/>
  <c r="H196" i="3"/>
  <c r="N196" i="3" s="1"/>
  <c r="R196" i="3"/>
  <c r="X196" i="3"/>
  <c r="H197" i="3"/>
  <c r="Y197" i="3"/>
  <c r="Z197" i="3" s="1"/>
  <c r="N197" i="3"/>
  <c r="R197" i="3"/>
  <c r="X197" i="3" s="1"/>
  <c r="H198" i="3"/>
  <c r="N198" i="3" s="1"/>
  <c r="Y198" i="3"/>
  <c r="Z198" i="3" s="1"/>
  <c r="R198" i="3"/>
  <c r="X198" i="3"/>
  <c r="H199" i="3"/>
  <c r="R199" i="3"/>
  <c r="X199" i="3" s="1"/>
  <c r="H200" i="3"/>
  <c r="N200" i="3" s="1"/>
  <c r="R200" i="3"/>
  <c r="X200" i="3" s="1"/>
  <c r="D202" i="3"/>
  <c r="E202" i="3"/>
  <c r="F202" i="3"/>
  <c r="I202" i="3"/>
  <c r="J202" i="3"/>
  <c r="K202" i="3"/>
  <c r="L202" i="3"/>
  <c r="P202" i="3"/>
  <c r="S202" i="3"/>
  <c r="T202" i="3"/>
  <c r="U202" i="3"/>
  <c r="V202" i="3"/>
  <c r="H205" i="3"/>
  <c r="O205" i="3"/>
  <c r="R205" i="3" s="1"/>
  <c r="X205" i="3" s="1"/>
  <c r="H206" i="3"/>
  <c r="N206" i="3"/>
  <c r="AB206" i="3" s="1"/>
  <c r="R206" i="3"/>
  <c r="Y206" i="3" s="1"/>
  <c r="Z206" i="3" s="1"/>
  <c r="X206" i="3"/>
  <c r="D207" i="3"/>
  <c r="E207" i="3"/>
  <c r="H207" i="3" s="1"/>
  <c r="R207" i="3"/>
  <c r="X207" i="3"/>
  <c r="H208" i="3"/>
  <c r="N208" i="3" s="1"/>
  <c r="R208" i="3"/>
  <c r="Y208" i="3" s="1"/>
  <c r="Z208" i="3" s="1"/>
  <c r="X208" i="3"/>
  <c r="H209" i="3"/>
  <c r="N209" i="3"/>
  <c r="O209" i="3"/>
  <c r="R209" i="3" s="1"/>
  <c r="D210" i="3"/>
  <c r="H210" i="3"/>
  <c r="N210" i="3" s="1"/>
  <c r="O210" i="3"/>
  <c r="R210" i="3" s="1"/>
  <c r="F212" i="3"/>
  <c r="I212" i="3"/>
  <c r="J212" i="3"/>
  <c r="K212" i="3"/>
  <c r="L212" i="3"/>
  <c r="O212" i="3"/>
  <c r="P212" i="3"/>
  <c r="S212" i="3"/>
  <c r="T212" i="3"/>
  <c r="U212" i="3"/>
  <c r="V212" i="3"/>
  <c r="R214" i="3"/>
  <c r="D215" i="3"/>
  <c r="H215" i="3"/>
  <c r="R215" i="3"/>
  <c r="X215" i="3" s="1"/>
  <c r="H216" i="3"/>
  <c r="N216" i="3" s="1"/>
  <c r="R216" i="3"/>
  <c r="H217" i="3"/>
  <c r="N217" i="3" s="1"/>
  <c r="R217" i="3"/>
  <c r="H218" i="3"/>
  <c r="N218" i="3"/>
  <c r="AB218" i="3" s="1"/>
  <c r="R218" i="3"/>
  <c r="Y218" i="3" s="1"/>
  <c r="Z218" i="3" s="1"/>
  <c r="X218" i="3"/>
  <c r="AA218" i="3"/>
  <c r="H219" i="3"/>
  <c r="N219" i="3" s="1"/>
  <c r="R219" i="3"/>
  <c r="Y219" i="3"/>
  <c r="Z219" i="3" s="1"/>
  <c r="H220" i="3"/>
  <c r="N220" i="3" s="1"/>
  <c r="R220" i="3"/>
  <c r="D221" i="3"/>
  <c r="H221" i="3"/>
  <c r="N221" i="3" s="1"/>
  <c r="R221" i="3"/>
  <c r="E223" i="3"/>
  <c r="F223" i="3"/>
  <c r="I223" i="3"/>
  <c r="J223" i="3"/>
  <c r="K223" i="3"/>
  <c r="L223" i="3"/>
  <c r="O223" i="3"/>
  <c r="P223" i="3"/>
  <c r="S223" i="3"/>
  <c r="T223" i="3"/>
  <c r="U223" i="3"/>
  <c r="V223" i="3"/>
  <c r="D226" i="3"/>
  <c r="E226" i="3"/>
  <c r="R226" i="3"/>
  <c r="H227" i="3"/>
  <c r="N227" i="3" s="1"/>
  <c r="R227" i="3"/>
  <c r="D228" i="3"/>
  <c r="E228" i="3"/>
  <c r="H228" i="3" s="1"/>
  <c r="N228" i="3" s="1"/>
  <c r="R228" i="3"/>
  <c r="X228" i="3"/>
  <c r="H229" i="3"/>
  <c r="N229" i="3" s="1"/>
  <c r="R229" i="3"/>
  <c r="X229" i="3" s="1"/>
  <c r="H230" i="3"/>
  <c r="N230" i="3" s="1"/>
  <c r="R230" i="3"/>
  <c r="X230" i="3"/>
  <c r="Y230" i="3"/>
  <c r="Z230" i="3" s="1"/>
  <c r="D231" i="3"/>
  <c r="H231" i="3"/>
  <c r="N231" i="3" s="1"/>
  <c r="O231" i="3"/>
  <c r="H232" i="3"/>
  <c r="N232" i="3" s="1"/>
  <c r="AA232" i="3" s="1"/>
  <c r="R232" i="3"/>
  <c r="X232" i="3" s="1"/>
  <c r="Y232" i="3"/>
  <c r="Z232" i="3" s="1"/>
  <c r="F234" i="3"/>
  <c r="I234" i="3"/>
  <c r="J234" i="3"/>
  <c r="K234" i="3"/>
  <c r="L234" i="3"/>
  <c r="P234" i="3"/>
  <c r="S234" i="3"/>
  <c r="T234" i="3"/>
  <c r="U234" i="3"/>
  <c r="V234" i="3"/>
  <c r="D237" i="3"/>
  <c r="AD309" i="3" s="1"/>
  <c r="H237" i="3"/>
  <c r="N237" i="3" s="1"/>
  <c r="O237" i="3"/>
  <c r="R237" i="3" s="1"/>
  <c r="D238" i="3"/>
  <c r="H238" i="3"/>
  <c r="N238" i="3" s="1"/>
  <c r="R238" i="3"/>
  <c r="X238" i="3" s="1"/>
  <c r="H239" i="3"/>
  <c r="N239" i="3" s="1"/>
  <c r="R239" i="3"/>
  <c r="Y239" i="3" s="1"/>
  <c r="Z239" i="3" s="1"/>
  <c r="H240" i="3"/>
  <c r="N240" i="3" s="1"/>
  <c r="R240" i="3"/>
  <c r="D241" i="3"/>
  <c r="H241" i="3"/>
  <c r="N241" i="3" s="1"/>
  <c r="O241" i="3"/>
  <c r="H242" i="3"/>
  <c r="N242" i="3" s="1"/>
  <c r="R242" i="3"/>
  <c r="X242" i="3" s="1"/>
  <c r="E244" i="3"/>
  <c r="F244" i="3"/>
  <c r="I244" i="3"/>
  <c r="J244" i="3"/>
  <c r="K244" i="3"/>
  <c r="L244" i="3"/>
  <c r="O244" i="3"/>
  <c r="P244" i="3"/>
  <c r="S244" i="3"/>
  <c r="T244" i="3"/>
  <c r="U244" i="3"/>
  <c r="V244" i="3"/>
  <c r="H248" i="3"/>
  <c r="R248" i="3"/>
  <c r="X248" i="3" s="1"/>
  <c r="H249" i="3"/>
  <c r="N249" i="3"/>
  <c r="R249" i="3"/>
  <c r="H250" i="3"/>
  <c r="N250" i="3"/>
  <c r="R250" i="3"/>
  <c r="D252" i="3"/>
  <c r="E252" i="3"/>
  <c r="F252" i="3"/>
  <c r="G252" i="3"/>
  <c r="I252" i="3"/>
  <c r="J252" i="3"/>
  <c r="K252" i="3"/>
  <c r="L252" i="3"/>
  <c r="M252" i="3"/>
  <c r="O252" i="3"/>
  <c r="P252" i="3"/>
  <c r="S252" i="3"/>
  <c r="T252" i="3"/>
  <c r="U252" i="3"/>
  <c r="V252" i="3"/>
  <c r="W252" i="3"/>
  <c r="C255" i="3"/>
  <c r="D255" i="3"/>
  <c r="D260" i="3" s="1"/>
  <c r="H255" i="3"/>
  <c r="N255" i="3" s="1"/>
  <c r="O255" i="3"/>
  <c r="S255" i="3"/>
  <c r="S260" i="3" s="1"/>
  <c r="H256" i="3"/>
  <c r="R256" i="3"/>
  <c r="X256" i="3" s="1"/>
  <c r="H257" i="3"/>
  <c r="N257" i="3"/>
  <c r="AB257" i="3" s="1"/>
  <c r="R257" i="3"/>
  <c r="X257" i="3" s="1"/>
  <c r="Y257" i="3"/>
  <c r="Z257" i="3" s="1"/>
  <c r="H258" i="3"/>
  <c r="N258" i="3" s="1"/>
  <c r="R258" i="3"/>
  <c r="X258" i="3" s="1"/>
  <c r="E260" i="3"/>
  <c r="F260" i="3"/>
  <c r="I260" i="3"/>
  <c r="J260" i="3"/>
  <c r="K260" i="3"/>
  <c r="L260" i="3"/>
  <c r="P260" i="3"/>
  <c r="T260" i="3"/>
  <c r="U260" i="3"/>
  <c r="V260" i="3"/>
  <c r="D264" i="3"/>
  <c r="H264" i="3"/>
  <c r="N264" i="3" s="1"/>
  <c r="R264" i="3"/>
  <c r="H265" i="3"/>
  <c r="N265" i="3" s="1"/>
  <c r="R265" i="3"/>
  <c r="H266" i="3"/>
  <c r="N266" i="3" s="1"/>
  <c r="R266" i="3"/>
  <c r="D267" i="3"/>
  <c r="E267" i="3"/>
  <c r="H267" i="3" s="1"/>
  <c r="R267" i="3"/>
  <c r="X267" i="3" s="1"/>
  <c r="H268" i="3"/>
  <c r="N268" i="3" s="1"/>
  <c r="R268" i="3"/>
  <c r="X268" i="3"/>
  <c r="H269" i="3"/>
  <c r="N269" i="3" s="1"/>
  <c r="R269" i="3"/>
  <c r="X269" i="3" s="1"/>
  <c r="D270" i="3"/>
  <c r="H270" i="3"/>
  <c r="N270" i="3" s="1"/>
  <c r="O270" i="3"/>
  <c r="AJ319" i="3" s="1"/>
  <c r="AL319" i="3" s="1"/>
  <c r="AN319" i="3" s="1"/>
  <c r="D271" i="3"/>
  <c r="D274" i="3" s="1"/>
  <c r="H271" i="3"/>
  <c r="N271" i="3" s="1"/>
  <c r="R271" i="3"/>
  <c r="X271" i="3" s="1"/>
  <c r="Y271" i="3"/>
  <c r="Z271" i="3" s="1"/>
  <c r="H272" i="3"/>
  <c r="N272" i="3" s="1"/>
  <c r="R272" i="3"/>
  <c r="F274" i="3"/>
  <c r="I274" i="3"/>
  <c r="J274" i="3"/>
  <c r="K274" i="3"/>
  <c r="L274" i="3"/>
  <c r="P274" i="3"/>
  <c r="S274" i="3"/>
  <c r="T274" i="3"/>
  <c r="U274" i="3"/>
  <c r="V274" i="3"/>
  <c r="H277" i="3"/>
  <c r="R277" i="3"/>
  <c r="X277" i="3"/>
  <c r="H278" i="3"/>
  <c r="N278" i="3" s="1"/>
  <c r="AB278" i="3" s="1"/>
  <c r="R278" i="3"/>
  <c r="X278" i="3"/>
  <c r="Y278" i="3"/>
  <c r="Z278" i="3" s="1"/>
  <c r="H279" i="3"/>
  <c r="N279" i="3" s="1"/>
  <c r="R279" i="3"/>
  <c r="X279" i="3" s="1"/>
  <c r="H280" i="3"/>
  <c r="R280" i="3"/>
  <c r="X280" i="3" s="1"/>
  <c r="D282" i="3"/>
  <c r="E282" i="3"/>
  <c r="F282" i="3"/>
  <c r="I282" i="3"/>
  <c r="J282" i="3"/>
  <c r="K282" i="3"/>
  <c r="L282" i="3"/>
  <c r="O282" i="3"/>
  <c r="P282" i="3"/>
  <c r="S282" i="3"/>
  <c r="T282" i="3"/>
  <c r="U282" i="3"/>
  <c r="V282" i="3"/>
  <c r="H285" i="3"/>
  <c r="N285" i="3" s="1"/>
  <c r="R285" i="3"/>
  <c r="D286" i="3"/>
  <c r="E286" i="3"/>
  <c r="H286" i="3" s="1"/>
  <c r="R286" i="3"/>
  <c r="X286" i="3"/>
  <c r="H287" i="3"/>
  <c r="R287" i="3"/>
  <c r="X287" i="3" s="1"/>
  <c r="D288" i="3"/>
  <c r="H288" i="3"/>
  <c r="N288" i="3"/>
  <c r="O288" i="3"/>
  <c r="R288" i="3"/>
  <c r="H289" i="3"/>
  <c r="N289" i="3"/>
  <c r="R289" i="3"/>
  <c r="H290" i="3"/>
  <c r="N290" i="3" s="1"/>
  <c r="R290" i="3"/>
  <c r="C291" i="3"/>
  <c r="H291" i="3"/>
  <c r="N291" i="3"/>
  <c r="R291" i="3"/>
  <c r="E293" i="3"/>
  <c r="F293" i="3"/>
  <c r="I293" i="3"/>
  <c r="J293" i="3"/>
  <c r="K293" i="3"/>
  <c r="L293" i="3"/>
  <c r="O293" i="3"/>
  <c r="P293" i="3"/>
  <c r="S293" i="3"/>
  <c r="T293" i="3"/>
  <c r="U293" i="3"/>
  <c r="V293" i="3"/>
  <c r="D295" i="3"/>
  <c r="O295" i="3"/>
  <c r="R295" i="3"/>
  <c r="H296" i="3"/>
  <c r="N296" i="3"/>
  <c r="R296" i="3"/>
  <c r="D297" i="3"/>
  <c r="D301" i="3" s="1"/>
  <c r="E297" i="3"/>
  <c r="H297" i="3"/>
  <c r="N297" i="3" s="1"/>
  <c r="AB297" i="3" s="1"/>
  <c r="R297" i="3"/>
  <c r="X297" i="3" s="1"/>
  <c r="H298" i="3"/>
  <c r="R298" i="3"/>
  <c r="X298" i="3" s="1"/>
  <c r="H299" i="3"/>
  <c r="R299" i="3"/>
  <c r="X299" i="3"/>
  <c r="E301" i="3"/>
  <c r="F301" i="3"/>
  <c r="I301" i="3"/>
  <c r="J301" i="3"/>
  <c r="K301" i="3"/>
  <c r="L301" i="3"/>
  <c r="O301" i="3"/>
  <c r="P301" i="3"/>
  <c r="S301" i="3"/>
  <c r="T301" i="3"/>
  <c r="U301" i="3"/>
  <c r="V301" i="3"/>
  <c r="R303" i="3"/>
  <c r="D304" i="3"/>
  <c r="H304" i="3"/>
  <c r="N304" i="3" s="1"/>
  <c r="O304" i="3"/>
  <c r="R304" i="3" s="1"/>
  <c r="D305" i="3"/>
  <c r="E305" i="3"/>
  <c r="H305" i="3" s="1"/>
  <c r="R305" i="3"/>
  <c r="X305" i="3"/>
  <c r="AF305" i="3"/>
  <c r="AH305" i="3"/>
  <c r="AJ305" i="3"/>
  <c r="AM308" i="3" s="1"/>
  <c r="AK305" i="3"/>
  <c r="D306" i="3"/>
  <c r="AD305" i="3" s="1"/>
  <c r="E306" i="3"/>
  <c r="H306" i="3" s="1"/>
  <c r="N306" i="3" s="1"/>
  <c r="R306" i="3"/>
  <c r="AD306" i="3"/>
  <c r="AE306" i="3"/>
  <c r="AF306" i="3"/>
  <c r="AH306" i="3"/>
  <c r="AJ306" i="3"/>
  <c r="AK306" i="3"/>
  <c r="H307" i="3"/>
  <c r="N307" i="3" s="1"/>
  <c r="AB307" i="3" s="1"/>
  <c r="R307" i="3"/>
  <c r="X307" i="3"/>
  <c r="Y307" i="3"/>
  <c r="Z307" i="3" s="1"/>
  <c r="AD307" i="3"/>
  <c r="AE307" i="3"/>
  <c r="AF307" i="3"/>
  <c r="AG307" i="3" s="1"/>
  <c r="AH307" i="3"/>
  <c r="AJ307" i="3"/>
  <c r="AK307" i="3"/>
  <c r="AM307" i="3"/>
  <c r="H308" i="3"/>
  <c r="N308" i="3" s="1"/>
  <c r="R308" i="3"/>
  <c r="Y308" i="3" s="1"/>
  <c r="Z308" i="3" s="1"/>
  <c r="AF308" i="3"/>
  <c r="AH308" i="3"/>
  <c r="AJ308" i="3"/>
  <c r="AK308" i="3"/>
  <c r="H309" i="3"/>
  <c r="N309" i="3" s="1"/>
  <c r="R309" i="3"/>
  <c r="X309" i="3" s="1"/>
  <c r="Y309" i="3"/>
  <c r="Z309" i="3" s="1"/>
  <c r="AE309" i="3"/>
  <c r="AF309" i="3"/>
  <c r="AH309" i="3"/>
  <c r="AK309" i="3"/>
  <c r="AM309" i="3"/>
  <c r="H310" i="3"/>
  <c r="N310" i="3" s="1"/>
  <c r="R310" i="3"/>
  <c r="AE310" i="3"/>
  <c r="AF310" i="3"/>
  <c r="AH310" i="3"/>
  <c r="AJ310" i="3"/>
  <c r="AK310" i="3"/>
  <c r="AM310" i="3"/>
  <c r="AD311" i="3"/>
  <c r="AE311" i="3"/>
  <c r="AF311" i="3"/>
  <c r="AH311" i="3"/>
  <c r="AK311" i="3"/>
  <c r="AM311" i="3"/>
  <c r="F312" i="3"/>
  <c r="I312" i="3"/>
  <c r="J312" i="3"/>
  <c r="K312" i="3"/>
  <c r="L312" i="3"/>
  <c r="O312" i="3"/>
  <c r="P312" i="3"/>
  <c r="S312" i="3"/>
  <c r="T312" i="3"/>
  <c r="U312" i="3"/>
  <c r="V312" i="3"/>
  <c r="AD312" i="3"/>
  <c r="AE312" i="3"/>
  <c r="AF312" i="3"/>
  <c r="AH312" i="3"/>
  <c r="AJ312" i="3"/>
  <c r="AK312" i="3"/>
  <c r="AM312" i="3"/>
  <c r="AD313" i="3"/>
  <c r="AE313" i="3"/>
  <c r="AF313" i="3"/>
  <c r="AH313" i="3"/>
  <c r="AJ313" i="3"/>
  <c r="AL313" i="3" s="1"/>
  <c r="AN313" i="3" s="1"/>
  <c r="AK313" i="3"/>
  <c r="AM313" i="3"/>
  <c r="AD314" i="3"/>
  <c r="AE314" i="3"/>
  <c r="AF314" i="3"/>
  <c r="AH314" i="3"/>
  <c r="AJ314" i="3"/>
  <c r="AK314" i="3"/>
  <c r="AM314" i="3"/>
  <c r="H315" i="3"/>
  <c r="N315" i="3" s="1"/>
  <c r="R315" i="3"/>
  <c r="X315" i="3" s="1"/>
  <c r="AD315" i="3"/>
  <c r="AE315" i="3"/>
  <c r="AF315" i="3"/>
  <c r="AG315" i="3" s="1"/>
  <c r="AH315" i="3"/>
  <c r="AJ315" i="3"/>
  <c r="AK315" i="3"/>
  <c r="AM315" i="3"/>
  <c r="H316" i="3"/>
  <c r="R316" i="3"/>
  <c r="X316" i="3" s="1"/>
  <c r="AD316" i="3"/>
  <c r="AE316" i="3"/>
  <c r="AF316" i="3"/>
  <c r="AH316" i="3"/>
  <c r="AJ316" i="3"/>
  <c r="AL316" i="3" s="1"/>
  <c r="AN316" i="3" s="1"/>
  <c r="AK316" i="3"/>
  <c r="AM316" i="3"/>
  <c r="H317" i="3"/>
  <c r="N317" i="3" s="1"/>
  <c r="R317" i="3"/>
  <c r="X317" i="3"/>
  <c r="Y317" i="3"/>
  <c r="Z317" i="3" s="1"/>
  <c r="AD317" i="3"/>
  <c r="AE317" i="3"/>
  <c r="AF317" i="3"/>
  <c r="AG317" i="3" s="1"/>
  <c r="AH317" i="3"/>
  <c r="AJ317" i="3"/>
  <c r="AK317" i="3"/>
  <c r="AM317" i="3"/>
  <c r="H318" i="3"/>
  <c r="R318" i="3"/>
  <c r="X318" i="3" s="1"/>
  <c r="AD318" i="3"/>
  <c r="AE318" i="3"/>
  <c r="AF318" i="3"/>
  <c r="AH318" i="3"/>
  <c r="AJ318" i="3"/>
  <c r="AL318" i="3" s="1"/>
  <c r="AN318" i="3" s="1"/>
  <c r="AK318" i="3"/>
  <c r="AM318" i="3"/>
  <c r="H319" i="3"/>
  <c r="N319" i="3" s="1"/>
  <c r="R319" i="3"/>
  <c r="X319" i="3"/>
  <c r="Y319" i="3"/>
  <c r="Z319" i="3" s="1"/>
  <c r="AD319" i="3"/>
  <c r="AE319" i="3"/>
  <c r="AF319" i="3"/>
  <c r="AG319" i="3" s="1"/>
  <c r="AH319" i="3"/>
  <c r="AK319" i="3"/>
  <c r="AM319" i="3"/>
  <c r="AD320" i="3"/>
  <c r="AE320" i="3"/>
  <c r="AF320" i="3"/>
  <c r="AH320" i="3"/>
  <c r="AJ320" i="3"/>
  <c r="AK320" i="3"/>
  <c r="AL320" i="3" s="1"/>
  <c r="AN320" i="3" s="1"/>
  <c r="AM320" i="3"/>
  <c r="D321" i="3"/>
  <c r="E321" i="3"/>
  <c r="F321" i="3"/>
  <c r="I321" i="3"/>
  <c r="J321" i="3"/>
  <c r="K321" i="3"/>
  <c r="L321" i="3"/>
  <c r="L323" i="3" s="1"/>
  <c r="O321" i="3"/>
  <c r="P321" i="3"/>
  <c r="S321" i="3"/>
  <c r="T321" i="3"/>
  <c r="U321" i="3"/>
  <c r="V321" i="3"/>
  <c r="AD321" i="3"/>
  <c r="AE321" i="3"/>
  <c r="AG321" i="3" s="1"/>
  <c r="AF321" i="3"/>
  <c r="AH321" i="3"/>
  <c r="AJ321" i="3"/>
  <c r="AK321" i="3"/>
  <c r="AM321" i="3"/>
  <c r="AD322" i="3"/>
  <c r="AE322" i="3"/>
  <c r="AF322" i="3"/>
  <c r="AH322" i="3"/>
  <c r="AJ322" i="3"/>
  <c r="AK322" i="3"/>
  <c r="AM322" i="3"/>
  <c r="K323" i="3"/>
  <c r="P323" i="3"/>
  <c r="H328" i="3"/>
  <c r="N328" i="3" s="1"/>
  <c r="AA328" i="3" s="1"/>
  <c r="R328" i="3"/>
  <c r="Y328" i="3"/>
  <c r="Z328" i="3" s="1"/>
  <c r="X328" i="3"/>
  <c r="H329" i="3"/>
  <c r="N329" i="3" s="1"/>
  <c r="R329" i="3"/>
  <c r="D330" i="3"/>
  <c r="D336" i="3" s="1"/>
  <c r="H330" i="3"/>
  <c r="N330" i="3" s="1"/>
  <c r="O330" i="3"/>
  <c r="H331" i="3"/>
  <c r="N331" i="3" s="1"/>
  <c r="AB331" i="3" s="1"/>
  <c r="R331" i="3"/>
  <c r="X331" i="3"/>
  <c r="Y331" i="3"/>
  <c r="Z331" i="3" s="1"/>
  <c r="H332" i="3"/>
  <c r="N332" i="3" s="1"/>
  <c r="R332" i="3"/>
  <c r="X332" i="3" s="1"/>
  <c r="Y332" i="3"/>
  <c r="Z332" i="3" s="1"/>
  <c r="H333" i="3"/>
  <c r="N333" i="3" s="1"/>
  <c r="R333" i="3"/>
  <c r="X333" i="3" s="1"/>
  <c r="H334" i="3"/>
  <c r="N334" i="3" s="1"/>
  <c r="R334" i="3"/>
  <c r="X334" i="3" s="1"/>
  <c r="E336" i="3"/>
  <c r="F336" i="3"/>
  <c r="I336" i="3"/>
  <c r="J336" i="3"/>
  <c r="K336" i="3"/>
  <c r="L336" i="3"/>
  <c r="P336" i="3"/>
  <c r="S336" i="3"/>
  <c r="T336" i="3"/>
  <c r="U336" i="3"/>
  <c r="V336" i="3"/>
  <c r="B337" i="3"/>
  <c r="D338" i="3"/>
  <c r="O338" i="3"/>
  <c r="R338" i="3" s="1"/>
  <c r="H339" i="3"/>
  <c r="N339" i="3" s="1"/>
  <c r="R339" i="3"/>
  <c r="X339" i="3" s="1"/>
  <c r="H340" i="3"/>
  <c r="R340" i="3"/>
  <c r="D341" i="3"/>
  <c r="D345" i="3" s="1"/>
  <c r="H341" i="3"/>
  <c r="N341" i="3" s="1"/>
  <c r="O341" i="3"/>
  <c r="R341" i="3"/>
  <c r="H342" i="3"/>
  <c r="N342" i="3" s="1"/>
  <c r="O342" i="3"/>
  <c r="H343" i="3"/>
  <c r="N343" i="3" s="1"/>
  <c r="R343" i="3"/>
  <c r="X343" i="3" s="1"/>
  <c r="E345" i="3"/>
  <c r="F345" i="3"/>
  <c r="I345" i="3"/>
  <c r="J345" i="3"/>
  <c r="K345" i="3"/>
  <c r="L345" i="3"/>
  <c r="P345" i="3"/>
  <c r="S345" i="3"/>
  <c r="T345" i="3"/>
  <c r="U345" i="3"/>
  <c r="V345" i="3"/>
  <c r="H348" i="3"/>
  <c r="N348" i="3"/>
  <c r="R348" i="3"/>
  <c r="H349" i="3"/>
  <c r="N349" i="3" s="1"/>
  <c r="R349" i="3"/>
  <c r="X349" i="3" s="1"/>
  <c r="Y349" i="3"/>
  <c r="Z349" i="3" s="1"/>
  <c r="H350" i="3"/>
  <c r="N350" i="3" s="1"/>
  <c r="R350" i="3"/>
  <c r="H351" i="3"/>
  <c r="N351" i="3"/>
  <c r="R351" i="3"/>
  <c r="X351" i="3" s="1"/>
  <c r="H352" i="3"/>
  <c r="N352" i="3" s="1"/>
  <c r="R352" i="3"/>
  <c r="D354" i="3"/>
  <c r="E354" i="3"/>
  <c r="F354" i="3"/>
  <c r="I354" i="3"/>
  <c r="J354" i="3"/>
  <c r="K354" i="3"/>
  <c r="L354" i="3"/>
  <c r="O354" i="3"/>
  <c r="P354" i="3"/>
  <c r="P432" i="3" s="1"/>
  <c r="P1204" i="3" s="1"/>
  <c r="R354" i="3"/>
  <c r="S354" i="3"/>
  <c r="T354" i="3"/>
  <c r="U354" i="3"/>
  <c r="V354" i="3"/>
  <c r="H357" i="3"/>
  <c r="N357" i="3"/>
  <c r="R357" i="3"/>
  <c r="X357" i="3" s="1"/>
  <c r="H358" i="3"/>
  <c r="N358" i="3" s="1"/>
  <c r="R358" i="3"/>
  <c r="Y358" i="3" s="1"/>
  <c r="Z358" i="3" s="1"/>
  <c r="X358" i="3"/>
  <c r="H359" i="3"/>
  <c r="N359" i="3" s="1"/>
  <c r="R359" i="3"/>
  <c r="X359" i="3"/>
  <c r="H360" i="3"/>
  <c r="N360" i="3" s="1"/>
  <c r="R360" i="3"/>
  <c r="H361" i="3"/>
  <c r="N361" i="3" s="1"/>
  <c r="R361" i="3"/>
  <c r="X361" i="3"/>
  <c r="D363" i="3"/>
  <c r="E363" i="3"/>
  <c r="F363" i="3"/>
  <c r="I363" i="3"/>
  <c r="J363" i="3"/>
  <c r="K363" i="3"/>
  <c r="L363" i="3"/>
  <c r="O363" i="3"/>
  <c r="P363" i="3"/>
  <c r="S363" i="3"/>
  <c r="T363" i="3"/>
  <c r="U363" i="3"/>
  <c r="V363" i="3"/>
  <c r="H365" i="3"/>
  <c r="N365" i="3" s="1"/>
  <c r="R365" i="3"/>
  <c r="X365" i="3"/>
  <c r="D366" i="3"/>
  <c r="E366" i="3"/>
  <c r="R366" i="3"/>
  <c r="X366" i="3"/>
  <c r="H367" i="3"/>
  <c r="N367" i="3" s="1"/>
  <c r="R367" i="3"/>
  <c r="D368" i="3"/>
  <c r="H368" i="3"/>
  <c r="N368" i="3" s="1"/>
  <c r="R368" i="3"/>
  <c r="H369" i="3"/>
  <c r="N369" i="3" s="1"/>
  <c r="R369" i="3"/>
  <c r="F371" i="3"/>
  <c r="I371" i="3"/>
  <c r="J371" i="3"/>
  <c r="K371" i="3"/>
  <c r="L371" i="3"/>
  <c r="O371" i="3"/>
  <c r="P371" i="3"/>
  <c r="R371" i="3"/>
  <c r="S371" i="3"/>
  <c r="T371" i="3"/>
  <c r="U371" i="3"/>
  <c r="V371" i="3"/>
  <c r="H374" i="3"/>
  <c r="N374" i="3" s="1"/>
  <c r="R374" i="3"/>
  <c r="H375" i="3"/>
  <c r="N375" i="3" s="1"/>
  <c r="R375" i="3"/>
  <c r="D376" i="3"/>
  <c r="H376" i="3"/>
  <c r="N376" i="3" s="1"/>
  <c r="O376" i="3"/>
  <c r="R376" i="3" s="1"/>
  <c r="D377" i="3"/>
  <c r="H377" i="3"/>
  <c r="N377" i="3"/>
  <c r="R377" i="3"/>
  <c r="E379" i="3"/>
  <c r="F379" i="3"/>
  <c r="I379" i="3"/>
  <c r="J379" i="3"/>
  <c r="K379" i="3"/>
  <c r="L379" i="3"/>
  <c r="P379" i="3"/>
  <c r="S379" i="3"/>
  <c r="T379" i="3"/>
  <c r="U379" i="3"/>
  <c r="V379" i="3"/>
  <c r="H382" i="3"/>
  <c r="N382" i="3" s="1"/>
  <c r="R382" i="3"/>
  <c r="H383" i="3"/>
  <c r="N383" i="3" s="1"/>
  <c r="R383" i="3"/>
  <c r="H384" i="3"/>
  <c r="R384" i="3"/>
  <c r="D386" i="3"/>
  <c r="E386" i="3"/>
  <c r="F386" i="3"/>
  <c r="I386" i="3"/>
  <c r="J386" i="3"/>
  <c r="K386" i="3"/>
  <c r="L386" i="3"/>
  <c r="O386" i="3"/>
  <c r="P386" i="3"/>
  <c r="S386" i="3"/>
  <c r="T386" i="3"/>
  <c r="U386" i="3"/>
  <c r="V386" i="3"/>
  <c r="H389" i="3"/>
  <c r="N389" i="3"/>
  <c r="R389" i="3"/>
  <c r="X389" i="3" s="1"/>
  <c r="H390" i="3"/>
  <c r="Y390" i="3" s="1"/>
  <c r="Z390" i="3" s="1"/>
  <c r="R390" i="3"/>
  <c r="X390" i="3" s="1"/>
  <c r="H391" i="3"/>
  <c r="N391" i="3"/>
  <c r="R391" i="3"/>
  <c r="X391" i="3" s="1"/>
  <c r="C392" i="3"/>
  <c r="H392" i="3"/>
  <c r="N392" i="3" s="1"/>
  <c r="R392" i="3"/>
  <c r="D394" i="3"/>
  <c r="E394" i="3"/>
  <c r="F394" i="3"/>
  <c r="I394" i="3"/>
  <c r="J394" i="3"/>
  <c r="K394" i="3"/>
  <c r="L394" i="3"/>
  <c r="O394" i="3"/>
  <c r="P394" i="3"/>
  <c r="S394" i="3"/>
  <c r="T394" i="3"/>
  <c r="U394" i="3"/>
  <c r="V394" i="3"/>
  <c r="H397" i="3"/>
  <c r="N397" i="3" s="1"/>
  <c r="R397" i="3"/>
  <c r="X397" i="3" s="1"/>
  <c r="H398" i="3"/>
  <c r="N398" i="3"/>
  <c r="R398" i="3"/>
  <c r="Y398" i="3" s="1"/>
  <c r="Z398" i="3" s="1"/>
  <c r="H399" i="3"/>
  <c r="N399" i="3" s="1"/>
  <c r="R399" i="3"/>
  <c r="H400" i="3"/>
  <c r="N400" i="3"/>
  <c r="R400" i="3"/>
  <c r="H401" i="3"/>
  <c r="N401" i="3" s="1"/>
  <c r="R401" i="3"/>
  <c r="Y401" i="3" s="1"/>
  <c r="Z401" i="3" s="1"/>
  <c r="D403" i="3"/>
  <c r="E403" i="3"/>
  <c r="F403" i="3"/>
  <c r="I403" i="3"/>
  <c r="J403" i="3"/>
  <c r="K403" i="3"/>
  <c r="L403" i="3"/>
  <c r="O403" i="3"/>
  <c r="P403" i="3"/>
  <c r="S403" i="3"/>
  <c r="T403" i="3"/>
  <c r="U403" i="3"/>
  <c r="V403" i="3"/>
  <c r="H406" i="3"/>
  <c r="N406" i="3" s="1"/>
  <c r="R406" i="3"/>
  <c r="H407" i="3"/>
  <c r="N407" i="3"/>
  <c r="R407" i="3"/>
  <c r="X407" i="3" s="1"/>
  <c r="D409" i="3"/>
  <c r="E409" i="3"/>
  <c r="F409" i="3"/>
  <c r="I409" i="3"/>
  <c r="J409" i="3"/>
  <c r="K409" i="3"/>
  <c r="L409" i="3"/>
  <c r="O409" i="3"/>
  <c r="P409" i="3"/>
  <c r="S409" i="3"/>
  <c r="T409" i="3"/>
  <c r="U409" i="3"/>
  <c r="V409" i="3"/>
  <c r="H412" i="3"/>
  <c r="R412" i="3"/>
  <c r="Y412" i="3" s="1"/>
  <c r="H413" i="3"/>
  <c r="N413" i="3" s="1"/>
  <c r="R413" i="3"/>
  <c r="X413" i="3"/>
  <c r="H414" i="3"/>
  <c r="N414" i="3" s="1"/>
  <c r="R414" i="3"/>
  <c r="X414" i="3" s="1"/>
  <c r="D416" i="3"/>
  <c r="E416" i="3"/>
  <c r="F416" i="3"/>
  <c r="I416" i="3"/>
  <c r="J416" i="3"/>
  <c r="K416" i="3"/>
  <c r="L416" i="3"/>
  <c r="O416" i="3"/>
  <c r="P416" i="3"/>
  <c r="S416" i="3"/>
  <c r="T416" i="3"/>
  <c r="U416" i="3"/>
  <c r="V416" i="3"/>
  <c r="AD417" i="3"/>
  <c r="AE417" i="3"/>
  <c r="AF417" i="3"/>
  <c r="AH417" i="3"/>
  <c r="AJ417" i="3"/>
  <c r="AK417" i="3"/>
  <c r="AM417" i="3"/>
  <c r="AD418" i="3"/>
  <c r="AE418" i="3"/>
  <c r="AF418" i="3"/>
  <c r="AH418" i="3"/>
  <c r="AJ418" i="3"/>
  <c r="AL418" i="3" s="1"/>
  <c r="AN418" i="3" s="1"/>
  <c r="AK418" i="3"/>
  <c r="AM418" i="3"/>
  <c r="H419" i="3"/>
  <c r="N419" i="3" s="1"/>
  <c r="AB419" i="3" s="1"/>
  <c r="R419" i="3"/>
  <c r="X419" i="3" s="1"/>
  <c r="AF419" i="3"/>
  <c r="AH419" i="3"/>
  <c r="AJ419" i="3"/>
  <c r="AK419" i="3"/>
  <c r="AM419" i="3"/>
  <c r="H420" i="3"/>
  <c r="N420" i="3" s="1"/>
  <c r="R420" i="3"/>
  <c r="AD420" i="3"/>
  <c r="AE420" i="3"/>
  <c r="AG420" i="3" s="1"/>
  <c r="AF420" i="3"/>
  <c r="AH420" i="3"/>
  <c r="AJ420" i="3"/>
  <c r="AL420" i="3" s="1"/>
  <c r="AK420" i="3"/>
  <c r="AM420" i="3"/>
  <c r="H421" i="3"/>
  <c r="N421" i="3" s="1"/>
  <c r="R421" i="3"/>
  <c r="AD421" i="3"/>
  <c r="AE421" i="3"/>
  <c r="AF421" i="3"/>
  <c r="AG421" i="3" s="1"/>
  <c r="AI421" i="3" s="1"/>
  <c r="AH421" i="3"/>
  <c r="AJ421" i="3"/>
  <c r="AL421" i="3"/>
  <c r="AK421" i="3"/>
  <c r="AM421" i="3"/>
  <c r="H422" i="3"/>
  <c r="N422" i="3"/>
  <c r="R422" i="3"/>
  <c r="X422" i="3" s="1"/>
  <c r="AD422" i="3"/>
  <c r="AE422" i="3"/>
  <c r="AF422" i="3"/>
  <c r="AH422" i="3"/>
  <c r="AJ422" i="3"/>
  <c r="AL422" i="3" s="1"/>
  <c r="AK422" i="3"/>
  <c r="AM422" i="3"/>
  <c r="H423" i="3"/>
  <c r="N423" i="3" s="1"/>
  <c r="R423" i="3"/>
  <c r="AD423" i="3"/>
  <c r="AE423" i="3"/>
  <c r="AF423" i="3"/>
  <c r="AH423" i="3"/>
  <c r="AJ423" i="3"/>
  <c r="AK423" i="3"/>
  <c r="AM423" i="3"/>
  <c r="AD424" i="3"/>
  <c r="AE424" i="3"/>
  <c r="AF424" i="3"/>
  <c r="AH424" i="3"/>
  <c r="AJ424" i="3"/>
  <c r="AK424" i="3"/>
  <c r="AL424" i="3" s="1"/>
  <c r="AM424" i="3"/>
  <c r="D425" i="3"/>
  <c r="E425" i="3"/>
  <c r="F425" i="3"/>
  <c r="I425" i="3"/>
  <c r="J425" i="3"/>
  <c r="K425" i="3"/>
  <c r="L425" i="3"/>
  <c r="O425" i="3"/>
  <c r="P425" i="3"/>
  <c r="S425" i="3"/>
  <c r="T425" i="3"/>
  <c r="U425" i="3"/>
  <c r="V425" i="3"/>
  <c r="AD425" i="3"/>
  <c r="AE425" i="3"/>
  <c r="AF425" i="3"/>
  <c r="AH425" i="3"/>
  <c r="AJ425" i="3"/>
  <c r="AK425" i="3"/>
  <c r="AM425" i="3"/>
  <c r="AD426" i="3"/>
  <c r="AE426" i="3"/>
  <c r="AF426" i="3"/>
  <c r="AG426" i="3"/>
  <c r="AH426" i="3"/>
  <c r="AJ426" i="3"/>
  <c r="AK426" i="3"/>
  <c r="AL426" i="3"/>
  <c r="AN426" i="3" s="1"/>
  <c r="AM426" i="3"/>
  <c r="H427" i="3"/>
  <c r="N427" i="3"/>
  <c r="N430" i="3" s="1"/>
  <c r="R427" i="3"/>
  <c r="AD427" i="3"/>
  <c r="AE427" i="3"/>
  <c r="AF427" i="3"/>
  <c r="AH427" i="3"/>
  <c r="AJ427" i="3"/>
  <c r="AL427" i="3" s="1"/>
  <c r="AN427" i="3" s="1"/>
  <c r="AK427" i="3"/>
  <c r="AM427" i="3"/>
  <c r="D428" i="3"/>
  <c r="AD419" i="3" s="1"/>
  <c r="Y428" i="3"/>
  <c r="AA428" i="3"/>
  <c r="AD428" i="3"/>
  <c r="AE428" i="3"/>
  <c r="AG428" i="3" s="1"/>
  <c r="AF428" i="3"/>
  <c r="AH428" i="3"/>
  <c r="AK428" i="3"/>
  <c r="AM428" i="3"/>
  <c r="E430" i="3"/>
  <c r="F430" i="3"/>
  <c r="H430" i="3"/>
  <c r="I430" i="3"/>
  <c r="J430" i="3"/>
  <c r="K430" i="3"/>
  <c r="L430" i="3"/>
  <c r="O430" i="3"/>
  <c r="P430" i="3"/>
  <c r="S430" i="3"/>
  <c r="T430" i="3"/>
  <c r="U430" i="3"/>
  <c r="V430" i="3"/>
  <c r="AD431" i="3"/>
  <c r="AE431" i="3"/>
  <c r="AF431" i="3"/>
  <c r="AG431" i="3" s="1"/>
  <c r="AH431" i="3"/>
  <c r="AK431" i="3"/>
  <c r="AM431" i="3"/>
  <c r="T432" i="3"/>
  <c r="H438" i="3"/>
  <c r="N438" i="3" s="1"/>
  <c r="AB438" i="3" s="1"/>
  <c r="R438" i="3"/>
  <c r="X438" i="3"/>
  <c r="H439" i="3"/>
  <c r="N439" i="3"/>
  <c r="R439" i="3"/>
  <c r="Y439" i="3" s="1"/>
  <c r="Z439" i="3" s="1"/>
  <c r="H440" i="3"/>
  <c r="N440" i="3" s="1"/>
  <c r="R440" i="3"/>
  <c r="D442" i="3"/>
  <c r="E442" i="3"/>
  <c r="F442" i="3"/>
  <c r="H442" i="3"/>
  <c r="I442" i="3"/>
  <c r="J442" i="3"/>
  <c r="K442" i="3"/>
  <c r="L442" i="3"/>
  <c r="O442" i="3"/>
  <c r="P442" i="3"/>
  <c r="S442" i="3"/>
  <c r="T442" i="3"/>
  <c r="U442" i="3"/>
  <c r="V442" i="3"/>
  <c r="D445" i="3"/>
  <c r="H445" i="3"/>
  <c r="H448" i="3" s="1"/>
  <c r="O445" i="3"/>
  <c r="R445" i="3"/>
  <c r="S445" i="3"/>
  <c r="S448" i="3" s="1"/>
  <c r="T445" i="3"/>
  <c r="H446" i="3"/>
  <c r="N446" i="3" s="1"/>
  <c r="R446" i="3"/>
  <c r="D448" i="3"/>
  <c r="E448" i="3"/>
  <c r="F448" i="3"/>
  <c r="I448" i="3"/>
  <c r="J448" i="3"/>
  <c r="K448" i="3"/>
  <c r="L448" i="3"/>
  <c r="O448" i="3"/>
  <c r="P448" i="3"/>
  <c r="T448" i="3"/>
  <c r="U448" i="3"/>
  <c r="V448" i="3"/>
  <c r="B449" i="3"/>
  <c r="H451" i="3"/>
  <c r="R451" i="3"/>
  <c r="X451" i="3"/>
  <c r="H452" i="3"/>
  <c r="N452" i="3" s="1"/>
  <c r="R452" i="3"/>
  <c r="X452" i="3" s="1"/>
  <c r="D454" i="3"/>
  <c r="E454" i="3"/>
  <c r="F454" i="3"/>
  <c r="I454" i="3"/>
  <c r="J454" i="3"/>
  <c r="K454" i="3"/>
  <c r="L454" i="3"/>
  <c r="O454" i="3"/>
  <c r="P454" i="3"/>
  <c r="S454" i="3"/>
  <c r="T454" i="3"/>
  <c r="U454" i="3"/>
  <c r="V454" i="3"/>
  <c r="H457" i="3"/>
  <c r="N457" i="3" s="1"/>
  <c r="O457" i="3"/>
  <c r="R457" i="3" s="1"/>
  <c r="H458" i="3"/>
  <c r="N458" i="3" s="1"/>
  <c r="R458" i="3"/>
  <c r="H459" i="3"/>
  <c r="N459" i="3" s="1"/>
  <c r="R459" i="3"/>
  <c r="H460" i="3"/>
  <c r="N460" i="3" s="1"/>
  <c r="O460" i="3"/>
  <c r="R460" i="3" s="1"/>
  <c r="H461" i="3"/>
  <c r="N461" i="3"/>
  <c r="R461" i="3"/>
  <c r="H462" i="3"/>
  <c r="R462" i="3"/>
  <c r="X462" i="3"/>
  <c r="H463" i="3"/>
  <c r="N463" i="3" s="1"/>
  <c r="R463" i="3"/>
  <c r="D465" i="3"/>
  <c r="E465" i="3"/>
  <c r="F465" i="3"/>
  <c r="I465" i="3"/>
  <c r="J465" i="3"/>
  <c r="K465" i="3"/>
  <c r="L465" i="3"/>
  <c r="P465" i="3"/>
  <c r="S465" i="3"/>
  <c r="T465" i="3"/>
  <c r="U465" i="3"/>
  <c r="V465" i="3"/>
  <c r="D469" i="3"/>
  <c r="D475" i="3" s="1"/>
  <c r="H469" i="3"/>
  <c r="N469" i="3"/>
  <c r="O469" i="3"/>
  <c r="H470" i="3"/>
  <c r="N470" i="3" s="1"/>
  <c r="R470" i="3"/>
  <c r="H471" i="3"/>
  <c r="N471" i="3"/>
  <c r="R471" i="3"/>
  <c r="H472" i="3"/>
  <c r="N472" i="3" s="1"/>
  <c r="O472" i="3"/>
  <c r="H473" i="3"/>
  <c r="R473" i="3"/>
  <c r="X473" i="3"/>
  <c r="E475" i="3"/>
  <c r="F475" i="3"/>
  <c r="I475" i="3"/>
  <c r="J475" i="3"/>
  <c r="K475" i="3"/>
  <c r="L475" i="3"/>
  <c r="P475" i="3"/>
  <c r="S475" i="3"/>
  <c r="T475" i="3"/>
  <c r="U475" i="3"/>
  <c r="V475" i="3"/>
  <c r="D478" i="3"/>
  <c r="H478" i="3"/>
  <c r="N478" i="3" s="1"/>
  <c r="O478" i="3"/>
  <c r="R478" i="3"/>
  <c r="T478" i="3"/>
  <c r="T484" i="3" s="1"/>
  <c r="D479" i="3"/>
  <c r="E479" i="3"/>
  <c r="R479" i="3"/>
  <c r="X479" i="3" s="1"/>
  <c r="H480" i="3"/>
  <c r="N480" i="3" s="1"/>
  <c r="R480" i="3"/>
  <c r="D481" i="3"/>
  <c r="H481" i="3"/>
  <c r="N481" i="3" s="1"/>
  <c r="O481" i="3"/>
  <c r="R481" i="3" s="1"/>
  <c r="H482" i="3"/>
  <c r="N482" i="3" s="1"/>
  <c r="R482" i="3"/>
  <c r="F484" i="3"/>
  <c r="I484" i="3"/>
  <c r="J484" i="3"/>
  <c r="K484" i="3"/>
  <c r="L484" i="3"/>
  <c r="P484" i="3"/>
  <c r="S484" i="3"/>
  <c r="U484" i="3"/>
  <c r="V484" i="3"/>
  <c r="E489" i="3"/>
  <c r="AE536" i="3" s="1"/>
  <c r="AG536" i="3" s="1"/>
  <c r="AI536" i="3" s="1"/>
  <c r="R489" i="3"/>
  <c r="D490" i="3"/>
  <c r="E490" i="3"/>
  <c r="H490" i="3"/>
  <c r="X490" i="3"/>
  <c r="H491" i="3"/>
  <c r="N491" i="3" s="1"/>
  <c r="X491" i="3"/>
  <c r="Y491" i="3"/>
  <c r="Z491" i="3" s="1"/>
  <c r="H492" i="3"/>
  <c r="N492" i="3"/>
  <c r="X492" i="3"/>
  <c r="Y492" i="3"/>
  <c r="Z492" i="3" s="1"/>
  <c r="D493" i="3"/>
  <c r="H493" i="3"/>
  <c r="R493" i="3"/>
  <c r="X493" i="3"/>
  <c r="H494" i="3"/>
  <c r="N494" i="3"/>
  <c r="R494" i="3"/>
  <c r="F496" i="3"/>
  <c r="I496" i="3"/>
  <c r="J496" i="3"/>
  <c r="K496" i="3"/>
  <c r="L496" i="3"/>
  <c r="O496" i="3"/>
  <c r="P496" i="3"/>
  <c r="S496" i="3"/>
  <c r="T496" i="3"/>
  <c r="U496" i="3"/>
  <c r="V496" i="3"/>
  <c r="H499" i="3"/>
  <c r="N499" i="3"/>
  <c r="O499" i="3"/>
  <c r="S499" i="3"/>
  <c r="D500" i="3"/>
  <c r="E500" i="3"/>
  <c r="H500" i="3" s="1"/>
  <c r="L500" i="3"/>
  <c r="L505" i="3" s="1"/>
  <c r="R500" i="3"/>
  <c r="X500" i="3" s="1"/>
  <c r="H501" i="3"/>
  <c r="R501" i="3"/>
  <c r="X501" i="3"/>
  <c r="H502" i="3"/>
  <c r="L502" i="3"/>
  <c r="AH538" i="3" s="1"/>
  <c r="R502" i="3"/>
  <c r="X502" i="3" s="1"/>
  <c r="Y502" i="3"/>
  <c r="Z502" i="3" s="1"/>
  <c r="H503" i="3"/>
  <c r="N503" i="3" s="1"/>
  <c r="L503" i="3"/>
  <c r="R503" i="3"/>
  <c r="X503" i="3" s="1"/>
  <c r="F505" i="3"/>
  <c r="I505" i="3"/>
  <c r="J505" i="3"/>
  <c r="K505" i="3"/>
  <c r="P505" i="3"/>
  <c r="S505" i="3"/>
  <c r="T505" i="3"/>
  <c r="U505" i="3"/>
  <c r="V505" i="3"/>
  <c r="E508" i="3"/>
  <c r="H508" i="3" s="1"/>
  <c r="Y508" i="3" s="1"/>
  <c r="Z508" i="3" s="1"/>
  <c r="R508" i="3"/>
  <c r="X508" i="3"/>
  <c r="H509" i="3"/>
  <c r="N509" i="3" s="1"/>
  <c r="R509" i="3"/>
  <c r="X509" i="3"/>
  <c r="Y509" i="3"/>
  <c r="Z509" i="3" s="1"/>
  <c r="D510" i="3"/>
  <c r="H510" i="3"/>
  <c r="N510" i="3" s="1"/>
  <c r="O510" i="3"/>
  <c r="R510" i="3" s="1"/>
  <c r="X510" i="3" s="1"/>
  <c r="D511" i="3"/>
  <c r="H511" i="3"/>
  <c r="N511" i="3" s="1"/>
  <c r="R511" i="3"/>
  <c r="E513" i="3"/>
  <c r="F513" i="3"/>
  <c r="I513" i="3"/>
  <c r="J513" i="3"/>
  <c r="K513" i="3"/>
  <c r="L513" i="3"/>
  <c r="P513" i="3"/>
  <c r="S513" i="3"/>
  <c r="T513" i="3"/>
  <c r="U513" i="3"/>
  <c r="V513" i="3"/>
  <c r="F515" i="3"/>
  <c r="H516" i="3"/>
  <c r="N516" i="3" s="1"/>
  <c r="R516" i="3"/>
  <c r="X516" i="3"/>
  <c r="H517" i="3"/>
  <c r="R517" i="3"/>
  <c r="X517" i="3" s="1"/>
  <c r="D518" i="3"/>
  <c r="H518" i="3"/>
  <c r="N518" i="3" s="1"/>
  <c r="O518" i="3"/>
  <c r="R518" i="3"/>
  <c r="H519" i="3"/>
  <c r="N519" i="3" s="1"/>
  <c r="R519" i="3"/>
  <c r="D520" i="3"/>
  <c r="H520" i="3"/>
  <c r="O520" i="3"/>
  <c r="O522" i="3" s="1"/>
  <c r="E522" i="3"/>
  <c r="F522" i="3"/>
  <c r="I522" i="3"/>
  <c r="J522" i="3"/>
  <c r="K522" i="3"/>
  <c r="L522" i="3"/>
  <c r="P522" i="3"/>
  <c r="S522" i="3"/>
  <c r="T522" i="3"/>
  <c r="U522" i="3"/>
  <c r="V522" i="3"/>
  <c r="H525" i="3"/>
  <c r="N525" i="3" s="1"/>
  <c r="R525" i="3"/>
  <c r="X525" i="3"/>
  <c r="H526" i="3"/>
  <c r="N526" i="3" s="1"/>
  <c r="R526" i="3"/>
  <c r="H527" i="3"/>
  <c r="N527" i="3" s="1"/>
  <c r="R527" i="3"/>
  <c r="Y527" i="3" s="1"/>
  <c r="Z527" i="3" s="1"/>
  <c r="D529" i="3"/>
  <c r="E529" i="3"/>
  <c r="F529" i="3"/>
  <c r="H529" i="3"/>
  <c r="I529" i="3"/>
  <c r="J529" i="3"/>
  <c r="K529" i="3"/>
  <c r="L529" i="3"/>
  <c r="O529" i="3"/>
  <c r="P529" i="3"/>
  <c r="S529" i="3"/>
  <c r="T529" i="3"/>
  <c r="U529" i="3"/>
  <c r="V529" i="3"/>
  <c r="D532" i="3"/>
  <c r="H532" i="3"/>
  <c r="N532" i="3" s="1"/>
  <c r="R532" i="3"/>
  <c r="X532" i="3" s="1"/>
  <c r="H533" i="3"/>
  <c r="Y533" i="3"/>
  <c r="Z533" i="3" s="1"/>
  <c r="N533" i="3"/>
  <c r="R533" i="3"/>
  <c r="X533" i="3"/>
  <c r="AD533" i="3"/>
  <c r="AE533" i="3"/>
  <c r="AF533" i="3"/>
  <c r="AH533" i="3"/>
  <c r="AJ533" i="3"/>
  <c r="AK533" i="3"/>
  <c r="AM533" i="3"/>
  <c r="AP533" i="3"/>
  <c r="H534" i="3"/>
  <c r="N534" i="3" s="1"/>
  <c r="AB534" i="3" s="1"/>
  <c r="R534" i="3"/>
  <c r="X534" i="3"/>
  <c r="AD534" i="3"/>
  <c r="AE534" i="3"/>
  <c r="AF534" i="3"/>
  <c r="AH534" i="3"/>
  <c r="AJ534" i="3"/>
  <c r="AK534" i="3"/>
  <c r="AM534" i="3"/>
  <c r="AP534" i="3"/>
  <c r="H535" i="3"/>
  <c r="N535" i="3" s="1"/>
  <c r="R535" i="3"/>
  <c r="AD535" i="3"/>
  <c r="AE535" i="3"/>
  <c r="AG535" i="3"/>
  <c r="AF535" i="3"/>
  <c r="AH535" i="3"/>
  <c r="AJ535" i="3"/>
  <c r="AK535" i="3"/>
  <c r="AL535" i="3" s="1"/>
  <c r="AM535" i="3"/>
  <c r="D536" i="3"/>
  <c r="H536" i="3"/>
  <c r="N536" i="3" s="1"/>
  <c r="O536" i="3"/>
  <c r="AF536" i="3"/>
  <c r="AH536" i="3"/>
  <c r="AK536" i="3"/>
  <c r="AM536" i="3"/>
  <c r="D537" i="3"/>
  <c r="H537" i="3"/>
  <c r="N537" i="3" s="1"/>
  <c r="O537" i="3"/>
  <c r="AF537" i="3"/>
  <c r="AH537" i="3"/>
  <c r="AJ537" i="3"/>
  <c r="AL537" i="3" s="1"/>
  <c r="AK537" i="3"/>
  <c r="AM537" i="3"/>
  <c r="AE538" i="3"/>
  <c r="AF538" i="3"/>
  <c r="AK538" i="3"/>
  <c r="AM538" i="3"/>
  <c r="E539" i="3"/>
  <c r="F539" i="3"/>
  <c r="I539" i="3"/>
  <c r="J539" i="3"/>
  <c r="K539" i="3"/>
  <c r="L539" i="3"/>
  <c r="P539" i="3"/>
  <c r="S539" i="3"/>
  <c r="T539" i="3"/>
  <c r="U539" i="3"/>
  <c r="V539" i="3"/>
  <c r="AD539" i="3"/>
  <c r="AE539" i="3"/>
  <c r="AF539" i="3"/>
  <c r="AG539" i="3" s="1"/>
  <c r="AH539" i="3"/>
  <c r="AJ539" i="3"/>
  <c r="AK539" i="3"/>
  <c r="AL539" i="3" s="1"/>
  <c r="AM539" i="3"/>
  <c r="AD540" i="3"/>
  <c r="AE540" i="3"/>
  <c r="AF540" i="3"/>
  <c r="AH540" i="3"/>
  <c r="AJ540" i="3"/>
  <c r="AL540" i="3" s="1"/>
  <c r="AN540" i="3" s="1"/>
  <c r="AK540" i="3"/>
  <c r="AM540" i="3"/>
  <c r="AD541" i="3"/>
  <c r="AE541" i="3"/>
  <c r="AG541" i="3" s="1"/>
  <c r="AF541" i="3"/>
  <c r="AH541" i="3"/>
  <c r="AJ541" i="3"/>
  <c r="AL541" i="3" s="1"/>
  <c r="AK541" i="3"/>
  <c r="AM541" i="3"/>
  <c r="H542" i="3"/>
  <c r="N542" i="3" s="1"/>
  <c r="R542" i="3"/>
  <c r="AD542" i="3"/>
  <c r="AE542" i="3"/>
  <c r="AF542" i="3"/>
  <c r="AH542" i="3"/>
  <c r="AJ542" i="3"/>
  <c r="AL542" i="3" s="1"/>
  <c r="AN542" i="3" s="1"/>
  <c r="AK542" i="3"/>
  <c r="AM542" i="3"/>
  <c r="D543" i="3"/>
  <c r="AD537" i="3" s="1"/>
  <c r="H543" i="3"/>
  <c r="R543" i="3"/>
  <c r="X543" i="3"/>
  <c r="AD543" i="3"/>
  <c r="AE543" i="3"/>
  <c r="AF543" i="3"/>
  <c r="AG543" i="3" s="1"/>
  <c r="AH543" i="3"/>
  <c r="AJ543" i="3"/>
  <c r="AK543" i="3"/>
  <c r="AM543" i="3"/>
  <c r="H544" i="3"/>
  <c r="R544" i="3"/>
  <c r="S544" i="3"/>
  <c r="S546" i="3" s="1"/>
  <c r="X544" i="3"/>
  <c r="AD544" i="3"/>
  <c r="AE544" i="3"/>
  <c r="AF544" i="3"/>
  <c r="AG544" i="3" s="1"/>
  <c r="AH544" i="3"/>
  <c r="AJ544" i="3"/>
  <c r="AK544" i="3"/>
  <c r="AM544" i="3"/>
  <c r="AD545" i="3"/>
  <c r="AE545" i="3"/>
  <c r="AF545" i="3"/>
  <c r="AH545" i="3"/>
  <c r="AJ545" i="3"/>
  <c r="AK545" i="3"/>
  <c r="AL545" i="3" s="1"/>
  <c r="AM545" i="3"/>
  <c r="D546" i="3"/>
  <c r="E546" i="3"/>
  <c r="F546" i="3"/>
  <c r="I546" i="3"/>
  <c r="J546" i="3"/>
  <c r="K546" i="3"/>
  <c r="L546" i="3"/>
  <c r="O546" i="3"/>
  <c r="P546" i="3"/>
  <c r="R546" i="3"/>
  <c r="T546" i="3"/>
  <c r="U546" i="3"/>
  <c r="V546" i="3"/>
  <c r="AE546" i="3"/>
  <c r="AF546" i="3"/>
  <c r="AG546" i="3" s="1"/>
  <c r="AH546" i="3"/>
  <c r="AK546" i="3"/>
  <c r="AM546" i="3"/>
  <c r="AE547" i="3"/>
  <c r="AF547" i="3"/>
  <c r="AH547" i="3"/>
  <c r="AK547" i="3"/>
  <c r="AM547" i="3"/>
  <c r="AD548" i="3"/>
  <c r="AE548" i="3"/>
  <c r="AF548" i="3"/>
  <c r="AH548" i="3"/>
  <c r="AJ548" i="3"/>
  <c r="AK548" i="3"/>
  <c r="AM548" i="3"/>
  <c r="H554" i="3"/>
  <c r="N554" i="3"/>
  <c r="R554" i="3"/>
  <c r="X554" i="3" s="1"/>
  <c r="H555" i="3"/>
  <c r="N555" i="3" s="1"/>
  <c r="R555" i="3"/>
  <c r="X555" i="3"/>
  <c r="H556" i="3"/>
  <c r="R556" i="3"/>
  <c r="H557" i="3"/>
  <c r="N557" i="3" s="1"/>
  <c r="R557" i="3"/>
  <c r="X557" i="3" s="1"/>
  <c r="Y557" i="3"/>
  <c r="Z557" i="3" s="1"/>
  <c r="H558" i="3"/>
  <c r="N558" i="3"/>
  <c r="R558" i="3"/>
  <c r="D560" i="3"/>
  <c r="E560" i="3"/>
  <c r="F560" i="3"/>
  <c r="I560" i="3"/>
  <c r="J560" i="3"/>
  <c r="K560" i="3"/>
  <c r="L560" i="3"/>
  <c r="O560" i="3"/>
  <c r="P560" i="3"/>
  <c r="S560" i="3"/>
  <c r="T560" i="3"/>
  <c r="U560" i="3"/>
  <c r="V560" i="3"/>
  <c r="H562" i="3"/>
  <c r="R562" i="3"/>
  <c r="X562" i="3" s="1"/>
  <c r="H563" i="3"/>
  <c r="N563" i="3" s="1"/>
  <c r="R563" i="3"/>
  <c r="X563" i="3" s="1"/>
  <c r="H564" i="3"/>
  <c r="N564" i="3" s="1"/>
  <c r="R564" i="3"/>
  <c r="X564" i="3"/>
  <c r="D566" i="3"/>
  <c r="E566" i="3"/>
  <c r="F566" i="3"/>
  <c r="I566" i="3"/>
  <c r="J566" i="3"/>
  <c r="K566" i="3"/>
  <c r="L566" i="3"/>
  <c r="O566" i="3"/>
  <c r="P566" i="3"/>
  <c r="R566" i="3"/>
  <c r="S566" i="3"/>
  <c r="T566" i="3"/>
  <c r="U566" i="3"/>
  <c r="V566" i="3"/>
  <c r="H568" i="3"/>
  <c r="N568" i="3"/>
  <c r="R568" i="3"/>
  <c r="H569" i="3"/>
  <c r="N569" i="3" s="1"/>
  <c r="R569" i="3"/>
  <c r="H570" i="3"/>
  <c r="N570" i="3" s="1"/>
  <c r="R570" i="3"/>
  <c r="D571" i="3"/>
  <c r="H571" i="3"/>
  <c r="N571" i="3" s="1"/>
  <c r="O571" i="3"/>
  <c r="D572" i="3"/>
  <c r="E572" i="3"/>
  <c r="AE621" i="3" s="1"/>
  <c r="R572" i="3"/>
  <c r="X572" i="3"/>
  <c r="H573" i="3"/>
  <c r="N573" i="3" s="1"/>
  <c r="R573" i="3"/>
  <c r="Y573" i="3"/>
  <c r="Z573" i="3" s="1"/>
  <c r="X573" i="3"/>
  <c r="F575" i="3"/>
  <c r="I575" i="3"/>
  <c r="J575" i="3"/>
  <c r="K575" i="3"/>
  <c r="L575" i="3"/>
  <c r="P575" i="3"/>
  <c r="S575" i="3"/>
  <c r="T575" i="3"/>
  <c r="U575" i="3"/>
  <c r="V575" i="3"/>
  <c r="H577" i="3"/>
  <c r="N577" i="3" s="1"/>
  <c r="O577" i="3"/>
  <c r="H578" i="3"/>
  <c r="N578" i="3"/>
  <c r="R578" i="3"/>
  <c r="D579" i="3"/>
  <c r="H579" i="3"/>
  <c r="N579" i="3" s="1"/>
  <c r="O579" i="3"/>
  <c r="R579" i="3"/>
  <c r="X579" i="3" s="1"/>
  <c r="H580" i="3"/>
  <c r="R580" i="3"/>
  <c r="X580" i="3"/>
  <c r="H581" i="3"/>
  <c r="N581" i="3"/>
  <c r="R581" i="3"/>
  <c r="H582" i="3"/>
  <c r="N582" i="3" s="1"/>
  <c r="R582" i="3"/>
  <c r="E584" i="3"/>
  <c r="F584" i="3"/>
  <c r="H584" i="3" s="1"/>
  <c r="I584" i="3"/>
  <c r="J584" i="3"/>
  <c r="K584" i="3"/>
  <c r="L584" i="3"/>
  <c r="P584" i="3"/>
  <c r="S584" i="3"/>
  <c r="T584" i="3"/>
  <c r="U584" i="3"/>
  <c r="V584" i="3"/>
  <c r="R586" i="3"/>
  <c r="D588" i="3"/>
  <c r="H588" i="3"/>
  <c r="N588" i="3" s="1"/>
  <c r="R588" i="3"/>
  <c r="X588" i="3" s="1"/>
  <c r="H589" i="3"/>
  <c r="N589" i="3" s="1"/>
  <c r="R589" i="3"/>
  <c r="X589" i="3" s="1"/>
  <c r="D590" i="3"/>
  <c r="H590" i="3"/>
  <c r="N590" i="3" s="1"/>
  <c r="AA590" i="3" s="1"/>
  <c r="R590" i="3"/>
  <c r="X590" i="3" s="1"/>
  <c r="E592" i="3"/>
  <c r="F592" i="3"/>
  <c r="I592" i="3"/>
  <c r="J592" i="3"/>
  <c r="K592" i="3"/>
  <c r="L592" i="3"/>
  <c r="O592" i="3"/>
  <c r="P592" i="3"/>
  <c r="R592" i="3"/>
  <c r="S592" i="3"/>
  <c r="T592" i="3"/>
  <c r="U592" i="3"/>
  <c r="V592" i="3"/>
  <c r="D594" i="3"/>
  <c r="H594" i="3"/>
  <c r="N594" i="3"/>
  <c r="R594" i="3"/>
  <c r="Y594" i="3" s="1"/>
  <c r="H595" i="3"/>
  <c r="R595" i="3"/>
  <c r="X595" i="3" s="1"/>
  <c r="H596" i="3"/>
  <c r="R596" i="3"/>
  <c r="X596" i="3" s="1"/>
  <c r="D597" i="3"/>
  <c r="H597" i="3"/>
  <c r="N597" i="3" s="1"/>
  <c r="R597" i="3"/>
  <c r="X597" i="3" s="1"/>
  <c r="D598" i="3"/>
  <c r="H598" i="3"/>
  <c r="N598" i="3" s="1"/>
  <c r="R598" i="3"/>
  <c r="E600" i="3"/>
  <c r="F600" i="3"/>
  <c r="I600" i="3"/>
  <c r="J600" i="3"/>
  <c r="K600" i="3"/>
  <c r="L600" i="3"/>
  <c r="O600" i="3"/>
  <c r="P600" i="3"/>
  <c r="S600" i="3"/>
  <c r="T600" i="3"/>
  <c r="U600" i="3"/>
  <c r="V600" i="3"/>
  <c r="H602" i="3"/>
  <c r="N602" i="3"/>
  <c r="R602" i="3"/>
  <c r="H603" i="3"/>
  <c r="N603" i="3" s="1"/>
  <c r="R603" i="3"/>
  <c r="H604" i="3"/>
  <c r="R604" i="3"/>
  <c r="H605" i="3"/>
  <c r="N605" i="3" s="1"/>
  <c r="R605" i="3"/>
  <c r="H606" i="3"/>
  <c r="N606" i="3" s="1"/>
  <c r="R606" i="3"/>
  <c r="D608" i="3"/>
  <c r="E608" i="3"/>
  <c r="F608" i="3"/>
  <c r="I608" i="3"/>
  <c r="J608" i="3"/>
  <c r="K608" i="3"/>
  <c r="L608" i="3"/>
  <c r="O608" i="3"/>
  <c r="P608" i="3"/>
  <c r="S608" i="3"/>
  <c r="T608" i="3"/>
  <c r="U608" i="3"/>
  <c r="V608" i="3"/>
  <c r="H610" i="3"/>
  <c r="N610" i="3"/>
  <c r="R610" i="3"/>
  <c r="H611" i="3"/>
  <c r="R611" i="3"/>
  <c r="H612" i="3"/>
  <c r="R612" i="3"/>
  <c r="X612" i="3" s="1"/>
  <c r="D613" i="3"/>
  <c r="D615" i="3" s="1"/>
  <c r="H613" i="3"/>
  <c r="N613" i="3" s="1"/>
  <c r="AB613" i="3" s="1"/>
  <c r="R613" i="3"/>
  <c r="X613" i="3" s="1"/>
  <c r="E615" i="3"/>
  <c r="F615" i="3"/>
  <c r="I615" i="3"/>
  <c r="J615" i="3"/>
  <c r="K615" i="3"/>
  <c r="L615" i="3"/>
  <c r="O615" i="3"/>
  <c r="P615" i="3"/>
  <c r="S615" i="3"/>
  <c r="T615" i="3"/>
  <c r="U615" i="3"/>
  <c r="V615" i="3"/>
  <c r="H617" i="3"/>
  <c r="N617" i="3" s="1"/>
  <c r="AB617" i="3" s="1"/>
  <c r="R617" i="3"/>
  <c r="X617" i="3" s="1"/>
  <c r="H618" i="3"/>
  <c r="N618" i="3"/>
  <c r="R618" i="3"/>
  <c r="AD618" i="3"/>
  <c r="AE618" i="3"/>
  <c r="AF618" i="3"/>
  <c r="AG618" i="3" s="1"/>
  <c r="AH618" i="3"/>
  <c r="AJ618" i="3"/>
  <c r="AK618" i="3"/>
  <c r="AM618" i="3"/>
  <c r="H619" i="3"/>
  <c r="N619" i="3" s="1"/>
  <c r="R619" i="3"/>
  <c r="Y619" i="3" s="1"/>
  <c r="Z619" i="3" s="1"/>
  <c r="AD619" i="3"/>
  <c r="AE619" i="3"/>
  <c r="AF619" i="3"/>
  <c r="AH619" i="3"/>
  <c r="AJ619" i="3"/>
  <c r="AK619" i="3"/>
  <c r="AL619" i="3"/>
  <c r="AM619" i="3"/>
  <c r="H620" i="3"/>
  <c r="N620" i="3" s="1"/>
  <c r="R620" i="3"/>
  <c r="AD620" i="3"/>
  <c r="AE620" i="3"/>
  <c r="AF620" i="3"/>
  <c r="AG620" i="3" s="1"/>
  <c r="AH620" i="3"/>
  <c r="AJ620" i="3"/>
  <c r="AK620" i="3"/>
  <c r="AM620" i="3"/>
  <c r="H621" i="3"/>
  <c r="N621" i="3" s="1"/>
  <c r="R621" i="3"/>
  <c r="Y621" i="3" s="1"/>
  <c r="Z621" i="3" s="1"/>
  <c r="AF621" i="3"/>
  <c r="AG621" i="3" s="1"/>
  <c r="AH621" i="3"/>
  <c r="AJ621" i="3"/>
  <c r="AK621" i="3"/>
  <c r="AM621" i="3"/>
  <c r="H622" i="3"/>
  <c r="N622" i="3" s="1"/>
  <c r="R622" i="3"/>
  <c r="X622" i="3"/>
  <c r="AB622" i="3" s="1"/>
  <c r="AE622" i="3"/>
  <c r="AF622" i="3"/>
  <c r="AH622" i="3"/>
  <c r="AJ622" i="3"/>
  <c r="AK622" i="3"/>
  <c r="AM622" i="3"/>
  <c r="H623" i="3"/>
  <c r="N623" i="3"/>
  <c r="R623" i="3"/>
  <c r="X623" i="3" s="1"/>
  <c r="Y623" i="3"/>
  <c r="Z623" i="3" s="1"/>
  <c r="AD623" i="3"/>
  <c r="AE623" i="3"/>
  <c r="AF623" i="3"/>
  <c r="AG623" i="3" s="1"/>
  <c r="AH623" i="3"/>
  <c r="AJ623" i="3"/>
  <c r="AK623" i="3"/>
  <c r="AM623" i="3"/>
  <c r="AE624" i="3"/>
  <c r="AF624" i="3"/>
  <c r="AH624" i="3"/>
  <c r="AK624" i="3"/>
  <c r="AM624" i="3"/>
  <c r="D625" i="3"/>
  <c r="E625" i="3"/>
  <c r="F625" i="3"/>
  <c r="I625" i="3"/>
  <c r="J625" i="3"/>
  <c r="K625" i="3"/>
  <c r="L625" i="3"/>
  <c r="O625" i="3"/>
  <c r="P625" i="3"/>
  <c r="S625" i="3"/>
  <c r="T625" i="3"/>
  <c r="U625" i="3"/>
  <c r="V625" i="3"/>
  <c r="AD625" i="3"/>
  <c r="AE625" i="3"/>
  <c r="AG625" i="3" s="1"/>
  <c r="AF625" i="3"/>
  <c r="AH625" i="3"/>
  <c r="AJ625" i="3"/>
  <c r="AK625" i="3"/>
  <c r="AM625" i="3"/>
  <c r="AE626" i="3"/>
  <c r="AF626" i="3"/>
  <c r="AH626" i="3"/>
  <c r="AJ626" i="3"/>
  <c r="AK626" i="3"/>
  <c r="AL626" i="3" s="1"/>
  <c r="AN626" i="3" s="1"/>
  <c r="AM626" i="3"/>
  <c r="H627" i="3"/>
  <c r="N627" i="3" s="1"/>
  <c r="R627" i="3"/>
  <c r="X627" i="3" s="1"/>
  <c r="AD627" i="3"/>
  <c r="AE627" i="3"/>
  <c r="AG627" i="3" s="1"/>
  <c r="AF627" i="3"/>
  <c r="AH627" i="3"/>
  <c r="AJ627" i="3"/>
  <c r="AL627" i="3" s="1"/>
  <c r="AN627" i="3" s="1"/>
  <c r="AK627" i="3"/>
  <c r="AM627" i="3"/>
  <c r="H628" i="3"/>
  <c r="N628" i="3" s="1"/>
  <c r="R628" i="3"/>
  <c r="AD628" i="3"/>
  <c r="AE628" i="3"/>
  <c r="AG628" i="3" s="1"/>
  <c r="AF628" i="3"/>
  <c r="AH628" i="3"/>
  <c r="L1141" i="3" s="1"/>
  <c r="AJ628" i="3"/>
  <c r="AL628" i="3"/>
  <c r="AK628" i="3"/>
  <c r="AM628" i="3"/>
  <c r="V1141" i="3" s="1"/>
  <c r="H629" i="3"/>
  <c r="N629" i="3" s="1"/>
  <c r="R629" i="3"/>
  <c r="X629" i="3" s="1"/>
  <c r="AD629" i="3"/>
  <c r="AE629" i="3"/>
  <c r="AG629" i="3" s="1"/>
  <c r="AF629" i="3"/>
  <c r="AH629" i="3"/>
  <c r="AJ629" i="3"/>
  <c r="AK629" i="3"/>
  <c r="AM629" i="3"/>
  <c r="AD630" i="3"/>
  <c r="AE630" i="3"/>
  <c r="AF630" i="3"/>
  <c r="AH630" i="3"/>
  <c r="AJ630" i="3"/>
  <c r="AK630" i="3"/>
  <c r="AL630" i="3" s="1"/>
  <c r="AN630" i="3" s="1"/>
  <c r="AM630" i="3"/>
  <c r="D631" i="3"/>
  <c r="E631" i="3"/>
  <c r="F631" i="3"/>
  <c r="H631" i="3"/>
  <c r="I631" i="3"/>
  <c r="J631" i="3"/>
  <c r="K631" i="3"/>
  <c r="L631" i="3"/>
  <c r="O631" i="3"/>
  <c r="P631" i="3"/>
  <c r="S631" i="3"/>
  <c r="T631" i="3"/>
  <c r="U631" i="3"/>
  <c r="V631" i="3"/>
  <c r="AE631" i="3"/>
  <c r="AF631" i="3"/>
  <c r="AH631" i="3"/>
  <c r="AJ631" i="3"/>
  <c r="AK631" i="3"/>
  <c r="AM631" i="3"/>
  <c r="AD632" i="3"/>
  <c r="AE632" i="3"/>
  <c r="AF632" i="3"/>
  <c r="AG632" i="3" s="1"/>
  <c r="AH632" i="3"/>
  <c r="AJ632" i="3"/>
  <c r="AK632" i="3"/>
  <c r="AM632" i="3"/>
  <c r="H638" i="3"/>
  <c r="R638" i="3"/>
  <c r="X638" i="3" s="1"/>
  <c r="H639" i="3"/>
  <c r="N639" i="3" s="1"/>
  <c r="AA639" i="3" s="1"/>
  <c r="R639" i="3"/>
  <c r="X639" i="3" s="1"/>
  <c r="H640" i="3"/>
  <c r="N640" i="3" s="1"/>
  <c r="R640" i="3"/>
  <c r="X640" i="3" s="1"/>
  <c r="D642" i="3"/>
  <c r="E642" i="3"/>
  <c r="F642" i="3"/>
  <c r="I642" i="3"/>
  <c r="J642" i="3"/>
  <c r="K642" i="3"/>
  <c r="L642" i="3"/>
  <c r="O642" i="3"/>
  <c r="P642" i="3"/>
  <c r="S642" i="3"/>
  <c r="T642" i="3"/>
  <c r="U642" i="3"/>
  <c r="V642" i="3"/>
  <c r="H645" i="3"/>
  <c r="R645" i="3"/>
  <c r="X645" i="3" s="1"/>
  <c r="H646" i="3"/>
  <c r="N646" i="3" s="1"/>
  <c r="R646" i="3"/>
  <c r="X646" i="3"/>
  <c r="AB646" i="3" s="1"/>
  <c r="H647" i="3"/>
  <c r="N647" i="3" s="1"/>
  <c r="R647" i="3"/>
  <c r="H648" i="3"/>
  <c r="N648" i="3"/>
  <c r="O648" i="3"/>
  <c r="R648" i="3"/>
  <c r="H649" i="3"/>
  <c r="N649" i="3"/>
  <c r="R649" i="3"/>
  <c r="D651" i="3"/>
  <c r="E651" i="3"/>
  <c r="F651" i="3"/>
  <c r="I651" i="3"/>
  <c r="J651" i="3"/>
  <c r="K651" i="3"/>
  <c r="L651" i="3"/>
  <c r="O651" i="3"/>
  <c r="P651" i="3"/>
  <c r="S651" i="3"/>
  <c r="T651" i="3"/>
  <c r="U651" i="3"/>
  <c r="V651" i="3"/>
  <c r="H654" i="3"/>
  <c r="N654" i="3" s="1"/>
  <c r="O654" i="3"/>
  <c r="O660" i="3" s="1"/>
  <c r="R654" i="3"/>
  <c r="X654" i="3" s="1"/>
  <c r="H655" i="3"/>
  <c r="N655" i="3"/>
  <c r="R655" i="3"/>
  <c r="X655" i="3"/>
  <c r="AB655" i="3" s="1"/>
  <c r="Y655" i="3"/>
  <c r="Z655" i="3" s="1"/>
  <c r="H656" i="3"/>
  <c r="N656" i="3" s="1"/>
  <c r="O656" i="3"/>
  <c r="R656" i="3" s="1"/>
  <c r="H657" i="3"/>
  <c r="R657" i="3"/>
  <c r="X657" i="3" s="1"/>
  <c r="C658" i="3"/>
  <c r="H658" i="3"/>
  <c r="N658" i="3"/>
  <c r="R658" i="3"/>
  <c r="D660" i="3"/>
  <c r="E660" i="3"/>
  <c r="F660" i="3"/>
  <c r="I660" i="3"/>
  <c r="J660" i="3"/>
  <c r="K660" i="3"/>
  <c r="L660" i="3"/>
  <c r="P660" i="3"/>
  <c r="S660" i="3"/>
  <c r="T660" i="3"/>
  <c r="U660" i="3"/>
  <c r="V660" i="3"/>
  <c r="R662" i="3"/>
  <c r="H663" i="3"/>
  <c r="R663" i="3"/>
  <c r="X663" i="3"/>
  <c r="D664" i="3"/>
  <c r="E664" i="3"/>
  <c r="H664" i="3" s="1"/>
  <c r="N664" i="3" s="1"/>
  <c r="R664" i="3"/>
  <c r="D665" i="3"/>
  <c r="H665" i="3"/>
  <c r="Y665" i="3"/>
  <c r="R665" i="3"/>
  <c r="X665" i="3"/>
  <c r="H666" i="3"/>
  <c r="N666" i="3" s="1"/>
  <c r="R666" i="3"/>
  <c r="X666" i="3" s="1"/>
  <c r="E668" i="3"/>
  <c r="F668" i="3"/>
  <c r="I668" i="3"/>
  <c r="J668" i="3"/>
  <c r="K668" i="3"/>
  <c r="L668" i="3"/>
  <c r="O668" i="3"/>
  <c r="P668" i="3"/>
  <c r="S668" i="3"/>
  <c r="T668" i="3"/>
  <c r="U668" i="3"/>
  <c r="V668" i="3"/>
  <c r="H671" i="3"/>
  <c r="N671" i="3" s="1"/>
  <c r="R671" i="3"/>
  <c r="X671" i="3" s="1"/>
  <c r="D672" i="3"/>
  <c r="E672" i="3"/>
  <c r="H672" i="3"/>
  <c r="R672" i="3"/>
  <c r="D673" i="3"/>
  <c r="E673" i="3"/>
  <c r="E677" i="3"/>
  <c r="H673" i="3"/>
  <c r="R673" i="3"/>
  <c r="X673" i="3" s="1"/>
  <c r="H674" i="3"/>
  <c r="N674" i="3" s="1"/>
  <c r="R674" i="3"/>
  <c r="X674" i="3" s="1"/>
  <c r="H675" i="3"/>
  <c r="N675" i="3" s="1"/>
  <c r="R675" i="3"/>
  <c r="X675" i="3" s="1"/>
  <c r="F677" i="3"/>
  <c r="I677" i="3"/>
  <c r="J677" i="3"/>
  <c r="K677" i="3"/>
  <c r="L677" i="3"/>
  <c r="O677" i="3"/>
  <c r="P677" i="3"/>
  <c r="S677" i="3"/>
  <c r="T677" i="3"/>
  <c r="U677" i="3"/>
  <c r="V677" i="3"/>
  <c r="H680" i="3"/>
  <c r="R680" i="3"/>
  <c r="X680" i="3" s="1"/>
  <c r="H681" i="3"/>
  <c r="N681" i="3" s="1"/>
  <c r="R681" i="3"/>
  <c r="Y681" i="3" s="1"/>
  <c r="Z681" i="3" s="1"/>
  <c r="H682" i="3"/>
  <c r="N682" i="3" s="1"/>
  <c r="R682" i="3"/>
  <c r="D683" i="3"/>
  <c r="D685" i="3"/>
  <c r="H683" i="3"/>
  <c r="N683" i="3"/>
  <c r="R683" i="3"/>
  <c r="E685" i="3"/>
  <c r="F685" i="3"/>
  <c r="I685" i="3"/>
  <c r="J685" i="3"/>
  <c r="K685" i="3"/>
  <c r="L685" i="3"/>
  <c r="O685" i="3"/>
  <c r="P685" i="3"/>
  <c r="P717" i="3" s="1"/>
  <c r="S685" i="3"/>
  <c r="T685" i="3"/>
  <c r="U685" i="3"/>
  <c r="V685" i="3"/>
  <c r="H690" i="3"/>
  <c r="O690" i="3"/>
  <c r="R690" i="3" s="1"/>
  <c r="H691" i="3"/>
  <c r="N691" i="3" s="1"/>
  <c r="R691" i="3"/>
  <c r="X691" i="3" s="1"/>
  <c r="H692" i="3"/>
  <c r="R692" i="3"/>
  <c r="X692" i="3" s="1"/>
  <c r="D694" i="3"/>
  <c r="E694" i="3"/>
  <c r="F694" i="3"/>
  <c r="I694" i="3"/>
  <c r="J694" i="3"/>
  <c r="K694" i="3"/>
  <c r="L694" i="3"/>
  <c r="O694" i="3"/>
  <c r="P694" i="3"/>
  <c r="S694" i="3"/>
  <c r="T694" i="3"/>
  <c r="U694" i="3"/>
  <c r="V694" i="3"/>
  <c r="H697" i="3"/>
  <c r="N697" i="3" s="1"/>
  <c r="R697" i="3"/>
  <c r="X697" i="3" s="1"/>
  <c r="D698" i="3"/>
  <c r="D701" i="3" s="1"/>
  <c r="E698" i="3"/>
  <c r="H698" i="3" s="1"/>
  <c r="R698" i="3"/>
  <c r="X698" i="3" s="1"/>
  <c r="H699" i="3"/>
  <c r="N699" i="3" s="1"/>
  <c r="R699" i="3"/>
  <c r="F701" i="3"/>
  <c r="I701" i="3"/>
  <c r="J701" i="3"/>
  <c r="K701" i="3"/>
  <c r="L701" i="3"/>
  <c r="O701" i="3"/>
  <c r="P701" i="3"/>
  <c r="S701" i="3"/>
  <c r="T701" i="3"/>
  <c r="U701" i="3"/>
  <c r="V701" i="3"/>
  <c r="H704" i="3"/>
  <c r="N704" i="3"/>
  <c r="R704" i="3"/>
  <c r="Y704" i="3" s="1"/>
  <c r="X704" i="3"/>
  <c r="D705" i="3"/>
  <c r="D708" i="3" s="1"/>
  <c r="E705" i="3"/>
  <c r="E708" i="3" s="1"/>
  <c r="H705" i="3"/>
  <c r="N705" i="3" s="1"/>
  <c r="R705" i="3"/>
  <c r="H706" i="3"/>
  <c r="N706" i="3" s="1"/>
  <c r="R706" i="3"/>
  <c r="AD707" i="3"/>
  <c r="AE707" i="3"/>
  <c r="AF707" i="3"/>
  <c r="AH707" i="3"/>
  <c r="AJ707" i="3"/>
  <c r="AK707" i="3"/>
  <c r="AM707" i="3"/>
  <c r="F708" i="3"/>
  <c r="I708" i="3"/>
  <c r="J708" i="3"/>
  <c r="K708" i="3"/>
  <c r="L708" i="3"/>
  <c r="O708" i="3"/>
  <c r="P708" i="3"/>
  <c r="R708" i="3"/>
  <c r="S708" i="3"/>
  <c r="T708" i="3"/>
  <c r="U708" i="3"/>
  <c r="V708" i="3"/>
  <c r="AD708" i="3"/>
  <c r="AE708" i="3"/>
  <c r="AF708" i="3"/>
  <c r="AH708" i="3"/>
  <c r="AJ708" i="3"/>
  <c r="AK708" i="3"/>
  <c r="AL708" i="3" s="1"/>
  <c r="AN708" i="3" s="1"/>
  <c r="AM708" i="3"/>
  <c r="AF709" i="3"/>
  <c r="AH709" i="3"/>
  <c r="AJ709" i="3"/>
  <c r="AK709" i="3"/>
  <c r="AL709" i="3"/>
  <c r="AN709" i="3" s="1"/>
  <c r="AM709" i="3"/>
  <c r="AE710" i="3"/>
  <c r="AF710" i="3"/>
  <c r="AG710" i="3" s="1"/>
  <c r="AH710" i="3"/>
  <c r="AJ710" i="3"/>
  <c r="AK710" i="3"/>
  <c r="AM710" i="3"/>
  <c r="H711" i="3"/>
  <c r="N711" i="3" s="1"/>
  <c r="R711" i="3"/>
  <c r="AD711" i="3"/>
  <c r="AE711" i="3"/>
  <c r="AF711" i="3"/>
  <c r="AH711" i="3"/>
  <c r="AJ711" i="3"/>
  <c r="AK711" i="3"/>
  <c r="AM711" i="3"/>
  <c r="D712" i="3"/>
  <c r="E712" i="3"/>
  <c r="R712" i="3"/>
  <c r="X712" i="3"/>
  <c r="AD712" i="3"/>
  <c r="AE712" i="3"/>
  <c r="AG712" i="3" s="1"/>
  <c r="AF712" i="3"/>
  <c r="AH712" i="3"/>
  <c r="AJ712" i="3"/>
  <c r="AK712" i="3"/>
  <c r="AL712" i="3" s="1"/>
  <c r="AM712" i="3"/>
  <c r="AD713" i="3"/>
  <c r="AE713" i="3"/>
  <c r="AF713" i="3"/>
  <c r="AG713" i="3" s="1"/>
  <c r="AI713" i="3" s="1"/>
  <c r="AH713" i="3"/>
  <c r="AJ713" i="3"/>
  <c r="AK713" i="3"/>
  <c r="AM713" i="3"/>
  <c r="D714" i="3"/>
  <c r="F714" i="3"/>
  <c r="F717" i="3" s="1"/>
  <c r="F1210" i="3" s="1"/>
  <c r="I714" i="3"/>
  <c r="J714" i="3"/>
  <c r="K714" i="3"/>
  <c r="L714" i="3"/>
  <c r="O714" i="3"/>
  <c r="P714" i="3"/>
  <c r="S714" i="3"/>
  <c r="T714" i="3"/>
  <c r="T717" i="3" s="1"/>
  <c r="T1210" i="3" s="1"/>
  <c r="U714" i="3"/>
  <c r="U717" i="3" s="1"/>
  <c r="V714" i="3"/>
  <c r="AD714" i="3"/>
  <c r="AE714" i="3"/>
  <c r="AF714" i="3"/>
  <c r="AH714" i="3"/>
  <c r="AJ714" i="3"/>
  <c r="AK714" i="3"/>
  <c r="AL714" i="3" s="1"/>
  <c r="AM714" i="3"/>
  <c r="AD715" i="3"/>
  <c r="AE715" i="3"/>
  <c r="AF715" i="3"/>
  <c r="AH715" i="3"/>
  <c r="AJ715" i="3"/>
  <c r="AK715" i="3"/>
  <c r="AM715" i="3"/>
  <c r="AD716" i="3"/>
  <c r="AE716" i="3"/>
  <c r="AF716" i="3"/>
  <c r="AG716" i="3" s="1"/>
  <c r="AH716" i="3"/>
  <c r="AJ716" i="3"/>
  <c r="AK716" i="3"/>
  <c r="AM716" i="3"/>
  <c r="H722" i="3"/>
  <c r="N722" i="3" s="1"/>
  <c r="R722" i="3"/>
  <c r="X722" i="3" s="1"/>
  <c r="H723" i="3"/>
  <c r="N723" i="3" s="1"/>
  <c r="R723" i="3"/>
  <c r="H724" i="3"/>
  <c r="N724" i="3" s="1"/>
  <c r="R724" i="3"/>
  <c r="Y724" i="3" s="1"/>
  <c r="Z724" i="3" s="1"/>
  <c r="D725" i="3"/>
  <c r="H725" i="3"/>
  <c r="N725" i="3" s="1"/>
  <c r="O725" i="3"/>
  <c r="R725" i="3" s="1"/>
  <c r="X725" i="3" s="1"/>
  <c r="D727" i="3"/>
  <c r="E727" i="3"/>
  <c r="F727" i="3"/>
  <c r="I727" i="3"/>
  <c r="J727" i="3"/>
  <c r="K727" i="3"/>
  <c r="L727" i="3"/>
  <c r="P727" i="3"/>
  <c r="P805" i="3" s="1"/>
  <c r="P1212" i="3" s="1"/>
  <c r="S727" i="3"/>
  <c r="T727" i="3"/>
  <c r="U727" i="3"/>
  <c r="V727" i="3"/>
  <c r="V805" i="3" s="1"/>
  <c r="V1212" i="3" s="1"/>
  <c r="H729" i="3"/>
  <c r="R729" i="3"/>
  <c r="X729" i="3" s="1"/>
  <c r="H730" i="3"/>
  <c r="R730" i="3"/>
  <c r="X730" i="3"/>
  <c r="D731" i="3"/>
  <c r="H731" i="3"/>
  <c r="N731" i="3" s="1"/>
  <c r="O731" i="3"/>
  <c r="D732" i="3"/>
  <c r="H732" i="3"/>
  <c r="N732" i="3" s="1"/>
  <c r="R732" i="3"/>
  <c r="X732" i="3" s="1"/>
  <c r="E734" i="3"/>
  <c r="F734" i="3"/>
  <c r="I734" i="3"/>
  <c r="J734" i="3"/>
  <c r="K734" i="3"/>
  <c r="L734" i="3"/>
  <c r="P734" i="3"/>
  <c r="S734" i="3"/>
  <c r="T734" i="3"/>
  <c r="U734" i="3"/>
  <c r="V734" i="3"/>
  <c r="H736" i="3"/>
  <c r="R736" i="3"/>
  <c r="X736" i="3" s="1"/>
  <c r="H737" i="3"/>
  <c r="N737" i="3" s="1"/>
  <c r="R737" i="3"/>
  <c r="X737" i="3"/>
  <c r="H738" i="3"/>
  <c r="N738" i="3" s="1"/>
  <c r="R738" i="3"/>
  <c r="X738" i="3" s="1"/>
  <c r="H739" i="3"/>
  <c r="N739" i="3"/>
  <c r="R739" i="3"/>
  <c r="X739" i="3" s="1"/>
  <c r="D741" i="3"/>
  <c r="E741" i="3"/>
  <c r="F741" i="3"/>
  <c r="I741" i="3"/>
  <c r="J741" i="3"/>
  <c r="K741" i="3"/>
  <c r="L741" i="3"/>
  <c r="O741" i="3"/>
  <c r="P741" i="3"/>
  <c r="S741" i="3"/>
  <c r="T741" i="3"/>
  <c r="U741" i="3"/>
  <c r="V741" i="3"/>
  <c r="H743" i="3"/>
  <c r="N743" i="3" s="1"/>
  <c r="R743" i="3"/>
  <c r="H744" i="3"/>
  <c r="N744" i="3" s="1"/>
  <c r="R744" i="3"/>
  <c r="X744" i="3"/>
  <c r="H745" i="3"/>
  <c r="N745" i="3" s="1"/>
  <c r="R745" i="3"/>
  <c r="H746" i="3"/>
  <c r="N746" i="3" s="1"/>
  <c r="R746" i="3"/>
  <c r="Y746" i="3" s="1"/>
  <c r="Z746" i="3" s="1"/>
  <c r="H747" i="3"/>
  <c r="N747" i="3" s="1"/>
  <c r="R747" i="3"/>
  <c r="D749" i="3"/>
  <c r="E749" i="3"/>
  <c r="F749" i="3"/>
  <c r="H749" i="3"/>
  <c r="I749" i="3"/>
  <c r="J749" i="3"/>
  <c r="K749" i="3"/>
  <c r="L749" i="3"/>
  <c r="O749" i="3"/>
  <c r="P749" i="3"/>
  <c r="S749" i="3"/>
  <c r="T749" i="3"/>
  <c r="U749" i="3"/>
  <c r="V749" i="3"/>
  <c r="D751" i="3"/>
  <c r="H751" i="3"/>
  <c r="N751" i="3" s="1"/>
  <c r="R751" i="3"/>
  <c r="X751" i="3" s="1"/>
  <c r="H752" i="3"/>
  <c r="N752" i="3" s="1"/>
  <c r="R752" i="3"/>
  <c r="H753" i="3"/>
  <c r="N753" i="3" s="1"/>
  <c r="R753" i="3"/>
  <c r="D754" i="3"/>
  <c r="H754" i="3"/>
  <c r="N754" i="3" s="1"/>
  <c r="O754" i="3"/>
  <c r="R754" i="3" s="1"/>
  <c r="X754" i="3" s="1"/>
  <c r="C755" i="3"/>
  <c r="H755" i="3"/>
  <c r="N755" i="3" s="1"/>
  <c r="R755" i="3"/>
  <c r="E757" i="3"/>
  <c r="F757" i="3"/>
  <c r="I757" i="3"/>
  <c r="J757" i="3"/>
  <c r="K757" i="3"/>
  <c r="L757" i="3"/>
  <c r="P757" i="3"/>
  <c r="S757" i="3"/>
  <c r="T757" i="3"/>
  <c r="U757" i="3"/>
  <c r="V757" i="3"/>
  <c r="H759" i="3"/>
  <c r="N759" i="3" s="1"/>
  <c r="R759" i="3"/>
  <c r="X759" i="3"/>
  <c r="Y759" i="3"/>
  <c r="Z759" i="3" s="1"/>
  <c r="H760" i="3"/>
  <c r="N760" i="3"/>
  <c r="R760" i="3"/>
  <c r="X760" i="3" s="1"/>
  <c r="H761" i="3"/>
  <c r="R761" i="3"/>
  <c r="X761" i="3" s="1"/>
  <c r="H762" i="3"/>
  <c r="N762" i="3" s="1"/>
  <c r="R762" i="3"/>
  <c r="D764" i="3"/>
  <c r="E764" i="3"/>
  <c r="F764" i="3"/>
  <c r="I764" i="3"/>
  <c r="J764" i="3"/>
  <c r="K764" i="3"/>
  <c r="L764" i="3"/>
  <c r="O764" i="3"/>
  <c r="P764" i="3"/>
  <c r="S764" i="3"/>
  <c r="T764" i="3"/>
  <c r="U764" i="3"/>
  <c r="V764" i="3"/>
  <c r="D766" i="3"/>
  <c r="H766" i="3"/>
  <c r="N766" i="3" s="1"/>
  <c r="R766" i="3"/>
  <c r="H767" i="3"/>
  <c r="N767" i="3" s="1"/>
  <c r="R767" i="3"/>
  <c r="D768" i="3"/>
  <c r="D772" i="3" s="1"/>
  <c r="H768" i="3"/>
  <c r="N768" i="3" s="1"/>
  <c r="O768" i="3"/>
  <c r="H769" i="3"/>
  <c r="N769" i="3"/>
  <c r="R769" i="3"/>
  <c r="X769" i="3" s="1"/>
  <c r="D770" i="3"/>
  <c r="H770" i="3"/>
  <c r="R770" i="3"/>
  <c r="X770" i="3" s="1"/>
  <c r="E772" i="3"/>
  <c r="F772" i="3"/>
  <c r="I772" i="3"/>
  <c r="J772" i="3"/>
  <c r="K772" i="3"/>
  <c r="L772" i="3"/>
  <c r="P772" i="3"/>
  <c r="S772" i="3"/>
  <c r="T772" i="3"/>
  <c r="U772" i="3"/>
  <c r="V772" i="3"/>
  <c r="H776" i="3"/>
  <c r="N776" i="3"/>
  <c r="R776" i="3"/>
  <c r="H777" i="3"/>
  <c r="N777" i="3" s="1"/>
  <c r="R777" i="3"/>
  <c r="H778" i="3"/>
  <c r="N778" i="3" s="1"/>
  <c r="R778" i="3"/>
  <c r="H779" i="3"/>
  <c r="N779" i="3" s="1"/>
  <c r="R779" i="3"/>
  <c r="Y779" i="3" s="1"/>
  <c r="Z779" i="3" s="1"/>
  <c r="D781" i="3"/>
  <c r="E781" i="3"/>
  <c r="F781" i="3"/>
  <c r="I781" i="3"/>
  <c r="J781" i="3"/>
  <c r="K781" i="3"/>
  <c r="L781" i="3"/>
  <c r="O781" i="3"/>
  <c r="P781" i="3"/>
  <c r="S781" i="3"/>
  <c r="T781" i="3"/>
  <c r="U781" i="3"/>
  <c r="V781" i="3"/>
  <c r="H783" i="3"/>
  <c r="N783" i="3"/>
  <c r="R783" i="3"/>
  <c r="H784" i="3"/>
  <c r="N784" i="3" s="1"/>
  <c r="R784" i="3"/>
  <c r="H785" i="3"/>
  <c r="N785" i="3" s="1"/>
  <c r="R785" i="3"/>
  <c r="D787" i="3"/>
  <c r="E787" i="3"/>
  <c r="F787" i="3"/>
  <c r="I787" i="3"/>
  <c r="J787" i="3"/>
  <c r="K787" i="3"/>
  <c r="L787" i="3"/>
  <c r="O787" i="3"/>
  <c r="P787" i="3"/>
  <c r="S787" i="3"/>
  <c r="T787" i="3"/>
  <c r="U787" i="3"/>
  <c r="V787" i="3"/>
  <c r="H789" i="3"/>
  <c r="N789" i="3" s="1"/>
  <c r="R789" i="3"/>
  <c r="X789" i="3" s="1"/>
  <c r="H790" i="3"/>
  <c r="R790" i="3"/>
  <c r="X790" i="3" s="1"/>
  <c r="H791" i="3"/>
  <c r="N791" i="3" s="1"/>
  <c r="R791" i="3"/>
  <c r="N792" i="3"/>
  <c r="R792" i="3"/>
  <c r="N793" i="3"/>
  <c r="R793" i="3"/>
  <c r="D795" i="3"/>
  <c r="E795" i="3"/>
  <c r="F795" i="3"/>
  <c r="I795" i="3"/>
  <c r="J795" i="3"/>
  <c r="K795" i="3"/>
  <c r="L795" i="3"/>
  <c r="O795" i="3"/>
  <c r="P795" i="3"/>
  <c r="S795" i="3"/>
  <c r="T795" i="3"/>
  <c r="U795" i="3"/>
  <c r="V795" i="3"/>
  <c r="AD796" i="3"/>
  <c r="AE796" i="3"/>
  <c r="AF796" i="3"/>
  <c r="AH796" i="3"/>
  <c r="AJ796" i="3"/>
  <c r="AL796" i="3" s="1"/>
  <c r="AK796" i="3"/>
  <c r="AM796" i="3"/>
  <c r="AD797" i="3"/>
  <c r="AE797" i="3"/>
  <c r="AF797" i="3"/>
  <c r="AH797" i="3"/>
  <c r="AJ797" i="3"/>
  <c r="AK797" i="3"/>
  <c r="AM797" i="3"/>
  <c r="AD798" i="3"/>
  <c r="AE798" i="3"/>
  <c r="AF798" i="3"/>
  <c r="AH798" i="3"/>
  <c r="AJ798" i="3"/>
  <c r="AK798" i="3"/>
  <c r="AM798" i="3"/>
  <c r="H799" i="3"/>
  <c r="R799" i="3"/>
  <c r="X799" i="3"/>
  <c r="AE799" i="3"/>
  <c r="AF799" i="3"/>
  <c r="AH799" i="3"/>
  <c r="AK799" i="3"/>
  <c r="AM799" i="3"/>
  <c r="H800" i="3"/>
  <c r="N800" i="3" s="1"/>
  <c r="R800" i="3"/>
  <c r="R803" i="3" s="1"/>
  <c r="AE800" i="3"/>
  <c r="AF800" i="3"/>
  <c r="AH800" i="3"/>
  <c r="AJ800" i="3"/>
  <c r="AL800" i="3" s="1"/>
  <c r="AN800" i="3" s="1"/>
  <c r="AK800" i="3"/>
  <c r="AM800" i="3"/>
  <c r="H801" i="3"/>
  <c r="N801" i="3" s="1"/>
  <c r="R801" i="3"/>
  <c r="X801" i="3" s="1"/>
  <c r="Y801" i="3"/>
  <c r="Z801" i="3" s="1"/>
  <c r="AD801" i="3"/>
  <c r="AE801" i="3"/>
  <c r="AF801" i="3"/>
  <c r="AH801" i="3"/>
  <c r="AJ801" i="3"/>
  <c r="AL801" i="3" s="1"/>
  <c r="AK801" i="3"/>
  <c r="AM801" i="3"/>
  <c r="V1148" i="3" s="1"/>
  <c r="AD802" i="3"/>
  <c r="AE802" i="3"/>
  <c r="AF802" i="3"/>
  <c r="AH802" i="3"/>
  <c r="L1149" i="3" s="1"/>
  <c r="AJ802" i="3"/>
  <c r="AL802" i="3" s="1"/>
  <c r="AK802" i="3"/>
  <c r="AM802" i="3"/>
  <c r="D803" i="3"/>
  <c r="E803" i="3"/>
  <c r="F803" i="3"/>
  <c r="I803" i="3"/>
  <c r="J803" i="3"/>
  <c r="K803" i="3"/>
  <c r="L803" i="3"/>
  <c r="O803" i="3"/>
  <c r="P803" i="3"/>
  <c r="S803" i="3"/>
  <c r="T803" i="3"/>
  <c r="U803" i="3"/>
  <c r="V803" i="3"/>
  <c r="AD803" i="3"/>
  <c r="AE803" i="3"/>
  <c r="AF803" i="3"/>
  <c r="AH803" i="3"/>
  <c r="AJ803" i="3"/>
  <c r="AK803" i="3"/>
  <c r="AM803" i="3"/>
  <c r="AD804" i="3"/>
  <c r="AE804" i="3"/>
  <c r="AG804" i="3" s="1"/>
  <c r="H1142" i="3" s="1"/>
  <c r="AF804" i="3"/>
  <c r="AH804" i="3"/>
  <c r="AJ804" i="3"/>
  <c r="AL804" i="3" s="1"/>
  <c r="AK804" i="3"/>
  <c r="AM804" i="3"/>
  <c r="H811" i="3"/>
  <c r="O811" i="3"/>
  <c r="R811" i="3" s="1"/>
  <c r="X811" i="3" s="1"/>
  <c r="D812" i="3"/>
  <c r="AD850" i="3" s="1"/>
  <c r="E812" i="3"/>
  <c r="H812" i="3" s="1"/>
  <c r="N812" i="3" s="1"/>
  <c r="R812" i="3"/>
  <c r="X812" i="3" s="1"/>
  <c r="H813" i="3"/>
  <c r="N813" i="3" s="1"/>
  <c r="R813" i="3"/>
  <c r="X813" i="3" s="1"/>
  <c r="H814" i="3"/>
  <c r="N814" i="3" s="1"/>
  <c r="R814" i="3"/>
  <c r="X814" i="3" s="1"/>
  <c r="H815" i="3"/>
  <c r="N815" i="3" s="1"/>
  <c r="R815" i="3"/>
  <c r="X815" i="3" s="1"/>
  <c r="D817" i="3"/>
  <c r="E817" i="3"/>
  <c r="F817" i="3"/>
  <c r="I817" i="3"/>
  <c r="J817" i="3"/>
  <c r="K817" i="3"/>
  <c r="L817" i="3"/>
  <c r="P817" i="3"/>
  <c r="S817" i="3"/>
  <c r="T817" i="3"/>
  <c r="U817" i="3"/>
  <c r="V817" i="3"/>
  <c r="D819" i="3"/>
  <c r="O819" i="3"/>
  <c r="R819" i="3" s="1"/>
  <c r="H820" i="3"/>
  <c r="Y820" i="3" s="1"/>
  <c r="R820" i="3"/>
  <c r="X820" i="3"/>
  <c r="H821" i="3"/>
  <c r="N821" i="3" s="1"/>
  <c r="R821" i="3"/>
  <c r="X821" i="3" s="1"/>
  <c r="D822" i="3"/>
  <c r="D825" i="3" s="1"/>
  <c r="H822" i="3"/>
  <c r="N822" i="3" s="1"/>
  <c r="R822" i="3"/>
  <c r="X822" i="3"/>
  <c r="Y822" i="3"/>
  <c r="H823" i="3"/>
  <c r="N823" i="3" s="1"/>
  <c r="AB823" i="3" s="1"/>
  <c r="R823" i="3"/>
  <c r="X823" i="3" s="1"/>
  <c r="E825" i="3"/>
  <c r="F825" i="3"/>
  <c r="I825" i="3"/>
  <c r="J825" i="3"/>
  <c r="K825" i="3"/>
  <c r="L825" i="3"/>
  <c r="O825" i="3"/>
  <c r="P825" i="3"/>
  <c r="R825" i="3"/>
  <c r="S825" i="3"/>
  <c r="T825" i="3"/>
  <c r="U825" i="3"/>
  <c r="V825" i="3"/>
  <c r="V856" i="3" s="1"/>
  <c r="V1214" i="3" s="1"/>
  <c r="B826" i="3"/>
  <c r="R827" i="3"/>
  <c r="H828" i="3"/>
  <c r="R828" i="3"/>
  <c r="X828" i="3" s="1"/>
  <c r="H829" i="3"/>
  <c r="N829" i="3" s="1"/>
  <c r="R829" i="3"/>
  <c r="H830" i="3"/>
  <c r="N830" i="3" s="1"/>
  <c r="R830" i="3"/>
  <c r="X830" i="3" s="1"/>
  <c r="Y830" i="3"/>
  <c r="Z830" i="3" s="1"/>
  <c r="H831" i="3"/>
  <c r="N831" i="3" s="1"/>
  <c r="R831" i="3"/>
  <c r="H832" i="3"/>
  <c r="R832" i="3"/>
  <c r="X832" i="3" s="1"/>
  <c r="D834" i="3"/>
  <c r="E834" i="3"/>
  <c r="F834" i="3"/>
  <c r="I834" i="3"/>
  <c r="J834" i="3"/>
  <c r="K834" i="3"/>
  <c r="L834" i="3"/>
  <c r="O834" i="3"/>
  <c r="P834" i="3"/>
  <c r="S834" i="3"/>
  <c r="T834" i="3"/>
  <c r="U834" i="3"/>
  <c r="V834" i="3"/>
  <c r="R836" i="3"/>
  <c r="D839" i="3"/>
  <c r="H839" i="3"/>
  <c r="N839" i="3" s="1"/>
  <c r="R839" i="3"/>
  <c r="D840" i="3"/>
  <c r="E840" i="3"/>
  <c r="R840" i="3"/>
  <c r="X840" i="3" s="1"/>
  <c r="D841" i="3"/>
  <c r="H841" i="3"/>
  <c r="N841" i="3" s="1"/>
  <c r="R841" i="3"/>
  <c r="Y841" i="3" s="1"/>
  <c r="H842" i="3"/>
  <c r="N842" i="3" s="1"/>
  <c r="R842" i="3"/>
  <c r="Y842" i="3" s="1"/>
  <c r="Z842" i="3" s="1"/>
  <c r="X842" i="3"/>
  <c r="F844" i="3"/>
  <c r="I844" i="3"/>
  <c r="J844" i="3"/>
  <c r="K844" i="3"/>
  <c r="L844" i="3"/>
  <c r="O844" i="3"/>
  <c r="P844" i="3"/>
  <c r="S844" i="3"/>
  <c r="T844" i="3"/>
  <c r="U844" i="3"/>
  <c r="V844" i="3"/>
  <c r="R846" i="3"/>
  <c r="D847" i="3"/>
  <c r="H847" i="3"/>
  <c r="O847" i="3"/>
  <c r="R847" i="3"/>
  <c r="X847" i="3" s="1"/>
  <c r="H848" i="3"/>
  <c r="N848" i="3" s="1"/>
  <c r="R848" i="3"/>
  <c r="D849" i="3"/>
  <c r="H849" i="3"/>
  <c r="N849" i="3" s="1"/>
  <c r="R849" i="3"/>
  <c r="AE849" i="3"/>
  <c r="AF849" i="3"/>
  <c r="AH849" i="3"/>
  <c r="AK849" i="3"/>
  <c r="AM849" i="3"/>
  <c r="H850" i="3"/>
  <c r="R850" i="3"/>
  <c r="X850" i="3" s="1"/>
  <c r="AF850" i="3"/>
  <c r="AH850" i="3"/>
  <c r="AJ850" i="3"/>
  <c r="AK850" i="3"/>
  <c r="AM850" i="3"/>
  <c r="H851" i="3"/>
  <c r="N851" i="3" s="1"/>
  <c r="R851" i="3"/>
  <c r="AE851" i="3"/>
  <c r="AF851" i="3"/>
  <c r="AH851" i="3"/>
  <c r="AJ851" i="3"/>
  <c r="AK851" i="3"/>
  <c r="AM851" i="3"/>
  <c r="AD852" i="3"/>
  <c r="AE852" i="3"/>
  <c r="AG852" i="3" s="1"/>
  <c r="AF852" i="3"/>
  <c r="AH852" i="3"/>
  <c r="AJ852" i="3"/>
  <c r="AL852" i="3" s="1"/>
  <c r="AN852" i="3" s="1"/>
  <c r="AK852" i="3"/>
  <c r="AM852" i="3"/>
  <c r="E853" i="3"/>
  <c r="F853" i="3"/>
  <c r="I853" i="3"/>
  <c r="J853" i="3"/>
  <c r="K853" i="3"/>
  <c r="K856" i="3" s="1"/>
  <c r="K1214" i="3" s="1"/>
  <c r="L853" i="3"/>
  <c r="O853" i="3"/>
  <c r="P853" i="3"/>
  <c r="S853" i="3"/>
  <c r="T853" i="3"/>
  <c r="U853" i="3"/>
  <c r="U856" i="3" s="1"/>
  <c r="U1214" i="3" s="1"/>
  <c r="V853" i="3"/>
  <c r="AD853" i="3"/>
  <c r="AE853" i="3"/>
  <c r="AG853" i="3" s="1"/>
  <c r="AI853" i="3" s="1"/>
  <c r="AF853" i="3"/>
  <c r="AH853" i="3"/>
  <c r="AJ853" i="3"/>
  <c r="AL853" i="3" s="1"/>
  <c r="AN853" i="3" s="1"/>
  <c r="AK853" i="3"/>
  <c r="AM853" i="3"/>
  <c r="AD854" i="3"/>
  <c r="AE854" i="3"/>
  <c r="AF854" i="3"/>
  <c r="AH854" i="3"/>
  <c r="AJ854" i="3"/>
  <c r="AL854" i="3" s="1"/>
  <c r="AK854" i="3"/>
  <c r="AM854" i="3"/>
  <c r="AD855" i="3"/>
  <c r="AE855" i="3"/>
  <c r="AF855" i="3"/>
  <c r="AH855" i="3"/>
  <c r="AJ855" i="3"/>
  <c r="AK855" i="3"/>
  <c r="AM855" i="3"/>
  <c r="AM856" i="3" s="1"/>
  <c r="P856" i="3"/>
  <c r="H861" i="3"/>
  <c r="N861" i="3" s="1"/>
  <c r="R861" i="3"/>
  <c r="X861" i="3"/>
  <c r="Y861" i="3"/>
  <c r="H862" i="3"/>
  <c r="R862" i="3"/>
  <c r="X862" i="3"/>
  <c r="H863" i="3"/>
  <c r="N863" i="3" s="1"/>
  <c r="R863" i="3"/>
  <c r="X863" i="3" s="1"/>
  <c r="Y863" i="3"/>
  <c r="Z863" i="3" s="1"/>
  <c r="H864" i="3"/>
  <c r="N864" i="3" s="1"/>
  <c r="AB864" i="3" s="1"/>
  <c r="R864" i="3"/>
  <c r="X864" i="3"/>
  <c r="Y864" i="3"/>
  <c r="Z864" i="3" s="1"/>
  <c r="D866" i="3"/>
  <c r="E866" i="3"/>
  <c r="F866" i="3"/>
  <c r="I866" i="3"/>
  <c r="J866" i="3"/>
  <c r="K866" i="3"/>
  <c r="L866" i="3"/>
  <c r="O866" i="3"/>
  <c r="P866" i="3"/>
  <c r="R866" i="3"/>
  <c r="S866" i="3"/>
  <c r="T866" i="3"/>
  <c r="U866" i="3"/>
  <c r="V866" i="3"/>
  <c r="H868" i="3"/>
  <c r="R868" i="3"/>
  <c r="H869" i="3"/>
  <c r="N869" i="3" s="1"/>
  <c r="O869" i="3"/>
  <c r="D870" i="3"/>
  <c r="H870" i="3"/>
  <c r="N870" i="3"/>
  <c r="R870" i="3"/>
  <c r="X870" i="3" s="1"/>
  <c r="E872" i="3"/>
  <c r="F872" i="3"/>
  <c r="I872" i="3"/>
  <c r="J872" i="3"/>
  <c r="K872" i="3"/>
  <c r="L872" i="3"/>
  <c r="P872" i="3"/>
  <c r="S872" i="3"/>
  <c r="T872" i="3"/>
  <c r="U872" i="3"/>
  <c r="V872" i="3"/>
  <c r="H875" i="3"/>
  <c r="N875" i="3" s="1"/>
  <c r="R875" i="3"/>
  <c r="X875" i="3" s="1"/>
  <c r="H876" i="3"/>
  <c r="N876" i="3"/>
  <c r="R876" i="3"/>
  <c r="X876" i="3" s="1"/>
  <c r="H877" i="3"/>
  <c r="R877" i="3"/>
  <c r="X877" i="3" s="1"/>
  <c r="D878" i="3"/>
  <c r="H878" i="3"/>
  <c r="N878" i="3" s="1"/>
  <c r="O878" i="3"/>
  <c r="D879" i="3"/>
  <c r="H879" i="3"/>
  <c r="N879" i="3" s="1"/>
  <c r="O879" i="3"/>
  <c r="R879" i="3" s="1"/>
  <c r="X879" i="3" s="1"/>
  <c r="D880" i="3"/>
  <c r="H880" i="3"/>
  <c r="N880" i="3" s="1"/>
  <c r="R880" i="3"/>
  <c r="E882" i="3"/>
  <c r="F882" i="3"/>
  <c r="H882" i="3"/>
  <c r="I882" i="3"/>
  <c r="J882" i="3"/>
  <c r="K882" i="3"/>
  <c r="L882" i="3"/>
  <c r="P882" i="3"/>
  <c r="S882" i="3"/>
  <c r="T882" i="3"/>
  <c r="U882" i="3"/>
  <c r="V882" i="3"/>
  <c r="H886" i="3"/>
  <c r="N886" i="3" s="1"/>
  <c r="R886" i="3"/>
  <c r="H887" i="3"/>
  <c r="N887" i="3" s="1"/>
  <c r="R887" i="3"/>
  <c r="H888" i="3"/>
  <c r="N888" i="3" s="1"/>
  <c r="R888" i="3"/>
  <c r="H889" i="3"/>
  <c r="N889" i="3" s="1"/>
  <c r="R889" i="3"/>
  <c r="D891" i="3"/>
  <c r="E891" i="3"/>
  <c r="F891" i="3"/>
  <c r="I891" i="3"/>
  <c r="J891" i="3"/>
  <c r="K891" i="3"/>
  <c r="L891" i="3"/>
  <c r="O891" i="3"/>
  <c r="P891" i="3"/>
  <c r="S891" i="3"/>
  <c r="T891" i="3"/>
  <c r="U891" i="3"/>
  <c r="V891" i="3"/>
  <c r="H893" i="3"/>
  <c r="N893" i="3" s="1"/>
  <c r="O893" i="3"/>
  <c r="R893" i="3" s="1"/>
  <c r="X893" i="3" s="1"/>
  <c r="H894" i="3"/>
  <c r="N894" i="3"/>
  <c r="O894" i="3"/>
  <c r="R894" i="3" s="1"/>
  <c r="X894" i="3" s="1"/>
  <c r="H895" i="3"/>
  <c r="N895" i="3" s="1"/>
  <c r="R895" i="3"/>
  <c r="Y895" i="3" s="1"/>
  <c r="Z895" i="3" s="1"/>
  <c r="H896" i="3"/>
  <c r="N896" i="3" s="1"/>
  <c r="R896" i="3"/>
  <c r="H897" i="3"/>
  <c r="N897" i="3" s="1"/>
  <c r="R897" i="3"/>
  <c r="H898" i="3"/>
  <c r="N898" i="3" s="1"/>
  <c r="R898" i="3"/>
  <c r="Y898" i="3"/>
  <c r="Z898" i="3" s="1"/>
  <c r="X898" i="3"/>
  <c r="D900" i="3"/>
  <c r="E900" i="3"/>
  <c r="F900" i="3"/>
  <c r="I900" i="3"/>
  <c r="J900" i="3"/>
  <c r="K900" i="3"/>
  <c r="L900" i="3"/>
  <c r="P900" i="3"/>
  <c r="S900" i="3"/>
  <c r="T900" i="3"/>
  <c r="U900" i="3"/>
  <c r="V900" i="3"/>
  <c r="H904" i="3"/>
  <c r="R904" i="3"/>
  <c r="H905" i="3"/>
  <c r="N905" i="3"/>
  <c r="R905" i="3"/>
  <c r="H906" i="3"/>
  <c r="N906" i="3" s="1"/>
  <c r="R906" i="3"/>
  <c r="H907" i="3"/>
  <c r="N907" i="3"/>
  <c r="R907" i="3"/>
  <c r="H908" i="3"/>
  <c r="N908" i="3" s="1"/>
  <c r="R908" i="3"/>
  <c r="D910" i="3"/>
  <c r="E910" i="3"/>
  <c r="F910" i="3"/>
  <c r="I910" i="3"/>
  <c r="J910" i="3"/>
  <c r="K910" i="3"/>
  <c r="L910" i="3"/>
  <c r="O910" i="3"/>
  <c r="P910" i="3"/>
  <c r="S910" i="3"/>
  <c r="T910" i="3"/>
  <c r="U910" i="3"/>
  <c r="V910" i="3"/>
  <c r="R912" i="3"/>
  <c r="Y912" i="3"/>
  <c r="AD913" i="3"/>
  <c r="AE913" i="3"/>
  <c r="AG913" i="3" s="1"/>
  <c r="AF913" i="3"/>
  <c r="AH913" i="3"/>
  <c r="AJ913" i="3"/>
  <c r="AK913" i="3"/>
  <c r="AM913" i="3"/>
  <c r="H914" i="3"/>
  <c r="N914" i="3" s="1"/>
  <c r="R914" i="3"/>
  <c r="X914" i="3" s="1"/>
  <c r="AD914" i="3"/>
  <c r="AE914" i="3"/>
  <c r="AF914" i="3"/>
  <c r="AH914" i="3"/>
  <c r="AJ914" i="3"/>
  <c r="AK914" i="3"/>
  <c r="AL914" i="3" s="1"/>
  <c r="AM914" i="3"/>
  <c r="H915" i="3"/>
  <c r="N915" i="3" s="1"/>
  <c r="R915" i="3"/>
  <c r="AD915" i="3"/>
  <c r="AE915" i="3"/>
  <c r="AF915" i="3"/>
  <c r="AH915" i="3"/>
  <c r="AJ915" i="3"/>
  <c r="AK915" i="3"/>
  <c r="AM915" i="3"/>
  <c r="H916" i="3"/>
  <c r="N916" i="3"/>
  <c r="R916" i="3"/>
  <c r="AD916" i="3"/>
  <c r="AE916" i="3"/>
  <c r="AG916" i="3" s="1"/>
  <c r="AF916" i="3"/>
  <c r="AH916" i="3"/>
  <c r="AK916" i="3"/>
  <c r="AM916" i="3"/>
  <c r="AE917" i="3"/>
  <c r="AF917" i="3"/>
  <c r="AG917" i="3"/>
  <c r="AI917" i="3" s="1"/>
  <c r="AH917" i="3"/>
  <c r="AJ917" i="3"/>
  <c r="AK917" i="3"/>
  <c r="AL917" i="3" s="1"/>
  <c r="AN917" i="3" s="1"/>
  <c r="AM917" i="3"/>
  <c r="D918" i="3"/>
  <c r="E918" i="3"/>
  <c r="F918" i="3"/>
  <c r="I918" i="3"/>
  <c r="J918" i="3"/>
  <c r="K918" i="3"/>
  <c r="L918" i="3"/>
  <c r="O918" i="3"/>
  <c r="P918" i="3"/>
  <c r="S918" i="3"/>
  <c r="T918" i="3"/>
  <c r="U918" i="3"/>
  <c r="V918" i="3"/>
  <c r="AD918" i="3"/>
  <c r="AE918" i="3"/>
  <c r="AF918" i="3"/>
  <c r="AG918" i="3" s="1"/>
  <c r="AH918" i="3"/>
  <c r="AK918" i="3"/>
  <c r="AM918" i="3"/>
  <c r="AE919" i="3"/>
  <c r="AF919" i="3"/>
  <c r="AH919" i="3"/>
  <c r="AJ919" i="3"/>
  <c r="AL919" i="3"/>
  <c r="AN919" i="3" s="1"/>
  <c r="AK919" i="3"/>
  <c r="AM919" i="3"/>
  <c r="H920" i="3"/>
  <c r="R920" i="3"/>
  <c r="Y920" i="3" s="1"/>
  <c r="AD920" i="3"/>
  <c r="AE920" i="3"/>
  <c r="AF920" i="3"/>
  <c r="AH920" i="3"/>
  <c r="L1147" i="3" s="1"/>
  <c r="AJ920" i="3"/>
  <c r="AL920" i="3" s="1"/>
  <c r="AK920" i="3"/>
  <c r="AM920" i="3"/>
  <c r="H921" i="3"/>
  <c r="N921" i="3" s="1"/>
  <c r="R921" i="3"/>
  <c r="AD921" i="3"/>
  <c r="AE921" i="3"/>
  <c r="AF921" i="3"/>
  <c r="AH921" i="3"/>
  <c r="AK921" i="3"/>
  <c r="AM921" i="3"/>
  <c r="AD922" i="3"/>
  <c r="AE922" i="3"/>
  <c r="AF922" i="3"/>
  <c r="AG922" i="3" s="1"/>
  <c r="AH922" i="3"/>
  <c r="AJ922" i="3"/>
  <c r="AK922" i="3"/>
  <c r="AM922" i="3"/>
  <c r="D923" i="3"/>
  <c r="E923" i="3"/>
  <c r="F923" i="3"/>
  <c r="I923" i="3"/>
  <c r="J923" i="3"/>
  <c r="K923" i="3"/>
  <c r="L923" i="3"/>
  <c r="O923" i="3"/>
  <c r="P923" i="3"/>
  <c r="S923" i="3"/>
  <c r="T923" i="3"/>
  <c r="U923" i="3"/>
  <c r="V923" i="3"/>
  <c r="AD923" i="3"/>
  <c r="AE923" i="3"/>
  <c r="AF923" i="3"/>
  <c r="F1133" i="3" s="1"/>
  <c r="AH923" i="3"/>
  <c r="L1133" i="3" s="1"/>
  <c r="AJ923" i="3"/>
  <c r="AK923" i="3"/>
  <c r="AM923" i="3"/>
  <c r="V1133" i="3" s="1"/>
  <c r="AD924" i="3"/>
  <c r="AE924" i="3"/>
  <c r="AF924" i="3"/>
  <c r="AH924" i="3"/>
  <c r="L1159" i="3" s="1"/>
  <c r="AJ924" i="3"/>
  <c r="AK924" i="3"/>
  <c r="AM924" i="3"/>
  <c r="J925" i="3"/>
  <c r="J1216" i="3" s="1"/>
  <c r="H930" i="3"/>
  <c r="N930" i="3" s="1"/>
  <c r="R930" i="3"/>
  <c r="H931" i="3"/>
  <c r="N931" i="3"/>
  <c r="R931" i="3"/>
  <c r="H932" i="3"/>
  <c r="N932" i="3" s="1"/>
  <c r="R932" i="3"/>
  <c r="D934" i="3"/>
  <c r="E934" i="3"/>
  <c r="F934" i="3"/>
  <c r="I934" i="3"/>
  <c r="J934" i="3"/>
  <c r="K934" i="3"/>
  <c r="L934" i="3"/>
  <c r="O934" i="3"/>
  <c r="P934" i="3"/>
  <c r="S934" i="3"/>
  <c r="T934" i="3"/>
  <c r="U934" i="3"/>
  <c r="V934" i="3"/>
  <c r="H936" i="3"/>
  <c r="N936" i="3" s="1"/>
  <c r="R936" i="3"/>
  <c r="X936" i="3" s="1"/>
  <c r="Y936" i="3"/>
  <c r="H937" i="3"/>
  <c r="N937" i="3" s="1"/>
  <c r="R937" i="3"/>
  <c r="H938" i="3"/>
  <c r="N938" i="3"/>
  <c r="R938" i="3"/>
  <c r="Y938" i="3" s="1"/>
  <c r="Z938" i="3" s="1"/>
  <c r="X938" i="3"/>
  <c r="H939" i="3"/>
  <c r="R939" i="3"/>
  <c r="X939" i="3" s="1"/>
  <c r="H940" i="3"/>
  <c r="N940" i="3" s="1"/>
  <c r="R940" i="3"/>
  <c r="X940" i="3" s="1"/>
  <c r="D942" i="3"/>
  <c r="E942" i="3"/>
  <c r="F942" i="3"/>
  <c r="I942" i="3"/>
  <c r="J942" i="3"/>
  <c r="K942" i="3"/>
  <c r="L942" i="3"/>
  <c r="O942" i="3"/>
  <c r="P942" i="3"/>
  <c r="S942" i="3"/>
  <c r="T942" i="3"/>
  <c r="U942" i="3"/>
  <c r="V942" i="3"/>
  <c r="H944" i="3"/>
  <c r="R944" i="3"/>
  <c r="X944" i="3" s="1"/>
  <c r="H945" i="3"/>
  <c r="N945" i="3" s="1"/>
  <c r="R945" i="3"/>
  <c r="X945" i="3" s="1"/>
  <c r="H946" i="3"/>
  <c r="N946" i="3" s="1"/>
  <c r="R946" i="3"/>
  <c r="X946" i="3" s="1"/>
  <c r="Y946" i="3"/>
  <c r="Z946" i="3" s="1"/>
  <c r="D947" i="3"/>
  <c r="AD967" i="3" s="1"/>
  <c r="E947" i="3"/>
  <c r="H947" i="3" s="1"/>
  <c r="N947" i="3" s="1"/>
  <c r="R947" i="3"/>
  <c r="H948" i="3"/>
  <c r="N948" i="3"/>
  <c r="R948" i="3"/>
  <c r="H949" i="3"/>
  <c r="N949" i="3" s="1"/>
  <c r="R949" i="3"/>
  <c r="E951" i="3"/>
  <c r="F951" i="3"/>
  <c r="I951" i="3"/>
  <c r="J951" i="3"/>
  <c r="K951" i="3"/>
  <c r="L951" i="3"/>
  <c r="O951" i="3"/>
  <c r="P951" i="3"/>
  <c r="S951" i="3"/>
  <c r="T951" i="3"/>
  <c r="U951" i="3"/>
  <c r="V951" i="3"/>
  <c r="D953" i="3"/>
  <c r="H953" i="3"/>
  <c r="N953" i="3" s="1"/>
  <c r="O953" i="3"/>
  <c r="H954" i="3"/>
  <c r="N954" i="3" s="1"/>
  <c r="R954" i="3"/>
  <c r="E956" i="3"/>
  <c r="F956" i="3"/>
  <c r="F976" i="3" s="1"/>
  <c r="F1218" i="3" s="1"/>
  <c r="I956" i="3"/>
  <c r="J956" i="3"/>
  <c r="K956" i="3"/>
  <c r="L956" i="3"/>
  <c r="L976" i="3" s="1"/>
  <c r="L1218" i="3" s="1"/>
  <c r="P956" i="3"/>
  <c r="S956" i="3"/>
  <c r="T956" i="3"/>
  <c r="U956" i="3"/>
  <c r="V956" i="3"/>
  <c r="B957" i="3"/>
  <c r="R958" i="3"/>
  <c r="H960" i="3"/>
  <c r="N960" i="3" s="1"/>
  <c r="O960" i="3"/>
  <c r="R960" i="3" s="1"/>
  <c r="R962" i="3"/>
  <c r="H963" i="3"/>
  <c r="N963" i="3" s="1"/>
  <c r="R963" i="3"/>
  <c r="H964" i="3"/>
  <c r="N964" i="3" s="1"/>
  <c r="R964" i="3"/>
  <c r="H965" i="3"/>
  <c r="N965" i="3"/>
  <c r="O965" i="3"/>
  <c r="R965" i="3"/>
  <c r="D966" i="3"/>
  <c r="AD975" i="3" s="1"/>
  <c r="H966" i="3"/>
  <c r="R966" i="3"/>
  <c r="AE967" i="3"/>
  <c r="AF967" i="3"/>
  <c r="AG967" i="3"/>
  <c r="AH967" i="3"/>
  <c r="AJ967" i="3"/>
  <c r="AK967" i="3"/>
  <c r="AM967" i="3"/>
  <c r="E968" i="3"/>
  <c r="F968" i="3"/>
  <c r="I968" i="3"/>
  <c r="J968" i="3"/>
  <c r="K968" i="3"/>
  <c r="L968" i="3"/>
  <c r="O968" i="3"/>
  <c r="P968" i="3"/>
  <c r="S968" i="3"/>
  <c r="T968" i="3"/>
  <c r="U968" i="3"/>
  <c r="V968" i="3"/>
  <c r="AD968" i="3"/>
  <c r="AE968" i="3"/>
  <c r="AF968" i="3"/>
  <c r="AH968" i="3"/>
  <c r="L1136" i="3" s="1"/>
  <c r="AJ968" i="3"/>
  <c r="AK968" i="3"/>
  <c r="AL968" i="3" s="1"/>
  <c r="AM968" i="3"/>
  <c r="AE969" i="3"/>
  <c r="AF969" i="3"/>
  <c r="AH969" i="3"/>
  <c r="AK969" i="3"/>
  <c r="AM969" i="3"/>
  <c r="D970" i="3"/>
  <c r="H970" i="3"/>
  <c r="O970" i="3"/>
  <c r="R970" i="3" s="1"/>
  <c r="X970" i="3" s="1"/>
  <c r="AD970" i="3"/>
  <c r="AE970" i="3"/>
  <c r="AF970" i="3"/>
  <c r="AH970" i="3"/>
  <c r="AJ970" i="3"/>
  <c r="AK970" i="3"/>
  <c r="AM970" i="3"/>
  <c r="D971" i="3"/>
  <c r="H971" i="3"/>
  <c r="N971" i="3" s="1"/>
  <c r="O971" i="3"/>
  <c r="R971" i="3" s="1"/>
  <c r="X971" i="3" s="1"/>
  <c r="AD971" i="3"/>
  <c r="AE971" i="3"/>
  <c r="AG971" i="3" s="1"/>
  <c r="AF971" i="3"/>
  <c r="AH971" i="3"/>
  <c r="AJ971" i="3"/>
  <c r="AK971" i="3"/>
  <c r="AL971" i="3" s="1"/>
  <c r="AM971" i="3"/>
  <c r="H972" i="3"/>
  <c r="N972" i="3" s="1"/>
  <c r="O972" i="3"/>
  <c r="R972" i="3" s="1"/>
  <c r="AD972" i="3"/>
  <c r="AE972" i="3"/>
  <c r="AF972" i="3"/>
  <c r="AH972" i="3"/>
  <c r="AJ972" i="3"/>
  <c r="AK972" i="3"/>
  <c r="AM972" i="3"/>
  <c r="AD973" i="3"/>
  <c r="AE973" i="3"/>
  <c r="AF973" i="3"/>
  <c r="AH973" i="3"/>
  <c r="AJ973" i="3"/>
  <c r="AK973" i="3"/>
  <c r="AL973" i="3" s="1"/>
  <c r="AN973" i="3" s="1"/>
  <c r="AM973" i="3"/>
  <c r="E974" i="3"/>
  <c r="F974" i="3"/>
  <c r="I974" i="3"/>
  <c r="J974" i="3"/>
  <c r="K974" i="3"/>
  <c r="L974" i="3"/>
  <c r="P974" i="3"/>
  <c r="S974" i="3"/>
  <c r="T974" i="3"/>
  <c r="U974" i="3"/>
  <c r="V974" i="3"/>
  <c r="AE974" i="3"/>
  <c r="AF974" i="3"/>
  <c r="AH974" i="3"/>
  <c r="AK974" i="3"/>
  <c r="AM974" i="3"/>
  <c r="AE975" i="3"/>
  <c r="AF975" i="3"/>
  <c r="AH975" i="3"/>
  <c r="AK975" i="3"/>
  <c r="AM975" i="3"/>
  <c r="H983" i="3"/>
  <c r="R983" i="3"/>
  <c r="X983" i="3" s="1"/>
  <c r="D984" i="3"/>
  <c r="E984" i="3"/>
  <c r="H984" i="3" s="1"/>
  <c r="N984" i="3" s="1"/>
  <c r="R984" i="3"/>
  <c r="H985" i="3"/>
  <c r="N985" i="3"/>
  <c r="R985" i="3"/>
  <c r="H986" i="3"/>
  <c r="N986" i="3" s="1"/>
  <c r="R986" i="3"/>
  <c r="F988" i="3"/>
  <c r="I988" i="3"/>
  <c r="J988" i="3"/>
  <c r="K988" i="3"/>
  <c r="K1027" i="3" s="1"/>
  <c r="K1220" i="3" s="1"/>
  <c r="L988" i="3"/>
  <c r="O988" i="3"/>
  <c r="P988" i="3"/>
  <c r="S988" i="3"/>
  <c r="T988" i="3"/>
  <c r="U988" i="3"/>
  <c r="V988" i="3"/>
  <c r="H991" i="3"/>
  <c r="R991" i="3"/>
  <c r="X991" i="3"/>
  <c r="D992" i="3"/>
  <c r="E992" i="3"/>
  <c r="R992" i="3"/>
  <c r="X992" i="3"/>
  <c r="H993" i="3"/>
  <c r="N993" i="3"/>
  <c r="R993" i="3"/>
  <c r="D994" i="3"/>
  <c r="AD1021" i="3" s="1"/>
  <c r="H994" i="3"/>
  <c r="N994" i="3"/>
  <c r="R994" i="3"/>
  <c r="D995" i="3"/>
  <c r="H995" i="3"/>
  <c r="N995" i="3"/>
  <c r="O995" i="3"/>
  <c r="R995" i="3"/>
  <c r="F997" i="3"/>
  <c r="I997" i="3"/>
  <c r="J997" i="3"/>
  <c r="K997" i="3"/>
  <c r="L997" i="3"/>
  <c r="O997" i="3"/>
  <c r="P997" i="3"/>
  <c r="S997" i="3"/>
  <c r="T997" i="3"/>
  <c r="U997" i="3"/>
  <c r="V997" i="3"/>
  <c r="H1000" i="3"/>
  <c r="N1000" i="3" s="1"/>
  <c r="R1000" i="3"/>
  <c r="H1001" i="3"/>
  <c r="N1001" i="3" s="1"/>
  <c r="R1001" i="3"/>
  <c r="D1003" i="3"/>
  <c r="E1003" i="3"/>
  <c r="F1003" i="3"/>
  <c r="H1003" i="3"/>
  <c r="I1003" i="3"/>
  <c r="J1003" i="3"/>
  <c r="K1003" i="3"/>
  <c r="L1003" i="3"/>
  <c r="O1003" i="3"/>
  <c r="P1003" i="3"/>
  <c r="S1003" i="3"/>
  <c r="T1003" i="3"/>
  <c r="U1003" i="3"/>
  <c r="V1003" i="3"/>
  <c r="H1006" i="3"/>
  <c r="N1006" i="3" s="1"/>
  <c r="L1006" i="3"/>
  <c r="L1009" i="3" s="1"/>
  <c r="R1006" i="3"/>
  <c r="H1007" i="3"/>
  <c r="R1007" i="3"/>
  <c r="X1007" i="3" s="1"/>
  <c r="D1009" i="3"/>
  <c r="E1009" i="3"/>
  <c r="F1009" i="3"/>
  <c r="I1009" i="3"/>
  <c r="J1009" i="3"/>
  <c r="K1009" i="3"/>
  <c r="O1009" i="3"/>
  <c r="P1009" i="3"/>
  <c r="S1009" i="3"/>
  <c r="T1009" i="3"/>
  <c r="U1009" i="3"/>
  <c r="V1009" i="3"/>
  <c r="H1012" i="3"/>
  <c r="R1012" i="3"/>
  <c r="X1012" i="3" s="1"/>
  <c r="Y1012" i="3"/>
  <c r="D1013" i="3"/>
  <c r="E1013" i="3"/>
  <c r="H1013" i="3" s="1"/>
  <c r="N1013" i="3" s="1"/>
  <c r="R1013" i="3"/>
  <c r="D1014" i="3"/>
  <c r="H1014" i="3"/>
  <c r="N1014" i="3"/>
  <c r="R1014" i="3"/>
  <c r="Y1014" i="3" s="1"/>
  <c r="X1014" i="3"/>
  <c r="F1016" i="3"/>
  <c r="I1016" i="3"/>
  <c r="J1016" i="3"/>
  <c r="K1016" i="3"/>
  <c r="L1016" i="3"/>
  <c r="O1016" i="3"/>
  <c r="P1016" i="3"/>
  <c r="S1016" i="3"/>
  <c r="T1016" i="3"/>
  <c r="U1016" i="3"/>
  <c r="V1016" i="3"/>
  <c r="AD1017" i="3"/>
  <c r="AE1017" i="3"/>
  <c r="AF1017" i="3"/>
  <c r="AH1017" i="3"/>
  <c r="AJ1017" i="3"/>
  <c r="AK1017" i="3"/>
  <c r="AM1017" i="3"/>
  <c r="AN1017" i="3"/>
  <c r="AD1018" i="3"/>
  <c r="AE1018" i="3"/>
  <c r="AF1018" i="3"/>
  <c r="AH1018" i="3"/>
  <c r="AI1018" i="3"/>
  <c r="AJ1018" i="3"/>
  <c r="O1162" i="3" s="1"/>
  <c r="AK1018" i="3"/>
  <c r="AM1018" i="3"/>
  <c r="AP1018" i="3"/>
  <c r="H1019" i="3"/>
  <c r="Y1019" i="3" s="1"/>
  <c r="X1019" i="3"/>
  <c r="AD1019" i="3"/>
  <c r="AE1019" i="3"/>
  <c r="AG1019" i="3" s="1"/>
  <c r="AI1019" i="3" s="1"/>
  <c r="AF1019" i="3"/>
  <c r="AH1019" i="3"/>
  <c r="AJ1019" i="3"/>
  <c r="AK1019" i="3"/>
  <c r="AL1019" i="3" s="1"/>
  <c r="AN1019" i="3" s="1"/>
  <c r="AM1019" i="3"/>
  <c r="H1020" i="3"/>
  <c r="N1020" i="3" s="1"/>
  <c r="X1020" i="3"/>
  <c r="AF1020" i="3"/>
  <c r="AH1020" i="3"/>
  <c r="AJ1020" i="3"/>
  <c r="AK1020" i="3"/>
  <c r="AL1020" i="3"/>
  <c r="AN1020" i="3" s="1"/>
  <c r="AM1020" i="3"/>
  <c r="H1021" i="3"/>
  <c r="Y1021" i="3" s="1"/>
  <c r="Z1021" i="3" s="1"/>
  <c r="X1021" i="3"/>
  <c r="AE1021" i="3"/>
  <c r="AF1021" i="3"/>
  <c r="AH1021" i="3"/>
  <c r="AJ1021" i="3"/>
  <c r="AK1021" i="3"/>
  <c r="AM1021" i="3"/>
  <c r="H1022" i="3"/>
  <c r="Y1022" i="3" s="1"/>
  <c r="Z1022" i="3" s="1"/>
  <c r="X1022" i="3"/>
  <c r="AD1022" i="3"/>
  <c r="AE1022" i="3"/>
  <c r="AF1022" i="3"/>
  <c r="AH1022" i="3"/>
  <c r="AJ1022" i="3"/>
  <c r="AL1022" i="3" s="1"/>
  <c r="AN1022" i="3" s="1"/>
  <c r="AK1022" i="3"/>
  <c r="AM1022" i="3"/>
  <c r="AD1023" i="3"/>
  <c r="AE1023" i="3"/>
  <c r="AF1023" i="3"/>
  <c r="AG1023" i="3" s="1"/>
  <c r="AH1023" i="3"/>
  <c r="AK1023" i="3"/>
  <c r="AM1023" i="3"/>
  <c r="D1024" i="3"/>
  <c r="E1024" i="3"/>
  <c r="F1024" i="3"/>
  <c r="I1024" i="3"/>
  <c r="J1024" i="3"/>
  <c r="K1024" i="3"/>
  <c r="L1024" i="3"/>
  <c r="O1024" i="3"/>
  <c r="P1024" i="3"/>
  <c r="R1024" i="3"/>
  <c r="S1024" i="3"/>
  <c r="T1024" i="3"/>
  <c r="U1024" i="3"/>
  <c r="V1024" i="3"/>
  <c r="AE1024" i="3"/>
  <c r="AG1024" i="3" s="1"/>
  <c r="AF1024" i="3"/>
  <c r="AH1024" i="3"/>
  <c r="AJ1024" i="3"/>
  <c r="AK1024" i="3"/>
  <c r="AL1024" i="3" s="1"/>
  <c r="AM1024" i="3"/>
  <c r="V1137" i="3" s="1"/>
  <c r="AD1025" i="3"/>
  <c r="AE1025" i="3"/>
  <c r="AF1025" i="3"/>
  <c r="AJ1025" i="3"/>
  <c r="AK1025" i="3"/>
  <c r="AM1025" i="3"/>
  <c r="D1034" i="3"/>
  <c r="H1034" i="3"/>
  <c r="N1034" i="3" s="1"/>
  <c r="O1034" i="3"/>
  <c r="R1034" i="3" s="1"/>
  <c r="S1034" i="3"/>
  <c r="U1034" i="3"/>
  <c r="U1042" i="3" s="1"/>
  <c r="E1035" i="3"/>
  <c r="H1035" i="3" s="1"/>
  <c r="R1035" i="3"/>
  <c r="X1035" i="3" s="1"/>
  <c r="D1036" i="3"/>
  <c r="H1036" i="3"/>
  <c r="N1036" i="3" s="1"/>
  <c r="R1036" i="3"/>
  <c r="H1037" i="3"/>
  <c r="N1037" i="3" s="1"/>
  <c r="AB1037" i="3" s="1"/>
  <c r="R1037" i="3"/>
  <c r="X1037" i="3" s="1"/>
  <c r="D1038" i="3"/>
  <c r="H1038" i="3"/>
  <c r="N1038" i="3"/>
  <c r="O1038" i="3"/>
  <c r="R1038" i="3"/>
  <c r="X1038" i="3" s="1"/>
  <c r="S1038" i="3"/>
  <c r="H1039" i="3"/>
  <c r="N1039" i="3" s="1"/>
  <c r="R1039" i="3"/>
  <c r="C1040" i="3"/>
  <c r="H1040" i="3"/>
  <c r="N1040" i="3"/>
  <c r="R1040" i="3"/>
  <c r="X1040" i="3" s="1"/>
  <c r="Y1040" i="3"/>
  <c r="Z1040" i="3" s="1"/>
  <c r="F1042" i="3"/>
  <c r="F1062" i="3" s="1"/>
  <c r="F1222" i="3" s="1"/>
  <c r="I1042" i="3"/>
  <c r="J1042" i="3"/>
  <c r="K1042" i="3"/>
  <c r="L1042" i="3"/>
  <c r="P1042" i="3"/>
  <c r="T1042" i="3"/>
  <c r="V1042" i="3"/>
  <c r="H1045" i="3"/>
  <c r="N1045" i="3" s="1"/>
  <c r="R1045" i="3"/>
  <c r="H1046" i="3"/>
  <c r="N1046" i="3" s="1"/>
  <c r="R1046" i="3"/>
  <c r="H1047" i="3"/>
  <c r="N1047" i="3" s="1"/>
  <c r="R1047" i="3"/>
  <c r="Y1047" i="3" s="1"/>
  <c r="Z1047" i="3" s="1"/>
  <c r="H1048" i="3"/>
  <c r="R1048" i="3"/>
  <c r="H1049" i="3"/>
  <c r="N1049" i="3" s="1"/>
  <c r="AB1049" i="3" s="1"/>
  <c r="R1049" i="3"/>
  <c r="X1049" i="3" s="1"/>
  <c r="D1051" i="3"/>
  <c r="E1051" i="3"/>
  <c r="F1051" i="3"/>
  <c r="I1051" i="3"/>
  <c r="J1051" i="3"/>
  <c r="K1051" i="3"/>
  <c r="L1051" i="3"/>
  <c r="O1051" i="3"/>
  <c r="P1051" i="3"/>
  <c r="S1051" i="3"/>
  <c r="T1051" i="3"/>
  <c r="U1051" i="3"/>
  <c r="V1051" i="3"/>
  <c r="AD1053" i="3"/>
  <c r="AE1053" i="3"/>
  <c r="AF1053" i="3"/>
  <c r="AH1053" i="3"/>
  <c r="AJ1053" i="3"/>
  <c r="AK1053" i="3"/>
  <c r="AM1053" i="3"/>
  <c r="H1054" i="3"/>
  <c r="N1054" i="3" s="1"/>
  <c r="R1054" i="3"/>
  <c r="X1054" i="3" s="1"/>
  <c r="AE1054" i="3"/>
  <c r="AF1054" i="3"/>
  <c r="AH1054" i="3"/>
  <c r="AJ1054" i="3"/>
  <c r="AK1054" i="3"/>
  <c r="AM1054" i="3"/>
  <c r="D1055" i="3"/>
  <c r="AD1056" i="3" s="1"/>
  <c r="E1055" i="3"/>
  <c r="H1055" i="3" s="1"/>
  <c r="R1055" i="3"/>
  <c r="X1055" i="3" s="1"/>
  <c r="AD1055" i="3"/>
  <c r="AE1055" i="3"/>
  <c r="AF1055" i="3"/>
  <c r="AH1055" i="3"/>
  <c r="AJ1055" i="3"/>
  <c r="AL1055" i="3" s="1"/>
  <c r="AK1055" i="3"/>
  <c r="AM1055" i="3"/>
  <c r="H1056" i="3"/>
  <c r="N1056" i="3" s="1"/>
  <c r="R1056" i="3"/>
  <c r="AF1056" i="3"/>
  <c r="AH1056" i="3"/>
  <c r="AJ1056" i="3"/>
  <c r="AK1056" i="3"/>
  <c r="AM1056" i="3"/>
  <c r="D1057" i="3"/>
  <c r="H1057" i="3"/>
  <c r="N1057" i="3"/>
  <c r="O1057" i="3"/>
  <c r="R1057" i="3"/>
  <c r="Y1057" i="3" s="1"/>
  <c r="AE1057" i="3"/>
  <c r="AG1057" i="3" s="1"/>
  <c r="AI1057" i="3" s="1"/>
  <c r="AF1057" i="3"/>
  <c r="AH1057" i="3"/>
  <c r="AK1057" i="3"/>
  <c r="AM1057" i="3"/>
  <c r="AD1058" i="3"/>
  <c r="AE1058" i="3"/>
  <c r="AG1058" i="3"/>
  <c r="AI1058" i="3" s="1"/>
  <c r="AF1058" i="3"/>
  <c r="AH1058" i="3"/>
  <c r="AJ1058" i="3"/>
  <c r="AK1058" i="3"/>
  <c r="AM1058" i="3"/>
  <c r="F1059" i="3"/>
  <c r="I1059" i="3"/>
  <c r="I1062" i="3" s="1"/>
  <c r="I1222" i="3" s="1"/>
  <c r="J1059" i="3"/>
  <c r="K1059" i="3"/>
  <c r="K1062" i="3" s="1"/>
  <c r="K1222" i="3" s="1"/>
  <c r="L1059" i="3"/>
  <c r="O1059" i="3"/>
  <c r="P1059" i="3"/>
  <c r="S1059" i="3"/>
  <c r="T1059" i="3"/>
  <c r="T1062" i="3" s="1"/>
  <c r="T1222" i="3" s="1"/>
  <c r="U1059" i="3"/>
  <c r="V1059" i="3"/>
  <c r="AD1059" i="3"/>
  <c r="D1152" i="3" s="1"/>
  <c r="AE1059" i="3"/>
  <c r="AF1059" i="3"/>
  <c r="AH1059" i="3"/>
  <c r="AJ1059" i="3"/>
  <c r="AK1059" i="3"/>
  <c r="AM1059" i="3"/>
  <c r="B1060" i="3"/>
  <c r="AD1060" i="3"/>
  <c r="AE1060" i="3"/>
  <c r="AF1060" i="3"/>
  <c r="AG1060" i="3" s="1"/>
  <c r="AI1060" i="3" s="1"/>
  <c r="AH1060" i="3"/>
  <c r="AJ1060" i="3"/>
  <c r="AL1060" i="3" s="1"/>
  <c r="AK1060" i="3"/>
  <c r="AM1060" i="3"/>
  <c r="AD1061" i="3"/>
  <c r="AE1061" i="3"/>
  <c r="AG1061" i="3" s="1"/>
  <c r="AI1061" i="3" s="1"/>
  <c r="AF1061" i="3"/>
  <c r="AH1061" i="3"/>
  <c r="AJ1061" i="3"/>
  <c r="AL1061" i="3" s="1"/>
  <c r="AK1061" i="3"/>
  <c r="AM1061" i="3"/>
  <c r="D1067" i="3"/>
  <c r="H1067" i="3"/>
  <c r="R1067" i="3"/>
  <c r="H1068" i="3"/>
  <c r="N1068" i="3" s="1"/>
  <c r="R1068" i="3"/>
  <c r="AQ1099" i="3"/>
  <c r="H1069" i="3"/>
  <c r="N1069" i="3" s="1"/>
  <c r="R1069" i="3"/>
  <c r="X1069" i="3" s="1"/>
  <c r="H1070" i="3"/>
  <c r="R1070" i="3"/>
  <c r="X1070" i="3" s="1"/>
  <c r="H1071" i="3"/>
  <c r="N1071" i="3"/>
  <c r="R1071" i="3"/>
  <c r="Y1071" i="3" s="1"/>
  <c r="X1071" i="3"/>
  <c r="Z1071" i="3"/>
  <c r="H1072" i="3"/>
  <c r="N1072" i="3"/>
  <c r="R1072" i="3"/>
  <c r="X1072" i="3"/>
  <c r="Y1072" i="3"/>
  <c r="Z1072" i="3"/>
  <c r="D1074" i="3"/>
  <c r="E1074" i="3"/>
  <c r="F1074" i="3"/>
  <c r="I1074" i="3"/>
  <c r="J1074" i="3"/>
  <c r="K1074" i="3"/>
  <c r="K1103" i="3" s="1"/>
  <c r="K1224" i="3" s="1"/>
  <c r="L1074" i="3"/>
  <c r="O1074" i="3"/>
  <c r="P1074" i="3"/>
  <c r="S1074" i="3"/>
  <c r="T1074" i="3"/>
  <c r="U1074" i="3"/>
  <c r="V1074" i="3"/>
  <c r="H1077" i="3"/>
  <c r="N1077" i="3" s="1"/>
  <c r="O1077" i="3"/>
  <c r="R1077" i="3" s="1"/>
  <c r="S1077" i="3"/>
  <c r="T1077" i="3"/>
  <c r="H1078" i="3"/>
  <c r="R1078" i="3"/>
  <c r="X1078" i="3" s="1"/>
  <c r="H1079" i="3"/>
  <c r="N1079" i="3" s="1"/>
  <c r="R1079" i="3"/>
  <c r="H1080" i="3"/>
  <c r="N1080" i="3" s="1"/>
  <c r="AB1080" i="3" s="1"/>
  <c r="R1080" i="3"/>
  <c r="X1080" i="3" s="1"/>
  <c r="D1082" i="3"/>
  <c r="E1082" i="3"/>
  <c r="F1082" i="3"/>
  <c r="F1103" i="3" s="1"/>
  <c r="F1224" i="3" s="1"/>
  <c r="I1082" i="3"/>
  <c r="J1082" i="3"/>
  <c r="K1082" i="3"/>
  <c r="L1082" i="3"/>
  <c r="P1082" i="3"/>
  <c r="S1082" i="3"/>
  <c r="T1082" i="3"/>
  <c r="U1082" i="3"/>
  <c r="U1103" i="3" s="1"/>
  <c r="U1224" i="3" s="1"/>
  <c r="V1082" i="3"/>
  <c r="D1085" i="3"/>
  <c r="H1085" i="3"/>
  <c r="N1085" i="3" s="1"/>
  <c r="R1085" i="3"/>
  <c r="H1086" i="3"/>
  <c r="N1086" i="3" s="1"/>
  <c r="R1086" i="3"/>
  <c r="Y1086" i="3" s="1"/>
  <c r="Z1086" i="3" s="1"/>
  <c r="H1087" i="3"/>
  <c r="R1087" i="3"/>
  <c r="X1087" i="3" s="1"/>
  <c r="H1088" i="3"/>
  <c r="N1088" i="3" s="1"/>
  <c r="R1088" i="3"/>
  <c r="H1089" i="3"/>
  <c r="N1089" i="3"/>
  <c r="R1089" i="3"/>
  <c r="X1089" i="3" s="1"/>
  <c r="Y1089" i="3"/>
  <c r="Z1089" i="3" s="1"/>
  <c r="H1090" i="3"/>
  <c r="N1090" i="3" s="1"/>
  <c r="R1090" i="3"/>
  <c r="X1090" i="3"/>
  <c r="E1092" i="3"/>
  <c r="F1092" i="3"/>
  <c r="I1092" i="3"/>
  <c r="J1092" i="3"/>
  <c r="K1092" i="3"/>
  <c r="L1092" i="3"/>
  <c r="O1092" i="3"/>
  <c r="P1092" i="3"/>
  <c r="S1092" i="3"/>
  <c r="T1092" i="3"/>
  <c r="U1092" i="3"/>
  <c r="V1092" i="3"/>
  <c r="AD1094" i="3"/>
  <c r="AE1094" i="3"/>
  <c r="AF1094" i="3"/>
  <c r="AH1094" i="3"/>
  <c r="AJ1094" i="3"/>
  <c r="AK1094" i="3"/>
  <c r="AM1094" i="3"/>
  <c r="D1095" i="3"/>
  <c r="H1095" i="3"/>
  <c r="R1095" i="3"/>
  <c r="X1095" i="3"/>
  <c r="AD1095" i="3"/>
  <c r="AE1095" i="3"/>
  <c r="E1146" i="3" s="1"/>
  <c r="AF1095" i="3"/>
  <c r="AH1095" i="3"/>
  <c r="AJ1095" i="3"/>
  <c r="AK1095" i="3"/>
  <c r="AM1095" i="3"/>
  <c r="V1146" i="3"/>
  <c r="H1096" i="3"/>
  <c r="N1096" i="3"/>
  <c r="R1096" i="3"/>
  <c r="Y1096" i="3" s="1"/>
  <c r="Z1096" i="3" s="1"/>
  <c r="X1096" i="3"/>
  <c r="H1097" i="3"/>
  <c r="N1097" i="3"/>
  <c r="R1097" i="3"/>
  <c r="X1097" i="3"/>
  <c r="Y1097" i="3"/>
  <c r="Z1097" i="3"/>
  <c r="AE1097" i="3"/>
  <c r="AG1097" i="3"/>
  <c r="AI1097" i="3" s="1"/>
  <c r="AF1097" i="3"/>
  <c r="AH1097" i="3"/>
  <c r="AK1097" i="3"/>
  <c r="AM1097" i="3"/>
  <c r="D1098" i="3"/>
  <c r="H1098" i="3"/>
  <c r="R1098" i="3"/>
  <c r="AD1098" i="3"/>
  <c r="AE1098" i="3"/>
  <c r="AF1098" i="3"/>
  <c r="AH1098" i="3"/>
  <c r="AJ1098" i="3"/>
  <c r="AK1098" i="3"/>
  <c r="AM1098" i="3"/>
  <c r="D1099" i="3"/>
  <c r="H1099" i="3"/>
  <c r="N1099" i="3" s="1"/>
  <c r="R1099" i="3"/>
  <c r="AD1099" i="3"/>
  <c r="AE1099" i="3"/>
  <c r="E1135" i="3" s="1"/>
  <c r="AF1099" i="3"/>
  <c r="F1135" i="3" s="1"/>
  <c r="AG1099" i="3"/>
  <c r="AH1099" i="3"/>
  <c r="AJ1099" i="3"/>
  <c r="O1135" i="3" s="1"/>
  <c r="AK1099" i="3"/>
  <c r="AL1099" i="3"/>
  <c r="AM1099" i="3"/>
  <c r="AD1100" i="3"/>
  <c r="AE1100" i="3"/>
  <c r="AF1100" i="3"/>
  <c r="AJ1100" i="3"/>
  <c r="AK1100" i="3"/>
  <c r="AL1100" i="3" s="1"/>
  <c r="AM1100" i="3"/>
  <c r="V1153" i="3" s="1"/>
  <c r="E1101" i="3"/>
  <c r="F1101" i="3"/>
  <c r="I1101" i="3"/>
  <c r="J1101" i="3"/>
  <c r="J1103" i="3" s="1"/>
  <c r="J1224" i="3" s="1"/>
  <c r="K1101" i="3"/>
  <c r="L1101" i="3"/>
  <c r="O1101" i="3"/>
  <c r="P1101" i="3"/>
  <c r="S1101" i="3"/>
  <c r="T1101" i="3"/>
  <c r="U1101" i="3"/>
  <c r="V1101" i="3"/>
  <c r="V1103" i="3" s="1"/>
  <c r="V1224" i="3" s="1"/>
  <c r="AD1101" i="3"/>
  <c r="AE1101" i="3"/>
  <c r="E1154" i="3" s="1"/>
  <c r="AF1101" i="3"/>
  <c r="AG1101" i="3"/>
  <c r="AJ1101" i="3"/>
  <c r="AK1101" i="3"/>
  <c r="AM1101" i="3"/>
  <c r="AE1102" i="3"/>
  <c r="AG1102" i="3" s="1"/>
  <c r="AI1102" i="3" s="1"/>
  <c r="AF1102" i="3"/>
  <c r="AH1102" i="3"/>
  <c r="L1155" i="3" s="1"/>
  <c r="AJ1102" i="3"/>
  <c r="AL1102" i="3" s="1"/>
  <c r="AN1102" i="3" s="1"/>
  <c r="AK1102" i="3"/>
  <c r="AM1102" i="3"/>
  <c r="P1103" i="3"/>
  <c r="P1224" i="3" s="1"/>
  <c r="AD1103" i="3"/>
  <c r="AE1103" i="3"/>
  <c r="AG1103" i="3"/>
  <c r="AI1103" i="3" s="1"/>
  <c r="AF1103" i="3"/>
  <c r="AH1103" i="3"/>
  <c r="AJ1103" i="3"/>
  <c r="AK1103" i="3"/>
  <c r="P1156" i="3" s="1"/>
  <c r="AM1103" i="3"/>
  <c r="D1109" i="3"/>
  <c r="O1109" i="3"/>
  <c r="O1167" i="3" s="1"/>
  <c r="P1109" i="3"/>
  <c r="P1167" i="3" s="1"/>
  <c r="P1230" i="3" s="1"/>
  <c r="S1109" i="3"/>
  <c r="T1109" i="3"/>
  <c r="U1109" i="3"/>
  <c r="V1109" i="3"/>
  <c r="D1112" i="3"/>
  <c r="D1115" i="3" s="1"/>
  <c r="D1113" i="3"/>
  <c r="P1113" i="3"/>
  <c r="P1115" i="3"/>
  <c r="E1128" i="3"/>
  <c r="O1128" i="3" s="1"/>
  <c r="L1131" i="3"/>
  <c r="S1131" i="3"/>
  <c r="T1131" i="3"/>
  <c r="U1131" i="3"/>
  <c r="V1131" i="3"/>
  <c r="AA1131" i="3"/>
  <c r="S1132" i="3"/>
  <c r="T1132" i="3"/>
  <c r="U1132" i="3"/>
  <c r="AA1132" i="3"/>
  <c r="D1133" i="3"/>
  <c r="J1133" i="3"/>
  <c r="K1133" i="3"/>
  <c r="O1133" i="3"/>
  <c r="S1133" i="3"/>
  <c r="T1133" i="3"/>
  <c r="U1133" i="3"/>
  <c r="AA1133" i="3"/>
  <c r="D1134" i="3"/>
  <c r="E1134" i="3"/>
  <c r="F1134" i="3"/>
  <c r="O1134" i="3"/>
  <c r="P1134" i="3"/>
  <c r="V1134" i="3"/>
  <c r="AA1134" i="3"/>
  <c r="D1135" i="3"/>
  <c r="L1135" i="3"/>
  <c r="P1135" i="3"/>
  <c r="S1135" i="3"/>
  <c r="T1135" i="3"/>
  <c r="U1135" i="3"/>
  <c r="V1135" i="3"/>
  <c r="AA1135" i="3"/>
  <c r="O1136" i="3"/>
  <c r="S1136" i="3"/>
  <c r="T1136" i="3"/>
  <c r="U1136" i="3"/>
  <c r="AA1136" i="3"/>
  <c r="F1137" i="3"/>
  <c r="L1137" i="3"/>
  <c r="S1137" i="3"/>
  <c r="T1137" i="3"/>
  <c r="U1137" i="3"/>
  <c r="AA1137" i="3"/>
  <c r="D1138" i="3"/>
  <c r="E1138" i="3"/>
  <c r="F1138" i="3"/>
  <c r="J1138" i="3"/>
  <c r="K1138" i="3"/>
  <c r="L1138" i="3"/>
  <c r="O1138" i="3"/>
  <c r="P1138" i="3"/>
  <c r="S1138" i="3"/>
  <c r="T1138" i="3"/>
  <c r="U1138" i="3"/>
  <c r="V1138" i="3"/>
  <c r="AA1138" i="3"/>
  <c r="D1139" i="3"/>
  <c r="E1139" i="3"/>
  <c r="F1139" i="3"/>
  <c r="J1139" i="3"/>
  <c r="K1139" i="3"/>
  <c r="L1139" i="3"/>
  <c r="O1139" i="3"/>
  <c r="P1139" i="3"/>
  <c r="S1139" i="3"/>
  <c r="T1139" i="3"/>
  <c r="U1139" i="3"/>
  <c r="V1139" i="3"/>
  <c r="AA1139" i="3"/>
  <c r="D1140" i="3"/>
  <c r="E1140" i="3"/>
  <c r="F1140" i="3"/>
  <c r="J1140" i="3"/>
  <c r="K1140" i="3"/>
  <c r="L1140" i="3"/>
  <c r="O1140" i="3"/>
  <c r="P1140" i="3"/>
  <c r="S1140" i="3"/>
  <c r="T1140" i="3"/>
  <c r="U1140" i="3"/>
  <c r="V1140" i="3"/>
  <c r="AA1140" i="3"/>
  <c r="D1141" i="3"/>
  <c r="Z1141" i="3" s="1"/>
  <c r="E1141" i="3"/>
  <c r="F1141" i="3"/>
  <c r="H1141" i="3"/>
  <c r="J1141" i="3"/>
  <c r="K1141" i="3"/>
  <c r="O1141" i="3"/>
  <c r="P1141" i="3"/>
  <c r="R1141" i="3"/>
  <c r="S1141" i="3"/>
  <c r="T1141" i="3"/>
  <c r="U1141" i="3"/>
  <c r="X1141" i="3"/>
  <c r="Y1141" i="3"/>
  <c r="AA1141" i="3"/>
  <c r="D1142" i="3"/>
  <c r="E1142" i="3"/>
  <c r="F1142" i="3"/>
  <c r="J1142" i="3"/>
  <c r="K1142" i="3"/>
  <c r="O1142" i="3"/>
  <c r="P1142" i="3"/>
  <c r="S1142" i="3"/>
  <c r="T1142" i="3"/>
  <c r="U1142" i="3"/>
  <c r="V1142" i="3"/>
  <c r="AA1142" i="3"/>
  <c r="D1143" i="3"/>
  <c r="E1143" i="3"/>
  <c r="F1143" i="3"/>
  <c r="H1143" i="3"/>
  <c r="J1143" i="3"/>
  <c r="L1143" i="3"/>
  <c r="O1143" i="3"/>
  <c r="S1143" i="3"/>
  <c r="T1143" i="3"/>
  <c r="U1143" i="3"/>
  <c r="V1143" i="3"/>
  <c r="AA1143" i="3"/>
  <c r="J1144" i="3"/>
  <c r="P1144" i="3"/>
  <c r="S1144" i="3"/>
  <c r="T1144" i="3"/>
  <c r="U1144" i="3"/>
  <c r="AA1144" i="3"/>
  <c r="E1145" i="3"/>
  <c r="F1145" i="3"/>
  <c r="J1145" i="3"/>
  <c r="K1145" i="3"/>
  <c r="L1145" i="3"/>
  <c r="P1145" i="3"/>
  <c r="S1145" i="3"/>
  <c r="T1145" i="3"/>
  <c r="U1145" i="3"/>
  <c r="V1145" i="3"/>
  <c r="AA1145" i="3"/>
  <c r="D1146" i="3"/>
  <c r="F1146" i="3"/>
  <c r="J1146" i="3"/>
  <c r="L1146" i="3"/>
  <c r="O1146" i="3"/>
  <c r="S1146" i="3"/>
  <c r="T1146" i="3"/>
  <c r="U1146" i="3"/>
  <c r="AA1146" i="3"/>
  <c r="E1147" i="3"/>
  <c r="S1147" i="3"/>
  <c r="T1147" i="3"/>
  <c r="U1147" i="3"/>
  <c r="V1147" i="3"/>
  <c r="AA1147" i="3"/>
  <c r="F1148" i="3"/>
  <c r="S1148" i="3"/>
  <c r="T1148" i="3"/>
  <c r="U1148" i="3"/>
  <c r="AA1148" i="3"/>
  <c r="D1149" i="3"/>
  <c r="E1149" i="3"/>
  <c r="F1149" i="3"/>
  <c r="J1149" i="3"/>
  <c r="K1149" i="3"/>
  <c r="O1149" i="3"/>
  <c r="P1149" i="3"/>
  <c r="S1149" i="3"/>
  <c r="T1149" i="3"/>
  <c r="U1149" i="3"/>
  <c r="AA1149" i="3"/>
  <c r="F1150" i="3"/>
  <c r="S1150" i="3"/>
  <c r="T1150" i="3"/>
  <c r="U1150" i="3"/>
  <c r="AA1150" i="3"/>
  <c r="D1151" i="3"/>
  <c r="E1151" i="3"/>
  <c r="F1151" i="3"/>
  <c r="H1151" i="3"/>
  <c r="J1151" i="3"/>
  <c r="K1151" i="3"/>
  <c r="O1151" i="3"/>
  <c r="P1151" i="3"/>
  <c r="R1151" i="3"/>
  <c r="X1151" i="3" s="1"/>
  <c r="S1151" i="3"/>
  <c r="T1151" i="3"/>
  <c r="U1151" i="3"/>
  <c r="V1151" i="3"/>
  <c r="AA1151" i="3"/>
  <c r="L1152" i="3"/>
  <c r="P1152" i="3"/>
  <c r="S1152" i="3"/>
  <c r="T1152" i="3"/>
  <c r="U1152" i="3"/>
  <c r="AA1152" i="3"/>
  <c r="P1153" i="3"/>
  <c r="S1153" i="3"/>
  <c r="T1153" i="3"/>
  <c r="U1153" i="3"/>
  <c r="AA1153" i="3"/>
  <c r="S1154" i="3"/>
  <c r="T1154" i="3"/>
  <c r="U1154" i="3"/>
  <c r="AA1154" i="3"/>
  <c r="S1155" i="3"/>
  <c r="T1155" i="3"/>
  <c r="U1155" i="3"/>
  <c r="AA1155" i="3"/>
  <c r="F1156" i="3"/>
  <c r="S1156" i="3"/>
  <c r="T1156" i="3"/>
  <c r="U1156" i="3"/>
  <c r="AA1156" i="3"/>
  <c r="D1157" i="3"/>
  <c r="E1157" i="3"/>
  <c r="F1157" i="3"/>
  <c r="H1157" i="3"/>
  <c r="J1157" i="3"/>
  <c r="K1157" i="3"/>
  <c r="L1157" i="3"/>
  <c r="O1157" i="3"/>
  <c r="P1157" i="3"/>
  <c r="S1157" i="3"/>
  <c r="T1157" i="3"/>
  <c r="U1157" i="3"/>
  <c r="V1157" i="3"/>
  <c r="AA1157" i="3"/>
  <c r="D1158" i="3"/>
  <c r="E1158" i="3"/>
  <c r="F1158" i="3"/>
  <c r="J1158" i="3"/>
  <c r="K1158" i="3"/>
  <c r="L1158" i="3"/>
  <c r="O1158" i="3"/>
  <c r="P1158" i="3"/>
  <c r="S1158" i="3"/>
  <c r="T1158" i="3"/>
  <c r="U1158" i="3"/>
  <c r="V1158" i="3"/>
  <c r="AA1158" i="3"/>
  <c r="D1159" i="3"/>
  <c r="E1159" i="3"/>
  <c r="S1159" i="3"/>
  <c r="T1159" i="3"/>
  <c r="U1159" i="3"/>
  <c r="V1159" i="3"/>
  <c r="AA1159" i="3"/>
  <c r="D1160" i="3"/>
  <c r="E1160" i="3"/>
  <c r="F1160" i="3"/>
  <c r="H1160" i="3"/>
  <c r="J1160" i="3"/>
  <c r="K1160" i="3"/>
  <c r="O1160" i="3"/>
  <c r="P1160" i="3"/>
  <c r="S1160" i="3"/>
  <c r="T1160" i="3"/>
  <c r="U1160" i="3"/>
  <c r="V1160" i="3"/>
  <c r="AA1160" i="3"/>
  <c r="D1161" i="3"/>
  <c r="E1161" i="3"/>
  <c r="F1161" i="3"/>
  <c r="J1161" i="3"/>
  <c r="K1161" i="3"/>
  <c r="L1161" i="3"/>
  <c r="O1161" i="3"/>
  <c r="P1161" i="3"/>
  <c r="S1161" i="3"/>
  <c r="T1161" i="3"/>
  <c r="U1161" i="3"/>
  <c r="V1161" i="3"/>
  <c r="AA1161" i="3"/>
  <c r="D1162" i="3"/>
  <c r="F1162" i="3"/>
  <c r="J1162" i="3"/>
  <c r="K1162" i="3"/>
  <c r="L1162" i="3"/>
  <c r="N1162" i="3"/>
  <c r="P1162" i="3"/>
  <c r="S1162" i="3"/>
  <c r="T1162" i="3"/>
  <c r="U1162" i="3"/>
  <c r="V1162" i="3"/>
  <c r="AA1162" i="3"/>
  <c r="D1167" i="3"/>
  <c r="V1167" i="3"/>
  <c r="B1188" i="3"/>
  <c r="E1194" i="3"/>
  <c r="O1194" i="3" s="1"/>
  <c r="I1196" i="3"/>
  <c r="L1196" i="3"/>
  <c r="T1196" i="3"/>
  <c r="V1198" i="3"/>
  <c r="K1202" i="3"/>
  <c r="L1202" i="3"/>
  <c r="P1202" i="3"/>
  <c r="T1204" i="3"/>
  <c r="P1210" i="3"/>
  <c r="U1210" i="3"/>
  <c r="P1214" i="3"/>
  <c r="D1230" i="3"/>
  <c r="V1230" i="3"/>
  <c r="AG5" i="6"/>
  <c r="AL5" i="6"/>
  <c r="D10" i="6"/>
  <c r="E10" i="6"/>
  <c r="F10" i="6"/>
  <c r="G10" i="6"/>
  <c r="H10" i="6"/>
  <c r="Y10" i="6" s="1"/>
  <c r="Z10" i="6" s="1"/>
  <c r="I10" i="6"/>
  <c r="J10" i="6"/>
  <c r="K10" i="6"/>
  <c r="L10" i="6"/>
  <c r="M10" i="6"/>
  <c r="O10" i="6"/>
  <c r="P10" i="6"/>
  <c r="Q10" i="6"/>
  <c r="S10" i="6"/>
  <c r="T10" i="6"/>
  <c r="U10" i="6"/>
  <c r="V10" i="6"/>
  <c r="W10" i="6"/>
  <c r="D11" i="6"/>
  <c r="E11" i="6"/>
  <c r="F11" i="6"/>
  <c r="G11" i="6"/>
  <c r="H11" i="6"/>
  <c r="Y11" i="6" s="1"/>
  <c r="Z11" i="6" s="1"/>
  <c r="I11" i="6"/>
  <c r="J11" i="6"/>
  <c r="K11" i="6"/>
  <c r="L11" i="6"/>
  <c r="M11" i="6"/>
  <c r="O11" i="6"/>
  <c r="P11" i="6"/>
  <c r="Q11" i="6"/>
  <c r="S11" i="6"/>
  <c r="T11" i="6"/>
  <c r="U11" i="6"/>
  <c r="V11" i="6"/>
  <c r="W11" i="6"/>
  <c r="D12" i="6"/>
  <c r="E12" i="6"/>
  <c r="F12" i="6"/>
  <c r="G12" i="6"/>
  <c r="H12" i="6"/>
  <c r="Y12" i="6" s="1"/>
  <c r="Z12" i="6" s="1"/>
  <c r="I12" i="6"/>
  <c r="J12" i="6"/>
  <c r="K12" i="6"/>
  <c r="L12" i="6"/>
  <c r="M12" i="6"/>
  <c r="O12" i="6"/>
  <c r="P12" i="6"/>
  <c r="AM81" i="6" s="1"/>
  <c r="Q12" i="6"/>
  <c r="S12" i="6"/>
  <c r="T12" i="6"/>
  <c r="U12" i="6"/>
  <c r="V12" i="6"/>
  <c r="AO81" i="6" s="1"/>
  <c r="W12" i="6"/>
  <c r="E13" i="6"/>
  <c r="F13" i="6"/>
  <c r="G13" i="6"/>
  <c r="I13" i="6"/>
  <c r="J13" i="6"/>
  <c r="K13" i="6"/>
  <c r="L13" i="6"/>
  <c r="M13" i="6"/>
  <c r="O13" i="6"/>
  <c r="P13" i="6"/>
  <c r="Q13" i="6"/>
  <c r="S13" i="6"/>
  <c r="T13" i="6"/>
  <c r="U13" i="6"/>
  <c r="V13" i="6"/>
  <c r="W13" i="6"/>
  <c r="E14" i="6"/>
  <c r="F14" i="6"/>
  <c r="G14" i="6"/>
  <c r="I14" i="6"/>
  <c r="J14" i="6"/>
  <c r="K14" i="6"/>
  <c r="L14" i="6"/>
  <c r="M14" i="6"/>
  <c r="O14" i="6"/>
  <c r="P14" i="6"/>
  <c r="Q14" i="6"/>
  <c r="S14" i="6"/>
  <c r="T14" i="6"/>
  <c r="U14" i="6"/>
  <c r="V14" i="6"/>
  <c r="W14" i="6"/>
  <c r="E15" i="6"/>
  <c r="F15" i="6"/>
  <c r="G15" i="6"/>
  <c r="I15" i="6"/>
  <c r="J15" i="6"/>
  <c r="K15" i="6"/>
  <c r="L15" i="6"/>
  <c r="M15" i="6"/>
  <c r="O15" i="6"/>
  <c r="P15" i="6"/>
  <c r="Q15" i="6"/>
  <c r="S15" i="6"/>
  <c r="T15" i="6"/>
  <c r="U15" i="6"/>
  <c r="V15" i="6"/>
  <c r="W15" i="6"/>
  <c r="R17" i="6"/>
  <c r="B18" i="6"/>
  <c r="B26" i="6" s="1"/>
  <c r="E19" i="6"/>
  <c r="F19" i="6"/>
  <c r="G19" i="6"/>
  <c r="I19" i="6"/>
  <c r="J19" i="6"/>
  <c r="K19" i="6"/>
  <c r="L19" i="6"/>
  <c r="M19" i="6"/>
  <c r="N19" i="6"/>
  <c r="P19" i="6"/>
  <c r="Q19" i="6"/>
  <c r="S19" i="6"/>
  <c r="T19" i="6"/>
  <c r="U19" i="6"/>
  <c r="V19" i="6"/>
  <c r="W19" i="6"/>
  <c r="X19" i="6"/>
  <c r="Z19" i="6"/>
  <c r="AA19" i="6"/>
  <c r="AB19" i="6"/>
  <c r="D20" i="6"/>
  <c r="E20" i="6"/>
  <c r="F20" i="6"/>
  <c r="G20" i="6"/>
  <c r="I20" i="6"/>
  <c r="J20" i="6"/>
  <c r="K20" i="6"/>
  <c r="L20" i="6"/>
  <c r="M20" i="6"/>
  <c r="O20" i="6"/>
  <c r="P20" i="6"/>
  <c r="Q20" i="6"/>
  <c r="S20" i="6"/>
  <c r="T20" i="6"/>
  <c r="U20" i="6"/>
  <c r="V20" i="6"/>
  <c r="W20" i="6"/>
  <c r="Y20" i="6"/>
  <c r="D21" i="6"/>
  <c r="E21" i="6"/>
  <c r="F21" i="6"/>
  <c r="G21" i="6"/>
  <c r="H21" i="6"/>
  <c r="H25" i="6" s="1"/>
  <c r="I21" i="6"/>
  <c r="J21" i="6"/>
  <c r="K21" i="6"/>
  <c r="L21" i="6"/>
  <c r="M21" i="6"/>
  <c r="O21" i="6"/>
  <c r="P21" i="6"/>
  <c r="Q21" i="6"/>
  <c r="S21" i="6"/>
  <c r="T21" i="6"/>
  <c r="U21" i="6"/>
  <c r="V21" i="6"/>
  <c r="W21" i="6"/>
  <c r="D22" i="6"/>
  <c r="E22" i="6"/>
  <c r="F22" i="6"/>
  <c r="G22" i="6"/>
  <c r="I22" i="6"/>
  <c r="J22" i="6"/>
  <c r="K22" i="6"/>
  <c r="L22" i="6"/>
  <c r="M22" i="6"/>
  <c r="O22" i="6"/>
  <c r="P22" i="6"/>
  <c r="Q22" i="6"/>
  <c r="S22" i="6"/>
  <c r="T22" i="6"/>
  <c r="U22" i="6"/>
  <c r="V22" i="6"/>
  <c r="W22" i="6"/>
  <c r="Y22" i="6"/>
  <c r="D23" i="6"/>
  <c r="AF88" i="6" s="1"/>
  <c r="E23" i="6"/>
  <c r="F23" i="6"/>
  <c r="G23" i="6"/>
  <c r="I23" i="6"/>
  <c r="J23" i="6"/>
  <c r="K23" i="6"/>
  <c r="L23" i="6"/>
  <c r="M23" i="6"/>
  <c r="O23" i="6"/>
  <c r="P23" i="6"/>
  <c r="Q23" i="6"/>
  <c r="S23" i="6"/>
  <c r="T23" i="6"/>
  <c r="U23" i="6"/>
  <c r="V23" i="6"/>
  <c r="W23" i="6"/>
  <c r="Y23" i="6"/>
  <c r="R25" i="6"/>
  <c r="D27" i="6"/>
  <c r="R27" i="6"/>
  <c r="Y27" i="6"/>
  <c r="D31" i="6"/>
  <c r="E31" i="6"/>
  <c r="F31" i="6"/>
  <c r="G31" i="6"/>
  <c r="H31" i="6"/>
  <c r="I31" i="6"/>
  <c r="J31" i="6"/>
  <c r="K31" i="6"/>
  <c r="L31" i="6"/>
  <c r="M31" i="6"/>
  <c r="O31" i="6"/>
  <c r="P31" i="6"/>
  <c r="Q31" i="6"/>
  <c r="R31" i="6"/>
  <c r="S31" i="6"/>
  <c r="T31" i="6"/>
  <c r="U31" i="6"/>
  <c r="V31" i="6"/>
  <c r="W31" i="6"/>
  <c r="D32" i="6"/>
  <c r="E32" i="6"/>
  <c r="F32" i="6"/>
  <c r="G32" i="6"/>
  <c r="H32" i="6"/>
  <c r="Y32" i="6" s="1"/>
  <c r="Z32" i="6" s="1"/>
  <c r="I32" i="6"/>
  <c r="J32" i="6"/>
  <c r="K32" i="6"/>
  <c r="L32" i="6"/>
  <c r="M32" i="6"/>
  <c r="O32" i="6"/>
  <c r="P32" i="6"/>
  <c r="Q32" i="6"/>
  <c r="S32" i="6"/>
  <c r="T32" i="6"/>
  <c r="U32" i="6"/>
  <c r="V32" i="6"/>
  <c r="W32" i="6"/>
  <c r="D33" i="6"/>
  <c r="AF93" i="6" s="1"/>
  <c r="E33" i="6"/>
  <c r="F33" i="6"/>
  <c r="AH93" i="6" s="1"/>
  <c r="G33" i="6"/>
  <c r="H33" i="6"/>
  <c r="Y33" i="6" s="1"/>
  <c r="I33" i="6"/>
  <c r="J33" i="6"/>
  <c r="K33" i="6"/>
  <c r="AJ93" i="6" s="1"/>
  <c r="L33" i="6"/>
  <c r="M33" i="6"/>
  <c r="O33" i="6"/>
  <c r="AL93" i="6" s="1"/>
  <c r="P33" i="6"/>
  <c r="Q33" i="6"/>
  <c r="S33" i="6"/>
  <c r="T33" i="6"/>
  <c r="U33" i="6"/>
  <c r="V33" i="6"/>
  <c r="AO93" i="6" s="1"/>
  <c r="W33" i="6"/>
  <c r="D35" i="6"/>
  <c r="E35" i="6"/>
  <c r="F35" i="6"/>
  <c r="G35" i="6"/>
  <c r="H35" i="6"/>
  <c r="Y35" i="6" s="1"/>
  <c r="Z35" i="6" s="1"/>
  <c r="I35" i="6"/>
  <c r="J35" i="6"/>
  <c r="K35" i="6"/>
  <c r="L35" i="6"/>
  <c r="M35" i="6"/>
  <c r="O35" i="6"/>
  <c r="P35" i="6"/>
  <c r="Q35" i="6"/>
  <c r="S35" i="6"/>
  <c r="T35" i="6"/>
  <c r="U35" i="6"/>
  <c r="V35" i="6"/>
  <c r="W35" i="6"/>
  <c r="D36" i="6"/>
  <c r="H36" i="6"/>
  <c r="Y36" i="6" s="1"/>
  <c r="D37" i="6"/>
  <c r="H37" i="6"/>
  <c r="Y37" i="6" s="1"/>
  <c r="D38" i="6"/>
  <c r="H38" i="6"/>
  <c r="Y38" i="6" s="1"/>
  <c r="D41" i="6"/>
  <c r="H41" i="6"/>
  <c r="Y41" i="6" s="1"/>
  <c r="D42" i="6"/>
  <c r="Z42" i="6" s="1"/>
  <c r="H42" i="6"/>
  <c r="Y42" i="6"/>
  <c r="D43" i="6"/>
  <c r="E43" i="6"/>
  <c r="F43" i="6"/>
  <c r="G43" i="6"/>
  <c r="H43" i="6"/>
  <c r="Y43" i="6" s="1"/>
  <c r="I43" i="6"/>
  <c r="J43" i="6"/>
  <c r="K43" i="6"/>
  <c r="L43" i="6"/>
  <c r="M43" i="6"/>
  <c r="O43" i="6"/>
  <c r="P43" i="6"/>
  <c r="Q43" i="6"/>
  <c r="S43" i="6"/>
  <c r="T43" i="6"/>
  <c r="U43" i="6"/>
  <c r="V43" i="6"/>
  <c r="W43" i="6"/>
  <c r="E44" i="6"/>
  <c r="F44" i="6"/>
  <c r="G44" i="6"/>
  <c r="I44" i="6"/>
  <c r="J44" i="6"/>
  <c r="K44" i="6"/>
  <c r="L44" i="6"/>
  <c r="M44" i="6"/>
  <c r="O44" i="6"/>
  <c r="P44" i="6"/>
  <c r="Q44" i="6"/>
  <c r="S44" i="6"/>
  <c r="T44" i="6"/>
  <c r="U44" i="6"/>
  <c r="V44" i="6"/>
  <c r="W44" i="6"/>
  <c r="Y44" i="6"/>
  <c r="Z44" i="6" s="1"/>
  <c r="E45" i="6"/>
  <c r="F45" i="6"/>
  <c r="G45" i="6"/>
  <c r="I45" i="6"/>
  <c r="J45" i="6"/>
  <c r="K45" i="6"/>
  <c r="L45" i="6"/>
  <c r="M45" i="6"/>
  <c r="O45" i="6"/>
  <c r="P45" i="6"/>
  <c r="Q45" i="6"/>
  <c r="S45" i="6"/>
  <c r="T45" i="6"/>
  <c r="U45" i="6"/>
  <c r="V45" i="6"/>
  <c r="W45" i="6"/>
  <c r="Y45" i="6"/>
  <c r="Z45" i="6" s="1"/>
  <c r="E46" i="6"/>
  <c r="F46" i="6"/>
  <c r="G46" i="6"/>
  <c r="I46" i="6"/>
  <c r="J46" i="6"/>
  <c r="K46" i="6"/>
  <c r="L46" i="6"/>
  <c r="M46" i="6"/>
  <c r="O46" i="6"/>
  <c r="P46" i="6"/>
  <c r="Q46" i="6"/>
  <c r="S46" i="6"/>
  <c r="T46" i="6"/>
  <c r="U46" i="6"/>
  <c r="V46" i="6"/>
  <c r="W46" i="6"/>
  <c r="Y46" i="6"/>
  <c r="Z46" i="6" s="1"/>
  <c r="E50" i="6"/>
  <c r="F50" i="6"/>
  <c r="G50" i="6"/>
  <c r="I50" i="6"/>
  <c r="J50" i="6"/>
  <c r="K50" i="6"/>
  <c r="L50" i="6"/>
  <c r="M50" i="6"/>
  <c r="N50" i="6"/>
  <c r="P50" i="6"/>
  <c r="Q50" i="6"/>
  <c r="S50" i="6"/>
  <c r="T50" i="6"/>
  <c r="U50" i="6"/>
  <c r="V50" i="6"/>
  <c r="W50" i="6"/>
  <c r="X50" i="6"/>
  <c r="Z50" i="6"/>
  <c r="AA50" i="6"/>
  <c r="AB50" i="6"/>
  <c r="D51" i="6"/>
  <c r="E51" i="6"/>
  <c r="F51" i="6"/>
  <c r="G51" i="6"/>
  <c r="I51" i="6"/>
  <c r="J51" i="6"/>
  <c r="K51" i="6"/>
  <c r="L51" i="6"/>
  <c r="M51" i="6"/>
  <c r="O51" i="6"/>
  <c r="P51" i="6"/>
  <c r="Q51" i="6"/>
  <c r="S51" i="6"/>
  <c r="T51" i="6"/>
  <c r="U51" i="6"/>
  <c r="V51" i="6"/>
  <c r="AO82" i="6" s="1"/>
  <c r="W51" i="6"/>
  <c r="Y51" i="6"/>
  <c r="D52" i="6"/>
  <c r="E52" i="6"/>
  <c r="F52" i="6"/>
  <c r="G52" i="6"/>
  <c r="H52" i="6"/>
  <c r="I52" i="6"/>
  <c r="J52" i="6"/>
  <c r="K52" i="6"/>
  <c r="L52" i="6"/>
  <c r="M52" i="6"/>
  <c r="O52" i="6"/>
  <c r="P52" i="6"/>
  <c r="Q52" i="6"/>
  <c r="S52" i="6"/>
  <c r="T52" i="6"/>
  <c r="U52" i="6"/>
  <c r="V52" i="6"/>
  <c r="W52" i="6"/>
  <c r="D53" i="6"/>
  <c r="E53" i="6"/>
  <c r="F53" i="6"/>
  <c r="G53" i="6"/>
  <c r="H53" i="6"/>
  <c r="Y53" i="6" s="1"/>
  <c r="I53" i="6"/>
  <c r="J53" i="6"/>
  <c r="K53" i="6"/>
  <c r="L53" i="6"/>
  <c r="M53" i="6"/>
  <c r="O53" i="6"/>
  <c r="P53" i="6"/>
  <c r="Q53" i="6"/>
  <c r="S53" i="6"/>
  <c r="T53" i="6"/>
  <c r="U53" i="6"/>
  <c r="V53" i="6"/>
  <c r="W53" i="6"/>
  <c r="D54" i="6"/>
  <c r="E54" i="6"/>
  <c r="F54" i="6"/>
  <c r="G54" i="6"/>
  <c r="I54" i="6"/>
  <c r="J54" i="6"/>
  <c r="K54" i="6"/>
  <c r="L54" i="6"/>
  <c r="M54" i="6"/>
  <c r="O54" i="6"/>
  <c r="P54" i="6"/>
  <c r="Q54" i="6"/>
  <c r="S54" i="6"/>
  <c r="T54" i="6"/>
  <c r="U54" i="6"/>
  <c r="V54" i="6"/>
  <c r="W54" i="6"/>
  <c r="Y54" i="6"/>
  <c r="R56" i="6"/>
  <c r="D59" i="6"/>
  <c r="E59" i="6"/>
  <c r="F59" i="6"/>
  <c r="G59" i="6"/>
  <c r="H59" i="6"/>
  <c r="I59" i="6"/>
  <c r="J59" i="6"/>
  <c r="K59" i="6"/>
  <c r="L59" i="6"/>
  <c r="M59" i="6"/>
  <c r="P59" i="6"/>
  <c r="Q59" i="6"/>
  <c r="R59" i="6"/>
  <c r="U59" i="6"/>
  <c r="V59" i="6"/>
  <c r="W59" i="6"/>
  <c r="D60" i="6"/>
  <c r="E60" i="6"/>
  <c r="F60" i="6"/>
  <c r="G60" i="6"/>
  <c r="H60" i="6"/>
  <c r="Y60" i="6" s="1"/>
  <c r="Z60" i="6" s="1"/>
  <c r="I60" i="6"/>
  <c r="J60" i="6"/>
  <c r="K60" i="6"/>
  <c r="L60" i="6"/>
  <c r="M60" i="6"/>
  <c r="O60" i="6"/>
  <c r="P60" i="6"/>
  <c r="Q60" i="6"/>
  <c r="S60" i="6"/>
  <c r="T60" i="6"/>
  <c r="U60" i="6"/>
  <c r="V60" i="6"/>
  <c r="W60" i="6"/>
  <c r="D61" i="6"/>
  <c r="H61" i="6"/>
  <c r="Y61" i="6" s="1"/>
  <c r="D63" i="6"/>
  <c r="H63" i="6"/>
  <c r="R63" i="6"/>
  <c r="D64" i="6"/>
  <c r="H64" i="6"/>
  <c r="Y64" i="6" s="1"/>
  <c r="D65" i="6"/>
  <c r="H65" i="6"/>
  <c r="Y65" i="6" s="1"/>
  <c r="D66" i="6"/>
  <c r="H66" i="6"/>
  <c r="Y66" i="6" s="1"/>
  <c r="D67" i="6"/>
  <c r="H67" i="6"/>
  <c r="Y67" i="6" s="1"/>
  <c r="D68" i="6"/>
  <c r="H68" i="6"/>
  <c r="Y68" i="6" s="1"/>
  <c r="E69" i="6"/>
  <c r="F69" i="6"/>
  <c r="G69" i="6"/>
  <c r="I69" i="6"/>
  <c r="J69" i="6"/>
  <c r="K69" i="6"/>
  <c r="L69" i="6"/>
  <c r="M69" i="6"/>
  <c r="O69" i="6"/>
  <c r="P69" i="6"/>
  <c r="Q69" i="6"/>
  <c r="S69" i="6"/>
  <c r="T69" i="6"/>
  <c r="U69" i="6"/>
  <c r="V69" i="6"/>
  <c r="W69" i="6"/>
  <c r="D70" i="6"/>
  <c r="Z70" i="6" s="1"/>
  <c r="H70" i="6"/>
  <c r="Y70" i="6" s="1"/>
  <c r="D71" i="6"/>
  <c r="H71" i="6"/>
  <c r="Y71" i="6" s="1"/>
  <c r="D72" i="6"/>
  <c r="H72" i="6"/>
  <c r="Y72" i="6" s="1"/>
  <c r="D73" i="6"/>
  <c r="H73" i="6"/>
  <c r="Y73" i="6" s="1"/>
  <c r="D74" i="6"/>
  <c r="H74" i="6"/>
  <c r="Y74" i="6" s="1"/>
  <c r="D75" i="6"/>
  <c r="E75" i="6"/>
  <c r="F75" i="6"/>
  <c r="G75" i="6"/>
  <c r="H75" i="6"/>
  <c r="Y75" i="6" s="1"/>
  <c r="Z75" i="6" s="1"/>
  <c r="I75" i="6"/>
  <c r="J75" i="6"/>
  <c r="K75" i="6"/>
  <c r="L75" i="6"/>
  <c r="M75" i="6"/>
  <c r="O75" i="6"/>
  <c r="P75" i="6"/>
  <c r="Q75" i="6"/>
  <c r="S75" i="6"/>
  <c r="T75" i="6"/>
  <c r="U75" i="6"/>
  <c r="V75" i="6"/>
  <c r="W75" i="6"/>
  <c r="D76" i="6"/>
  <c r="AF92" i="6" s="1"/>
  <c r="E76" i="6"/>
  <c r="AG92" i="6" s="1"/>
  <c r="F76" i="6"/>
  <c r="AH92" i="6" s="1"/>
  <c r="G76" i="6"/>
  <c r="H76" i="6"/>
  <c r="Y76" i="6" s="1"/>
  <c r="Z76" i="6" s="1"/>
  <c r="I76" i="6"/>
  <c r="J76" i="6"/>
  <c r="K76" i="6"/>
  <c r="AJ92" i="6" s="1"/>
  <c r="L76" i="6"/>
  <c r="M76" i="6"/>
  <c r="O76" i="6"/>
  <c r="AL92" i="6" s="1"/>
  <c r="P76" i="6"/>
  <c r="Q76" i="6"/>
  <c r="S76" i="6"/>
  <c r="T76" i="6"/>
  <c r="U76" i="6"/>
  <c r="V76" i="6"/>
  <c r="AO92" i="6" s="1"/>
  <c r="W76" i="6"/>
  <c r="D77" i="6"/>
  <c r="AF82" i="6" s="1"/>
  <c r="F77" i="6"/>
  <c r="AH82" i="6" s="1"/>
  <c r="G77" i="6"/>
  <c r="H77" i="6"/>
  <c r="I77" i="6"/>
  <c r="J77" i="6"/>
  <c r="K77" i="6"/>
  <c r="L77" i="6"/>
  <c r="AJ82" i="6" s="1"/>
  <c r="M77" i="6"/>
  <c r="P77" i="6"/>
  <c r="AM82" i="6" s="1"/>
  <c r="Q77" i="6"/>
  <c r="R77" i="6"/>
  <c r="S77" i="6"/>
  <c r="T77" i="6"/>
  <c r="U77" i="6"/>
  <c r="V77" i="6"/>
  <c r="W77" i="6"/>
  <c r="D78" i="6"/>
  <c r="E78" i="6"/>
  <c r="F78" i="6"/>
  <c r="G78" i="6"/>
  <c r="I78" i="6"/>
  <c r="J78" i="6"/>
  <c r="K78" i="6"/>
  <c r="L78" i="6"/>
  <c r="M78" i="6"/>
  <c r="P78" i="6"/>
  <c r="Q78" i="6"/>
  <c r="R78" i="6"/>
  <c r="Y78" i="6" s="1"/>
  <c r="T78" i="6"/>
  <c r="U78" i="6"/>
  <c r="V78" i="6"/>
  <c r="W78" i="6"/>
  <c r="E79" i="6"/>
  <c r="F79" i="6"/>
  <c r="G79" i="6"/>
  <c r="I79" i="6"/>
  <c r="J79" i="6"/>
  <c r="K79" i="6"/>
  <c r="L79" i="6"/>
  <c r="M79" i="6"/>
  <c r="O79" i="6"/>
  <c r="P79" i="6"/>
  <c r="Q79" i="6"/>
  <c r="S79" i="6"/>
  <c r="T79" i="6"/>
  <c r="U79" i="6"/>
  <c r="V79" i="6"/>
  <c r="W79" i="6"/>
  <c r="Y79" i="6"/>
  <c r="Z79" i="6" s="1"/>
  <c r="E84" i="6"/>
  <c r="F84" i="6"/>
  <c r="G84" i="6"/>
  <c r="I84" i="6"/>
  <c r="J84" i="6"/>
  <c r="K84" i="6"/>
  <c r="L84" i="6"/>
  <c r="M84" i="6"/>
  <c r="O84" i="6"/>
  <c r="P84" i="6"/>
  <c r="Q84" i="6"/>
  <c r="R84" i="6"/>
  <c r="S84" i="6"/>
  <c r="T84" i="6"/>
  <c r="U84" i="6"/>
  <c r="V84" i="6"/>
  <c r="W84" i="6"/>
  <c r="D85" i="6"/>
  <c r="E85" i="6"/>
  <c r="F85" i="6"/>
  <c r="G85" i="6"/>
  <c r="I85" i="6"/>
  <c r="J85" i="6"/>
  <c r="K85" i="6"/>
  <c r="L85" i="6"/>
  <c r="M85" i="6"/>
  <c r="O85" i="6"/>
  <c r="P85" i="6"/>
  <c r="Q85" i="6"/>
  <c r="S85" i="6"/>
  <c r="T85" i="6"/>
  <c r="U85" i="6"/>
  <c r="V85" i="6"/>
  <c r="W85" i="6"/>
  <c r="D86" i="6"/>
  <c r="E86" i="6"/>
  <c r="F86" i="6"/>
  <c r="G86" i="6"/>
  <c r="H86" i="6"/>
  <c r="I86" i="6"/>
  <c r="J86" i="6"/>
  <c r="K86" i="6"/>
  <c r="L86" i="6"/>
  <c r="M86" i="6"/>
  <c r="O86" i="6"/>
  <c r="AL84" i="6" s="1"/>
  <c r="P86" i="6"/>
  <c r="Q86" i="6"/>
  <c r="S86" i="6"/>
  <c r="T86" i="6"/>
  <c r="U86" i="6"/>
  <c r="V86" i="6"/>
  <c r="W86" i="6"/>
  <c r="D87" i="6"/>
  <c r="E87" i="6"/>
  <c r="F87" i="6"/>
  <c r="G87" i="6"/>
  <c r="I87" i="6"/>
  <c r="J87" i="6"/>
  <c r="K87" i="6"/>
  <c r="L87" i="6"/>
  <c r="M87" i="6"/>
  <c r="O87" i="6"/>
  <c r="P87" i="6"/>
  <c r="Q87" i="6"/>
  <c r="S87" i="6"/>
  <c r="T87" i="6"/>
  <c r="U87" i="6"/>
  <c r="V87" i="6"/>
  <c r="W87" i="6"/>
  <c r="D88" i="6"/>
  <c r="E88" i="6"/>
  <c r="F88" i="6"/>
  <c r="G88" i="6"/>
  <c r="I88" i="6"/>
  <c r="J88" i="6"/>
  <c r="K88" i="6"/>
  <c r="L88" i="6"/>
  <c r="M88" i="6"/>
  <c r="O88" i="6"/>
  <c r="P88" i="6"/>
  <c r="Q88" i="6"/>
  <c r="S88" i="6"/>
  <c r="T88" i="6"/>
  <c r="U88" i="6"/>
  <c r="V88" i="6"/>
  <c r="W88" i="6"/>
  <c r="D89" i="6"/>
  <c r="E89" i="6"/>
  <c r="F89" i="6"/>
  <c r="G89" i="6"/>
  <c r="I89" i="6"/>
  <c r="J89" i="6"/>
  <c r="K89" i="6"/>
  <c r="L89" i="6"/>
  <c r="M89" i="6"/>
  <c r="P89" i="6"/>
  <c r="Q89" i="6"/>
  <c r="S89" i="6"/>
  <c r="T89" i="6"/>
  <c r="U89" i="6"/>
  <c r="V89" i="6"/>
  <c r="W89" i="6"/>
  <c r="D90" i="6"/>
  <c r="AF89" i="6" s="1"/>
  <c r="E90" i="6"/>
  <c r="F90" i="6"/>
  <c r="G90" i="6"/>
  <c r="I90" i="6"/>
  <c r="J90" i="6"/>
  <c r="K90" i="6"/>
  <c r="L90" i="6"/>
  <c r="M90" i="6"/>
  <c r="O90" i="6"/>
  <c r="P90" i="6"/>
  <c r="Q90" i="6"/>
  <c r="S90" i="6"/>
  <c r="T90" i="6"/>
  <c r="U90" i="6"/>
  <c r="V90" i="6"/>
  <c r="W90" i="6"/>
  <c r="D91" i="6"/>
  <c r="AF91" i="6" s="1"/>
  <c r="E91" i="6"/>
  <c r="AG91" i="6" s="1"/>
  <c r="F91" i="6"/>
  <c r="AH91" i="6" s="1"/>
  <c r="G91" i="6"/>
  <c r="I91" i="6"/>
  <c r="J91" i="6"/>
  <c r="K91" i="6"/>
  <c r="L91" i="6"/>
  <c r="M91" i="6"/>
  <c r="O91" i="6"/>
  <c r="AL91" i="6" s="1"/>
  <c r="P91" i="6"/>
  <c r="Q91" i="6"/>
  <c r="S91" i="6"/>
  <c r="T91" i="6"/>
  <c r="U91" i="6"/>
  <c r="V91" i="6"/>
  <c r="W91" i="6"/>
  <c r="D95" i="6"/>
  <c r="R95" i="6" s="1"/>
  <c r="Y95" i="6" s="1"/>
  <c r="Z95" i="6" s="1"/>
  <c r="E102" i="6"/>
  <c r="F102" i="6"/>
  <c r="G102" i="6"/>
  <c r="I102" i="6"/>
  <c r="J102" i="6"/>
  <c r="K102" i="6"/>
  <c r="L102" i="6"/>
  <c r="M102" i="6"/>
  <c r="O102" i="6"/>
  <c r="P102" i="6"/>
  <c r="Q102" i="6"/>
  <c r="S102" i="6"/>
  <c r="T102" i="6"/>
  <c r="U102" i="6"/>
  <c r="V102" i="6"/>
  <c r="W102" i="6"/>
  <c r="Y102" i="6"/>
  <c r="D103" i="6"/>
  <c r="F103" i="6"/>
  <c r="G103" i="6"/>
  <c r="H103" i="6"/>
  <c r="Y103" i="6" s="1"/>
  <c r="I103" i="6"/>
  <c r="J103" i="6"/>
  <c r="K103" i="6"/>
  <c r="L103" i="6"/>
  <c r="M103" i="6"/>
  <c r="O103" i="6"/>
  <c r="P103" i="6"/>
  <c r="Q103" i="6"/>
  <c r="S103" i="6"/>
  <c r="T103" i="6"/>
  <c r="U103" i="6"/>
  <c r="V103" i="6"/>
  <c r="W103" i="6"/>
  <c r="D104" i="6"/>
  <c r="F104" i="6"/>
  <c r="G104" i="6"/>
  <c r="H104" i="6"/>
  <c r="Y104" i="6" s="1"/>
  <c r="I104" i="6"/>
  <c r="J104" i="6"/>
  <c r="K104" i="6"/>
  <c r="L104" i="6"/>
  <c r="M104" i="6"/>
  <c r="O104" i="6"/>
  <c r="P104" i="6"/>
  <c r="Q104" i="6"/>
  <c r="S104" i="6"/>
  <c r="T104" i="6"/>
  <c r="U104" i="6"/>
  <c r="V104" i="6"/>
  <c r="W104" i="6"/>
  <c r="D105" i="6"/>
  <c r="E105" i="6"/>
  <c r="F105" i="6"/>
  <c r="G105" i="6"/>
  <c r="I105" i="6"/>
  <c r="J105" i="6"/>
  <c r="K105" i="6"/>
  <c r="L105" i="6"/>
  <c r="M105" i="6"/>
  <c r="O105" i="6"/>
  <c r="P105" i="6"/>
  <c r="Q105" i="6"/>
  <c r="R105" i="6"/>
  <c r="S105" i="6"/>
  <c r="T105" i="6"/>
  <c r="U105" i="6"/>
  <c r="V105" i="6"/>
  <c r="W105" i="6"/>
  <c r="D106" i="6"/>
  <c r="E106" i="6"/>
  <c r="F106" i="6"/>
  <c r="G106" i="6"/>
  <c r="I106" i="6"/>
  <c r="J106" i="6"/>
  <c r="K106" i="6"/>
  <c r="L106" i="6"/>
  <c r="M106" i="6"/>
  <c r="P106" i="6"/>
  <c r="Q106" i="6"/>
  <c r="R106" i="6"/>
  <c r="Y106" i="6" s="1"/>
  <c r="S106" i="6"/>
  <c r="T106" i="6"/>
  <c r="U106" i="6"/>
  <c r="V106" i="6"/>
  <c r="W106" i="6"/>
  <c r="D107" i="6"/>
  <c r="E107" i="6"/>
  <c r="AG162" i="6" s="1"/>
  <c r="F107" i="6"/>
  <c r="AH162" i="6" s="1"/>
  <c r="G107" i="6"/>
  <c r="H107" i="6"/>
  <c r="Y107" i="6" s="1"/>
  <c r="Z107" i="6" s="1"/>
  <c r="I107" i="6"/>
  <c r="J107" i="6"/>
  <c r="K107" i="6"/>
  <c r="L107" i="6"/>
  <c r="M107" i="6"/>
  <c r="O107" i="6"/>
  <c r="AL162" i="6" s="1"/>
  <c r="P107" i="6"/>
  <c r="AM162" i="6" s="1"/>
  <c r="Q107" i="6"/>
  <c r="S107" i="6"/>
  <c r="T107" i="6"/>
  <c r="U107" i="6"/>
  <c r="V107" i="6"/>
  <c r="AO162" i="6" s="1"/>
  <c r="W107" i="6"/>
  <c r="D112" i="6"/>
  <c r="E112" i="6"/>
  <c r="F112" i="6"/>
  <c r="G112" i="6"/>
  <c r="H112" i="6"/>
  <c r="I112" i="6"/>
  <c r="J112" i="6"/>
  <c r="K112" i="6"/>
  <c r="L112" i="6"/>
  <c r="M112" i="6"/>
  <c r="O112" i="6"/>
  <c r="P112" i="6"/>
  <c r="Q112" i="6"/>
  <c r="S112" i="6"/>
  <c r="T112" i="6"/>
  <c r="U112" i="6"/>
  <c r="V112" i="6"/>
  <c r="W112" i="6"/>
  <c r="D113" i="6"/>
  <c r="E113" i="6"/>
  <c r="F113" i="6"/>
  <c r="G113" i="6"/>
  <c r="H113" i="6"/>
  <c r="Y113" i="6" s="1"/>
  <c r="Z113" i="6" s="1"/>
  <c r="I113" i="6"/>
  <c r="J113" i="6"/>
  <c r="K113" i="6"/>
  <c r="L113" i="6"/>
  <c r="M113" i="6"/>
  <c r="O113" i="6"/>
  <c r="P113" i="6"/>
  <c r="Q113" i="6"/>
  <c r="S113" i="6"/>
  <c r="T113" i="6"/>
  <c r="U113" i="6"/>
  <c r="V113" i="6"/>
  <c r="W113" i="6"/>
  <c r="D114" i="6"/>
  <c r="AF161" i="6" s="1"/>
  <c r="E114" i="6"/>
  <c r="AG161" i="6" s="1"/>
  <c r="F114" i="6"/>
  <c r="AH161" i="6" s="1"/>
  <c r="G114" i="6"/>
  <c r="H114" i="6"/>
  <c r="Y114" i="6" s="1"/>
  <c r="Z114" i="6" s="1"/>
  <c r="I114" i="6"/>
  <c r="J114" i="6"/>
  <c r="K114" i="6"/>
  <c r="L114" i="6"/>
  <c r="M114" i="6"/>
  <c r="O114" i="6"/>
  <c r="AL161" i="6" s="1"/>
  <c r="P114" i="6"/>
  <c r="AM161" i="6" s="1"/>
  <c r="Q114" i="6"/>
  <c r="S114" i="6"/>
  <c r="T114" i="6"/>
  <c r="U114" i="6"/>
  <c r="V114" i="6"/>
  <c r="AO161" i="6" s="1"/>
  <c r="W114" i="6"/>
  <c r="D115" i="6"/>
  <c r="H115" i="6"/>
  <c r="D116" i="6"/>
  <c r="E116" i="6"/>
  <c r="F116" i="6"/>
  <c r="G116" i="6"/>
  <c r="H116" i="6"/>
  <c r="I116" i="6"/>
  <c r="J116" i="6"/>
  <c r="K116" i="6"/>
  <c r="L116" i="6"/>
  <c r="M116" i="6"/>
  <c r="O116" i="6"/>
  <c r="P116" i="6"/>
  <c r="Q116" i="6"/>
  <c r="R116" i="6"/>
  <c r="S116" i="6"/>
  <c r="T116" i="6"/>
  <c r="U116" i="6"/>
  <c r="V116" i="6"/>
  <c r="W116" i="6"/>
  <c r="D117" i="6"/>
  <c r="E117" i="6"/>
  <c r="F117" i="6"/>
  <c r="G117" i="6"/>
  <c r="I117" i="6"/>
  <c r="J117" i="6"/>
  <c r="K117" i="6"/>
  <c r="L117" i="6"/>
  <c r="M117" i="6"/>
  <c r="P117" i="6"/>
  <c r="Q117" i="6"/>
  <c r="R117" i="6"/>
  <c r="Y117" i="6" s="1"/>
  <c r="S117" i="6"/>
  <c r="T117" i="6"/>
  <c r="U117" i="6"/>
  <c r="V117" i="6"/>
  <c r="W117" i="6"/>
  <c r="D118" i="6"/>
  <c r="E118" i="6"/>
  <c r="AG160" i="6" s="1"/>
  <c r="F118" i="6"/>
  <c r="AH160" i="6" s="1"/>
  <c r="G118" i="6"/>
  <c r="I118" i="6"/>
  <c r="J118" i="6"/>
  <c r="K118" i="6"/>
  <c r="L118" i="6"/>
  <c r="AJ159" i="6" s="1"/>
  <c r="M118" i="6"/>
  <c r="O118" i="6"/>
  <c r="AL160" i="6" s="1"/>
  <c r="P118" i="6"/>
  <c r="AM160" i="6" s="1"/>
  <c r="Q118" i="6"/>
  <c r="S118" i="6"/>
  <c r="T118" i="6"/>
  <c r="U118" i="6"/>
  <c r="V118" i="6"/>
  <c r="AO160" i="6" s="1"/>
  <c r="W118" i="6"/>
  <c r="Y118" i="6"/>
  <c r="E123" i="6"/>
  <c r="F123" i="6"/>
  <c r="G123" i="6"/>
  <c r="I123" i="6"/>
  <c r="J123" i="6"/>
  <c r="K123" i="6"/>
  <c r="M123" i="6"/>
  <c r="O123" i="6"/>
  <c r="P123" i="6"/>
  <c r="Q123" i="6"/>
  <c r="T123" i="6"/>
  <c r="U123" i="6"/>
  <c r="V123" i="6"/>
  <c r="W123" i="6"/>
  <c r="Y123" i="6"/>
  <c r="F124" i="6"/>
  <c r="G124" i="6"/>
  <c r="I124" i="6"/>
  <c r="J124" i="6"/>
  <c r="K124" i="6"/>
  <c r="L124" i="6"/>
  <c r="M124" i="6"/>
  <c r="O124" i="6"/>
  <c r="P124" i="6"/>
  <c r="Q124" i="6"/>
  <c r="S124" i="6"/>
  <c r="T124" i="6"/>
  <c r="U124" i="6"/>
  <c r="V124" i="6"/>
  <c r="W124" i="6"/>
  <c r="Y124" i="6"/>
  <c r="Z124" i="6" s="1"/>
  <c r="D126" i="6"/>
  <c r="E126" i="6"/>
  <c r="F126" i="6"/>
  <c r="G126" i="6"/>
  <c r="H126" i="6"/>
  <c r="I126" i="6"/>
  <c r="J126" i="6"/>
  <c r="K126" i="6"/>
  <c r="M126" i="6"/>
  <c r="O126" i="6"/>
  <c r="P126" i="6"/>
  <c r="Q126" i="6"/>
  <c r="T126" i="6"/>
  <c r="U126" i="6"/>
  <c r="V126" i="6"/>
  <c r="W126" i="6"/>
  <c r="AF159" i="6"/>
  <c r="E127" i="6"/>
  <c r="AG159" i="6" s="1"/>
  <c r="F127" i="6"/>
  <c r="AH159" i="6" s="1"/>
  <c r="G127" i="6"/>
  <c r="I127" i="6"/>
  <c r="J127" i="6"/>
  <c r="K127" i="6"/>
  <c r="M127" i="6"/>
  <c r="O127" i="6"/>
  <c r="AL159" i="6" s="1"/>
  <c r="P127" i="6"/>
  <c r="AM159" i="6" s="1"/>
  <c r="Q127" i="6"/>
  <c r="S127" i="6"/>
  <c r="T127" i="6"/>
  <c r="U127" i="6"/>
  <c r="V127" i="6"/>
  <c r="W127" i="6"/>
  <c r="Y127" i="6"/>
  <c r="Z127" i="6" s="1"/>
  <c r="R129" i="6"/>
  <c r="D132" i="6"/>
  <c r="E132" i="6"/>
  <c r="F132" i="6"/>
  <c r="G132" i="6"/>
  <c r="H132" i="6"/>
  <c r="I132" i="6"/>
  <c r="J132" i="6"/>
  <c r="K132" i="6"/>
  <c r="L132" i="6"/>
  <c r="M132" i="6"/>
  <c r="O132" i="6"/>
  <c r="P132" i="6"/>
  <c r="Q132" i="6"/>
  <c r="R132" i="6"/>
  <c r="R143" i="6" s="1"/>
  <c r="S132" i="6"/>
  <c r="T132" i="6"/>
  <c r="U132" i="6"/>
  <c r="V132" i="6"/>
  <c r="W132" i="6"/>
  <c r="D133" i="6"/>
  <c r="E133" i="6"/>
  <c r="F133" i="6"/>
  <c r="G133" i="6"/>
  <c r="H133" i="6"/>
  <c r="Y133" i="6" s="1"/>
  <c r="Z133" i="6" s="1"/>
  <c r="I133" i="6"/>
  <c r="J133" i="6"/>
  <c r="K133" i="6"/>
  <c r="L133" i="6"/>
  <c r="M133" i="6"/>
  <c r="O133" i="6"/>
  <c r="P133" i="6"/>
  <c r="Q133" i="6"/>
  <c r="S133" i="6"/>
  <c r="T133" i="6"/>
  <c r="U133" i="6"/>
  <c r="V133" i="6"/>
  <c r="W133" i="6"/>
  <c r="D134" i="6"/>
  <c r="H134" i="6"/>
  <c r="Y134" i="6" s="1"/>
  <c r="D135" i="6"/>
  <c r="H135" i="6"/>
  <c r="Y135" i="6" s="1"/>
  <c r="D136" i="6"/>
  <c r="H136" i="6"/>
  <c r="Y136" i="6" s="1"/>
  <c r="D137" i="6"/>
  <c r="H137" i="6"/>
  <c r="Y137" i="6" s="1"/>
  <c r="D139" i="6"/>
  <c r="H139" i="6"/>
  <c r="Y139" i="6" s="1"/>
  <c r="D140" i="6"/>
  <c r="E140" i="6"/>
  <c r="F140" i="6"/>
  <c r="G140" i="6"/>
  <c r="H140" i="6"/>
  <c r="Y140" i="6" s="1"/>
  <c r="Z140" i="6" s="1"/>
  <c r="I140" i="6"/>
  <c r="J140" i="6"/>
  <c r="K140" i="6"/>
  <c r="L140" i="6"/>
  <c r="M140" i="6"/>
  <c r="O140" i="6"/>
  <c r="AL155" i="6" s="1"/>
  <c r="P140" i="6"/>
  <c r="Q140" i="6"/>
  <c r="S140" i="6"/>
  <c r="T140" i="6"/>
  <c r="U140" i="6"/>
  <c r="V140" i="6"/>
  <c r="W140" i="6"/>
  <c r="D141" i="6"/>
  <c r="E141" i="6"/>
  <c r="F141" i="6"/>
  <c r="G141" i="6"/>
  <c r="H141" i="6"/>
  <c r="Y141" i="6" s="1"/>
  <c r="Z141" i="6" s="1"/>
  <c r="I141" i="6"/>
  <c r="J141" i="6"/>
  <c r="K141" i="6"/>
  <c r="L141" i="6"/>
  <c r="M141" i="6"/>
  <c r="P141" i="6"/>
  <c r="Q141" i="6"/>
  <c r="S141" i="6"/>
  <c r="T141" i="6"/>
  <c r="U141" i="6"/>
  <c r="V141" i="6"/>
  <c r="W141" i="6"/>
  <c r="D146" i="6"/>
  <c r="E146" i="6"/>
  <c r="F146" i="6"/>
  <c r="G146" i="6"/>
  <c r="H146" i="6"/>
  <c r="I146" i="6"/>
  <c r="J146" i="6"/>
  <c r="K146" i="6"/>
  <c r="L146" i="6"/>
  <c r="M146" i="6"/>
  <c r="O146" i="6"/>
  <c r="P146" i="6"/>
  <c r="Q146" i="6"/>
  <c r="R146" i="6"/>
  <c r="S146" i="6"/>
  <c r="T146" i="6"/>
  <c r="U146" i="6"/>
  <c r="V146" i="6"/>
  <c r="W146" i="6"/>
  <c r="AA146" i="6"/>
  <c r="D149" i="6"/>
  <c r="E149" i="6"/>
  <c r="F149" i="6"/>
  <c r="G149" i="6"/>
  <c r="H149" i="6"/>
  <c r="Y149" i="6" s="1"/>
  <c r="Z149" i="6" s="1"/>
  <c r="I149" i="6"/>
  <c r="J149" i="6"/>
  <c r="K149" i="6"/>
  <c r="L149" i="6"/>
  <c r="M149" i="6"/>
  <c r="O149" i="6"/>
  <c r="P149" i="6"/>
  <c r="Q149" i="6"/>
  <c r="S149" i="6"/>
  <c r="T149" i="6"/>
  <c r="U149" i="6"/>
  <c r="V149" i="6"/>
  <c r="W149" i="6"/>
  <c r="AA149" i="6"/>
  <c r="D150" i="6"/>
  <c r="H150" i="6"/>
  <c r="Y150" i="6" s="1"/>
  <c r="D151" i="6"/>
  <c r="H151" i="6"/>
  <c r="Y151" i="6" s="1"/>
  <c r="D152" i="6"/>
  <c r="AF149" i="6" s="1"/>
  <c r="F152" i="6"/>
  <c r="AH149" i="6" s="1"/>
  <c r="G152" i="6"/>
  <c r="H152" i="6"/>
  <c r="Y152" i="6" s="1"/>
  <c r="I152" i="6"/>
  <c r="J152" i="6"/>
  <c r="K152" i="6"/>
  <c r="L152" i="6"/>
  <c r="AJ149" i="6" s="1"/>
  <c r="M152" i="6"/>
  <c r="O152" i="6"/>
  <c r="AL149" i="6" s="1"/>
  <c r="P152" i="6"/>
  <c r="AM149" i="6" s="1"/>
  <c r="Q152" i="6"/>
  <c r="S152" i="6"/>
  <c r="T152" i="6"/>
  <c r="U152" i="6"/>
  <c r="V152" i="6"/>
  <c r="AO149" i="6" s="1"/>
  <c r="W152" i="6"/>
  <c r="AA152" i="6"/>
  <c r="D153" i="6"/>
  <c r="H153" i="6"/>
  <c r="Y153" i="6" s="1"/>
  <c r="D154" i="6"/>
  <c r="H154" i="6"/>
  <c r="Y154" i="6" s="1"/>
  <c r="D155" i="6"/>
  <c r="E155" i="6"/>
  <c r="F155" i="6"/>
  <c r="AH146" i="6" s="1"/>
  <c r="G155" i="6"/>
  <c r="H155" i="6"/>
  <c r="Y155" i="6" s="1"/>
  <c r="I155" i="6"/>
  <c r="J155" i="6"/>
  <c r="K155" i="6"/>
  <c r="L155" i="6"/>
  <c r="AJ146" i="6" s="1"/>
  <c r="M155" i="6"/>
  <c r="O155" i="6"/>
  <c r="AL146" i="6" s="1"/>
  <c r="P155" i="6"/>
  <c r="AM146" i="6" s="1"/>
  <c r="Q155" i="6"/>
  <c r="S155" i="6"/>
  <c r="T155" i="6"/>
  <c r="U155" i="6"/>
  <c r="V155" i="6"/>
  <c r="AO146" i="6" s="1"/>
  <c r="W155" i="6"/>
  <c r="AA155" i="6"/>
  <c r="D156" i="6"/>
  <c r="H156" i="6"/>
  <c r="Y156" i="6" s="1"/>
  <c r="D157" i="6"/>
  <c r="H157" i="6"/>
  <c r="D158" i="6"/>
  <c r="H158" i="6"/>
  <c r="Y158" i="6" s="1"/>
  <c r="D159" i="6"/>
  <c r="F159" i="6"/>
  <c r="G159" i="6"/>
  <c r="I159" i="6"/>
  <c r="J159" i="6"/>
  <c r="K159" i="6"/>
  <c r="L159" i="6"/>
  <c r="M159" i="6"/>
  <c r="O159" i="6"/>
  <c r="P159" i="6"/>
  <c r="Q159" i="6"/>
  <c r="R159" i="6"/>
  <c r="Y159" i="6" s="1"/>
  <c r="S159" i="6"/>
  <c r="T159" i="6"/>
  <c r="U159" i="6"/>
  <c r="V159" i="6"/>
  <c r="W159" i="6"/>
  <c r="AA159" i="6"/>
  <c r="AO159" i="6"/>
  <c r="D160" i="6"/>
  <c r="E160" i="6"/>
  <c r="F160" i="6"/>
  <c r="G160" i="6"/>
  <c r="I160" i="6"/>
  <c r="J160" i="6"/>
  <c r="K160" i="6"/>
  <c r="L160" i="6"/>
  <c r="M160" i="6"/>
  <c r="O160" i="6"/>
  <c r="P160" i="6"/>
  <c r="Q160" i="6"/>
  <c r="R160" i="6"/>
  <c r="Y160" i="6" s="1"/>
  <c r="S160" i="6"/>
  <c r="T160" i="6"/>
  <c r="U160" i="6"/>
  <c r="V160" i="6"/>
  <c r="W160" i="6"/>
  <c r="AA160" i="6"/>
  <c r="D169" i="6"/>
  <c r="E169" i="6"/>
  <c r="F169" i="6"/>
  <c r="G169" i="6"/>
  <c r="H169" i="6"/>
  <c r="Y169" i="6" s="1"/>
  <c r="I169" i="6"/>
  <c r="J169" i="6"/>
  <c r="K169" i="6"/>
  <c r="L169" i="6"/>
  <c r="M169" i="6"/>
  <c r="O169" i="6"/>
  <c r="P169" i="6"/>
  <c r="Q169" i="6"/>
  <c r="S169" i="6"/>
  <c r="T169" i="6"/>
  <c r="U169" i="6"/>
  <c r="V169" i="6"/>
  <c r="W169" i="6"/>
  <c r="AA169" i="6"/>
  <c r="D171" i="6"/>
  <c r="H171" i="6"/>
  <c r="Y171" i="6" s="1"/>
  <c r="D173" i="6"/>
  <c r="E173" i="6"/>
  <c r="F173" i="6"/>
  <c r="G173" i="6"/>
  <c r="H173" i="6"/>
  <c r="I173" i="6"/>
  <c r="J173" i="6"/>
  <c r="K173" i="6"/>
  <c r="L173" i="6"/>
  <c r="M173" i="6"/>
  <c r="O173" i="6"/>
  <c r="P173" i="6"/>
  <c r="Q173" i="6"/>
  <c r="S173" i="6"/>
  <c r="T173" i="6"/>
  <c r="U173" i="6"/>
  <c r="V173" i="6"/>
  <c r="W173" i="6"/>
  <c r="AA173" i="6"/>
  <c r="D174" i="6"/>
  <c r="E174" i="6"/>
  <c r="F174" i="6"/>
  <c r="G174" i="6"/>
  <c r="H174" i="6"/>
  <c r="I174" i="6"/>
  <c r="J174" i="6"/>
  <c r="K174" i="6"/>
  <c r="L174" i="6"/>
  <c r="M174" i="6"/>
  <c r="O174" i="6"/>
  <c r="P174" i="6"/>
  <c r="Q174" i="6"/>
  <c r="S174" i="6"/>
  <c r="T174" i="6"/>
  <c r="U174" i="6"/>
  <c r="V174" i="6"/>
  <c r="W174" i="6"/>
  <c r="AA174" i="6"/>
  <c r="D175" i="6"/>
  <c r="G175" i="6"/>
  <c r="H175" i="6"/>
  <c r="Y175" i="6" s="1"/>
  <c r="I175" i="6"/>
  <c r="J175" i="6"/>
  <c r="K175" i="6"/>
  <c r="L175" i="6"/>
  <c r="M175" i="6"/>
  <c r="O175" i="6"/>
  <c r="P175" i="6"/>
  <c r="Q175" i="6"/>
  <c r="S175" i="6"/>
  <c r="T175" i="6"/>
  <c r="U175" i="6"/>
  <c r="V175" i="6"/>
  <c r="W175" i="6"/>
  <c r="AA175" i="6"/>
  <c r="D176" i="6"/>
  <c r="H176" i="6"/>
  <c r="Y176" i="6" s="1"/>
  <c r="D178" i="6"/>
  <c r="H178" i="6"/>
  <c r="Y178" i="6" s="1"/>
  <c r="D179" i="6"/>
  <c r="E179" i="6"/>
  <c r="F179" i="6"/>
  <c r="G179" i="6"/>
  <c r="I179" i="6"/>
  <c r="J179" i="6"/>
  <c r="K179" i="6"/>
  <c r="L179" i="6"/>
  <c r="M179" i="6"/>
  <c r="O179" i="6"/>
  <c r="P179" i="6"/>
  <c r="Q179" i="6"/>
  <c r="R179" i="6"/>
  <c r="Y179" i="6" s="1"/>
  <c r="Z179" i="6" s="1"/>
  <c r="S179" i="6"/>
  <c r="T179" i="6"/>
  <c r="U179" i="6"/>
  <c r="V179" i="6"/>
  <c r="W179" i="6"/>
  <c r="AA179" i="6"/>
  <c r="E180" i="6"/>
  <c r="F180" i="6"/>
  <c r="G180" i="6"/>
  <c r="I180" i="6"/>
  <c r="J180" i="6"/>
  <c r="K180" i="6"/>
  <c r="L180" i="6"/>
  <c r="M180" i="6"/>
  <c r="O180" i="6"/>
  <c r="P180" i="6"/>
  <c r="Q180" i="6"/>
  <c r="S180" i="6"/>
  <c r="T180" i="6"/>
  <c r="U180" i="6"/>
  <c r="V180" i="6"/>
  <c r="W180" i="6"/>
  <c r="Y180" i="6"/>
  <c r="Z180" i="6" s="1"/>
  <c r="AA180" i="6"/>
  <c r="E181" i="6"/>
  <c r="F181" i="6"/>
  <c r="G181" i="6"/>
  <c r="I181" i="6"/>
  <c r="J181" i="6"/>
  <c r="K181" i="6"/>
  <c r="L181" i="6"/>
  <c r="M181" i="6"/>
  <c r="O181" i="6"/>
  <c r="P181" i="6"/>
  <c r="Q181" i="6"/>
  <c r="S181" i="6"/>
  <c r="T181" i="6"/>
  <c r="U181" i="6"/>
  <c r="V181" i="6"/>
  <c r="W181" i="6"/>
  <c r="Y181" i="6"/>
  <c r="Z181" i="6" s="1"/>
  <c r="AA181" i="6"/>
  <c r="D186" i="6"/>
  <c r="E186" i="6"/>
  <c r="F186" i="6"/>
  <c r="G186" i="6"/>
  <c r="I186" i="6"/>
  <c r="J186" i="6"/>
  <c r="K186" i="6"/>
  <c r="L186" i="6"/>
  <c r="M186" i="6"/>
  <c r="O186" i="6"/>
  <c r="P186" i="6"/>
  <c r="Q186" i="6"/>
  <c r="S186" i="6"/>
  <c r="T186" i="6"/>
  <c r="U186" i="6"/>
  <c r="V186" i="6"/>
  <c r="W186" i="6"/>
  <c r="AA186" i="6"/>
  <c r="D187" i="6"/>
  <c r="H187" i="6"/>
  <c r="Y187" i="6" s="1"/>
  <c r="D188" i="6"/>
  <c r="E188" i="6"/>
  <c r="F188" i="6"/>
  <c r="G188" i="6"/>
  <c r="H188" i="6"/>
  <c r="Y188" i="6" s="1"/>
  <c r="Z188" i="6" s="1"/>
  <c r="I188" i="6"/>
  <c r="J188" i="6"/>
  <c r="K188" i="6"/>
  <c r="L188" i="6"/>
  <c r="M188" i="6"/>
  <c r="O188" i="6"/>
  <c r="P188" i="6"/>
  <c r="Q188" i="6"/>
  <c r="S188" i="6"/>
  <c r="T188" i="6"/>
  <c r="U188" i="6"/>
  <c r="V188" i="6"/>
  <c r="W188" i="6"/>
  <c r="AA188" i="6"/>
  <c r="D189" i="6"/>
  <c r="H189" i="6"/>
  <c r="AA189" i="6"/>
  <c r="D190" i="6"/>
  <c r="H190" i="6"/>
  <c r="Y190" i="6" s="1"/>
  <c r="AA190" i="6"/>
  <c r="D191" i="6"/>
  <c r="H191" i="6"/>
  <c r="Y191" i="6" s="1"/>
  <c r="D193" i="6"/>
  <c r="H193" i="6"/>
  <c r="Y193" i="6" s="1"/>
  <c r="D194" i="6"/>
  <c r="H194" i="6"/>
  <c r="Y194" i="6" s="1"/>
  <c r="AA194" i="6"/>
  <c r="D195" i="6"/>
  <c r="H195" i="6"/>
  <c r="Y195" i="6" s="1"/>
  <c r="D196" i="6"/>
  <c r="H196" i="6"/>
  <c r="D198" i="6"/>
  <c r="E198" i="6"/>
  <c r="F198" i="6"/>
  <c r="G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AA198" i="6"/>
  <c r="E199" i="6"/>
  <c r="F199" i="6"/>
  <c r="G199" i="6"/>
  <c r="I199" i="6"/>
  <c r="J199" i="6"/>
  <c r="K199" i="6"/>
  <c r="L199" i="6"/>
  <c r="M199" i="6"/>
  <c r="O199" i="6"/>
  <c r="P199" i="6"/>
  <c r="Q199" i="6"/>
  <c r="S199" i="6"/>
  <c r="T199" i="6"/>
  <c r="U199" i="6"/>
  <c r="V199" i="6"/>
  <c r="W199" i="6"/>
  <c r="Y199" i="6"/>
  <c r="Z199" i="6" s="1"/>
  <c r="AA199" i="6"/>
  <c r="AB199" i="6"/>
  <c r="E200" i="6"/>
  <c r="F200" i="6"/>
  <c r="G200" i="6"/>
  <c r="I200" i="6"/>
  <c r="J200" i="6"/>
  <c r="K200" i="6"/>
  <c r="L200" i="6"/>
  <c r="M200" i="6"/>
  <c r="O200" i="6"/>
  <c r="P200" i="6"/>
  <c r="Q200" i="6"/>
  <c r="S200" i="6"/>
  <c r="T200" i="6"/>
  <c r="U200" i="6"/>
  <c r="V200" i="6"/>
  <c r="W200" i="6"/>
  <c r="Y200" i="6"/>
  <c r="Z200" i="6" s="1"/>
  <c r="E201" i="6"/>
  <c r="F201" i="6"/>
  <c r="G201" i="6"/>
  <c r="I201" i="6"/>
  <c r="J201" i="6"/>
  <c r="K201" i="6"/>
  <c r="L201" i="6"/>
  <c r="M201" i="6"/>
  <c r="O201" i="6"/>
  <c r="P201" i="6"/>
  <c r="Q201" i="6"/>
  <c r="S201" i="6"/>
  <c r="T201" i="6"/>
  <c r="U201" i="6"/>
  <c r="V201" i="6"/>
  <c r="W201" i="6"/>
  <c r="Y201" i="6"/>
  <c r="Z201" i="6" s="1"/>
  <c r="AA201" i="6"/>
  <c r="AB201" i="6"/>
  <c r="D205" i="6"/>
  <c r="E205" i="6"/>
  <c r="F205" i="6"/>
  <c r="G205" i="6"/>
  <c r="I205" i="6"/>
  <c r="J205" i="6"/>
  <c r="K205" i="6"/>
  <c r="L205" i="6"/>
  <c r="M205" i="6"/>
  <c r="N205" i="6"/>
  <c r="P205" i="6"/>
  <c r="Q205" i="6"/>
  <c r="R205" i="6"/>
  <c r="Y205" i="6" s="1"/>
  <c r="S205" i="6"/>
  <c r="T205" i="6"/>
  <c r="U205" i="6"/>
  <c r="V205" i="6"/>
  <c r="W205" i="6"/>
  <c r="X205" i="6"/>
  <c r="Z205" i="6"/>
  <c r="AA205" i="6"/>
  <c r="AB205" i="6"/>
  <c r="D206" i="6"/>
  <c r="E206" i="6"/>
  <c r="F206" i="6"/>
  <c r="G206" i="6"/>
  <c r="H206" i="6"/>
  <c r="I206" i="6"/>
  <c r="J206" i="6"/>
  <c r="K206" i="6"/>
  <c r="L206" i="6"/>
  <c r="M206" i="6"/>
  <c r="P206" i="6"/>
  <c r="Q206" i="6"/>
  <c r="R206" i="6"/>
  <c r="S206" i="6"/>
  <c r="T206" i="6"/>
  <c r="U206" i="6"/>
  <c r="V206" i="6"/>
  <c r="W206" i="6"/>
  <c r="AA206" i="6"/>
  <c r="D207" i="6"/>
  <c r="E207" i="6"/>
  <c r="F207" i="6"/>
  <c r="G207" i="6"/>
  <c r="H207" i="6"/>
  <c r="Y207" i="6" s="1"/>
  <c r="Z207" i="6" s="1"/>
  <c r="I207" i="6"/>
  <c r="J207" i="6"/>
  <c r="K207" i="6"/>
  <c r="L207" i="6"/>
  <c r="M207" i="6"/>
  <c r="O207" i="6"/>
  <c r="P207" i="6"/>
  <c r="Q207" i="6"/>
  <c r="S207" i="6"/>
  <c r="T207" i="6"/>
  <c r="U207" i="6"/>
  <c r="V207" i="6"/>
  <c r="W207" i="6"/>
  <c r="AA207" i="6"/>
  <c r="D208" i="6"/>
  <c r="E208" i="6"/>
  <c r="F208" i="6"/>
  <c r="G208" i="6"/>
  <c r="I208" i="6"/>
  <c r="J208" i="6"/>
  <c r="K208" i="6"/>
  <c r="L208" i="6"/>
  <c r="M208" i="6"/>
  <c r="O208" i="6"/>
  <c r="P208" i="6"/>
  <c r="Q208" i="6"/>
  <c r="R208" i="6"/>
  <c r="Y208" i="6" s="1"/>
  <c r="Z208" i="6" s="1"/>
  <c r="S208" i="6"/>
  <c r="T208" i="6"/>
  <c r="U208" i="6"/>
  <c r="V208" i="6"/>
  <c r="W208" i="6"/>
  <c r="AA208" i="6"/>
  <c r="D209" i="6"/>
  <c r="E209" i="6"/>
  <c r="F209" i="6"/>
  <c r="G209" i="6"/>
  <c r="I209" i="6"/>
  <c r="J209" i="6"/>
  <c r="K209" i="6"/>
  <c r="L209" i="6"/>
  <c r="M209" i="6"/>
  <c r="O209" i="6"/>
  <c r="P209" i="6"/>
  <c r="Q209" i="6"/>
  <c r="R209" i="6"/>
  <c r="Y209" i="6" s="1"/>
  <c r="Z209" i="6" s="1"/>
  <c r="S209" i="6"/>
  <c r="T209" i="6"/>
  <c r="U209" i="6"/>
  <c r="V209" i="6"/>
  <c r="W209" i="6"/>
  <c r="AA209" i="6"/>
  <c r="D210" i="6"/>
  <c r="E210" i="6"/>
  <c r="F210" i="6"/>
  <c r="G210" i="6"/>
  <c r="H210" i="6"/>
  <c r="Y210" i="6" s="1"/>
  <c r="I210" i="6"/>
  <c r="J210" i="6"/>
  <c r="K210" i="6"/>
  <c r="L210" i="6"/>
  <c r="M210" i="6"/>
  <c r="O210" i="6"/>
  <c r="P210" i="6"/>
  <c r="Q210" i="6"/>
  <c r="S210" i="6"/>
  <c r="T210" i="6"/>
  <c r="U210" i="6"/>
  <c r="V210" i="6"/>
  <c r="W210" i="6"/>
  <c r="AA210" i="6"/>
  <c r="D211" i="6"/>
  <c r="H211" i="6"/>
  <c r="Y211" i="6" s="1"/>
  <c r="D213" i="6"/>
  <c r="H213" i="6"/>
  <c r="Y213" i="6" s="1"/>
  <c r="F215" i="6"/>
  <c r="G215" i="6"/>
  <c r="I215" i="6"/>
  <c r="J215" i="6"/>
  <c r="K215" i="6"/>
  <c r="L215" i="6"/>
  <c r="M215" i="6"/>
  <c r="O215" i="6"/>
  <c r="P215" i="6"/>
  <c r="Q215" i="6"/>
  <c r="S215" i="6"/>
  <c r="T215" i="6"/>
  <c r="U215" i="6"/>
  <c r="V215" i="6"/>
  <c r="W215" i="6"/>
  <c r="AA215" i="6"/>
  <c r="D216" i="6"/>
  <c r="H216" i="6"/>
  <c r="Y216" i="6" s="1"/>
  <c r="Z216" i="6" s="1"/>
  <c r="D217" i="6"/>
  <c r="E217" i="6"/>
  <c r="F217" i="6"/>
  <c r="G217" i="6"/>
  <c r="H217" i="6"/>
  <c r="Y217" i="6" s="1"/>
  <c r="Z217" i="6" s="1"/>
  <c r="I217" i="6"/>
  <c r="J217" i="6"/>
  <c r="K217" i="6"/>
  <c r="L217" i="6"/>
  <c r="M217" i="6"/>
  <c r="P217" i="6"/>
  <c r="Q217" i="6"/>
  <c r="S217" i="6"/>
  <c r="T217" i="6"/>
  <c r="U217" i="6"/>
  <c r="V217" i="6"/>
  <c r="W217" i="6"/>
  <c r="AA217" i="6"/>
  <c r="D218" i="6"/>
  <c r="AF265" i="6" s="1"/>
  <c r="E218" i="6"/>
  <c r="F218" i="6"/>
  <c r="G218" i="6"/>
  <c r="I218" i="6"/>
  <c r="J218" i="6"/>
  <c r="K218" i="6"/>
  <c r="L218" i="6"/>
  <c r="M218" i="6"/>
  <c r="O218" i="6"/>
  <c r="P218" i="6"/>
  <c r="Q218" i="6"/>
  <c r="S218" i="6"/>
  <c r="T218" i="6"/>
  <c r="U218" i="6"/>
  <c r="V218" i="6"/>
  <c r="W218" i="6"/>
  <c r="AA218" i="6"/>
  <c r="E226" i="6"/>
  <c r="F226" i="6"/>
  <c r="G226" i="6"/>
  <c r="I226" i="6"/>
  <c r="J226" i="6"/>
  <c r="K226" i="6"/>
  <c r="L226" i="6"/>
  <c r="M226" i="6"/>
  <c r="O226" i="6"/>
  <c r="P226" i="6"/>
  <c r="Q226" i="6"/>
  <c r="S226" i="6"/>
  <c r="T226" i="6"/>
  <c r="U226" i="6"/>
  <c r="V226" i="6"/>
  <c r="W226" i="6"/>
  <c r="Y226" i="6"/>
  <c r="Z226" i="6" s="1"/>
  <c r="AA226" i="6"/>
  <c r="D227" i="6"/>
  <c r="E227" i="6"/>
  <c r="F227" i="6"/>
  <c r="G227" i="6"/>
  <c r="H227" i="6"/>
  <c r="I227" i="6"/>
  <c r="J227" i="6"/>
  <c r="K227" i="6"/>
  <c r="L227" i="6"/>
  <c r="M227" i="6"/>
  <c r="O227" i="6"/>
  <c r="P227" i="6"/>
  <c r="Q227" i="6"/>
  <c r="S227" i="6"/>
  <c r="T227" i="6"/>
  <c r="U227" i="6"/>
  <c r="V227" i="6"/>
  <c r="W227" i="6"/>
  <c r="AA227" i="6"/>
  <c r="D228" i="6"/>
  <c r="H228" i="6"/>
  <c r="Y228" i="6" s="1"/>
  <c r="D229" i="6"/>
  <c r="H229" i="6"/>
  <c r="Y229" i="6" s="1"/>
  <c r="D230" i="6"/>
  <c r="H230" i="6"/>
  <c r="Y230" i="6" s="1"/>
  <c r="D231" i="6"/>
  <c r="E231" i="6"/>
  <c r="F231" i="6"/>
  <c r="G231" i="6"/>
  <c r="I231" i="6"/>
  <c r="J231" i="6"/>
  <c r="K231" i="6"/>
  <c r="L231" i="6"/>
  <c r="M231" i="6"/>
  <c r="O231" i="6"/>
  <c r="P231" i="6"/>
  <c r="Q231" i="6"/>
  <c r="S231" i="6"/>
  <c r="T231" i="6"/>
  <c r="U231" i="6"/>
  <c r="V231" i="6"/>
  <c r="W231" i="6"/>
  <c r="Y231" i="6"/>
  <c r="AA231" i="6"/>
  <c r="D232" i="6"/>
  <c r="E232" i="6"/>
  <c r="F232" i="6"/>
  <c r="G232" i="6"/>
  <c r="I232" i="6"/>
  <c r="J232" i="6"/>
  <c r="K232" i="6"/>
  <c r="L232" i="6"/>
  <c r="M232" i="6"/>
  <c r="O232" i="6"/>
  <c r="P232" i="6"/>
  <c r="Q232" i="6"/>
  <c r="R232" i="6"/>
  <c r="S232" i="6"/>
  <c r="T232" i="6"/>
  <c r="U232" i="6"/>
  <c r="V232" i="6"/>
  <c r="W232" i="6"/>
  <c r="AA232" i="6"/>
  <c r="D233" i="6"/>
  <c r="E233" i="6"/>
  <c r="F233" i="6"/>
  <c r="G233" i="6"/>
  <c r="H233" i="6"/>
  <c r="Y233" i="6" s="1"/>
  <c r="Z233" i="6" s="1"/>
  <c r="I233" i="6"/>
  <c r="J233" i="6"/>
  <c r="K233" i="6"/>
  <c r="L233" i="6"/>
  <c r="M233" i="6"/>
  <c r="O233" i="6"/>
  <c r="P233" i="6"/>
  <c r="Q233" i="6"/>
  <c r="S233" i="6"/>
  <c r="T233" i="6"/>
  <c r="U233" i="6"/>
  <c r="V233" i="6"/>
  <c r="W233" i="6"/>
  <c r="AA233" i="6"/>
  <c r="D238" i="6"/>
  <c r="F238" i="6"/>
  <c r="G238" i="6"/>
  <c r="I238" i="6"/>
  <c r="J238" i="6"/>
  <c r="K238" i="6"/>
  <c r="L238" i="6"/>
  <c r="M238" i="6"/>
  <c r="P238" i="6"/>
  <c r="Q238" i="6"/>
  <c r="R238" i="6"/>
  <c r="Y238" i="6" s="1"/>
  <c r="S238" i="6"/>
  <c r="T238" i="6"/>
  <c r="U238" i="6"/>
  <c r="V238" i="6"/>
  <c r="W238" i="6"/>
  <c r="AA238" i="6"/>
  <c r="D239" i="6"/>
  <c r="E239" i="6"/>
  <c r="F239" i="6"/>
  <c r="G239" i="6"/>
  <c r="H239" i="6"/>
  <c r="I239" i="6"/>
  <c r="J239" i="6"/>
  <c r="K239" i="6"/>
  <c r="L239" i="6"/>
  <c r="M239" i="6"/>
  <c r="O239" i="6"/>
  <c r="P239" i="6"/>
  <c r="Q239" i="6"/>
  <c r="S239" i="6"/>
  <c r="T239" i="6"/>
  <c r="U239" i="6"/>
  <c r="V239" i="6"/>
  <c r="W239" i="6"/>
  <c r="AA239" i="6"/>
  <c r="D240" i="6"/>
  <c r="E240" i="6"/>
  <c r="F240" i="6"/>
  <c r="G240" i="6"/>
  <c r="H240" i="6"/>
  <c r="I240" i="6"/>
  <c r="J240" i="6"/>
  <c r="K240" i="6"/>
  <c r="L240" i="6"/>
  <c r="M240" i="6"/>
  <c r="O240" i="6"/>
  <c r="P240" i="6"/>
  <c r="Q240" i="6"/>
  <c r="S240" i="6"/>
  <c r="T240" i="6"/>
  <c r="U240" i="6"/>
  <c r="V240" i="6"/>
  <c r="W240" i="6"/>
  <c r="AA240" i="6"/>
  <c r="D241" i="6"/>
  <c r="F241" i="6"/>
  <c r="G241" i="6"/>
  <c r="H241" i="6"/>
  <c r="I241" i="6"/>
  <c r="J241" i="6"/>
  <c r="K241" i="6"/>
  <c r="L241" i="6"/>
  <c r="M241" i="6"/>
  <c r="O241" i="6"/>
  <c r="P241" i="6"/>
  <c r="Q241" i="6"/>
  <c r="S241" i="6"/>
  <c r="T241" i="6"/>
  <c r="U241" i="6"/>
  <c r="V241" i="6"/>
  <c r="W241" i="6"/>
  <c r="AA241" i="6"/>
  <c r="D242" i="6"/>
  <c r="AF259" i="6" s="1"/>
  <c r="E242" i="6"/>
  <c r="AG259" i="6" s="1"/>
  <c r="F242" i="6"/>
  <c r="AH259" i="6" s="1"/>
  <c r="G242" i="6"/>
  <c r="H242" i="6"/>
  <c r="Y242" i="6" s="1"/>
  <c r="I242" i="6"/>
  <c r="J242" i="6"/>
  <c r="K242" i="6"/>
  <c r="L242" i="6"/>
  <c r="AJ259" i="6" s="1"/>
  <c r="M242" i="6"/>
  <c r="O242" i="6"/>
  <c r="AL259" i="6" s="1"/>
  <c r="P242" i="6"/>
  <c r="Q242" i="6"/>
  <c r="S242" i="6"/>
  <c r="T242" i="6"/>
  <c r="U242" i="6"/>
  <c r="V242" i="6"/>
  <c r="AO259" i="6" s="1"/>
  <c r="W242" i="6"/>
  <c r="AA242" i="6"/>
  <c r="D243" i="6"/>
  <c r="E243" i="6"/>
  <c r="F243" i="6"/>
  <c r="G243" i="6"/>
  <c r="I243" i="6"/>
  <c r="J243" i="6"/>
  <c r="K243" i="6"/>
  <c r="L243" i="6"/>
  <c r="M243" i="6"/>
  <c r="P243" i="6"/>
  <c r="Q243" i="6"/>
  <c r="R243" i="6"/>
  <c r="S243" i="6"/>
  <c r="T243" i="6"/>
  <c r="U243" i="6"/>
  <c r="V243" i="6"/>
  <c r="W243" i="6"/>
  <c r="AA243" i="6"/>
  <c r="D244" i="6"/>
  <c r="E244" i="6"/>
  <c r="F244" i="6"/>
  <c r="G244" i="6"/>
  <c r="I244" i="6"/>
  <c r="J244" i="6"/>
  <c r="K244" i="6"/>
  <c r="L244" i="6"/>
  <c r="M244" i="6"/>
  <c r="P244" i="6"/>
  <c r="Q244" i="6"/>
  <c r="R244" i="6"/>
  <c r="S244" i="6"/>
  <c r="T244" i="6"/>
  <c r="U244" i="6"/>
  <c r="V244" i="6"/>
  <c r="W244" i="6"/>
  <c r="AA244" i="6"/>
  <c r="D245" i="6"/>
  <c r="AF264" i="6" s="1"/>
  <c r="E245" i="6"/>
  <c r="F245" i="6"/>
  <c r="AH264" i="6" s="1"/>
  <c r="G245" i="6"/>
  <c r="I245" i="6"/>
  <c r="J245" i="6"/>
  <c r="K245" i="6"/>
  <c r="L245" i="6"/>
  <c r="AJ264" i="6" s="1"/>
  <c r="M245" i="6"/>
  <c r="O245" i="6"/>
  <c r="AL264" i="6" s="1"/>
  <c r="P245" i="6"/>
  <c r="AM264" i="6" s="1"/>
  <c r="Q245" i="6"/>
  <c r="S245" i="6"/>
  <c r="T245" i="6"/>
  <c r="U245" i="6"/>
  <c r="V245" i="6"/>
  <c r="AO264" i="6" s="1"/>
  <c r="W245" i="6"/>
  <c r="AA245" i="6"/>
  <c r="D250" i="6"/>
  <c r="E250" i="6"/>
  <c r="F250" i="6"/>
  <c r="G250" i="6"/>
  <c r="I250" i="6"/>
  <c r="J250" i="6"/>
  <c r="K250" i="6"/>
  <c r="L250" i="6"/>
  <c r="M250" i="6"/>
  <c r="O250" i="6"/>
  <c r="P250" i="6"/>
  <c r="Q250" i="6"/>
  <c r="R250" i="6"/>
  <c r="S250" i="6"/>
  <c r="T250" i="6"/>
  <c r="U250" i="6"/>
  <c r="V250" i="6"/>
  <c r="W250" i="6"/>
  <c r="AA250" i="6"/>
  <c r="D251" i="6"/>
  <c r="E251" i="6"/>
  <c r="F251" i="6"/>
  <c r="G251" i="6"/>
  <c r="H251" i="6"/>
  <c r="Y251" i="6" s="1"/>
  <c r="Z251" i="6" s="1"/>
  <c r="I251" i="6"/>
  <c r="J251" i="6"/>
  <c r="K251" i="6"/>
  <c r="L251" i="6"/>
  <c r="M251" i="6"/>
  <c r="O251" i="6"/>
  <c r="P251" i="6"/>
  <c r="Q251" i="6"/>
  <c r="S251" i="6"/>
  <c r="T251" i="6"/>
  <c r="U251" i="6"/>
  <c r="V251" i="6"/>
  <c r="W251" i="6"/>
  <c r="AA251" i="6"/>
  <c r="D252" i="6"/>
  <c r="E252" i="6"/>
  <c r="F252" i="6"/>
  <c r="G252" i="6"/>
  <c r="H252" i="6"/>
  <c r="Y252" i="6" s="1"/>
  <c r="Z252" i="6" s="1"/>
  <c r="I252" i="6"/>
  <c r="J252" i="6"/>
  <c r="K252" i="6"/>
  <c r="L252" i="6"/>
  <c r="M252" i="6"/>
  <c r="O252" i="6"/>
  <c r="P252" i="6"/>
  <c r="Q252" i="6"/>
  <c r="S252" i="6"/>
  <c r="T252" i="6"/>
  <c r="U252" i="6"/>
  <c r="V252" i="6"/>
  <c r="W252" i="6"/>
  <c r="AA252" i="6"/>
  <c r="D253" i="6"/>
  <c r="E253" i="6"/>
  <c r="F253" i="6"/>
  <c r="G253" i="6"/>
  <c r="I253" i="6"/>
  <c r="J253" i="6"/>
  <c r="K253" i="6"/>
  <c r="L253" i="6"/>
  <c r="M253" i="6"/>
  <c r="P253" i="6"/>
  <c r="Q253" i="6"/>
  <c r="R253" i="6"/>
  <c r="Y253" i="6" s="1"/>
  <c r="S253" i="6"/>
  <c r="T253" i="6"/>
  <c r="U253" i="6"/>
  <c r="V253" i="6"/>
  <c r="W253" i="6"/>
  <c r="AA253" i="6"/>
  <c r="D254" i="6"/>
  <c r="E254" i="6"/>
  <c r="F254" i="6"/>
  <c r="G254" i="6"/>
  <c r="I254" i="6"/>
  <c r="J254" i="6"/>
  <c r="K254" i="6"/>
  <c r="L254" i="6"/>
  <c r="M254" i="6"/>
  <c r="O254" i="6"/>
  <c r="P254" i="6"/>
  <c r="Q254" i="6"/>
  <c r="R254" i="6"/>
  <c r="Y254" i="6" s="1"/>
  <c r="Z254" i="6" s="1"/>
  <c r="S254" i="6"/>
  <c r="T254" i="6"/>
  <c r="U254" i="6"/>
  <c r="V254" i="6"/>
  <c r="W254" i="6"/>
  <c r="AA254" i="6"/>
  <c r="D259" i="6"/>
  <c r="E259" i="6"/>
  <c r="F259" i="6"/>
  <c r="G259" i="6"/>
  <c r="H259" i="6"/>
  <c r="Y259" i="6" s="1"/>
  <c r="Z259" i="6" s="1"/>
  <c r="I259" i="6"/>
  <c r="J259" i="6"/>
  <c r="K259" i="6"/>
  <c r="L259" i="6"/>
  <c r="M259" i="6"/>
  <c r="O259" i="6"/>
  <c r="P259" i="6"/>
  <c r="Q259" i="6"/>
  <c r="S259" i="6"/>
  <c r="T259" i="6"/>
  <c r="U259" i="6"/>
  <c r="V259" i="6"/>
  <c r="W259" i="6"/>
  <c r="AA259" i="6"/>
  <c r="AS259" i="6"/>
  <c r="D260" i="6"/>
  <c r="E260" i="6"/>
  <c r="F260" i="6"/>
  <c r="G260" i="6"/>
  <c r="H260" i="6"/>
  <c r="Y260" i="6" s="1"/>
  <c r="Z260" i="6" s="1"/>
  <c r="I260" i="6"/>
  <c r="J260" i="6"/>
  <c r="K260" i="6"/>
  <c r="L260" i="6"/>
  <c r="M260" i="6"/>
  <c r="O260" i="6"/>
  <c r="P260" i="6"/>
  <c r="Q260" i="6"/>
  <c r="S260" i="6"/>
  <c r="T260" i="6"/>
  <c r="U260" i="6"/>
  <c r="V260" i="6"/>
  <c r="W260" i="6"/>
  <c r="AF260" i="6"/>
  <c r="D261" i="6"/>
  <c r="H261" i="6"/>
  <c r="Y261" i="6" s="1"/>
  <c r="E263" i="6"/>
  <c r="F263" i="6"/>
  <c r="G263" i="6"/>
  <c r="I263" i="6"/>
  <c r="J263" i="6"/>
  <c r="K263" i="6"/>
  <c r="L263" i="6"/>
  <c r="M263" i="6"/>
  <c r="O263" i="6"/>
  <c r="P263" i="6"/>
  <c r="Q263" i="6"/>
  <c r="S263" i="6"/>
  <c r="T263" i="6"/>
  <c r="U263" i="6"/>
  <c r="V263" i="6"/>
  <c r="W263" i="6"/>
  <c r="Y263" i="6"/>
  <c r="Z263" i="6" s="1"/>
  <c r="R265" i="6"/>
  <c r="D272" i="6"/>
  <c r="E272" i="6"/>
  <c r="F272" i="6"/>
  <c r="G272" i="6"/>
  <c r="I272" i="6"/>
  <c r="J272" i="6"/>
  <c r="K272" i="6"/>
  <c r="L272" i="6"/>
  <c r="M272" i="6"/>
  <c r="P272" i="6"/>
  <c r="Q272" i="6"/>
  <c r="R272" i="6"/>
  <c r="S272" i="6"/>
  <c r="T272" i="6"/>
  <c r="U272" i="6"/>
  <c r="V272" i="6"/>
  <c r="W272" i="6"/>
  <c r="D273" i="6"/>
  <c r="E273" i="6"/>
  <c r="F273" i="6"/>
  <c r="G273" i="6"/>
  <c r="H273" i="6"/>
  <c r="I273" i="6"/>
  <c r="J273" i="6"/>
  <c r="K273" i="6"/>
  <c r="L273" i="6"/>
  <c r="M273" i="6"/>
  <c r="O273" i="6"/>
  <c r="P273" i="6"/>
  <c r="Q273" i="6"/>
  <c r="S273" i="6"/>
  <c r="T273" i="6"/>
  <c r="U273" i="6"/>
  <c r="V273" i="6"/>
  <c r="W273" i="6"/>
  <c r="D274" i="6"/>
  <c r="H274" i="6"/>
  <c r="Y274" i="6" s="1"/>
  <c r="D276" i="6"/>
  <c r="E276" i="6"/>
  <c r="F276" i="6"/>
  <c r="G276" i="6"/>
  <c r="H276" i="6"/>
  <c r="I276" i="6"/>
  <c r="J276" i="6"/>
  <c r="K276" i="6"/>
  <c r="L276" i="6"/>
  <c r="M276" i="6"/>
  <c r="O276" i="6"/>
  <c r="P276" i="6"/>
  <c r="Q276" i="6"/>
  <c r="S276" i="6"/>
  <c r="T276" i="6"/>
  <c r="U276" i="6"/>
  <c r="V276" i="6"/>
  <c r="W276" i="6"/>
  <c r="D277" i="6"/>
  <c r="H277" i="6"/>
  <c r="Y277" i="6" s="1"/>
  <c r="D278" i="6"/>
  <c r="H278" i="6"/>
  <c r="Y278" i="6" s="1"/>
  <c r="D279" i="6"/>
  <c r="H279" i="6"/>
  <c r="Y279" i="6" s="1"/>
  <c r="D280" i="6"/>
  <c r="H280" i="6"/>
  <c r="Y280" i="6" s="1"/>
  <c r="D282" i="6"/>
  <c r="AF434" i="6" s="1"/>
  <c r="F282" i="6"/>
  <c r="AH434" i="6" s="1"/>
  <c r="G282" i="6"/>
  <c r="H282" i="6"/>
  <c r="I282" i="6"/>
  <c r="J282" i="6"/>
  <c r="K282" i="6"/>
  <c r="L282" i="6"/>
  <c r="AJ434" i="6" s="1"/>
  <c r="M282" i="6"/>
  <c r="O282" i="6"/>
  <c r="AL434" i="6" s="1"/>
  <c r="P282" i="6"/>
  <c r="AM434" i="6" s="1"/>
  <c r="Q282" i="6"/>
  <c r="S282" i="6"/>
  <c r="T282" i="6"/>
  <c r="U282" i="6"/>
  <c r="V282" i="6"/>
  <c r="W282" i="6"/>
  <c r="Y283" i="6"/>
  <c r="Z283" i="6" s="1"/>
  <c r="D284" i="6"/>
  <c r="H284" i="6"/>
  <c r="E285" i="6"/>
  <c r="F285" i="6"/>
  <c r="G285" i="6"/>
  <c r="I285" i="6"/>
  <c r="J285" i="6"/>
  <c r="K285" i="6"/>
  <c r="L285" i="6"/>
  <c r="M285" i="6"/>
  <c r="O285" i="6"/>
  <c r="P285" i="6"/>
  <c r="Q285" i="6"/>
  <c r="S285" i="6"/>
  <c r="T285" i="6"/>
  <c r="U285" i="6"/>
  <c r="V285" i="6"/>
  <c r="W285" i="6"/>
  <c r="D286" i="6"/>
  <c r="E286" i="6"/>
  <c r="F286" i="6"/>
  <c r="G286" i="6"/>
  <c r="H286" i="6"/>
  <c r="I286" i="6"/>
  <c r="J286" i="6"/>
  <c r="K286" i="6"/>
  <c r="L286" i="6"/>
  <c r="M286" i="6"/>
  <c r="O286" i="6"/>
  <c r="P286" i="6"/>
  <c r="Q286" i="6"/>
  <c r="S286" i="6"/>
  <c r="T286" i="6"/>
  <c r="U286" i="6"/>
  <c r="V286" i="6"/>
  <c r="W286" i="6"/>
  <c r="E287" i="6"/>
  <c r="F287" i="6"/>
  <c r="G287" i="6"/>
  <c r="I287" i="6"/>
  <c r="J287" i="6"/>
  <c r="K287" i="6"/>
  <c r="L287" i="6"/>
  <c r="M287" i="6"/>
  <c r="O287" i="6"/>
  <c r="P287" i="6"/>
  <c r="Q287" i="6"/>
  <c r="S287" i="6"/>
  <c r="T287" i="6"/>
  <c r="U287" i="6"/>
  <c r="V287" i="6"/>
  <c r="W287" i="6"/>
  <c r="D292" i="6"/>
  <c r="E292" i="6"/>
  <c r="F292" i="6"/>
  <c r="G292" i="6"/>
  <c r="I292" i="6"/>
  <c r="J292" i="6"/>
  <c r="K292" i="6"/>
  <c r="L292" i="6"/>
  <c r="M292" i="6"/>
  <c r="P292" i="6"/>
  <c r="Q292" i="6"/>
  <c r="R292" i="6"/>
  <c r="S292" i="6"/>
  <c r="T292" i="6"/>
  <c r="U292" i="6"/>
  <c r="V292" i="6"/>
  <c r="W292" i="6"/>
  <c r="D293" i="6"/>
  <c r="E293" i="6"/>
  <c r="F293" i="6"/>
  <c r="G293" i="6"/>
  <c r="I293" i="6"/>
  <c r="J293" i="6"/>
  <c r="K293" i="6"/>
  <c r="L293" i="6"/>
  <c r="M293" i="6"/>
  <c r="O293" i="6"/>
  <c r="P293" i="6"/>
  <c r="Q293" i="6"/>
  <c r="S293" i="6"/>
  <c r="T293" i="6"/>
  <c r="U293" i="6"/>
  <c r="V293" i="6"/>
  <c r="W293" i="6"/>
  <c r="F294" i="6"/>
  <c r="G294" i="6"/>
  <c r="I294" i="6"/>
  <c r="J294" i="6"/>
  <c r="K294" i="6"/>
  <c r="L294" i="6"/>
  <c r="M294" i="6"/>
  <c r="O294" i="6"/>
  <c r="P294" i="6"/>
  <c r="Q294" i="6"/>
  <c r="S294" i="6"/>
  <c r="T294" i="6"/>
  <c r="U294" i="6"/>
  <c r="V294" i="6"/>
  <c r="W294" i="6"/>
  <c r="D295" i="6"/>
  <c r="E295" i="6"/>
  <c r="F295" i="6"/>
  <c r="G295" i="6"/>
  <c r="I295" i="6"/>
  <c r="J295" i="6"/>
  <c r="K295" i="6"/>
  <c r="L295" i="6"/>
  <c r="M295" i="6"/>
  <c r="O295" i="6"/>
  <c r="P295" i="6"/>
  <c r="Q295" i="6"/>
  <c r="S295" i="6"/>
  <c r="T295" i="6"/>
  <c r="U295" i="6"/>
  <c r="V295" i="6"/>
  <c r="W295" i="6"/>
  <c r="D296" i="6"/>
  <c r="E296" i="6"/>
  <c r="F296" i="6"/>
  <c r="G296" i="6"/>
  <c r="I296" i="6"/>
  <c r="J296" i="6"/>
  <c r="K296" i="6"/>
  <c r="L296" i="6"/>
  <c r="M296" i="6"/>
  <c r="P296" i="6"/>
  <c r="Q296" i="6"/>
  <c r="S296" i="6"/>
  <c r="T296" i="6"/>
  <c r="U296" i="6"/>
  <c r="V296" i="6"/>
  <c r="W296" i="6"/>
  <c r="E297" i="6"/>
  <c r="F297" i="6"/>
  <c r="G297" i="6"/>
  <c r="I297" i="6"/>
  <c r="J297" i="6"/>
  <c r="K297" i="6"/>
  <c r="L297" i="6"/>
  <c r="M297" i="6"/>
  <c r="P297" i="6"/>
  <c r="Q297" i="6"/>
  <c r="S297" i="6"/>
  <c r="T297" i="6"/>
  <c r="U297" i="6"/>
  <c r="V297" i="6"/>
  <c r="W297" i="6"/>
  <c r="D301" i="6"/>
  <c r="E301" i="6"/>
  <c r="F301" i="6"/>
  <c r="G301" i="6"/>
  <c r="I301" i="6"/>
  <c r="J301" i="6"/>
  <c r="K301" i="6"/>
  <c r="L301" i="6"/>
  <c r="M301" i="6"/>
  <c r="N301" i="6"/>
  <c r="O301" i="6"/>
  <c r="P301" i="6"/>
  <c r="Q301" i="6"/>
  <c r="S301" i="6"/>
  <c r="T301" i="6"/>
  <c r="U301" i="6"/>
  <c r="V301" i="6"/>
  <c r="W301" i="6"/>
  <c r="X301" i="6"/>
  <c r="Z301" i="6"/>
  <c r="AA301" i="6"/>
  <c r="AB301" i="6"/>
  <c r="D302" i="6"/>
  <c r="E302" i="6"/>
  <c r="F302" i="6"/>
  <c r="G302" i="6"/>
  <c r="H302" i="6"/>
  <c r="Y302" i="6" s="1"/>
  <c r="I302" i="6"/>
  <c r="J302" i="6"/>
  <c r="K302" i="6"/>
  <c r="L302" i="6"/>
  <c r="M302" i="6"/>
  <c r="O302" i="6"/>
  <c r="P302" i="6"/>
  <c r="Q302" i="6"/>
  <c r="S302" i="6"/>
  <c r="T302" i="6"/>
  <c r="U302" i="6"/>
  <c r="V302" i="6"/>
  <c r="W302" i="6"/>
  <c r="D303" i="6"/>
  <c r="D304" i="6"/>
  <c r="E304" i="6"/>
  <c r="F304" i="6"/>
  <c r="G304" i="6"/>
  <c r="H304" i="6"/>
  <c r="I304" i="6"/>
  <c r="J304" i="6"/>
  <c r="K304" i="6"/>
  <c r="L304" i="6"/>
  <c r="M304" i="6"/>
  <c r="O304" i="6"/>
  <c r="P304" i="6"/>
  <c r="Q304" i="6"/>
  <c r="S304" i="6"/>
  <c r="T304" i="6"/>
  <c r="U304" i="6"/>
  <c r="V304" i="6"/>
  <c r="W304" i="6"/>
  <c r="D305" i="6"/>
  <c r="H305" i="6"/>
  <c r="Y305" i="6" s="1"/>
  <c r="D306" i="6"/>
  <c r="H306" i="6"/>
  <c r="Y306" i="6" s="1"/>
  <c r="D307" i="6"/>
  <c r="E307" i="6"/>
  <c r="F307" i="6"/>
  <c r="G307" i="6"/>
  <c r="H307" i="6"/>
  <c r="Y307" i="6" s="1"/>
  <c r="Z307" i="6" s="1"/>
  <c r="I307" i="6"/>
  <c r="J307" i="6"/>
  <c r="K307" i="6"/>
  <c r="L307" i="6"/>
  <c r="M307" i="6"/>
  <c r="O307" i="6"/>
  <c r="P307" i="6"/>
  <c r="Q307" i="6"/>
  <c r="S307" i="6"/>
  <c r="T307" i="6"/>
  <c r="U307" i="6"/>
  <c r="V307" i="6"/>
  <c r="W307" i="6"/>
  <c r="D308" i="6"/>
  <c r="E308" i="6"/>
  <c r="F308" i="6"/>
  <c r="G308" i="6"/>
  <c r="H308" i="6"/>
  <c r="Y308" i="6" s="1"/>
  <c r="Z308" i="6" s="1"/>
  <c r="I308" i="6"/>
  <c r="J308" i="6"/>
  <c r="K308" i="6"/>
  <c r="L308" i="6"/>
  <c r="M308" i="6"/>
  <c r="O308" i="6"/>
  <c r="P308" i="6"/>
  <c r="Q308" i="6"/>
  <c r="S308" i="6"/>
  <c r="T308" i="6"/>
  <c r="U308" i="6"/>
  <c r="V308" i="6"/>
  <c r="W308" i="6"/>
  <c r="D309" i="6"/>
  <c r="E309" i="6"/>
  <c r="F309" i="6"/>
  <c r="G309" i="6"/>
  <c r="H309" i="6"/>
  <c r="Y309" i="6" s="1"/>
  <c r="Z309" i="6" s="1"/>
  <c r="I309" i="6"/>
  <c r="J309" i="6"/>
  <c r="K309" i="6"/>
  <c r="L309" i="6"/>
  <c r="M309" i="6"/>
  <c r="O309" i="6"/>
  <c r="P309" i="6"/>
  <c r="Q309" i="6"/>
  <c r="S309" i="6"/>
  <c r="T309" i="6"/>
  <c r="U309" i="6"/>
  <c r="V309" i="6"/>
  <c r="W309" i="6"/>
  <c r="D310" i="6"/>
  <c r="E310" i="6"/>
  <c r="F310" i="6"/>
  <c r="G310" i="6"/>
  <c r="I310" i="6"/>
  <c r="J310" i="6"/>
  <c r="K310" i="6"/>
  <c r="L310" i="6"/>
  <c r="M310" i="6"/>
  <c r="O310" i="6"/>
  <c r="P310" i="6"/>
  <c r="Q310" i="6"/>
  <c r="R310" i="6"/>
  <c r="S310" i="6"/>
  <c r="T310" i="6"/>
  <c r="U310" i="6"/>
  <c r="V310" i="6"/>
  <c r="W310" i="6"/>
  <c r="D311" i="6"/>
  <c r="E311" i="6"/>
  <c r="F311" i="6"/>
  <c r="G311" i="6"/>
  <c r="I311" i="6"/>
  <c r="J311" i="6"/>
  <c r="K311" i="6"/>
  <c r="L311" i="6"/>
  <c r="M311" i="6"/>
  <c r="O311" i="6"/>
  <c r="P311" i="6"/>
  <c r="Q311" i="6"/>
  <c r="R311" i="6"/>
  <c r="Y311" i="6" s="1"/>
  <c r="Z311" i="6" s="1"/>
  <c r="S311" i="6"/>
  <c r="T311" i="6"/>
  <c r="U311" i="6"/>
  <c r="V311" i="6"/>
  <c r="W311" i="6"/>
  <c r="D318" i="6"/>
  <c r="F318" i="6"/>
  <c r="G318" i="6"/>
  <c r="H318" i="6"/>
  <c r="I318" i="6"/>
  <c r="J318" i="6"/>
  <c r="K318" i="6"/>
  <c r="L318" i="6"/>
  <c r="M318" i="6"/>
  <c r="O318" i="6"/>
  <c r="P318" i="6"/>
  <c r="Q318" i="6"/>
  <c r="R318" i="6"/>
  <c r="S318" i="6"/>
  <c r="T318" i="6"/>
  <c r="U318" i="6"/>
  <c r="V318" i="6"/>
  <c r="W318" i="6"/>
  <c r="D319" i="6"/>
  <c r="E319" i="6"/>
  <c r="F319" i="6"/>
  <c r="G319" i="6"/>
  <c r="I319" i="6"/>
  <c r="J319" i="6"/>
  <c r="K319" i="6"/>
  <c r="L319" i="6"/>
  <c r="M319" i="6"/>
  <c r="O319" i="6"/>
  <c r="P319" i="6"/>
  <c r="Q319" i="6"/>
  <c r="S319" i="6"/>
  <c r="T319" i="6"/>
  <c r="U319" i="6"/>
  <c r="V319" i="6"/>
  <c r="W319" i="6"/>
  <c r="D320" i="6"/>
  <c r="H320" i="6"/>
  <c r="Y320" i="6" s="1"/>
  <c r="D321" i="6"/>
  <c r="H321" i="6"/>
  <c r="Y321" i="6" s="1"/>
  <c r="D323" i="6"/>
  <c r="F323" i="6"/>
  <c r="G323" i="6"/>
  <c r="I323" i="6"/>
  <c r="J323" i="6"/>
  <c r="K323" i="6"/>
  <c r="L323" i="6"/>
  <c r="M323" i="6"/>
  <c r="O323" i="6"/>
  <c r="P323" i="6"/>
  <c r="Q323" i="6"/>
  <c r="S323" i="6"/>
  <c r="T323" i="6"/>
  <c r="U323" i="6"/>
  <c r="V323" i="6"/>
  <c r="W323" i="6"/>
  <c r="D324" i="6"/>
  <c r="E324" i="6"/>
  <c r="F324" i="6"/>
  <c r="G324" i="6"/>
  <c r="I324" i="6"/>
  <c r="J324" i="6"/>
  <c r="K324" i="6"/>
  <c r="L324" i="6"/>
  <c r="M324" i="6"/>
  <c r="O324" i="6"/>
  <c r="P324" i="6"/>
  <c r="Q324" i="6"/>
  <c r="S324" i="6"/>
  <c r="T324" i="6"/>
  <c r="U324" i="6"/>
  <c r="V324" i="6"/>
  <c r="W324" i="6"/>
  <c r="D325" i="6"/>
  <c r="E325" i="6"/>
  <c r="F325" i="6"/>
  <c r="G325" i="6"/>
  <c r="I325" i="6"/>
  <c r="J325" i="6"/>
  <c r="K325" i="6"/>
  <c r="L325" i="6"/>
  <c r="M325" i="6"/>
  <c r="O325" i="6"/>
  <c r="P325" i="6"/>
  <c r="Q325" i="6"/>
  <c r="S325" i="6"/>
  <c r="T325" i="6"/>
  <c r="U325" i="6"/>
  <c r="V325" i="6"/>
  <c r="W325" i="6"/>
  <c r="D326" i="6"/>
  <c r="E326" i="6"/>
  <c r="F326" i="6"/>
  <c r="G326" i="6"/>
  <c r="I326" i="6"/>
  <c r="J326" i="6"/>
  <c r="K326" i="6"/>
  <c r="L326" i="6"/>
  <c r="M326" i="6"/>
  <c r="P326" i="6"/>
  <c r="Q326" i="6"/>
  <c r="R326" i="6"/>
  <c r="S326" i="6"/>
  <c r="T326" i="6"/>
  <c r="U326" i="6"/>
  <c r="V326" i="6"/>
  <c r="AO451" i="6" s="1"/>
  <c r="W326" i="6"/>
  <c r="D327" i="6"/>
  <c r="E327" i="6"/>
  <c r="F327" i="6"/>
  <c r="G327" i="6"/>
  <c r="I327" i="6"/>
  <c r="J327" i="6"/>
  <c r="K327" i="6"/>
  <c r="L327" i="6"/>
  <c r="M327" i="6"/>
  <c r="O327" i="6"/>
  <c r="P327" i="6"/>
  <c r="Q327" i="6"/>
  <c r="R327" i="6"/>
  <c r="S327" i="6"/>
  <c r="T327" i="6"/>
  <c r="U327" i="6"/>
  <c r="V327" i="6"/>
  <c r="W327" i="6"/>
  <c r="D332" i="6"/>
  <c r="E332" i="6"/>
  <c r="F332" i="6"/>
  <c r="G332" i="6"/>
  <c r="H332" i="6"/>
  <c r="I332" i="6"/>
  <c r="J332" i="6"/>
  <c r="K332" i="6"/>
  <c r="L332" i="6"/>
  <c r="M332" i="6"/>
  <c r="P332" i="6"/>
  <c r="Q332" i="6"/>
  <c r="R332" i="6"/>
  <c r="S332" i="6"/>
  <c r="T332" i="6"/>
  <c r="U332" i="6"/>
  <c r="V332" i="6"/>
  <c r="W332" i="6"/>
  <c r="D333" i="6"/>
  <c r="E333" i="6"/>
  <c r="F333" i="6"/>
  <c r="G333" i="6"/>
  <c r="H333" i="6"/>
  <c r="Y333" i="6" s="1"/>
  <c r="I333" i="6"/>
  <c r="J333" i="6"/>
  <c r="K333" i="6"/>
  <c r="L333" i="6"/>
  <c r="M333" i="6"/>
  <c r="O333" i="6"/>
  <c r="P333" i="6"/>
  <c r="Q333" i="6"/>
  <c r="S333" i="6"/>
  <c r="T333" i="6"/>
  <c r="U333" i="6"/>
  <c r="V333" i="6"/>
  <c r="W333" i="6"/>
  <c r="D334" i="6"/>
  <c r="E334" i="6"/>
  <c r="F334" i="6"/>
  <c r="G334" i="6"/>
  <c r="I334" i="6"/>
  <c r="J334" i="6"/>
  <c r="K334" i="6"/>
  <c r="L334" i="6"/>
  <c r="M334" i="6"/>
  <c r="O334" i="6"/>
  <c r="P334" i="6"/>
  <c r="Q334" i="6"/>
  <c r="S334" i="6"/>
  <c r="T334" i="6"/>
  <c r="U334" i="6"/>
  <c r="V334" i="6"/>
  <c r="W334" i="6"/>
  <c r="E336" i="6"/>
  <c r="F336" i="6"/>
  <c r="G336" i="6"/>
  <c r="I336" i="6"/>
  <c r="J336" i="6"/>
  <c r="K336" i="6"/>
  <c r="L336" i="6"/>
  <c r="M336" i="6"/>
  <c r="O336" i="6"/>
  <c r="P336" i="6"/>
  <c r="Q336" i="6"/>
  <c r="S336" i="6"/>
  <c r="T336" i="6"/>
  <c r="U336" i="6"/>
  <c r="V336" i="6"/>
  <c r="W336" i="6"/>
  <c r="Y336" i="6"/>
  <c r="Z336" i="6" s="1"/>
  <c r="D337" i="6"/>
  <c r="E337" i="6"/>
  <c r="F337" i="6"/>
  <c r="AH433" i="6" s="1"/>
  <c r="G337" i="6"/>
  <c r="I337" i="6"/>
  <c r="J337" i="6"/>
  <c r="K337" i="6"/>
  <c r="L337" i="6"/>
  <c r="M337" i="6"/>
  <c r="O337" i="6"/>
  <c r="P337" i="6"/>
  <c r="Q337" i="6"/>
  <c r="S337" i="6"/>
  <c r="T337" i="6"/>
  <c r="U337" i="6"/>
  <c r="V337" i="6"/>
  <c r="W337" i="6"/>
  <c r="D338" i="6"/>
  <c r="E338" i="6"/>
  <c r="F338" i="6"/>
  <c r="G338" i="6"/>
  <c r="I338" i="6"/>
  <c r="J338" i="6"/>
  <c r="K338" i="6"/>
  <c r="L338" i="6"/>
  <c r="M338" i="6"/>
  <c r="O338" i="6"/>
  <c r="P338" i="6"/>
  <c r="Q338" i="6"/>
  <c r="S338" i="6"/>
  <c r="T338" i="6"/>
  <c r="U338" i="6"/>
  <c r="V338" i="6"/>
  <c r="W338" i="6"/>
  <c r="E339" i="6"/>
  <c r="F339" i="6"/>
  <c r="G339" i="6"/>
  <c r="I339" i="6"/>
  <c r="J339" i="6"/>
  <c r="K339" i="6"/>
  <c r="L339" i="6"/>
  <c r="M339" i="6"/>
  <c r="P339" i="6"/>
  <c r="Q339" i="6"/>
  <c r="R339" i="6"/>
  <c r="S339" i="6"/>
  <c r="T339" i="6"/>
  <c r="U339" i="6"/>
  <c r="V339" i="6"/>
  <c r="W339" i="6"/>
  <c r="D340" i="6"/>
  <c r="E340" i="6"/>
  <c r="F340" i="6"/>
  <c r="G340" i="6"/>
  <c r="I340" i="6"/>
  <c r="J340" i="6"/>
  <c r="K340" i="6"/>
  <c r="L340" i="6"/>
  <c r="M340" i="6"/>
  <c r="O340" i="6"/>
  <c r="P340" i="6"/>
  <c r="Q340" i="6"/>
  <c r="S340" i="6"/>
  <c r="T340" i="6"/>
  <c r="U340" i="6"/>
  <c r="V340" i="6"/>
  <c r="W340" i="6"/>
  <c r="D346" i="6"/>
  <c r="E346" i="6"/>
  <c r="F346" i="6"/>
  <c r="G346" i="6"/>
  <c r="I346" i="6"/>
  <c r="J346" i="6"/>
  <c r="K346" i="6"/>
  <c r="L346" i="6"/>
  <c r="M346" i="6"/>
  <c r="O346" i="6"/>
  <c r="P346" i="6"/>
  <c r="Q346" i="6"/>
  <c r="S346" i="6"/>
  <c r="T346" i="6"/>
  <c r="U346" i="6"/>
  <c r="V346" i="6"/>
  <c r="W346" i="6"/>
  <c r="Y346" i="6"/>
  <c r="D347" i="6"/>
  <c r="H347" i="6"/>
  <c r="D348" i="6"/>
  <c r="H348" i="6"/>
  <c r="Y348" i="6" s="1"/>
  <c r="D350" i="6"/>
  <c r="E350" i="6"/>
  <c r="F350" i="6"/>
  <c r="G350" i="6"/>
  <c r="H350" i="6"/>
  <c r="I350" i="6"/>
  <c r="J350" i="6"/>
  <c r="K350" i="6"/>
  <c r="L350" i="6"/>
  <c r="M350" i="6"/>
  <c r="O350" i="6"/>
  <c r="P350" i="6"/>
  <c r="Q350" i="6"/>
  <c r="S350" i="6"/>
  <c r="T350" i="6"/>
  <c r="U350" i="6"/>
  <c r="V350" i="6"/>
  <c r="W350" i="6"/>
  <c r="D351" i="6"/>
  <c r="E351" i="6"/>
  <c r="F351" i="6"/>
  <c r="G351" i="6"/>
  <c r="H351" i="6"/>
  <c r="I351" i="6"/>
  <c r="J351" i="6"/>
  <c r="K351" i="6"/>
  <c r="L351" i="6"/>
  <c r="M351" i="6"/>
  <c r="O351" i="6"/>
  <c r="P351" i="6"/>
  <c r="Q351" i="6"/>
  <c r="S351" i="6"/>
  <c r="T351" i="6"/>
  <c r="U351" i="6"/>
  <c r="V351" i="6"/>
  <c r="W351" i="6"/>
  <c r="R353" i="6"/>
  <c r="C356" i="6"/>
  <c r="D356" i="6"/>
  <c r="E356" i="6"/>
  <c r="F356" i="6"/>
  <c r="G356" i="6"/>
  <c r="I356" i="6"/>
  <c r="J356" i="6"/>
  <c r="K356" i="6"/>
  <c r="L356" i="6"/>
  <c r="M356" i="6"/>
  <c r="P356" i="6"/>
  <c r="Q356" i="6"/>
  <c r="R356" i="6"/>
  <c r="T356" i="6"/>
  <c r="U356" i="6"/>
  <c r="V356" i="6"/>
  <c r="W356" i="6"/>
  <c r="D357" i="6"/>
  <c r="H357" i="6"/>
  <c r="D358" i="6"/>
  <c r="H358" i="6"/>
  <c r="Y358" i="6" s="1"/>
  <c r="D360" i="6"/>
  <c r="E360" i="6"/>
  <c r="F360" i="6"/>
  <c r="G360" i="6"/>
  <c r="H360" i="6"/>
  <c r="Y360" i="6" s="1"/>
  <c r="Z360" i="6" s="1"/>
  <c r="I360" i="6"/>
  <c r="J360" i="6"/>
  <c r="K360" i="6"/>
  <c r="L360" i="6"/>
  <c r="M360" i="6"/>
  <c r="O360" i="6"/>
  <c r="P360" i="6"/>
  <c r="Q360" i="6"/>
  <c r="S360" i="6"/>
  <c r="T360" i="6"/>
  <c r="U360" i="6"/>
  <c r="V360" i="6"/>
  <c r="W360" i="6"/>
  <c r="D361" i="6"/>
  <c r="E361" i="6"/>
  <c r="F361" i="6"/>
  <c r="G361" i="6"/>
  <c r="H361" i="6"/>
  <c r="Y361" i="6" s="1"/>
  <c r="Z361" i="6" s="1"/>
  <c r="I361" i="6"/>
  <c r="J361" i="6"/>
  <c r="K361" i="6"/>
  <c r="L361" i="6"/>
  <c r="M361" i="6"/>
  <c r="O361" i="6"/>
  <c r="P361" i="6"/>
  <c r="Q361" i="6"/>
  <c r="S361" i="6"/>
  <c r="T361" i="6"/>
  <c r="U361" i="6"/>
  <c r="V361" i="6"/>
  <c r="W361" i="6"/>
  <c r="D362" i="6"/>
  <c r="E362" i="6"/>
  <c r="F362" i="6"/>
  <c r="G362" i="6"/>
  <c r="I362" i="6"/>
  <c r="J362" i="6"/>
  <c r="K362" i="6"/>
  <c r="L362" i="6"/>
  <c r="M362" i="6"/>
  <c r="O362" i="6"/>
  <c r="P362" i="6"/>
  <c r="Q362" i="6"/>
  <c r="R362" i="6"/>
  <c r="Y362" i="6" s="1"/>
  <c r="Z362" i="6" s="1"/>
  <c r="S362" i="6"/>
  <c r="T362" i="6"/>
  <c r="U362" i="6"/>
  <c r="V362" i="6"/>
  <c r="W362" i="6"/>
  <c r="D369" i="6"/>
  <c r="E369" i="6"/>
  <c r="F369" i="6"/>
  <c r="G369" i="6"/>
  <c r="H369" i="6"/>
  <c r="I369" i="6"/>
  <c r="J369" i="6"/>
  <c r="K369" i="6"/>
  <c r="L369" i="6"/>
  <c r="M369" i="6"/>
  <c r="O369" i="6"/>
  <c r="P369" i="6"/>
  <c r="Q369" i="6"/>
  <c r="R369" i="6"/>
  <c r="S369" i="6"/>
  <c r="T369" i="6"/>
  <c r="U369" i="6"/>
  <c r="V369" i="6"/>
  <c r="W369" i="6"/>
  <c r="D370" i="6"/>
  <c r="E370" i="6"/>
  <c r="F370" i="6"/>
  <c r="G370" i="6"/>
  <c r="H370" i="6"/>
  <c r="Y370" i="6" s="1"/>
  <c r="I370" i="6"/>
  <c r="J370" i="6"/>
  <c r="K370" i="6"/>
  <c r="L370" i="6"/>
  <c r="M370" i="6"/>
  <c r="O370" i="6"/>
  <c r="P370" i="6"/>
  <c r="Q370" i="6"/>
  <c r="S370" i="6"/>
  <c r="T370" i="6"/>
  <c r="U370" i="6"/>
  <c r="V370" i="6"/>
  <c r="W370" i="6"/>
  <c r="D371" i="6"/>
  <c r="D372" i="6"/>
  <c r="E373" i="6"/>
  <c r="AG435" i="6" s="1"/>
  <c r="F373" i="6"/>
  <c r="AH435" i="6" s="1"/>
  <c r="G373" i="6"/>
  <c r="I373" i="6"/>
  <c r="J373" i="6"/>
  <c r="K373" i="6"/>
  <c r="L373" i="6"/>
  <c r="M373" i="6"/>
  <c r="O373" i="6"/>
  <c r="AL435" i="6" s="1"/>
  <c r="P373" i="6"/>
  <c r="AM435" i="6" s="1"/>
  <c r="Q373" i="6"/>
  <c r="S373" i="6"/>
  <c r="T373" i="6"/>
  <c r="U373" i="6"/>
  <c r="V373" i="6"/>
  <c r="W373" i="6"/>
  <c r="Y373" i="6"/>
  <c r="Z373" i="6" s="1"/>
  <c r="D374" i="6"/>
  <c r="H374" i="6"/>
  <c r="Y374" i="6" s="1"/>
  <c r="D375" i="6"/>
  <c r="F375" i="6"/>
  <c r="G375" i="6"/>
  <c r="H375" i="6"/>
  <c r="Y375" i="6" s="1"/>
  <c r="I375" i="6"/>
  <c r="J375" i="6"/>
  <c r="K375" i="6"/>
  <c r="L375" i="6"/>
  <c r="M375" i="6"/>
  <c r="O375" i="6"/>
  <c r="P375" i="6"/>
  <c r="Q375" i="6"/>
  <c r="S375" i="6"/>
  <c r="T375" i="6"/>
  <c r="U375" i="6"/>
  <c r="V375" i="6"/>
  <c r="W375" i="6"/>
  <c r="D376" i="6"/>
  <c r="F376" i="6"/>
  <c r="G376" i="6"/>
  <c r="H376" i="6"/>
  <c r="Y376" i="6" s="1"/>
  <c r="I376" i="6"/>
  <c r="J376" i="6"/>
  <c r="K376" i="6"/>
  <c r="L376" i="6"/>
  <c r="M376" i="6"/>
  <c r="O376" i="6"/>
  <c r="P376" i="6"/>
  <c r="Q376" i="6"/>
  <c r="S376" i="6"/>
  <c r="T376" i="6"/>
  <c r="U376" i="6"/>
  <c r="V376" i="6"/>
  <c r="W376" i="6"/>
  <c r="D377" i="6"/>
  <c r="E377" i="6"/>
  <c r="F377" i="6"/>
  <c r="G377" i="6"/>
  <c r="H377" i="6"/>
  <c r="I377" i="6"/>
  <c r="J377" i="6"/>
  <c r="K377" i="6"/>
  <c r="L377" i="6"/>
  <c r="M377" i="6"/>
  <c r="O377" i="6"/>
  <c r="P377" i="6"/>
  <c r="Q377" i="6"/>
  <c r="S377" i="6"/>
  <c r="T377" i="6"/>
  <c r="U377" i="6"/>
  <c r="V377" i="6"/>
  <c r="W377" i="6"/>
  <c r="D378" i="6"/>
  <c r="E378" i="6"/>
  <c r="F378" i="6"/>
  <c r="G378" i="6"/>
  <c r="H378" i="6"/>
  <c r="Y378" i="6" s="1"/>
  <c r="Z378" i="6" s="1"/>
  <c r="I378" i="6"/>
  <c r="J378" i="6"/>
  <c r="K378" i="6"/>
  <c r="L378" i="6"/>
  <c r="M378" i="6"/>
  <c r="O378" i="6"/>
  <c r="P378" i="6"/>
  <c r="Q378" i="6"/>
  <c r="S378" i="6"/>
  <c r="T378" i="6"/>
  <c r="U378" i="6"/>
  <c r="V378" i="6"/>
  <c r="W378" i="6"/>
  <c r="D379" i="6"/>
  <c r="E379" i="6"/>
  <c r="F379" i="6"/>
  <c r="G379" i="6"/>
  <c r="I379" i="6"/>
  <c r="J379" i="6"/>
  <c r="K379" i="6"/>
  <c r="L379" i="6"/>
  <c r="M379" i="6"/>
  <c r="P379" i="6"/>
  <c r="Q379" i="6"/>
  <c r="R379" i="6"/>
  <c r="Y379" i="6" s="1"/>
  <c r="S379" i="6"/>
  <c r="T379" i="6"/>
  <c r="U379" i="6"/>
  <c r="V379" i="6"/>
  <c r="W379" i="6"/>
  <c r="D380" i="6"/>
  <c r="E380" i="6"/>
  <c r="F380" i="6"/>
  <c r="AH454" i="6" s="1"/>
  <c r="G380" i="6"/>
  <c r="I380" i="6"/>
  <c r="J380" i="6"/>
  <c r="K380" i="6"/>
  <c r="L380" i="6"/>
  <c r="M380" i="6"/>
  <c r="O380" i="6"/>
  <c r="P380" i="6"/>
  <c r="Q380" i="6"/>
  <c r="R380" i="6"/>
  <c r="S380" i="6"/>
  <c r="T380" i="6"/>
  <c r="U380" i="6"/>
  <c r="V380" i="6"/>
  <c r="W380" i="6"/>
  <c r="D381" i="6"/>
  <c r="AF454" i="6" s="1"/>
  <c r="E381" i="6"/>
  <c r="AG454" i="6" s="1"/>
  <c r="F381" i="6"/>
  <c r="G381" i="6"/>
  <c r="I381" i="6"/>
  <c r="J381" i="6"/>
  <c r="K381" i="6"/>
  <c r="L381" i="6"/>
  <c r="AJ454" i="6" s="1"/>
  <c r="M381" i="6"/>
  <c r="O381" i="6"/>
  <c r="AL454" i="6" s="1"/>
  <c r="P381" i="6"/>
  <c r="AM454" i="6" s="1"/>
  <c r="Q381" i="6"/>
  <c r="S381" i="6"/>
  <c r="T381" i="6"/>
  <c r="U381" i="6"/>
  <c r="V381" i="6"/>
  <c r="AO454" i="6" s="1"/>
  <c r="W381" i="6"/>
  <c r="D390" i="6"/>
  <c r="H390" i="6"/>
  <c r="Y390" i="6" s="1"/>
  <c r="D392" i="6"/>
  <c r="H392" i="6"/>
  <c r="Y392" i="6" s="1"/>
  <c r="D393" i="6"/>
  <c r="H393" i="6"/>
  <c r="Y393" i="6" s="1"/>
  <c r="I395" i="6"/>
  <c r="J395" i="6"/>
  <c r="K395" i="6"/>
  <c r="L395" i="6"/>
  <c r="M395" i="6"/>
  <c r="M456" i="6" s="1"/>
  <c r="N395" i="6"/>
  <c r="O395" i="6"/>
  <c r="P395" i="6"/>
  <c r="Q395" i="6"/>
  <c r="Q456" i="6" s="1"/>
  <c r="R395" i="6"/>
  <c r="S395" i="6"/>
  <c r="T395" i="6"/>
  <c r="U395" i="6"/>
  <c r="V395" i="6"/>
  <c r="W395" i="6"/>
  <c r="W456" i="6" s="1"/>
  <c r="X395" i="6"/>
  <c r="D399" i="6"/>
  <c r="E399" i="6"/>
  <c r="F399" i="6"/>
  <c r="G399" i="6"/>
  <c r="I399" i="6"/>
  <c r="J399" i="6"/>
  <c r="K399" i="6"/>
  <c r="L399" i="6"/>
  <c r="M399" i="6"/>
  <c r="O399" i="6"/>
  <c r="P399" i="6"/>
  <c r="Q399" i="6"/>
  <c r="S399" i="6"/>
  <c r="T399" i="6"/>
  <c r="U399" i="6"/>
  <c r="V399" i="6"/>
  <c r="W399" i="6"/>
  <c r="Y399" i="6"/>
  <c r="D400" i="6"/>
  <c r="E400" i="6"/>
  <c r="F400" i="6"/>
  <c r="G400" i="6"/>
  <c r="I400" i="6"/>
  <c r="J400" i="6"/>
  <c r="K400" i="6"/>
  <c r="L400" i="6"/>
  <c r="M400" i="6"/>
  <c r="O400" i="6"/>
  <c r="P400" i="6"/>
  <c r="Q400" i="6"/>
  <c r="S400" i="6"/>
  <c r="T400" i="6"/>
  <c r="U400" i="6"/>
  <c r="V400" i="6"/>
  <c r="W400" i="6"/>
  <c r="Y400" i="6"/>
  <c r="D401" i="6"/>
  <c r="E401" i="6"/>
  <c r="F401" i="6"/>
  <c r="G401" i="6"/>
  <c r="I401" i="6"/>
  <c r="J401" i="6"/>
  <c r="K401" i="6"/>
  <c r="L401" i="6"/>
  <c r="M401" i="6"/>
  <c r="O401" i="6"/>
  <c r="P401" i="6"/>
  <c r="Q401" i="6"/>
  <c r="S401" i="6"/>
  <c r="T401" i="6"/>
  <c r="U401" i="6"/>
  <c r="V401" i="6"/>
  <c r="W401" i="6"/>
  <c r="Y401" i="6"/>
  <c r="D402" i="6"/>
  <c r="E402" i="6"/>
  <c r="F402" i="6"/>
  <c r="G402" i="6"/>
  <c r="I402" i="6"/>
  <c r="J402" i="6"/>
  <c r="K402" i="6"/>
  <c r="L402" i="6"/>
  <c r="M402" i="6"/>
  <c r="O402" i="6"/>
  <c r="P402" i="6"/>
  <c r="Q402" i="6"/>
  <c r="S402" i="6"/>
  <c r="T402" i="6"/>
  <c r="U402" i="6"/>
  <c r="V402" i="6"/>
  <c r="W402" i="6"/>
  <c r="Y402" i="6"/>
  <c r="H404" i="6"/>
  <c r="R404" i="6"/>
  <c r="D407" i="6"/>
  <c r="E407" i="6"/>
  <c r="F407" i="6"/>
  <c r="G407" i="6"/>
  <c r="H407" i="6"/>
  <c r="I407" i="6"/>
  <c r="J407" i="6"/>
  <c r="K407" i="6"/>
  <c r="L407" i="6"/>
  <c r="M407" i="6"/>
  <c r="P407" i="6"/>
  <c r="Q407" i="6"/>
  <c r="R407" i="6"/>
  <c r="S407" i="6"/>
  <c r="T407" i="6"/>
  <c r="U407" i="6"/>
  <c r="V407" i="6"/>
  <c r="W407" i="6"/>
  <c r="D408" i="6"/>
  <c r="H408" i="6"/>
  <c r="Y408" i="6" s="1"/>
  <c r="D409" i="6"/>
  <c r="F409" i="6"/>
  <c r="G409" i="6"/>
  <c r="H409" i="6"/>
  <c r="Y409" i="6" s="1"/>
  <c r="I409" i="6"/>
  <c r="J409" i="6"/>
  <c r="K409" i="6"/>
  <c r="L409" i="6"/>
  <c r="M409" i="6"/>
  <c r="O409" i="6"/>
  <c r="P409" i="6"/>
  <c r="Q409" i="6"/>
  <c r="S409" i="6"/>
  <c r="T409" i="6"/>
  <c r="U409" i="6"/>
  <c r="V409" i="6"/>
  <c r="W409" i="6"/>
  <c r="D410" i="6"/>
  <c r="E410" i="6"/>
  <c r="F410" i="6"/>
  <c r="G410" i="6"/>
  <c r="H410" i="6"/>
  <c r="I410" i="6"/>
  <c r="J410" i="6"/>
  <c r="K410" i="6"/>
  <c r="L410" i="6"/>
  <c r="M410" i="6"/>
  <c r="O410" i="6"/>
  <c r="P410" i="6"/>
  <c r="Q410" i="6"/>
  <c r="S410" i="6"/>
  <c r="T410" i="6"/>
  <c r="U410" i="6"/>
  <c r="V410" i="6"/>
  <c r="W410" i="6"/>
  <c r="D411" i="6"/>
  <c r="E411" i="6"/>
  <c r="F411" i="6"/>
  <c r="G411" i="6"/>
  <c r="I411" i="6"/>
  <c r="J411" i="6"/>
  <c r="K411" i="6"/>
  <c r="L411" i="6"/>
  <c r="M411" i="6"/>
  <c r="P411" i="6"/>
  <c r="Q411" i="6"/>
  <c r="R411" i="6"/>
  <c r="Y411" i="6" s="1"/>
  <c r="S411" i="6"/>
  <c r="T411" i="6"/>
  <c r="U411" i="6"/>
  <c r="V411" i="6"/>
  <c r="W411" i="6"/>
  <c r="D412" i="6"/>
  <c r="H412" i="6"/>
  <c r="E413" i="6"/>
  <c r="F413" i="6"/>
  <c r="G413" i="6"/>
  <c r="I413" i="6"/>
  <c r="J413" i="6"/>
  <c r="K413" i="6"/>
  <c r="L413" i="6"/>
  <c r="M413" i="6"/>
  <c r="O413" i="6"/>
  <c r="P413" i="6"/>
  <c r="Q413" i="6"/>
  <c r="S413" i="6"/>
  <c r="T413" i="6"/>
  <c r="U413" i="6"/>
  <c r="V413" i="6"/>
  <c r="W413" i="6"/>
  <c r="Y413" i="6"/>
  <c r="Z413" i="6" s="1"/>
  <c r="E414" i="6"/>
  <c r="F414" i="6"/>
  <c r="AH448" i="6" s="1"/>
  <c r="G414" i="6"/>
  <c r="I414" i="6"/>
  <c r="J414" i="6"/>
  <c r="K414" i="6"/>
  <c r="L414" i="6"/>
  <c r="M414" i="6"/>
  <c r="O414" i="6"/>
  <c r="P414" i="6"/>
  <c r="Q414" i="6"/>
  <c r="S414" i="6"/>
  <c r="T414" i="6"/>
  <c r="U414" i="6"/>
  <c r="V414" i="6"/>
  <c r="W414" i="6"/>
  <c r="Y414" i="6"/>
  <c r="Z414" i="6" s="1"/>
  <c r="C415" i="6"/>
  <c r="D415" i="6"/>
  <c r="AF448" i="6" s="1"/>
  <c r="E415" i="6"/>
  <c r="AG448" i="6" s="1"/>
  <c r="F415" i="6"/>
  <c r="G415" i="6"/>
  <c r="H415" i="6"/>
  <c r="I415" i="6"/>
  <c r="J415" i="6"/>
  <c r="K415" i="6"/>
  <c r="L415" i="6"/>
  <c r="AJ448" i="6" s="1"/>
  <c r="M415" i="6"/>
  <c r="O415" i="6"/>
  <c r="AL448" i="6" s="1"/>
  <c r="P415" i="6"/>
  <c r="AM448" i="6" s="1"/>
  <c r="Q415" i="6"/>
  <c r="R415" i="6"/>
  <c r="S415" i="6"/>
  <c r="T415" i="6"/>
  <c r="U415" i="6"/>
  <c r="V415" i="6"/>
  <c r="AO448" i="6" s="1"/>
  <c r="W415" i="6"/>
  <c r="D419" i="6"/>
  <c r="E419" i="6"/>
  <c r="F419" i="6"/>
  <c r="G419" i="6"/>
  <c r="I419" i="6"/>
  <c r="J419" i="6"/>
  <c r="K419" i="6"/>
  <c r="L419" i="6"/>
  <c r="M419" i="6"/>
  <c r="N419" i="6"/>
  <c r="P419" i="6"/>
  <c r="Q419" i="6"/>
  <c r="R419" i="6"/>
  <c r="Y419" i="6" s="1"/>
  <c r="Z419" i="6" s="1"/>
  <c r="S419" i="6"/>
  <c r="T419" i="6"/>
  <c r="U419" i="6"/>
  <c r="V419" i="6"/>
  <c r="W419" i="6"/>
  <c r="X419" i="6"/>
  <c r="AA419" i="6"/>
  <c r="AB419" i="6"/>
  <c r="D421" i="6"/>
  <c r="E421" i="6"/>
  <c r="F421" i="6"/>
  <c r="G421" i="6"/>
  <c r="I421" i="6"/>
  <c r="J421" i="6"/>
  <c r="K421" i="6"/>
  <c r="L421" i="6"/>
  <c r="M421" i="6"/>
  <c r="O421" i="6"/>
  <c r="P421" i="6"/>
  <c r="Q421" i="6"/>
  <c r="R421" i="6"/>
  <c r="Y421" i="6" s="1"/>
  <c r="Z421" i="6" s="1"/>
  <c r="S421" i="6"/>
  <c r="T421" i="6"/>
  <c r="U421" i="6"/>
  <c r="V421" i="6"/>
  <c r="W421" i="6"/>
  <c r="D422" i="6"/>
  <c r="F422" i="6"/>
  <c r="AH444" i="6" s="1"/>
  <c r="G422" i="6"/>
  <c r="H422" i="6"/>
  <c r="I422" i="6"/>
  <c r="J422" i="6"/>
  <c r="K422" i="6"/>
  <c r="L422" i="6"/>
  <c r="M422" i="6"/>
  <c r="O422" i="6"/>
  <c r="P422" i="6"/>
  <c r="Q422" i="6"/>
  <c r="S422" i="6"/>
  <c r="T422" i="6"/>
  <c r="U422" i="6"/>
  <c r="V422" i="6"/>
  <c r="W422" i="6"/>
  <c r="D423" i="6"/>
  <c r="E423" i="6"/>
  <c r="AG444" i="6" s="1"/>
  <c r="F423" i="6"/>
  <c r="G423" i="6"/>
  <c r="H423" i="6"/>
  <c r="Y423" i="6" s="1"/>
  <c r="I423" i="6"/>
  <c r="J423" i="6"/>
  <c r="K423" i="6"/>
  <c r="L423" i="6"/>
  <c r="AJ444" i="6" s="1"/>
  <c r="M423" i="6"/>
  <c r="O423" i="6"/>
  <c r="AL444" i="6" s="1"/>
  <c r="P423" i="6"/>
  <c r="AM444" i="6" s="1"/>
  <c r="Q423" i="6"/>
  <c r="S423" i="6"/>
  <c r="T423" i="6"/>
  <c r="U423" i="6"/>
  <c r="V423" i="6"/>
  <c r="AO444" i="6" s="1"/>
  <c r="W423" i="6"/>
  <c r="D424" i="6"/>
  <c r="E424" i="6"/>
  <c r="F424" i="6"/>
  <c r="G424" i="6"/>
  <c r="H424" i="6"/>
  <c r="Y424" i="6" s="1"/>
  <c r="Z424" i="6" s="1"/>
  <c r="I424" i="6"/>
  <c r="J424" i="6"/>
  <c r="K424" i="6"/>
  <c r="L424" i="6"/>
  <c r="M424" i="6"/>
  <c r="O424" i="6"/>
  <c r="P424" i="6"/>
  <c r="Q424" i="6"/>
  <c r="S424" i="6"/>
  <c r="T424" i="6"/>
  <c r="U424" i="6"/>
  <c r="V424" i="6"/>
  <c r="W424" i="6"/>
  <c r="D428" i="6"/>
  <c r="R428" i="6"/>
  <c r="S428" i="6"/>
  <c r="T428" i="6"/>
  <c r="U428" i="6"/>
  <c r="V428" i="6"/>
  <c r="W428" i="6"/>
  <c r="X428" i="6"/>
  <c r="Y428" i="6"/>
  <c r="E431" i="6"/>
  <c r="F431" i="6"/>
  <c r="G431" i="6"/>
  <c r="I431" i="6"/>
  <c r="J431" i="6"/>
  <c r="K431" i="6"/>
  <c r="L431" i="6"/>
  <c r="M431" i="6"/>
  <c r="N431" i="6"/>
  <c r="O431" i="6"/>
  <c r="P431" i="6"/>
  <c r="Q431" i="6"/>
  <c r="S431" i="6"/>
  <c r="T431" i="6"/>
  <c r="U431" i="6"/>
  <c r="V431" i="6"/>
  <c r="W431" i="6"/>
  <c r="X431" i="6"/>
  <c r="AA431" i="6"/>
  <c r="AB431" i="6"/>
  <c r="D432" i="6"/>
  <c r="E432" i="6"/>
  <c r="F432" i="6"/>
  <c r="G432" i="6"/>
  <c r="H432" i="6"/>
  <c r="I432" i="6"/>
  <c r="J432" i="6"/>
  <c r="K432" i="6"/>
  <c r="L432" i="6"/>
  <c r="M432" i="6"/>
  <c r="P432" i="6"/>
  <c r="Q432" i="6"/>
  <c r="R432" i="6"/>
  <c r="S432" i="6"/>
  <c r="T432" i="6"/>
  <c r="U432" i="6"/>
  <c r="V432" i="6"/>
  <c r="W432" i="6"/>
  <c r="D433" i="6"/>
  <c r="F433" i="6"/>
  <c r="G433" i="6"/>
  <c r="H433" i="6"/>
  <c r="Y433" i="6" s="1"/>
  <c r="I433" i="6"/>
  <c r="J433" i="6"/>
  <c r="K433" i="6"/>
  <c r="L433" i="6"/>
  <c r="M433" i="6"/>
  <c r="O433" i="6"/>
  <c r="P433" i="6"/>
  <c r="Q433" i="6"/>
  <c r="S433" i="6"/>
  <c r="T433" i="6"/>
  <c r="U433" i="6"/>
  <c r="V433" i="6"/>
  <c r="W433" i="6"/>
  <c r="D434" i="6"/>
  <c r="F434" i="6"/>
  <c r="G434" i="6"/>
  <c r="H434" i="6"/>
  <c r="Y434" i="6" s="1"/>
  <c r="I434" i="6"/>
  <c r="J434" i="6"/>
  <c r="K434" i="6"/>
  <c r="L434" i="6"/>
  <c r="M434" i="6"/>
  <c r="O434" i="6"/>
  <c r="P434" i="6"/>
  <c r="Q434" i="6"/>
  <c r="S434" i="6"/>
  <c r="T434" i="6"/>
  <c r="U434" i="6"/>
  <c r="V434" i="6"/>
  <c r="W434" i="6"/>
  <c r="D435" i="6"/>
  <c r="E435" i="6"/>
  <c r="F435" i="6"/>
  <c r="G435" i="6"/>
  <c r="H435" i="6"/>
  <c r="Y435" i="6" s="1"/>
  <c r="I435" i="6"/>
  <c r="J435" i="6"/>
  <c r="K435" i="6"/>
  <c r="L435" i="6"/>
  <c r="M435" i="6"/>
  <c r="O435" i="6"/>
  <c r="P435" i="6"/>
  <c r="Q435" i="6"/>
  <c r="S435" i="6"/>
  <c r="T435" i="6"/>
  <c r="U435" i="6"/>
  <c r="V435" i="6"/>
  <c r="W435" i="6"/>
  <c r="AF435" i="6"/>
  <c r="AO435" i="6"/>
  <c r="D436" i="6"/>
  <c r="H436" i="6"/>
  <c r="Y436" i="6" s="1"/>
  <c r="D437" i="6"/>
  <c r="H437" i="6"/>
  <c r="Y437" i="6" s="1"/>
  <c r="D438" i="6"/>
  <c r="E438" i="6"/>
  <c r="F438" i="6"/>
  <c r="G438" i="6"/>
  <c r="H438" i="6"/>
  <c r="I438" i="6"/>
  <c r="J438" i="6"/>
  <c r="K438" i="6"/>
  <c r="L438" i="6"/>
  <c r="M438" i="6"/>
  <c r="O438" i="6"/>
  <c r="P438" i="6"/>
  <c r="Q438" i="6"/>
  <c r="S438" i="6"/>
  <c r="T438" i="6"/>
  <c r="U438" i="6"/>
  <c r="V438" i="6"/>
  <c r="W438" i="6"/>
  <c r="D439" i="6"/>
  <c r="E439" i="6"/>
  <c r="F439" i="6"/>
  <c r="G439" i="6"/>
  <c r="I439" i="6"/>
  <c r="J439" i="6"/>
  <c r="K439" i="6"/>
  <c r="L439" i="6"/>
  <c r="M439" i="6"/>
  <c r="O439" i="6"/>
  <c r="P439" i="6"/>
  <c r="Q439" i="6"/>
  <c r="R439" i="6"/>
  <c r="Y439" i="6" s="1"/>
  <c r="Z439" i="6" s="1"/>
  <c r="S439" i="6"/>
  <c r="T439" i="6"/>
  <c r="U439" i="6"/>
  <c r="V439" i="6"/>
  <c r="W439" i="6"/>
  <c r="E440" i="6"/>
  <c r="F440" i="6"/>
  <c r="G440" i="6"/>
  <c r="I440" i="6"/>
  <c r="J440" i="6"/>
  <c r="K440" i="6"/>
  <c r="L440" i="6"/>
  <c r="M440" i="6"/>
  <c r="O440" i="6"/>
  <c r="P440" i="6"/>
  <c r="Q440" i="6"/>
  <c r="S440" i="6"/>
  <c r="T440" i="6"/>
  <c r="U440" i="6"/>
  <c r="V440" i="6"/>
  <c r="W440" i="6"/>
  <c r="Y440" i="6"/>
  <c r="Z440" i="6" s="1"/>
  <c r="D441" i="6"/>
  <c r="E441" i="6"/>
  <c r="F441" i="6"/>
  <c r="G441" i="6"/>
  <c r="I441" i="6"/>
  <c r="J441" i="6"/>
  <c r="K441" i="6"/>
  <c r="L441" i="6"/>
  <c r="M441" i="6"/>
  <c r="O441" i="6"/>
  <c r="P441" i="6"/>
  <c r="Q441" i="6"/>
  <c r="R441" i="6"/>
  <c r="Y441" i="6" s="1"/>
  <c r="Z441" i="6" s="1"/>
  <c r="S441" i="6"/>
  <c r="T441" i="6"/>
  <c r="U441" i="6"/>
  <c r="V441" i="6"/>
  <c r="W441" i="6"/>
  <c r="E446" i="6"/>
  <c r="F446" i="6"/>
  <c r="AH453" i="6" s="1"/>
  <c r="G446" i="6"/>
  <c r="I446" i="6"/>
  <c r="J446" i="6"/>
  <c r="K446" i="6"/>
  <c r="L446" i="6"/>
  <c r="M446" i="6"/>
  <c r="O446" i="6"/>
  <c r="P446" i="6"/>
  <c r="Q446" i="6"/>
  <c r="S446" i="6"/>
  <c r="T446" i="6"/>
  <c r="U446" i="6"/>
  <c r="V446" i="6"/>
  <c r="W446" i="6"/>
  <c r="AF453" i="6"/>
  <c r="E447" i="6"/>
  <c r="AG453" i="6" s="1"/>
  <c r="F447" i="6"/>
  <c r="G447" i="6"/>
  <c r="I447" i="6"/>
  <c r="J447" i="6"/>
  <c r="K447" i="6"/>
  <c r="L447" i="6"/>
  <c r="AJ453" i="6" s="1"/>
  <c r="M447" i="6"/>
  <c r="O447" i="6"/>
  <c r="AL453" i="6" s="1"/>
  <c r="P447" i="6"/>
  <c r="AM453" i="6" s="1"/>
  <c r="Q447" i="6"/>
  <c r="S447" i="6"/>
  <c r="T447" i="6"/>
  <c r="U447" i="6"/>
  <c r="V447" i="6"/>
  <c r="AO453" i="6" s="1"/>
  <c r="W447" i="6"/>
  <c r="Y447" i="6"/>
  <c r="E448" i="6"/>
  <c r="F448" i="6"/>
  <c r="G448" i="6"/>
  <c r="I448" i="6"/>
  <c r="J448" i="6"/>
  <c r="K448" i="6"/>
  <c r="L448" i="6"/>
  <c r="M448" i="6"/>
  <c r="O448" i="6"/>
  <c r="P448" i="6"/>
  <c r="Q448" i="6"/>
  <c r="R448" i="6"/>
  <c r="R454" i="6" s="1"/>
  <c r="S448" i="6"/>
  <c r="T448" i="6"/>
  <c r="U448" i="6"/>
  <c r="V448" i="6"/>
  <c r="W448" i="6"/>
  <c r="H450" i="6"/>
  <c r="Y450" i="6" s="1"/>
  <c r="E451" i="6"/>
  <c r="F451" i="6"/>
  <c r="G451" i="6"/>
  <c r="I451" i="6"/>
  <c r="J451" i="6"/>
  <c r="K451" i="6"/>
  <c r="L451" i="6"/>
  <c r="M451" i="6"/>
  <c r="O451" i="6"/>
  <c r="P451" i="6"/>
  <c r="Q451" i="6"/>
  <c r="S451" i="6"/>
  <c r="T451" i="6"/>
  <c r="U451" i="6"/>
  <c r="V451" i="6"/>
  <c r="W451" i="6"/>
  <c r="Y451" i="6"/>
  <c r="E452" i="6"/>
  <c r="F452" i="6"/>
  <c r="G452" i="6"/>
  <c r="I452" i="6"/>
  <c r="J452" i="6"/>
  <c r="K452" i="6"/>
  <c r="L452" i="6"/>
  <c r="M452" i="6"/>
  <c r="O452" i="6"/>
  <c r="P452" i="6"/>
  <c r="Q452" i="6"/>
  <c r="S452" i="6"/>
  <c r="T452" i="6"/>
  <c r="U452" i="6"/>
  <c r="V452" i="6"/>
  <c r="W452" i="6"/>
  <c r="Y452" i="6"/>
  <c r="D461" i="6"/>
  <c r="E461" i="6"/>
  <c r="F461" i="6"/>
  <c r="G461" i="6"/>
  <c r="H461" i="6"/>
  <c r="I461" i="6"/>
  <c r="J461" i="6"/>
  <c r="K461" i="6"/>
  <c r="L461" i="6"/>
  <c r="M461" i="6"/>
  <c r="O461" i="6"/>
  <c r="P461" i="6"/>
  <c r="Q461" i="6"/>
  <c r="R461" i="6"/>
  <c r="S461" i="6"/>
  <c r="T461" i="6"/>
  <c r="U461" i="6"/>
  <c r="V461" i="6"/>
  <c r="W461" i="6"/>
  <c r="D462" i="6"/>
  <c r="H462" i="6"/>
  <c r="Y462" i="6" s="1"/>
  <c r="D463" i="6"/>
  <c r="E463" i="6"/>
  <c r="F463" i="6"/>
  <c r="G463" i="6"/>
  <c r="H463" i="6"/>
  <c r="I463" i="6"/>
  <c r="J463" i="6"/>
  <c r="K463" i="6"/>
  <c r="L463" i="6"/>
  <c r="M463" i="6"/>
  <c r="O463" i="6"/>
  <c r="P463" i="6"/>
  <c r="Q463" i="6"/>
  <c r="S463" i="6"/>
  <c r="T463" i="6"/>
  <c r="U463" i="6"/>
  <c r="V463" i="6"/>
  <c r="W463" i="6"/>
  <c r="D464" i="6"/>
  <c r="E464" i="6"/>
  <c r="F464" i="6"/>
  <c r="G464" i="6"/>
  <c r="I464" i="6"/>
  <c r="J464" i="6"/>
  <c r="K464" i="6"/>
  <c r="L464" i="6"/>
  <c r="M464" i="6"/>
  <c r="P464" i="6"/>
  <c r="Q464" i="6"/>
  <c r="R464" i="6"/>
  <c r="Y464" i="6" s="1"/>
  <c r="S464" i="6"/>
  <c r="T464" i="6"/>
  <c r="U464" i="6"/>
  <c r="V464" i="6"/>
  <c r="W464" i="6"/>
  <c r="E465" i="6"/>
  <c r="F465" i="6"/>
  <c r="G465" i="6"/>
  <c r="I465" i="6"/>
  <c r="J465" i="6"/>
  <c r="K465" i="6"/>
  <c r="L465" i="6"/>
  <c r="M465" i="6"/>
  <c r="O465" i="6"/>
  <c r="P465" i="6"/>
  <c r="Q465" i="6"/>
  <c r="S465" i="6"/>
  <c r="T465" i="6"/>
  <c r="U465" i="6"/>
  <c r="V465" i="6"/>
  <c r="W465" i="6"/>
  <c r="Y465" i="6"/>
  <c r="Z465" i="6" s="1"/>
  <c r="D466" i="6"/>
  <c r="H466" i="6"/>
  <c r="Y466" i="6" s="1"/>
  <c r="D467" i="6"/>
  <c r="H467" i="6"/>
  <c r="Y467" i="6" s="1"/>
  <c r="D468" i="6"/>
  <c r="H468" i="6"/>
  <c r="Y468" i="6" s="1"/>
  <c r="D469" i="6"/>
  <c r="H469" i="6"/>
  <c r="Y469" i="6" s="1"/>
  <c r="D470" i="6"/>
  <c r="E470" i="6"/>
  <c r="F470" i="6"/>
  <c r="G470" i="6"/>
  <c r="H470" i="6"/>
  <c r="Y470" i="6" s="1"/>
  <c r="I470" i="6"/>
  <c r="J470" i="6"/>
  <c r="K470" i="6"/>
  <c r="L470" i="6"/>
  <c r="AJ600" i="6" s="1"/>
  <c r="M470" i="6"/>
  <c r="O470" i="6"/>
  <c r="AL600" i="6" s="1"/>
  <c r="P470" i="6"/>
  <c r="AM600" i="6" s="1"/>
  <c r="Q470" i="6"/>
  <c r="S470" i="6"/>
  <c r="T470" i="6"/>
  <c r="U470" i="6"/>
  <c r="V470" i="6"/>
  <c r="AO600" i="6" s="1"/>
  <c r="W470" i="6"/>
  <c r="D471" i="6"/>
  <c r="H471" i="6"/>
  <c r="Y471" i="6" s="1"/>
  <c r="D472" i="6"/>
  <c r="AF608" i="6" s="1"/>
  <c r="E472" i="6"/>
  <c r="AG608" i="6" s="1"/>
  <c r="F472" i="6"/>
  <c r="AH608" i="6" s="1"/>
  <c r="G472" i="6"/>
  <c r="H472" i="6"/>
  <c r="I472" i="6"/>
  <c r="J472" i="6"/>
  <c r="K472" i="6"/>
  <c r="L472" i="6"/>
  <c r="AJ608" i="6" s="1"/>
  <c r="M472" i="6"/>
  <c r="O472" i="6"/>
  <c r="AL608" i="6" s="1"/>
  <c r="P472" i="6"/>
  <c r="AM608" i="6" s="1"/>
  <c r="Q472" i="6"/>
  <c r="R472" i="6"/>
  <c r="S472" i="6"/>
  <c r="T472" i="6"/>
  <c r="U472" i="6"/>
  <c r="V472" i="6"/>
  <c r="W472" i="6"/>
  <c r="D473" i="6"/>
  <c r="E473" i="6"/>
  <c r="F473" i="6"/>
  <c r="G473" i="6"/>
  <c r="H473" i="6"/>
  <c r="Y473" i="6" s="1"/>
  <c r="Z473" i="6" s="1"/>
  <c r="I473" i="6"/>
  <c r="J473" i="6"/>
  <c r="K473" i="6"/>
  <c r="L473" i="6"/>
  <c r="M473" i="6"/>
  <c r="O473" i="6"/>
  <c r="P473" i="6"/>
  <c r="Q473" i="6"/>
  <c r="S473" i="6"/>
  <c r="T473" i="6"/>
  <c r="U473" i="6"/>
  <c r="V473" i="6"/>
  <c r="W473" i="6"/>
  <c r="B476" i="6"/>
  <c r="D477" i="6"/>
  <c r="E477" i="6"/>
  <c r="F477" i="6"/>
  <c r="G477" i="6"/>
  <c r="I477" i="6"/>
  <c r="J477" i="6"/>
  <c r="K477" i="6"/>
  <c r="L477" i="6"/>
  <c r="M477" i="6"/>
  <c r="N477" i="6"/>
  <c r="P477" i="6"/>
  <c r="Q477" i="6"/>
  <c r="R477" i="6"/>
  <c r="S477" i="6"/>
  <c r="T477" i="6"/>
  <c r="U477" i="6"/>
  <c r="V477" i="6"/>
  <c r="W477" i="6"/>
  <c r="X477" i="6"/>
  <c r="Y477" i="6"/>
  <c r="AA477" i="6"/>
  <c r="AB477" i="6"/>
  <c r="D478" i="6"/>
  <c r="E478" i="6"/>
  <c r="F478" i="6"/>
  <c r="G478" i="6"/>
  <c r="H478" i="6"/>
  <c r="I478" i="6"/>
  <c r="J478" i="6"/>
  <c r="K478" i="6"/>
  <c r="L478" i="6"/>
  <c r="M478" i="6"/>
  <c r="O478" i="6"/>
  <c r="P478" i="6"/>
  <c r="Q478" i="6"/>
  <c r="R478" i="6"/>
  <c r="S478" i="6"/>
  <c r="T478" i="6"/>
  <c r="U478" i="6"/>
  <c r="V478" i="6"/>
  <c r="W478" i="6"/>
  <c r="D479" i="6"/>
  <c r="E479" i="6"/>
  <c r="F479" i="6"/>
  <c r="G479" i="6"/>
  <c r="H479" i="6"/>
  <c r="Y479" i="6" s="1"/>
  <c r="Z479" i="6" s="1"/>
  <c r="I479" i="6"/>
  <c r="J479" i="6"/>
  <c r="K479" i="6"/>
  <c r="L479" i="6"/>
  <c r="M479" i="6"/>
  <c r="O479" i="6"/>
  <c r="P479" i="6"/>
  <c r="Q479" i="6"/>
  <c r="S479" i="6"/>
  <c r="T479" i="6"/>
  <c r="U479" i="6"/>
  <c r="V479" i="6"/>
  <c r="W479" i="6"/>
  <c r="D480" i="6"/>
  <c r="H480" i="6"/>
  <c r="Y480" i="6" s="1"/>
  <c r="D481" i="6"/>
  <c r="H481" i="6"/>
  <c r="Y481" i="6" s="1"/>
  <c r="Z481" i="6" s="1"/>
  <c r="D482" i="6"/>
  <c r="H482" i="6"/>
  <c r="Y482" i="6" s="1"/>
  <c r="D483" i="6"/>
  <c r="E483" i="6"/>
  <c r="F483" i="6"/>
  <c r="G483" i="6"/>
  <c r="I483" i="6"/>
  <c r="J483" i="6"/>
  <c r="K483" i="6"/>
  <c r="L483" i="6"/>
  <c r="M483" i="6"/>
  <c r="P483" i="6"/>
  <c r="Q483" i="6"/>
  <c r="R483" i="6"/>
  <c r="Y483" i="6" s="1"/>
  <c r="S483" i="6"/>
  <c r="T483" i="6"/>
  <c r="U483" i="6"/>
  <c r="V483" i="6"/>
  <c r="W483" i="6"/>
  <c r="D484" i="6"/>
  <c r="E484" i="6"/>
  <c r="F484" i="6"/>
  <c r="G484" i="6"/>
  <c r="I484" i="6"/>
  <c r="J484" i="6"/>
  <c r="K484" i="6"/>
  <c r="L484" i="6"/>
  <c r="M484" i="6"/>
  <c r="P484" i="6"/>
  <c r="Q484" i="6"/>
  <c r="R484" i="6"/>
  <c r="Y484" i="6" s="1"/>
  <c r="S484" i="6"/>
  <c r="T484" i="6"/>
  <c r="U484" i="6"/>
  <c r="V484" i="6"/>
  <c r="W484" i="6"/>
  <c r="D485" i="6"/>
  <c r="E485" i="6"/>
  <c r="F485" i="6"/>
  <c r="G485" i="6"/>
  <c r="H485" i="6"/>
  <c r="Y485" i="6" s="1"/>
  <c r="Z485" i="6" s="1"/>
  <c r="I485" i="6"/>
  <c r="J485" i="6"/>
  <c r="K485" i="6"/>
  <c r="L485" i="6"/>
  <c r="M485" i="6"/>
  <c r="O485" i="6"/>
  <c r="P485" i="6"/>
  <c r="Q485" i="6"/>
  <c r="S485" i="6"/>
  <c r="T485" i="6"/>
  <c r="U485" i="6"/>
  <c r="V485" i="6"/>
  <c r="W485" i="6"/>
  <c r="B488" i="6"/>
  <c r="D489" i="6"/>
  <c r="E489" i="6"/>
  <c r="F489" i="6"/>
  <c r="G489" i="6"/>
  <c r="I489" i="6"/>
  <c r="J489" i="6"/>
  <c r="K489" i="6"/>
  <c r="L489" i="6"/>
  <c r="M489" i="6"/>
  <c r="N489" i="6"/>
  <c r="P489" i="6"/>
  <c r="Q489" i="6"/>
  <c r="R489" i="6"/>
  <c r="S489" i="6"/>
  <c r="T489" i="6"/>
  <c r="U489" i="6"/>
  <c r="V489" i="6"/>
  <c r="W489" i="6"/>
  <c r="X489" i="6"/>
  <c r="Y489" i="6"/>
  <c r="AA489" i="6"/>
  <c r="AB489" i="6"/>
  <c r="D490" i="6"/>
  <c r="E490" i="6"/>
  <c r="F490" i="6"/>
  <c r="G490" i="6"/>
  <c r="H490" i="6"/>
  <c r="Y490" i="6" s="1"/>
  <c r="Z490" i="6" s="1"/>
  <c r="I490" i="6"/>
  <c r="J490" i="6"/>
  <c r="K490" i="6"/>
  <c r="L490" i="6"/>
  <c r="M490" i="6"/>
  <c r="O490" i="6"/>
  <c r="P490" i="6"/>
  <c r="Q490" i="6"/>
  <c r="S490" i="6"/>
  <c r="T490" i="6"/>
  <c r="U490" i="6"/>
  <c r="V490" i="6"/>
  <c r="W490" i="6"/>
  <c r="D491" i="6"/>
  <c r="R491" i="6"/>
  <c r="D493" i="6"/>
  <c r="E493" i="6"/>
  <c r="F493" i="6"/>
  <c r="G493" i="6"/>
  <c r="H493" i="6"/>
  <c r="Y493" i="6" s="1"/>
  <c r="Z493" i="6" s="1"/>
  <c r="I493" i="6"/>
  <c r="J493" i="6"/>
  <c r="K493" i="6"/>
  <c r="L493" i="6"/>
  <c r="M493" i="6"/>
  <c r="O493" i="6"/>
  <c r="P493" i="6"/>
  <c r="Q493" i="6"/>
  <c r="S493" i="6"/>
  <c r="T493" i="6"/>
  <c r="U493" i="6"/>
  <c r="V493" i="6"/>
  <c r="W493" i="6"/>
  <c r="D495" i="6"/>
  <c r="H495" i="6"/>
  <c r="Y495" i="6" s="1"/>
  <c r="D497" i="6"/>
  <c r="H497" i="6"/>
  <c r="Y497" i="6" s="1"/>
  <c r="D498" i="6"/>
  <c r="E498" i="6"/>
  <c r="F498" i="6"/>
  <c r="G498" i="6"/>
  <c r="I498" i="6"/>
  <c r="J498" i="6"/>
  <c r="K498" i="6"/>
  <c r="L498" i="6"/>
  <c r="M498" i="6"/>
  <c r="P498" i="6"/>
  <c r="Q498" i="6"/>
  <c r="R498" i="6"/>
  <c r="Y498" i="6" s="1"/>
  <c r="S498" i="6"/>
  <c r="T498" i="6"/>
  <c r="U498" i="6"/>
  <c r="V498" i="6"/>
  <c r="W498" i="6"/>
  <c r="D499" i="6"/>
  <c r="AF604" i="6" s="1"/>
  <c r="E499" i="6"/>
  <c r="F499" i="6"/>
  <c r="G499" i="6"/>
  <c r="I499" i="6"/>
  <c r="J499" i="6"/>
  <c r="K499" i="6"/>
  <c r="L499" i="6"/>
  <c r="M499" i="6"/>
  <c r="O499" i="6"/>
  <c r="P499" i="6"/>
  <c r="Q499" i="6"/>
  <c r="S499" i="6"/>
  <c r="T499" i="6"/>
  <c r="U499" i="6"/>
  <c r="V499" i="6"/>
  <c r="W499" i="6"/>
  <c r="Y499" i="6"/>
  <c r="D500" i="6"/>
  <c r="E500" i="6"/>
  <c r="F500" i="6"/>
  <c r="G500" i="6"/>
  <c r="H500" i="6"/>
  <c r="I500" i="6"/>
  <c r="J500" i="6"/>
  <c r="K500" i="6"/>
  <c r="L500" i="6"/>
  <c r="M500" i="6"/>
  <c r="O500" i="6"/>
  <c r="P500" i="6"/>
  <c r="Q500" i="6"/>
  <c r="S500" i="6"/>
  <c r="T500" i="6"/>
  <c r="U500" i="6"/>
  <c r="V500" i="6"/>
  <c r="W500" i="6"/>
  <c r="D505" i="6"/>
  <c r="E505" i="6"/>
  <c r="F505" i="6"/>
  <c r="G505" i="6"/>
  <c r="H505" i="6"/>
  <c r="Y505" i="6" s="1"/>
  <c r="Z505" i="6" s="1"/>
  <c r="I505" i="6"/>
  <c r="J505" i="6"/>
  <c r="K505" i="6"/>
  <c r="L505" i="6"/>
  <c r="M505" i="6"/>
  <c r="O505" i="6"/>
  <c r="P505" i="6"/>
  <c r="Q505" i="6"/>
  <c r="S505" i="6"/>
  <c r="T505" i="6"/>
  <c r="U505" i="6"/>
  <c r="V505" i="6"/>
  <c r="W505" i="6"/>
  <c r="D506" i="6"/>
  <c r="E506" i="6"/>
  <c r="F506" i="6"/>
  <c r="G506" i="6"/>
  <c r="H506" i="6"/>
  <c r="Y506" i="6" s="1"/>
  <c r="Z506" i="6" s="1"/>
  <c r="I506" i="6"/>
  <c r="J506" i="6"/>
  <c r="K506" i="6"/>
  <c r="L506" i="6"/>
  <c r="M506" i="6"/>
  <c r="O506" i="6"/>
  <c r="P506" i="6"/>
  <c r="Q506" i="6"/>
  <c r="S506" i="6"/>
  <c r="T506" i="6"/>
  <c r="U506" i="6"/>
  <c r="V506" i="6"/>
  <c r="W506" i="6"/>
  <c r="D507" i="6"/>
  <c r="H507" i="6"/>
  <c r="Y507" i="6" s="1"/>
  <c r="D508" i="6"/>
  <c r="H508" i="6"/>
  <c r="Y508" i="6" s="1"/>
  <c r="D510" i="6"/>
  <c r="Y510" i="6"/>
  <c r="D511" i="6"/>
  <c r="H511" i="6"/>
  <c r="Y511" i="6" s="1"/>
  <c r="E512" i="6"/>
  <c r="F512" i="6"/>
  <c r="G512" i="6"/>
  <c r="I512" i="6"/>
  <c r="J512" i="6"/>
  <c r="K512" i="6"/>
  <c r="L512" i="6"/>
  <c r="M512" i="6"/>
  <c r="O512" i="6"/>
  <c r="P512" i="6"/>
  <c r="Q512" i="6"/>
  <c r="S512" i="6"/>
  <c r="T512" i="6"/>
  <c r="U512" i="6"/>
  <c r="V512" i="6"/>
  <c r="W512" i="6"/>
  <c r="Y512" i="6"/>
  <c r="Z512" i="6" s="1"/>
  <c r="D513" i="6"/>
  <c r="E513" i="6"/>
  <c r="F513" i="6"/>
  <c r="G513" i="6"/>
  <c r="I513" i="6"/>
  <c r="J513" i="6"/>
  <c r="K513" i="6"/>
  <c r="L513" i="6"/>
  <c r="M513" i="6"/>
  <c r="O513" i="6"/>
  <c r="P513" i="6"/>
  <c r="Q513" i="6"/>
  <c r="S513" i="6"/>
  <c r="T513" i="6"/>
  <c r="U513" i="6"/>
  <c r="V513" i="6"/>
  <c r="W513" i="6"/>
  <c r="Y513" i="6"/>
  <c r="D514" i="6"/>
  <c r="E514" i="6"/>
  <c r="F514" i="6"/>
  <c r="G514" i="6"/>
  <c r="H514" i="6"/>
  <c r="I514" i="6"/>
  <c r="J514" i="6"/>
  <c r="K514" i="6"/>
  <c r="L514" i="6"/>
  <c r="M514" i="6"/>
  <c r="P514" i="6"/>
  <c r="Q514" i="6"/>
  <c r="R514" i="6"/>
  <c r="R516" i="6" s="1"/>
  <c r="S514" i="6"/>
  <c r="T514" i="6"/>
  <c r="U514" i="6"/>
  <c r="V514" i="6"/>
  <c r="W514" i="6"/>
  <c r="N518" i="6"/>
  <c r="X518" i="6"/>
  <c r="D519" i="6"/>
  <c r="F519" i="6"/>
  <c r="G519" i="6"/>
  <c r="H519" i="6"/>
  <c r="Y519" i="6" s="1"/>
  <c r="I519" i="6"/>
  <c r="J519" i="6"/>
  <c r="K519" i="6"/>
  <c r="L519" i="6"/>
  <c r="M519" i="6"/>
  <c r="O519" i="6"/>
  <c r="P519" i="6"/>
  <c r="Q519" i="6"/>
  <c r="S519" i="6"/>
  <c r="T519" i="6"/>
  <c r="U519" i="6"/>
  <c r="V519" i="6"/>
  <c r="W519" i="6"/>
  <c r="D520" i="6"/>
  <c r="E520" i="6"/>
  <c r="F520" i="6"/>
  <c r="G520" i="6"/>
  <c r="H520" i="6"/>
  <c r="Y520" i="6" s="1"/>
  <c r="I520" i="6"/>
  <c r="J520" i="6"/>
  <c r="K520" i="6"/>
  <c r="L520" i="6"/>
  <c r="M520" i="6"/>
  <c r="O520" i="6"/>
  <c r="P520" i="6"/>
  <c r="Q520" i="6"/>
  <c r="S520" i="6"/>
  <c r="T520" i="6"/>
  <c r="U520" i="6"/>
  <c r="V520" i="6"/>
  <c r="W520" i="6"/>
  <c r="D521" i="6"/>
  <c r="H521" i="6"/>
  <c r="Y521" i="6" s="1"/>
  <c r="D523" i="6"/>
  <c r="E523" i="6"/>
  <c r="F523" i="6"/>
  <c r="G523" i="6"/>
  <c r="H523" i="6"/>
  <c r="Y523" i="6" s="1"/>
  <c r="I523" i="6"/>
  <c r="J523" i="6"/>
  <c r="K523" i="6"/>
  <c r="L523" i="6"/>
  <c r="M523" i="6"/>
  <c r="O523" i="6"/>
  <c r="P523" i="6"/>
  <c r="Q523" i="6"/>
  <c r="S523" i="6"/>
  <c r="T523" i="6"/>
  <c r="U523" i="6"/>
  <c r="V523" i="6"/>
  <c r="W523" i="6"/>
  <c r="D524" i="6"/>
  <c r="H524" i="6"/>
  <c r="D525" i="6"/>
  <c r="E525" i="6"/>
  <c r="F525" i="6"/>
  <c r="G525" i="6"/>
  <c r="I525" i="6"/>
  <c r="J525" i="6"/>
  <c r="K525" i="6"/>
  <c r="L525" i="6"/>
  <c r="M525" i="6"/>
  <c r="O525" i="6"/>
  <c r="P525" i="6"/>
  <c r="Q525" i="6"/>
  <c r="R525" i="6"/>
  <c r="Y525" i="6" s="1"/>
  <c r="Z525" i="6" s="1"/>
  <c r="S525" i="6"/>
  <c r="T525" i="6"/>
  <c r="U525" i="6"/>
  <c r="V525" i="6"/>
  <c r="W525" i="6"/>
  <c r="D526" i="6"/>
  <c r="E526" i="6"/>
  <c r="F526" i="6"/>
  <c r="G526" i="6"/>
  <c r="I526" i="6"/>
  <c r="J526" i="6"/>
  <c r="K526" i="6"/>
  <c r="L526" i="6"/>
  <c r="M526" i="6"/>
  <c r="O526" i="6"/>
  <c r="P526" i="6"/>
  <c r="Q526" i="6"/>
  <c r="R526" i="6"/>
  <c r="Y526" i="6" s="1"/>
  <c r="S526" i="6"/>
  <c r="T526" i="6"/>
  <c r="U526" i="6"/>
  <c r="V526" i="6"/>
  <c r="W526" i="6"/>
  <c r="F531" i="6"/>
  <c r="G531" i="6"/>
  <c r="I531" i="6"/>
  <c r="J531" i="6"/>
  <c r="K531" i="6"/>
  <c r="L531" i="6"/>
  <c r="M531" i="6"/>
  <c r="O531" i="6"/>
  <c r="P531" i="6"/>
  <c r="Q531" i="6"/>
  <c r="S531" i="6"/>
  <c r="T531" i="6"/>
  <c r="U531" i="6"/>
  <c r="V531" i="6"/>
  <c r="W531" i="6"/>
  <c r="Y531" i="6"/>
  <c r="Z531" i="6" s="1"/>
  <c r="D532" i="6"/>
  <c r="D533" i="6"/>
  <c r="E533" i="6"/>
  <c r="F533" i="6"/>
  <c r="G533" i="6"/>
  <c r="H533" i="6"/>
  <c r="Y533" i="6" s="1"/>
  <c r="Z533" i="6" s="1"/>
  <c r="I533" i="6"/>
  <c r="J533" i="6"/>
  <c r="K533" i="6"/>
  <c r="L533" i="6"/>
  <c r="M533" i="6"/>
  <c r="O533" i="6"/>
  <c r="P533" i="6"/>
  <c r="Q533" i="6"/>
  <c r="S533" i="6"/>
  <c r="T533" i="6"/>
  <c r="U533" i="6"/>
  <c r="V533" i="6"/>
  <c r="W533" i="6"/>
  <c r="D534" i="6"/>
  <c r="E534" i="6"/>
  <c r="F534" i="6"/>
  <c r="G534" i="6"/>
  <c r="H534" i="6"/>
  <c r="Y534" i="6" s="1"/>
  <c r="Z534" i="6" s="1"/>
  <c r="I534" i="6"/>
  <c r="J534" i="6"/>
  <c r="K534" i="6"/>
  <c r="L534" i="6"/>
  <c r="M534" i="6"/>
  <c r="O534" i="6"/>
  <c r="P534" i="6"/>
  <c r="Q534" i="6"/>
  <c r="S534" i="6"/>
  <c r="T534" i="6"/>
  <c r="U534" i="6"/>
  <c r="V534" i="6"/>
  <c r="W534" i="6"/>
  <c r="D535" i="6"/>
  <c r="H535" i="6"/>
  <c r="Y535" i="6" s="1"/>
  <c r="D537" i="6"/>
  <c r="E537" i="6"/>
  <c r="F537" i="6"/>
  <c r="G537" i="6"/>
  <c r="H537" i="6"/>
  <c r="Y537" i="6" s="1"/>
  <c r="Z537" i="6" s="1"/>
  <c r="I537" i="6"/>
  <c r="J537" i="6"/>
  <c r="K537" i="6"/>
  <c r="L537" i="6"/>
  <c r="M537" i="6"/>
  <c r="O537" i="6"/>
  <c r="P537" i="6"/>
  <c r="Q537" i="6"/>
  <c r="S537" i="6"/>
  <c r="T537" i="6"/>
  <c r="U537" i="6"/>
  <c r="V537" i="6"/>
  <c r="W537" i="6"/>
  <c r="D538" i="6"/>
  <c r="H538" i="6"/>
  <c r="Y538" i="6" s="1"/>
  <c r="D539" i="6"/>
  <c r="H539" i="6"/>
  <c r="Y539" i="6" s="1"/>
  <c r="D540" i="6"/>
  <c r="E540" i="6"/>
  <c r="F540" i="6"/>
  <c r="G540" i="6"/>
  <c r="I540" i="6"/>
  <c r="J540" i="6"/>
  <c r="K540" i="6"/>
  <c r="L540" i="6"/>
  <c r="M540" i="6"/>
  <c r="P540" i="6"/>
  <c r="Q540" i="6"/>
  <c r="R540" i="6"/>
  <c r="S540" i="6"/>
  <c r="T540" i="6"/>
  <c r="U540" i="6"/>
  <c r="V540" i="6"/>
  <c r="W540" i="6"/>
  <c r="D541" i="6"/>
  <c r="E541" i="6"/>
  <c r="F541" i="6"/>
  <c r="G541" i="6"/>
  <c r="I541" i="6"/>
  <c r="J541" i="6"/>
  <c r="K541" i="6"/>
  <c r="L541" i="6"/>
  <c r="M541" i="6"/>
  <c r="O541" i="6"/>
  <c r="P541" i="6"/>
  <c r="Q541" i="6"/>
  <c r="R541" i="6"/>
  <c r="Y541" i="6" s="1"/>
  <c r="Z541" i="6" s="1"/>
  <c r="S541" i="6"/>
  <c r="T541" i="6"/>
  <c r="U541" i="6"/>
  <c r="V541" i="6"/>
  <c r="W541" i="6"/>
  <c r="D548" i="6"/>
  <c r="E548" i="6"/>
  <c r="F548" i="6"/>
  <c r="G548" i="6"/>
  <c r="I548" i="6"/>
  <c r="J548" i="6"/>
  <c r="K548" i="6"/>
  <c r="L548" i="6"/>
  <c r="M548" i="6"/>
  <c r="O548" i="6"/>
  <c r="P548" i="6"/>
  <c r="Q548" i="6"/>
  <c r="R548" i="6"/>
  <c r="S548" i="6"/>
  <c r="T548" i="6"/>
  <c r="U548" i="6"/>
  <c r="V548" i="6"/>
  <c r="W548" i="6"/>
  <c r="D549" i="6"/>
  <c r="E549" i="6"/>
  <c r="F549" i="6"/>
  <c r="G549" i="6"/>
  <c r="H549" i="6"/>
  <c r="H552" i="6" s="1"/>
  <c r="I549" i="6"/>
  <c r="J549" i="6"/>
  <c r="K549" i="6"/>
  <c r="L549" i="6"/>
  <c r="M549" i="6"/>
  <c r="O549" i="6"/>
  <c r="P549" i="6"/>
  <c r="Q549" i="6"/>
  <c r="S549" i="6"/>
  <c r="T549" i="6"/>
  <c r="U549" i="6"/>
  <c r="V549" i="6"/>
  <c r="W549" i="6"/>
  <c r="D550" i="6"/>
  <c r="E550" i="6"/>
  <c r="F550" i="6"/>
  <c r="G550" i="6"/>
  <c r="I550" i="6"/>
  <c r="J550" i="6"/>
  <c r="K550" i="6"/>
  <c r="L550" i="6"/>
  <c r="M550" i="6"/>
  <c r="O550" i="6"/>
  <c r="P550" i="6"/>
  <c r="Q550" i="6"/>
  <c r="S550" i="6"/>
  <c r="T550" i="6"/>
  <c r="U550" i="6"/>
  <c r="V550" i="6"/>
  <c r="W550" i="6"/>
  <c r="Y550" i="6"/>
  <c r="D555" i="6"/>
  <c r="E555" i="6"/>
  <c r="F555" i="6"/>
  <c r="G555" i="6"/>
  <c r="H555" i="6"/>
  <c r="I555" i="6"/>
  <c r="J555" i="6"/>
  <c r="K555" i="6"/>
  <c r="L555" i="6"/>
  <c r="M555" i="6"/>
  <c r="O555" i="6"/>
  <c r="P555" i="6"/>
  <c r="Q555" i="6"/>
  <c r="S555" i="6"/>
  <c r="T555" i="6"/>
  <c r="U555" i="6"/>
  <c r="V555" i="6"/>
  <c r="W555" i="6"/>
  <c r="D556" i="6"/>
  <c r="E556" i="6"/>
  <c r="F556" i="6"/>
  <c r="G556" i="6"/>
  <c r="H556" i="6"/>
  <c r="Y556" i="6" s="1"/>
  <c r="I556" i="6"/>
  <c r="J556" i="6"/>
  <c r="K556" i="6"/>
  <c r="L556" i="6"/>
  <c r="M556" i="6"/>
  <c r="O556" i="6"/>
  <c r="P556" i="6"/>
  <c r="Q556" i="6"/>
  <c r="S556" i="6"/>
  <c r="T556" i="6"/>
  <c r="U556" i="6"/>
  <c r="V556" i="6"/>
  <c r="W556" i="6"/>
  <c r="D557" i="6"/>
  <c r="H557" i="6"/>
  <c r="Y557" i="6" s="1"/>
  <c r="D559" i="6"/>
  <c r="H559" i="6"/>
  <c r="Y559" i="6" s="1"/>
  <c r="D560" i="6"/>
  <c r="H560" i="6"/>
  <c r="Y560" i="6" s="1"/>
  <c r="D561" i="6"/>
  <c r="E561" i="6"/>
  <c r="F561" i="6"/>
  <c r="G561" i="6"/>
  <c r="I561" i="6"/>
  <c r="J561" i="6"/>
  <c r="K561" i="6"/>
  <c r="L561" i="6"/>
  <c r="M561" i="6"/>
  <c r="O561" i="6"/>
  <c r="P561" i="6"/>
  <c r="Q561" i="6"/>
  <c r="S561" i="6"/>
  <c r="T561" i="6"/>
  <c r="U561" i="6"/>
  <c r="V561" i="6"/>
  <c r="W561" i="6"/>
  <c r="Y561" i="6"/>
  <c r="C562" i="6"/>
  <c r="E562" i="6"/>
  <c r="AG606" i="6" s="1"/>
  <c r="F562" i="6"/>
  <c r="AH606" i="6" s="1"/>
  <c r="G562" i="6"/>
  <c r="I562" i="6"/>
  <c r="J562" i="6"/>
  <c r="K562" i="6"/>
  <c r="L562" i="6"/>
  <c r="AJ606" i="6" s="1"/>
  <c r="M562" i="6"/>
  <c r="O562" i="6"/>
  <c r="AL606" i="6" s="1"/>
  <c r="P562" i="6"/>
  <c r="AM606" i="6" s="1"/>
  <c r="Q562" i="6"/>
  <c r="S562" i="6"/>
  <c r="T562" i="6"/>
  <c r="U562" i="6"/>
  <c r="V562" i="6"/>
  <c r="AO606" i="6" s="1"/>
  <c r="W562" i="6"/>
  <c r="Y562" i="6"/>
  <c r="Z562" i="6" s="1"/>
  <c r="R564" i="6"/>
  <c r="D567" i="6"/>
  <c r="F567" i="6"/>
  <c r="G567" i="6"/>
  <c r="H567" i="6"/>
  <c r="Y567" i="6" s="1"/>
  <c r="I567" i="6"/>
  <c r="J567" i="6"/>
  <c r="K567" i="6"/>
  <c r="L567" i="6"/>
  <c r="M567" i="6"/>
  <c r="O567" i="6"/>
  <c r="P567" i="6"/>
  <c r="Q567" i="6"/>
  <c r="S567" i="6"/>
  <c r="T567" i="6"/>
  <c r="U567" i="6"/>
  <c r="V567" i="6"/>
  <c r="W567" i="6"/>
  <c r="D568" i="6"/>
  <c r="H568" i="6"/>
  <c r="D569" i="6"/>
  <c r="H569" i="6"/>
  <c r="Y569" i="6" s="1"/>
  <c r="D570" i="6"/>
  <c r="H570" i="6"/>
  <c r="Y570" i="6" s="1"/>
  <c r="D572" i="6"/>
  <c r="E572" i="6"/>
  <c r="F572" i="6"/>
  <c r="G572" i="6"/>
  <c r="H572" i="6"/>
  <c r="Y572" i="6" s="1"/>
  <c r="Z572" i="6" s="1"/>
  <c r="I572" i="6"/>
  <c r="J572" i="6"/>
  <c r="K572" i="6"/>
  <c r="L572" i="6"/>
  <c r="M572" i="6"/>
  <c r="O572" i="6"/>
  <c r="P572" i="6"/>
  <c r="Q572" i="6"/>
  <c r="S572" i="6"/>
  <c r="T572" i="6"/>
  <c r="U572" i="6"/>
  <c r="V572" i="6"/>
  <c r="W572" i="6"/>
  <c r="E573" i="6"/>
  <c r="F573" i="6"/>
  <c r="G573" i="6"/>
  <c r="I573" i="6"/>
  <c r="J573" i="6"/>
  <c r="K573" i="6"/>
  <c r="L573" i="6"/>
  <c r="M573" i="6"/>
  <c r="O573" i="6"/>
  <c r="P573" i="6"/>
  <c r="Q573" i="6"/>
  <c r="S573" i="6"/>
  <c r="T573" i="6"/>
  <c r="U573" i="6"/>
  <c r="V573" i="6"/>
  <c r="W573" i="6"/>
  <c r="Y573" i="6"/>
  <c r="Z573" i="6" s="1"/>
  <c r="E574" i="6"/>
  <c r="F574" i="6"/>
  <c r="G574" i="6"/>
  <c r="I574" i="6"/>
  <c r="J574" i="6"/>
  <c r="K574" i="6"/>
  <c r="L574" i="6"/>
  <c r="M574" i="6"/>
  <c r="O574" i="6"/>
  <c r="P574" i="6"/>
  <c r="Q574" i="6"/>
  <c r="S574" i="6"/>
  <c r="T574" i="6"/>
  <c r="U574" i="6"/>
  <c r="V574" i="6"/>
  <c r="W574" i="6"/>
  <c r="Y574" i="6"/>
  <c r="Z574" i="6" s="1"/>
  <c r="D575" i="6"/>
  <c r="E575" i="6"/>
  <c r="F575" i="6"/>
  <c r="G575" i="6"/>
  <c r="H575" i="6"/>
  <c r="Y575" i="6" s="1"/>
  <c r="I575" i="6"/>
  <c r="J575" i="6"/>
  <c r="K575" i="6"/>
  <c r="L575" i="6"/>
  <c r="M575" i="6"/>
  <c r="O575" i="6"/>
  <c r="P575" i="6"/>
  <c r="Q575" i="6"/>
  <c r="S575" i="6"/>
  <c r="T575" i="6"/>
  <c r="U575" i="6"/>
  <c r="V575" i="6"/>
  <c r="W575" i="6"/>
  <c r="E576" i="6"/>
  <c r="AG607" i="6" s="1"/>
  <c r="F576" i="6"/>
  <c r="AH607" i="6" s="1"/>
  <c r="G576" i="6"/>
  <c r="I576" i="6"/>
  <c r="J576" i="6"/>
  <c r="K576" i="6"/>
  <c r="L576" i="6"/>
  <c r="AJ607" i="6" s="1"/>
  <c r="M576" i="6"/>
  <c r="O576" i="6"/>
  <c r="AL607" i="6" s="1"/>
  <c r="P576" i="6"/>
  <c r="AM607" i="6" s="1"/>
  <c r="Q576" i="6"/>
  <c r="S576" i="6"/>
  <c r="T576" i="6"/>
  <c r="U576" i="6"/>
  <c r="V576" i="6"/>
  <c r="AO607" i="6" s="1"/>
  <c r="W576" i="6"/>
  <c r="Y576" i="6"/>
  <c r="Z576" i="6" s="1"/>
  <c r="R578" i="6"/>
  <c r="D581" i="6"/>
  <c r="E581" i="6"/>
  <c r="F581" i="6"/>
  <c r="G581" i="6"/>
  <c r="H581" i="6"/>
  <c r="Y581" i="6" s="1"/>
  <c r="Z581" i="6" s="1"/>
  <c r="I581" i="6"/>
  <c r="J581" i="6"/>
  <c r="K581" i="6"/>
  <c r="L581" i="6"/>
  <c r="M581" i="6"/>
  <c r="O581" i="6"/>
  <c r="P581" i="6"/>
  <c r="Q581" i="6"/>
  <c r="S581" i="6"/>
  <c r="T581" i="6"/>
  <c r="U581" i="6"/>
  <c r="V581" i="6"/>
  <c r="W581" i="6"/>
  <c r="D582" i="6"/>
  <c r="H582" i="6"/>
  <c r="Y582" i="6" s="1"/>
  <c r="D583" i="6"/>
  <c r="H583" i="6"/>
  <c r="Y583" i="6" s="1"/>
  <c r="D584" i="6"/>
  <c r="H584" i="6"/>
  <c r="Y584" i="6" s="1"/>
  <c r="D585" i="6"/>
  <c r="H585" i="6"/>
  <c r="Y585" i="6" s="1"/>
  <c r="D586" i="6"/>
  <c r="H586" i="6"/>
  <c r="Y586" i="6" s="1"/>
  <c r="D587" i="6"/>
  <c r="E587" i="6"/>
  <c r="F587" i="6"/>
  <c r="G587" i="6"/>
  <c r="H587" i="6"/>
  <c r="Y587" i="6" s="1"/>
  <c r="I587" i="6"/>
  <c r="J587" i="6"/>
  <c r="K587" i="6"/>
  <c r="L587" i="6"/>
  <c r="L589" i="6" s="1"/>
  <c r="M587" i="6"/>
  <c r="O587" i="6"/>
  <c r="P587" i="6"/>
  <c r="Q587" i="6"/>
  <c r="S587" i="6"/>
  <c r="T587" i="6"/>
  <c r="U587" i="6"/>
  <c r="V587" i="6"/>
  <c r="W587" i="6"/>
  <c r="R589" i="6"/>
  <c r="D592" i="6"/>
  <c r="E592" i="6"/>
  <c r="F592" i="6"/>
  <c r="G592" i="6"/>
  <c r="H592" i="6"/>
  <c r="Y592" i="6" s="1"/>
  <c r="Z592" i="6" s="1"/>
  <c r="I592" i="6"/>
  <c r="J592" i="6"/>
  <c r="K592" i="6"/>
  <c r="L592" i="6"/>
  <c r="M592" i="6"/>
  <c r="O592" i="6"/>
  <c r="P592" i="6"/>
  <c r="Q592" i="6"/>
  <c r="S592" i="6"/>
  <c r="T592" i="6"/>
  <c r="U592" i="6"/>
  <c r="V592" i="6"/>
  <c r="W592" i="6"/>
  <c r="D593" i="6"/>
  <c r="H593" i="6"/>
  <c r="Y593" i="6" s="1"/>
  <c r="D594" i="6"/>
  <c r="H594" i="6"/>
  <c r="E596" i="6"/>
  <c r="F596" i="6"/>
  <c r="G596" i="6"/>
  <c r="I596" i="6"/>
  <c r="J596" i="6"/>
  <c r="K596" i="6"/>
  <c r="L596" i="6"/>
  <c r="M596" i="6"/>
  <c r="O596" i="6"/>
  <c r="P596" i="6"/>
  <c r="Q596" i="6"/>
  <c r="S596" i="6"/>
  <c r="T596" i="6"/>
  <c r="U596" i="6"/>
  <c r="V596" i="6"/>
  <c r="W596" i="6"/>
  <c r="Y596" i="6"/>
  <c r="Z596" i="6" s="1"/>
  <c r="E597" i="6"/>
  <c r="F597" i="6"/>
  <c r="G597" i="6"/>
  <c r="I597" i="6"/>
  <c r="J597" i="6"/>
  <c r="K597" i="6"/>
  <c r="L597" i="6"/>
  <c r="M597" i="6"/>
  <c r="O597" i="6"/>
  <c r="P597" i="6"/>
  <c r="Q597" i="6"/>
  <c r="S597" i="6"/>
  <c r="T597" i="6"/>
  <c r="U597" i="6"/>
  <c r="V597" i="6"/>
  <c r="W597" i="6"/>
  <c r="Y597" i="6"/>
  <c r="Z597" i="6" s="1"/>
  <c r="R599" i="6"/>
  <c r="D602" i="6"/>
  <c r="E602" i="6"/>
  <c r="F602" i="6"/>
  <c r="G602" i="6"/>
  <c r="H602" i="6"/>
  <c r="Y602" i="6" s="1"/>
  <c r="I602" i="6"/>
  <c r="J602" i="6"/>
  <c r="K602" i="6"/>
  <c r="L602" i="6"/>
  <c r="M602" i="6"/>
  <c r="O602" i="6"/>
  <c r="P602" i="6"/>
  <c r="Q602" i="6"/>
  <c r="S602" i="6"/>
  <c r="T602" i="6"/>
  <c r="U602" i="6"/>
  <c r="V602" i="6"/>
  <c r="W602" i="6"/>
  <c r="D603" i="6"/>
  <c r="E603" i="6"/>
  <c r="F603" i="6"/>
  <c r="G603" i="6"/>
  <c r="H603" i="6"/>
  <c r="Y603" i="6" s="1"/>
  <c r="I603" i="6"/>
  <c r="J603" i="6"/>
  <c r="K603" i="6"/>
  <c r="L603" i="6"/>
  <c r="M603" i="6"/>
  <c r="O603" i="6"/>
  <c r="P603" i="6"/>
  <c r="Q603" i="6"/>
  <c r="S603" i="6"/>
  <c r="T603" i="6"/>
  <c r="U603" i="6"/>
  <c r="V603" i="6"/>
  <c r="W603" i="6"/>
  <c r="D604" i="6"/>
  <c r="E604" i="6"/>
  <c r="F604" i="6"/>
  <c r="G604" i="6"/>
  <c r="I604" i="6"/>
  <c r="J604" i="6"/>
  <c r="K604" i="6"/>
  <c r="L604" i="6"/>
  <c r="M604" i="6"/>
  <c r="O604" i="6"/>
  <c r="P604" i="6"/>
  <c r="Q604" i="6"/>
  <c r="R604" i="6"/>
  <c r="Y604" i="6" s="1"/>
  <c r="Z604" i="6" s="1"/>
  <c r="S604" i="6"/>
  <c r="T604" i="6"/>
  <c r="U604" i="6"/>
  <c r="V604" i="6"/>
  <c r="W604" i="6"/>
  <c r="E605" i="6"/>
  <c r="F605" i="6"/>
  <c r="G605" i="6"/>
  <c r="I605" i="6"/>
  <c r="J605" i="6"/>
  <c r="K605" i="6"/>
  <c r="L605" i="6"/>
  <c r="M605" i="6"/>
  <c r="O605" i="6"/>
  <c r="P605" i="6"/>
  <c r="Q605" i="6"/>
  <c r="S605" i="6"/>
  <c r="T605" i="6"/>
  <c r="U605" i="6"/>
  <c r="V605" i="6"/>
  <c r="W605" i="6"/>
  <c r="Y605" i="6"/>
  <c r="Z605" i="6" s="1"/>
  <c r="D606" i="6"/>
  <c r="E606" i="6"/>
  <c r="F606" i="6"/>
  <c r="G606" i="6"/>
  <c r="I606" i="6"/>
  <c r="J606" i="6"/>
  <c r="K606" i="6"/>
  <c r="L606" i="6"/>
  <c r="M606" i="6"/>
  <c r="O606" i="6"/>
  <c r="P606" i="6"/>
  <c r="Q606" i="6"/>
  <c r="R606" i="6"/>
  <c r="Y606" i="6" s="1"/>
  <c r="Z606" i="6" s="1"/>
  <c r="R608" i="6"/>
  <c r="S606" i="6"/>
  <c r="T606" i="6"/>
  <c r="U606" i="6"/>
  <c r="V606" i="6"/>
  <c r="W606" i="6"/>
  <c r="AF606" i="6"/>
  <c r="AF607" i="6"/>
  <c r="D610" i="6"/>
  <c r="AF599" i="6" s="1"/>
  <c r="E610" i="6"/>
  <c r="F610" i="6"/>
  <c r="G610" i="6"/>
  <c r="H610" i="6"/>
  <c r="Y610" i="6" s="1"/>
  <c r="Z610" i="6" s="1"/>
  <c r="I610" i="6"/>
  <c r="J610" i="6"/>
  <c r="K610" i="6"/>
  <c r="L610" i="6"/>
  <c r="M610" i="6"/>
  <c r="O610" i="6"/>
  <c r="P610" i="6"/>
  <c r="Q610" i="6"/>
  <c r="S610" i="6"/>
  <c r="T610" i="6"/>
  <c r="U610" i="6"/>
  <c r="V610" i="6"/>
  <c r="W610" i="6"/>
  <c r="D611" i="6"/>
  <c r="Y611" i="6"/>
  <c r="D612" i="6"/>
  <c r="H612" i="6"/>
  <c r="Y612" i="6" s="1"/>
  <c r="D613" i="6"/>
  <c r="H613" i="6"/>
  <c r="Y613" i="6" s="1"/>
  <c r="D614" i="6"/>
  <c r="H614" i="6"/>
  <c r="D615" i="6"/>
  <c r="E615" i="6"/>
  <c r="F615" i="6"/>
  <c r="G615" i="6"/>
  <c r="H615" i="6"/>
  <c r="Y615" i="6" s="1"/>
  <c r="I615" i="6"/>
  <c r="J615" i="6"/>
  <c r="K615" i="6"/>
  <c r="L615" i="6"/>
  <c r="M615" i="6"/>
  <c r="N615" i="6"/>
  <c r="O615" i="6"/>
  <c r="P615" i="6"/>
  <c r="Q615" i="6"/>
  <c r="S615" i="6"/>
  <c r="T615" i="6"/>
  <c r="U615" i="6"/>
  <c r="V615" i="6"/>
  <c r="W615" i="6"/>
  <c r="X615" i="6"/>
  <c r="R617" i="6"/>
  <c r="D625" i="6"/>
  <c r="E625" i="6"/>
  <c r="F625" i="6"/>
  <c r="G625" i="6"/>
  <c r="I625" i="6"/>
  <c r="J625" i="6"/>
  <c r="K625" i="6"/>
  <c r="L625" i="6"/>
  <c r="M625" i="6"/>
  <c r="P625" i="6"/>
  <c r="Q625" i="6"/>
  <c r="R625" i="6"/>
  <c r="S625" i="6"/>
  <c r="T625" i="6"/>
  <c r="U625" i="6"/>
  <c r="V625" i="6"/>
  <c r="W625" i="6"/>
  <c r="D626" i="6"/>
  <c r="E626" i="6"/>
  <c r="F626" i="6"/>
  <c r="G626" i="6"/>
  <c r="H626" i="6"/>
  <c r="Y626" i="6" s="1"/>
  <c r="Z626" i="6" s="1"/>
  <c r="I626" i="6"/>
  <c r="J626" i="6"/>
  <c r="K626" i="6"/>
  <c r="L626" i="6"/>
  <c r="M626" i="6"/>
  <c r="O626" i="6"/>
  <c r="P626" i="6"/>
  <c r="Q626" i="6"/>
  <c r="S626" i="6"/>
  <c r="T626" i="6"/>
  <c r="U626" i="6"/>
  <c r="V626" i="6"/>
  <c r="W626" i="6"/>
  <c r="D628" i="6"/>
  <c r="H628" i="6"/>
  <c r="Y628" i="6" s="1"/>
  <c r="D629" i="6"/>
  <c r="AF749" i="6" s="1"/>
  <c r="E629" i="6"/>
  <c r="AG749" i="6" s="1"/>
  <c r="F629" i="6"/>
  <c r="AH749" i="6" s="1"/>
  <c r="G629" i="6"/>
  <c r="H629" i="6"/>
  <c r="Y629" i="6" s="1"/>
  <c r="Z629" i="6" s="1"/>
  <c r="I629" i="6"/>
  <c r="J629" i="6"/>
  <c r="K629" i="6"/>
  <c r="L629" i="6"/>
  <c r="AJ749" i="6" s="1"/>
  <c r="M629" i="6"/>
  <c r="O629" i="6"/>
  <c r="AL749" i="6" s="1"/>
  <c r="P629" i="6"/>
  <c r="AM749" i="6" s="1"/>
  <c r="Q629" i="6"/>
  <c r="S629" i="6"/>
  <c r="T629" i="6"/>
  <c r="U629" i="6"/>
  <c r="V629" i="6"/>
  <c r="AO749" i="6" s="1"/>
  <c r="W629" i="6"/>
  <c r="D630" i="6"/>
  <c r="H630" i="6"/>
  <c r="Y630" i="6" s="1"/>
  <c r="D631" i="6"/>
  <c r="H631" i="6"/>
  <c r="D636" i="6"/>
  <c r="E636" i="6"/>
  <c r="F636" i="6"/>
  <c r="G636" i="6"/>
  <c r="H636" i="6"/>
  <c r="I636" i="6"/>
  <c r="J636" i="6"/>
  <c r="K636" i="6"/>
  <c r="L636" i="6"/>
  <c r="M636" i="6"/>
  <c r="P636" i="6"/>
  <c r="Q636" i="6"/>
  <c r="R636" i="6"/>
  <c r="S636" i="6"/>
  <c r="T636" i="6"/>
  <c r="U636" i="6"/>
  <c r="V636" i="6"/>
  <c r="W636" i="6"/>
  <c r="D637" i="6"/>
  <c r="E637" i="6"/>
  <c r="F637" i="6"/>
  <c r="G637" i="6"/>
  <c r="H637" i="6"/>
  <c r="Y637" i="6" s="1"/>
  <c r="Z637" i="6" s="1"/>
  <c r="I637" i="6"/>
  <c r="J637" i="6"/>
  <c r="K637" i="6"/>
  <c r="L637" i="6"/>
  <c r="M637" i="6"/>
  <c r="O637" i="6"/>
  <c r="P637" i="6"/>
  <c r="Q637" i="6"/>
  <c r="S637" i="6"/>
  <c r="T637" i="6"/>
  <c r="U637" i="6"/>
  <c r="V637" i="6"/>
  <c r="W637" i="6"/>
  <c r="E638" i="6"/>
  <c r="F638" i="6"/>
  <c r="G638" i="6"/>
  <c r="I638" i="6"/>
  <c r="J638" i="6"/>
  <c r="K638" i="6"/>
  <c r="L638" i="6"/>
  <c r="M638" i="6"/>
  <c r="O638" i="6"/>
  <c r="P638" i="6"/>
  <c r="Q638" i="6"/>
  <c r="S638" i="6"/>
  <c r="T638" i="6"/>
  <c r="U638" i="6"/>
  <c r="V638" i="6"/>
  <c r="W638" i="6"/>
  <c r="Y638" i="6"/>
  <c r="Z638" i="6" s="1"/>
  <c r="D639" i="6"/>
  <c r="E639" i="6"/>
  <c r="F639" i="6"/>
  <c r="G639" i="6"/>
  <c r="I639" i="6"/>
  <c r="J639" i="6"/>
  <c r="K639" i="6"/>
  <c r="L639" i="6"/>
  <c r="M639" i="6"/>
  <c r="P639" i="6"/>
  <c r="Q639" i="6"/>
  <c r="R639" i="6"/>
  <c r="Y639" i="6" s="1"/>
  <c r="S639" i="6"/>
  <c r="T639" i="6"/>
  <c r="U639" i="6"/>
  <c r="V639" i="6"/>
  <c r="W639" i="6"/>
  <c r="D640" i="6"/>
  <c r="H640" i="6"/>
  <c r="Y640" i="6" s="1"/>
  <c r="E643" i="6"/>
  <c r="F643" i="6"/>
  <c r="G643" i="6"/>
  <c r="I643" i="6"/>
  <c r="J643" i="6"/>
  <c r="K643" i="6"/>
  <c r="L643" i="6"/>
  <c r="M643" i="6"/>
  <c r="O643" i="6"/>
  <c r="P643" i="6"/>
  <c r="Q643" i="6"/>
  <c r="S643" i="6"/>
  <c r="T643" i="6"/>
  <c r="U643" i="6"/>
  <c r="V643" i="6"/>
  <c r="W643" i="6"/>
  <c r="E645" i="6"/>
  <c r="F645" i="6"/>
  <c r="G645" i="6"/>
  <c r="I645" i="6"/>
  <c r="J645" i="6"/>
  <c r="K645" i="6"/>
  <c r="L645" i="6"/>
  <c r="M645" i="6"/>
  <c r="O645" i="6"/>
  <c r="P645" i="6"/>
  <c r="Q645" i="6"/>
  <c r="S645" i="6"/>
  <c r="T645" i="6"/>
  <c r="U645" i="6"/>
  <c r="V645" i="6"/>
  <c r="W645" i="6"/>
  <c r="Y645" i="6"/>
  <c r="Z645" i="6" s="1"/>
  <c r="E646" i="6"/>
  <c r="F646" i="6"/>
  <c r="G646" i="6"/>
  <c r="I646" i="6"/>
  <c r="J646" i="6"/>
  <c r="K646" i="6"/>
  <c r="L646" i="6"/>
  <c r="M646" i="6"/>
  <c r="O646" i="6"/>
  <c r="P646" i="6"/>
  <c r="Q646" i="6"/>
  <c r="S646" i="6"/>
  <c r="T646" i="6"/>
  <c r="U646" i="6"/>
  <c r="V646" i="6"/>
  <c r="W646" i="6"/>
  <c r="Y646" i="6"/>
  <c r="Z646" i="6" s="1"/>
  <c r="D651" i="6"/>
  <c r="F651" i="6"/>
  <c r="G651" i="6"/>
  <c r="I651" i="6"/>
  <c r="J651" i="6"/>
  <c r="K651" i="6"/>
  <c r="L651" i="6"/>
  <c r="M651" i="6"/>
  <c r="P651" i="6"/>
  <c r="Q651" i="6"/>
  <c r="R651" i="6"/>
  <c r="S651" i="6"/>
  <c r="T651" i="6"/>
  <c r="U651" i="6"/>
  <c r="V651" i="6"/>
  <c r="W651" i="6"/>
  <c r="D652" i="6"/>
  <c r="E652" i="6"/>
  <c r="F652" i="6"/>
  <c r="G652" i="6"/>
  <c r="H652" i="6"/>
  <c r="Y652" i="6" s="1"/>
  <c r="Z652" i="6" s="1"/>
  <c r="I652" i="6"/>
  <c r="J652" i="6"/>
  <c r="K652" i="6"/>
  <c r="L652" i="6"/>
  <c r="M652" i="6"/>
  <c r="O652" i="6"/>
  <c r="P652" i="6"/>
  <c r="Q652" i="6"/>
  <c r="S652" i="6"/>
  <c r="T652" i="6"/>
  <c r="U652" i="6"/>
  <c r="V652" i="6"/>
  <c r="W652" i="6"/>
  <c r="D653" i="6"/>
  <c r="E653" i="6"/>
  <c r="F653" i="6"/>
  <c r="G653" i="6"/>
  <c r="H653" i="6"/>
  <c r="Y653" i="6" s="1"/>
  <c r="Z653" i="6" s="1"/>
  <c r="I653" i="6"/>
  <c r="J653" i="6"/>
  <c r="K653" i="6"/>
  <c r="L653" i="6"/>
  <c r="M653" i="6"/>
  <c r="O653" i="6"/>
  <c r="P653" i="6"/>
  <c r="Q653" i="6"/>
  <c r="S653" i="6"/>
  <c r="T653" i="6"/>
  <c r="U653" i="6"/>
  <c r="V653" i="6"/>
  <c r="W653" i="6"/>
  <c r="D656" i="6"/>
  <c r="E656" i="6"/>
  <c r="F656" i="6"/>
  <c r="G656" i="6"/>
  <c r="H656" i="6"/>
  <c r="Y656" i="6" s="1"/>
  <c r="Z656" i="6" s="1"/>
  <c r="I656" i="6"/>
  <c r="J656" i="6"/>
  <c r="K656" i="6"/>
  <c r="L656" i="6"/>
  <c r="M656" i="6"/>
  <c r="O656" i="6"/>
  <c r="P656" i="6"/>
  <c r="Q656" i="6"/>
  <c r="S656" i="6"/>
  <c r="T656" i="6"/>
  <c r="U656" i="6"/>
  <c r="V656" i="6"/>
  <c r="W656" i="6"/>
  <c r="D657" i="6"/>
  <c r="E657" i="6"/>
  <c r="F657" i="6"/>
  <c r="G657" i="6"/>
  <c r="I657" i="6"/>
  <c r="J657" i="6"/>
  <c r="K657" i="6"/>
  <c r="L657" i="6"/>
  <c r="M657" i="6"/>
  <c r="P657" i="6"/>
  <c r="Q657" i="6"/>
  <c r="R657" i="6"/>
  <c r="Y657" i="6" s="1"/>
  <c r="S657" i="6"/>
  <c r="T657" i="6"/>
  <c r="U657" i="6"/>
  <c r="V657" i="6"/>
  <c r="W657" i="6"/>
  <c r="D658" i="6"/>
  <c r="E658" i="6"/>
  <c r="AG753" i="6" s="1"/>
  <c r="F658" i="6"/>
  <c r="AH753" i="6" s="1"/>
  <c r="G658" i="6"/>
  <c r="H658" i="6"/>
  <c r="I658" i="6"/>
  <c r="J658" i="6"/>
  <c r="K658" i="6"/>
  <c r="L658" i="6"/>
  <c r="AJ753" i="6" s="1"/>
  <c r="M658" i="6"/>
  <c r="O658" i="6"/>
  <c r="AL753" i="6" s="1"/>
  <c r="P658" i="6"/>
  <c r="AM753" i="6" s="1"/>
  <c r="Q658" i="6"/>
  <c r="R658" i="6"/>
  <c r="S658" i="6"/>
  <c r="T658" i="6"/>
  <c r="U658" i="6"/>
  <c r="V658" i="6"/>
  <c r="AO753" i="6" s="1"/>
  <c r="W658" i="6"/>
  <c r="D663" i="6"/>
  <c r="F663" i="6"/>
  <c r="G663" i="6"/>
  <c r="I663" i="6"/>
  <c r="J663" i="6"/>
  <c r="K663" i="6"/>
  <c r="L663" i="6"/>
  <c r="M663" i="6"/>
  <c r="P663" i="6"/>
  <c r="Q663" i="6"/>
  <c r="R663" i="6"/>
  <c r="S663" i="6"/>
  <c r="U663" i="6"/>
  <c r="V663" i="6"/>
  <c r="W663" i="6"/>
  <c r="D664" i="6"/>
  <c r="F664" i="6"/>
  <c r="G664" i="6"/>
  <c r="H664" i="6"/>
  <c r="I664" i="6"/>
  <c r="J664" i="6"/>
  <c r="K664" i="6"/>
  <c r="L664" i="6"/>
  <c r="M664" i="6"/>
  <c r="O664" i="6"/>
  <c r="P664" i="6"/>
  <c r="Q664" i="6"/>
  <c r="S664" i="6"/>
  <c r="T664" i="6"/>
  <c r="U664" i="6"/>
  <c r="V664" i="6"/>
  <c r="W664" i="6"/>
  <c r="D665" i="6"/>
  <c r="E665" i="6"/>
  <c r="F665" i="6"/>
  <c r="G665" i="6"/>
  <c r="H665" i="6"/>
  <c r="Y665" i="6" s="1"/>
  <c r="Z665" i="6" s="1"/>
  <c r="I665" i="6"/>
  <c r="J665" i="6"/>
  <c r="K665" i="6"/>
  <c r="L665" i="6"/>
  <c r="M665" i="6"/>
  <c r="O665" i="6"/>
  <c r="P665" i="6"/>
  <c r="Q665" i="6"/>
  <c r="S665" i="6"/>
  <c r="T665" i="6"/>
  <c r="U665" i="6"/>
  <c r="V665" i="6"/>
  <c r="W665" i="6"/>
  <c r="D668" i="6"/>
  <c r="E668" i="6"/>
  <c r="F668" i="6"/>
  <c r="G668" i="6"/>
  <c r="H668" i="6"/>
  <c r="Y668" i="6" s="1"/>
  <c r="I668" i="6"/>
  <c r="J668" i="6"/>
  <c r="K668" i="6"/>
  <c r="L668" i="6"/>
  <c r="M668" i="6"/>
  <c r="O668" i="6"/>
  <c r="P668" i="6"/>
  <c r="Q668" i="6"/>
  <c r="S668" i="6"/>
  <c r="T668" i="6"/>
  <c r="U668" i="6"/>
  <c r="V668" i="6"/>
  <c r="W668" i="6"/>
  <c r="D669" i="6"/>
  <c r="E669" i="6"/>
  <c r="F669" i="6"/>
  <c r="G669" i="6"/>
  <c r="I669" i="6"/>
  <c r="J669" i="6"/>
  <c r="K669" i="6"/>
  <c r="L669" i="6"/>
  <c r="M669" i="6"/>
  <c r="P669" i="6"/>
  <c r="Q669" i="6"/>
  <c r="S669" i="6"/>
  <c r="T669" i="6"/>
  <c r="U669" i="6"/>
  <c r="V669" i="6"/>
  <c r="W669" i="6"/>
  <c r="Y669" i="6"/>
  <c r="D670" i="6"/>
  <c r="AF743" i="6" s="1"/>
  <c r="E670" i="6"/>
  <c r="F670" i="6"/>
  <c r="G670" i="6"/>
  <c r="I670" i="6"/>
  <c r="J670" i="6"/>
  <c r="K670" i="6"/>
  <c r="L670" i="6"/>
  <c r="M670" i="6"/>
  <c r="O670" i="6"/>
  <c r="P670" i="6"/>
  <c r="Q670" i="6"/>
  <c r="R670" i="6"/>
  <c r="S670" i="6"/>
  <c r="T670" i="6"/>
  <c r="U670" i="6"/>
  <c r="V670" i="6"/>
  <c r="W670" i="6"/>
  <c r="D676" i="6"/>
  <c r="F676" i="6"/>
  <c r="G676" i="6"/>
  <c r="H676" i="6"/>
  <c r="I676" i="6"/>
  <c r="J676" i="6"/>
  <c r="K676" i="6"/>
  <c r="L676" i="6"/>
  <c r="M676" i="6"/>
  <c r="O676" i="6"/>
  <c r="P676" i="6"/>
  <c r="Q676" i="6"/>
  <c r="R676" i="6"/>
  <c r="S676" i="6"/>
  <c r="T676" i="6"/>
  <c r="U676" i="6"/>
  <c r="V676" i="6"/>
  <c r="W676" i="6"/>
  <c r="D677" i="6"/>
  <c r="F677" i="6"/>
  <c r="G677" i="6"/>
  <c r="H677" i="6"/>
  <c r="I677" i="6"/>
  <c r="J677" i="6"/>
  <c r="K677" i="6"/>
  <c r="L677" i="6"/>
  <c r="M677" i="6"/>
  <c r="O677" i="6"/>
  <c r="P677" i="6"/>
  <c r="Q677" i="6"/>
  <c r="S677" i="6"/>
  <c r="T677" i="6"/>
  <c r="U677" i="6"/>
  <c r="V677" i="6"/>
  <c r="W677" i="6"/>
  <c r="D679" i="6"/>
  <c r="E679" i="6"/>
  <c r="F679" i="6"/>
  <c r="G679" i="6"/>
  <c r="H679" i="6"/>
  <c r="I679" i="6"/>
  <c r="J679" i="6"/>
  <c r="K679" i="6"/>
  <c r="L679" i="6"/>
  <c r="M679" i="6"/>
  <c r="O679" i="6"/>
  <c r="P679" i="6"/>
  <c r="Q679" i="6"/>
  <c r="S679" i="6"/>
  <c r="T679" i="6"/>
  <c r="U679" i="6"/>
  <c r="V679" i="6"/>
  <c r="W679" i="6"/>
  <c r="D680" i="6"/>
  <c r="H680" i="6"/>
  <c r="Y680" i="6" s="1"/>
  <c r="D681" i="6"/>
  <c r="AF751" i="6" s="1"/>
  <c r="E681" i="6"/>
  <c r="AG751" i="6" s="1"/>
  <c r="F681" i="6"/>
  <c r="AH751" i="6" s="1"/>
  <c r="G681" i="6"/>
  <c r="H681" i="6"/>
  <c r="I681" i="6"/>
  <c r="J681" i="6"/>
  <c r="K681" i="6"/>
  <c r="L681" i="6"/>
  <c r="AJ751" i="6" s="1"/>
  <c r="M681" i="6"/>
  <c r="O681" i="6"/>
  <c r="AL751" i="6" s="1"/>
  <c r="P681" i="6"/>
  <c r="AM751" i="6" s="1"/>
  <c r="Q681" i="6"/>
  <c r="S681" i="6"/>
  <c r="T681" i="6"/>
  <c r="U681" i="6"/>
  <c r="V681" i="6"/>
  <c r="AO751" i="6" s="1"/>
  <c r="W681" i="6"/>
  <c r="D682" i="6"/>
  <c r="F682" i="6"/>
  <c r="G682" i="6"/>
  <c r="H682" i="6"/>
  <c r="Y682" i="6" s="1"/>
  <c r="I682" i="6"/>
  <c r="J682" i="6"/>
  <c r="K682" i="6"/>
  <c r="L682" i="6"/>
  <c r="M682" i="6"/>
  <c r="O682" i="6"/>
  <c r="P682" i="6"/>
  <c r="Q682" i="6"/>
  <c r="S682" i="6"/>
  <c r="T682" i="6"/>
  <c r="U682" i="6"/>
  <c r="V682" i="6"/>
  <c r="W682" i="6"/>
  <c r="E683" i="6"/>
  <c r="F683" i="6"/>
  <c r="G683" i="6"/>
  <c r="I683" i="6"/>
  <c r="J683" i="6"/>
  <c r="K683" i="6"/>
  <c r="L683" i="6"/>
  <c r="M683" i="6"/>
  <c r="O683" i="6"/>
  <c r="P683" i="6"/>
  <c r="Q683" i="6"/>
  <c r="S683" i="6"/>
  <c r="T683" i="6"/>
  <c r="U683" i="6"/>
  <c r="V683" i="6"/>
  <c r="W683" i="6"/>
  <c r="E684" i="6"/>
  <c r="F684" i="6"/>
  <c r="G684" i="6"/>
  <c r="I684" i="6"/>
  <c r="J684" i="6"/>
  <c r="K684" i="6"/>
  <c r="L684" i="6"/>
  <c r="M684" i="6"/>
  <c r="O684" i="6"/>
  <c r="P684" i="6"/>
  <c r="Q684" i="6"/>
  <c r="S684" i="6"/>
  <c r="T684" i="6"/>
  <c r="U684" i="6"/>
  <c r="V684" i="6"/>
  <c r="W684" i="6"/>
  <c r="D689" i="6"/>
  <c r="E689" i="6"/>
  <c r="F689" i="6"/>
  <c r="G689" i="6"/>
  <c r="H689" i="6"/>
  <c r="I689" i="6"/>
  <c r="J689" i="6"/>
  <c r="K689" i="6"/>
  <c r="L689" i="6"/>
  <c r="M689" i="6"/>
  <c r="P689" i="6"/>
  <c r="Q689" i="6"/>
  <c r="R689" i="6"/>
  <c r="T689" i="6"/>
  <c r="U689" i="6"/>
  <c r="V689" i="6"/>
  <c r="W689" i="6"/>
  <c r="D690" i="6"/>
  <c r="F690" i="6"/>
  <c r="G690" i="6"/>
  <c r="H690" i="6"/>
  <c r="Y690" i="6" s="1"/>
  <c r="I690" i="6"/>
  <c r="J690" i="6"/>
  <c r="K690" i="6"/>
  <c r="M690" i="6"/>
  <c r="O690" i="6"/>
  <c r="P690" i="6"/>
  <c r="Q690" i="6"/>
  <c r="S690" i="6"/>
  <c r="T690" i="6"/>
  <c r="U690" i="6"/>
  <c r="V690" i="6"/>
  <c r="W690" i="6"/>
  <c r="D691" i="6"/>
  <c r="D692" i="6"/>
  <c r="H692" i="6"/>
  <c r="D693" i="6"/>
  <c r="H693" i="6"/>
  <c r="Y693" i="6" s="1"/>
  <c r="D694" i="6"/>
  <c r="E694" i="6"/>
  <c r="F694" i="6"/>
  <c r="G694" i="6"/>
  <c r="H694" i="6"/>
  <c r="I694" i="6"/>
  <c r="J694" i="6"/>
  <c r="K694" i="6"/>
  <c r="L694" i="6"/>
  <c r="M694" i="6"/>
  <c r="O694" i="6"/>
  <c r="P694" i="6"/>
  <c r="Q694" i="6"/>
  <c r="S694" i="6"/>
  <c r="T694" i="6"/>
  <c r="U694" i="6"/>
  <c r="V694" i="6"/>
  <c r="W694" i="6"/>
  <c r="D696" i="6"/>
  <c r="E696" i="6"/>
  <c r="F696" i="6"/>
  <c r="G696" i="6"/>
  <c r="I696" i="6"/>
  <c r="J696" i="6"/>
  <c r="K696" i="6"/>
  <c r="M696" i="6"/>
  <c r="P696" i="6"/>
  <c r="Q696" i="6"/>
  <c r="R696" i="6"/>
  <c r="S696" i="6"/>
  <c r="T696" i="6"/>
  <c r="U696" i="6"/>
  <c r="V696" i="6"/>
  <c r="W696" i="6"/>
  <c r="E697" i="6"/>
  <c r="F697" i="6"/>
  <c r="G697" i="6"/>
  <c r="I697" i="6"/>
  <c r="J697" i="6"/>
  <c r="K697" i="6"/>
  <c r="M697" i="6"/>
  <c r="O697" i="6"/>
  <c r="P697" i="6"/>
  <c r="Q697" i="6"/>
  <c r="S697" i="6"/>
  <c r="T697" i="6"/>
  <c r="U697" i="6"/>
  <c r="V697" i="6"/>
  <c r="W697" i="6"/>
  <c r="Y697" i="6"/>
  <c r="Z697" i="6" s="1"/>
  <c r="D702" i="6"/>
  <c r="F702" i="6"/>
  <c r="G702" i="6"/>
  <c r="H702" i="6"/>
  <c r="I702" i="6"/>
  <c r="J702" i="6"/>
  <c r="K702" i="6"/>
  <c r="L702" i="6"/>
  <c r="M702" i="6"/>
  <c r="P702" i="6"/>
  <c r="Q702" i="6"/>
  <c r="R702" i="6"/>
  <c r="S702" i="6"/>
  <c r="T702" i="6"/>
  <c r="U702" i="6"/>
  <c r="V702" i="6"/>
  <c r="W702" i="6"/>
  <c r="D703" i="6"/>
  <c r="E703" i="6"/>
  <c r="F703" i="6"/>
  <c r="G703" i="6"/>
  <c r="H703" i="6"/>
  <c r="Y703" i="6" s="1"/>
  <c r="Z703" i="6" s="1"/>
  <c r="I703" i="6"/>
  <c r="J703" i="6"/>
  <c r="K703" i="6"/>
  <c r="L703" i="6"/>
  <c r="M703" i="6"/>
  <c r="O703" i="6"/>
  <c r="P703" i="6"/>
  <c r="Q703" i="6"/>
  <c r="S703" i="6"/>
  <c r="T703" i="6"/>
  <c r="U703" i="6"/>
  <c r="V703" i="6"/>
  <c r="W703" i="6"/>
  <c r="D704" i="6"/>
  <c r="E704" i="6"/>
  <c r="F704" i="6"/>
  <c r="G704" i="6"/>
  <c r="H704" i="6"/>
  <c r="Y704" i="6" s="1"/>
  <c r="I704" i="6"/>
  <c r="J704" i="6"/>
  <c r="K704" i="6"/>
  <c r="L704" i="6"/>
  <c r="M704" i="6"/>
  <c r="O704" i="6"/>
  <c r="P704" i="6"/>
  <c r="Q704" i="6"/>
  <c r="S704" i="6"/>
  <c r="T704" i="6"/>
  <c r="U704" i="6"/>
  <c r="V704" i="6"/>
  <c r="W704" i="6"/>
  <c r="D705" i="6"/>
  <c r="E705" i="6"/>
  <c r="F705" i="6"/>
  <c r="G705" i="6"/>
  <c r="I705" i="6"/>
  <c r="J705" i="6"/>
  <c r="K705" i="6"/>
  <c r="L705" i="6"/>
  <c r="M705" i="6"/>
  <c r="P705" i="6"/>
  <c r="Q705" i="6"/>
  <c r="R705" i="6"/>
  <c r="Y705" i="6" s="1"/>
  <c r="Z705" i="6" s="1"/>
  <c r="S705" i="6"/>
  <c r="T705" i="6"/>
  <c r="U705" i="6"/>
  <c r="V705" i="6"/>
  <c r="W705" i="6"/>
  <c r="D706" i="6"/>
  <c r="E706" i="6"/>
  <c r="F706" i="6"/>
  <c r="G706" i="6"/>
  <c r="I706" i="6"/>
  <c r="J706" i="6"/>
  <c r="K706" i="6"/>
  <c r="L706" i="6"/>
  <c r="M706" i="6"/>
  <c r="O706" i="6"/>
  <c r="P706" i="6"/>
  <c r="Q706" i="6"/>
  <c r="R706" i="6"/>
  <c r="Y706" i="6" s="1"/>
  <c r="Z706" i="6" s="1"/>
  <c r="S706" i="6"/>
  <c r="T706" i="6"/>
  <c r="U706" i="6"/>
  <c r="V706" i="6"/>
  <c r="W706" i="6"/>
  <c r="E711" i="6"/>
  <c r="F711" i="6"/>
  <c r="G711" i="6"/>
  <c r="I711" i="6"/>
  <c r="J711" i="6"/>
  <c r="K711" i="6"/>
  <c r="L711" i="6"/>
  <c r="M711" i="6"/>
  <c r="O711" i="6"/>
  <c r="P711" i="6"/>
  <c r="Q711" i="6"/>
  <c r="S711" i="6"/>
  <c r="T711" i="6"/>
  <c r="U711" i="6"/>
  <c r="V711" i="6"/>
  <c r="W711" i="6"/>
  <c r="Y711" i="6"/>
  <c r="Z711" i="6" s="1"/>
  <c r="D712" i="6"/>
  <c r="E712" i="6"/>
  <c r="F712" i="6"/>
  <c r="G712" i="6"/>
  <c r="H712" i="6"/>
  <c r="I712" i="6"/>
  <c r="J712" i="6"/>
  <c r="K712" i="6"/>
  <c r="L712" i="6"/>
  <c r="M712" i="6"/>
  <c r="O712" i="6"/>
  <c r="P712" i="6"/>
  <c r="Q712" i="6"/>
  <c r="S712" i="6"/>
  <c r="T712" i="6"/>
  <c r="U712" i="6"/>
  <c r="V712" i="6"/>
  <c r="W712" i="6"/>
  <c r="D713" i="6"/>
  <c r="E713" i="6"/>
  <c r="F713" i="6"/>
  <c r="G713" i="6"/>
  <c r="I713" i="6"/>
  <c r="J713" i="6"/>
  <c r="K713" i="6"/>
  <c r="L713" i="6"/>
  <c r="M713" i="6"/>
  <c r="P713" i="6"/>
  <c r="Q713" i="6"/>
  <c r="R713" i="6"/>
  <c r="Y713" i="6" s="1"/>
  <c r="S713" i="6"/>
  <c r="T713" i="6"/>
  <c r="U713" i="6"/>
  <c r="V713" i="6"/>
  <c r="W713" i="6"/>
  <c r="D714" i="6"/>
  <c r="H714" i="6"/>
  <c r="Y714" i="6" s="1"/>
  <c r="D716" i="6"/>
  <c r="H716" i="6"/>
  <c r="Y716" i="6" s="1"/>
  <c r="D717" i="6"/>
  <c r="E717" i="6"/>
  <c r="F717" i="6"/>
  <c r="G717" i="6"/>
  <c r="I717" i="6"/>
  <c r="J717" i="6"/>
  <c r="K717" i="6"/>
  <c r="L717" i="6"/>
  <c r="M717" i="6"/>
  <c r="O717" i="6"/>
  <c r="P717" i="6"/>
  <c r="Q717" i="6"/>
  <c r="S717" i="6"/>
  <c r="T717" i="6"/>
  <c r="U717" i="6"/>
  <c r="V717" i="6"/>
  <c r="W717" i="6"/>
  <c r="Y717" i="6"/>
  <c r="E718" i="6"/>
  <c r="F718" i="6"/>
  <c r="G718" i="6"/>
  <c r="I718" i="6"/>
  <c r="J718" i="6"/>
  <c r="K718" i="6"/>
  <c r="L718" i="6"/>
  <c r="M718" i="6"/>
  <c r="P718" i="6"/>
  <c r="Q718" i="6"/>
  <c r="R718" i="6"/>
  <c r="Y718" i="6" s="1"/>
  <c r="S718" i="6"/>
  <c r="T718" i="6"/>
  <c r="U718" i="6"/>
  <c r="V718" i="6"/>
  <c r="W718" i="6"/>
  <c r="D723" i="6"/>
  <c r="E723" i="6"/>
  <c r="F723" i="6"/>
  <c r="G723" i="6"/>
  <c r="I723" i="6"/>
  <c r="J723" i="6"/>
  <c r="K723" i="6"/>
  <c r="L723" i="6"/>
  <c r="M723" i="6"/>
  <c r="P723" i="6"/>
  <c r="Q723" i="6"/>
  <c r="R723" i="6"/>
  <c r="R730" i="6" s="1"/>
  <c r="S723" i="6"/>
  <c r="T723" i="6"/>
  <c r="U723" i="6"/>
  <c r="V723" i="6"/>
  <c r="W723" i="6"/>
  <c r="D725" i="6"/>
  <c r="H725" i="6"/>
  <c r="Y725" i="6" s="1"/>
  <c r="Z725" i="6" s="1"/>
  <c r="D726" i="6"/>
  <c r="AF752" i="6" s="1"/>
  <c r="E726" i="6"/>
  <c r="AG752" i="6" s="1"/>
  <c r="F726" i="6"/>
  <c r="AH752" i="6" s="1"/>
  <c r="G726" i="6"/>
  <c r="I726" i="6"/>
  <c r="J726" i="6"/>
  <c r="K726" i="6"/>
  <c r="L726" i="6"/>
  <c r="AJ752" i="6" s="1"/>
  <c r="M726" i="6"/>
  <c r="O726" i="6"/>
  <c r="AL752" i="6" s="1"/>
  <c r="P726" i="6"/>
  <c r="AM752" i="6" s="1"/>
  <c r="Q726" i="6"/>
  <c r="S726" i="6"/>
  <c r="T726" i="6"/>
  <c r="U726" i="6"/>
  <c r="V726" i="6"/>
  <c r="W726" i="6"/>
  <c r="Y726" i="6"/>
  <c r="D727" i="6"/>
  <c r="H727" i="6"/>
  <c r="Y727" i="6" s="1"/>
  <c r="Z727" i="6" s="1"/>
  <c r="D728" i="6"/>
  <c r="E728" i="6"/>
  <c r="F728" i="6"/>
  <c r="G728" i="6"/>
  <c r="I728" i="6"/>
  <c r="J728" i="6"/>
  <c r="K728" i="6"/>
  <c r="L728" i="6"/>
  <c r="M728" i="6"/>
  <c r="O728" i="6"/>
  <c r="P728" i="6"/>
  <c r="Q728" i="6"/>
  <c r="S728" i="6"/>
  <c r="T728" i="6"/>
  <c r="U728" i="6"/>
  <c r="V728" i="6"/>
  <c r="W728" i="6"/>
  <c r="Y728" i="6"/>
  <c r="D733" i="6"/>
  <c r="E733" i="6"/>
  <c r="F733" i="6"/>
  <c r="G733" i="6"/>
  <c r="H733" i="6"/>
  <c r="I733" i="6"/>
  <c r="J733" i="6"/>
  <c r="K733" i="6"/>
  <c r="L733" i="6"/>
  <c r="M733" i="6"/>
  <c r="P733" i="6"/>
  <c r="Q733" i="6"/>
  <c r="R733" i="6"/>
  <c r="S733" i="6"/>
  <c r="T733" i="6"/>
  <c r="U733" i="6"/>
  <c r="V733" i="6"/>
  <c r="W733" i="6"/>
  <c r="D734" i="6"/>
  <c r="Y734" i="6"/>
  <c r="D735" i="6"/>
  <c r="E735" i="6"/>
  <c r="F735" i="6"/>
  <c r="G735" i="6"/>
  <c r="H735" i="6"/>
  <c r="Y735" i="6" s="1"/>
  <c r="Z735" i="6" s="1"/>
  <c r="I735" i="6"/>
  <c r="J735" i="6"/>
  <c r="K735" i="6"/>
  <c r="L735" i="6"/>
  <c r="M735" i="6"/>
  <c r="O735" i="6"/>
  <c r="P735" i="6"/>
  <c r="Q735" i="6"/>
  <c r="S735" i="6"/>
  <c r="T735" i="6"/>
  <c r="U735" i="6"/>
  <c r="V735" i="6"/>
  <c r="W735" i="6"/>
  <c r="D736" i="6"/>
  <c r="H736" i="6"/>
  <c r="Y736" i="6" s="1"/>
  <c r="D738" i="6"/>
  <c r="E738" i="6"/>
  <c r="F738" i="6"/>
  <c r="G738" i="6"/>
  <c r="H738" i="6"/>
  <c r="Y738" i="6" s="1"/>
  <c r="Z738" i="6" s="1"/>
  <c r="I738" i="6"/>
  <c r="J738" i="6"/>
  <c r="K738" i="6"/>
  <c r="L738" i="6"/>
  <c r="M738" i="6"/>
  <c r="O738" i="6"/>
  <c r="P738" i="6"/>
  <c r="Q738" i="6"/>
  <c r="S738" i="6"/>
  <c r="T738" i="6"/>
  <c r="U738" i="6"/>
  <c r="V738" i="6"/>
  <c r="W738" i="6"/>
  <c r="D739" i="6"/>
  <c r="AF738" i="6" s="1"/>
  <c r="E739" i="6"/>
  <c r="F739" i="6"/>
  <c r="G739" i="6"/>
  <c r="H739" i="6"/>
  <c r="Y739" i="6" s="1"/>
  <c r="Z739" i="6" s="1"/>
  <c r="I739" i="6"/>
  <c r="J739" i="6"/>
  <c r="K739" i="6"/>
  <c r="L739" i="6"/>
  <c r="M739" i="6"/>
  <c r="O739" i="6"/>
  <c r="P739" i="6"/>
  <c r="Q739" i="6"/>
  <c r="S739" i="6"/>
  <c r="T739" i="6"/>
  <c r="U739" i="6"/>
  <c r="V739" i="6"/>
  <c r="W739" i="6"/>
  <c r="D740" i="6"/>
  <c r="H740" i="6"/>
  <c r="Y740" i="6" s="1"/>
  <c r="D741" i="6"/>
  <c r="E741" i="6"/>
  <c r="F741" i="6"/>
  <c r="G741" i="6"/>
  <c r="I741" i="6"/>
  <c r="J741" i="6"/>
  <c r="K741" i="6"/>
  <c r="L741" i="6"/>
  <c r="M741" i="6"/>
  <c r="P741" i="6"/>
  <c r="Q741" i="6"/>
  <c r="R741" i="6"/>
  <c r="Y741" i="6" s="1"/>
  <c r="S741" i="6"/>
  <c r="T741" i="6"/>
  <c r="U741" i="6"/>
  <c r="V741" i="6"/>
  <c r="W741" i="6"/>
  <c r="D742" i="6"/>
  <c r="E742" i="6"/>
  <c r="F742" i="6"/>
  <c r="G742" i="6"/>
  <c r="I742" i="6"/>
  <c r="J742" i="6"/>
  <c r="K742" i="6"/>
  <c r="L742" i="6"/>
  <c r="M742" i="6"/>
  <c r="P742" i="6"/>
  <c r="Q742" i="6"/>
  <c r="R742" i="6"/>
  <c r="Y742" i="6" s="1"/>
  <c r="S742" i="6"/>
  <c r="T742" i="6"/>
  <c r="U742" i="6"/>
  <c r="V742" i="6"/>
  <c r="W742" i="6"/>
  <c r="D750" i="6"/>
  <c r="E750" i="6"/>
  <c r="F750" i="6"/>
  <c r="G750" i="6"/>
  <c r="I750" i="6"/>
  <c r="J750" i="6"/>
  <c r="K750" i="6"/>
  <c r="L750" i="6"/>
  <c r="M750" i="6"/>
  <c r="P750" i="6"/>
  <c r="Q750" i="6"/>
  <c r="R750" i="6"/>
  <c r="Y750" i="6" s="1"/>
  <c r="S750" i="6"/>
  <c r="T750" i="6"/>
  <c r="U750" i="6"/>
  <c r="V750" i="6"/>
  <c r="W750" i="6"/>
  <c r="D751" i="6"/>
  <c r="AF735" i="6" s="1"/>
  <c r="E751" i="6"/>
  <c r="F751" i="6"/>
  <c r="G751" i="6"/>
  <c r="H751" i="6"/>
  <c r="I751" i="6"/>
  <c r="J751" i="6"/>
  <c r="K751" i="6"/>
  <c r="L751" i="6"/>
  <c r="M751" i="6"/>
  <c r="O751" i="6"/>
  <c r="P751" i="6"/>
  <c r="Q751" i="6"/>
  <c r="S751" i="6"/>
  <c r="T751" i="6"/>
  <c r="U751" i="6"/>
  <c r="V751" i="6"/>
  <c r="W751" i="6"/>
  <c r="E752" i="6"/>
  <c r="F752" i="6"/>
  <c r="G752" i="6"/>
  <c r="H752" i="6"/>
  <c r="I752" i="6"/>
  <c r="J752" i="6"/>
  <c r="K752" i="6"/>
  <c r="L752" i="6"/>
  <c r="M752" i="6"/>
  <c r="O752" i="6"/>
  <c r="P752" i="6"/>
  <c r="Q752" i="6"/>
  <c r="S752" i="6"/>
  <c r="T752" i="6"/>
  <c r="U752" i="6"/>
  <c r="V752" i="6"/>
  <c r="W752" i="6"/>
  <c r="D753" i="6"/>
  <c r="E753" i="6"/>
  <c r="F753" i="6"/>
  <c r="G753" i="6"/>
  <c r="I753" i="6"/>
  <c r="J753" i="6"/>
  <c r="K753" i="6"/>
  <c r="L753" i="6"/>
  <c r="M753" i="6"/>
  <c r="O753" i="6"/>
  <c r="P753" i="6"/>
  <c r="Q753" i="6"/>
  <c r="T753" i="6"/>
  <c r="U753" i="6"/>
  <c r="V753" i="6"/>
  <c r="W753" i="6"/>
  <c r="D763" i="6"/>
  <c r="E763" i="6"/>
  <c r="F763" i="6"/>
  <c r="G763" i="6"/>
  <c r="H763" i="6"/>
  <c r="I763" i="6"/>
  <c r="J763" i="6"/>
  <c r="K763" i="6"/>
  <c r="L763" i="6"/>
  <c r="M763" i="6"/>
  <c r="P763" i="6"/>
  <c r="Q763" i="6"/>
  <c r="R763" i="6"/>
  <c r="S763" i="6"/>
  <c r="T763" i="6"/>
  <c r="U763" i="6"/>
  <c r="V763" i="6"/>
  <c r="W763" i="6"/>
  <c r="D764" i="6"/>
  <c r="E764" i="6"/>
  <c r="F764" i="6"/>
  <c r="G764" i="6"/>
  <c r="H764" i="6"/>
  <c r="Y764" i="6" s="1"/>
  <c r="Z764" i="6" s="1"/>
  <c r="I764" i="6"/>
  <c r="J764" i="6"/>
  <c r="K764" i="6"/>
  <c r="L764" i="6"/>
  <c r="M764" i="6"/>
  <c r="O764" i="6"/>
  <c r="P764" i="6"/>
  <c r="Q764" i="6"/>
  <c r="S764" i="6"/>
  <c r="T764" i="6"/>
  <c r="U764" i="6"/>
  <c r="V764" i="6"/>
  <c r="W764" i="6"/>
  <c r="D765" i="6"/>
  <c r="H765" i="6"/>
  <c r="Y765" i="6" s="1"/>
  <c r="Z765" i="6" s="1"/>
  <c r="D766" i="6"/>
  <c r="H766" i="6"/>
  <c r="E767" i="6"/>
  <c r="F767" i="6"/>
  <c r="G767" i="6"/>
  <c r="I767" i="6"/>
  <c r="J767" i="6"/>
  <c r="K767" i="6"/>
  <c r="L767" i="6"/>
  <c r="AJ868" i="6" s="1"/>
  <c r="M767" i="6"/>
  <c r="O767" i="6"/>
  <c r="P767" i="6"/>
  <c r="Q767" i="6"/>
  <c r="S767" i="6"/>
  <c r="T767" i="6"/>
  <c r="U767" i="6"/>
  <c r="V767" i="6"/>
  <c r="W767" i="6"/>
  <c r="Y767" i="6"/>
  <c r="Z767" i="6" s="1"/>
  <c r="D768" i="6"/>
  <c r="H768" i="6"/>
  <c r="Y768" i="6" s="1"/>
  <c r="D769" i="6"/>
  <c r="H769" i="6"/>
  <c r="Y769" i="6" s="1"/>
  <c r="D770" i="6"/>
  <c r="E770" i="6"/>
  <c r="F770" i="6"/>
  <c r="G770" i="6"/>
  <c r="H770" i="6"/>
  <c r="Y770" i="6" s="1"/>
  <c r="Z770" i="6" s="1"/>
  <c r="I770" i="6"/>
  <c r="J770" i="6"/>
  <c r="K770" i="6"/>
  <c r="L770" i="6"/>
  <c r="AJ867" i="6" s="1"/>
  <c r="M770" i="6"/>
  <c r="O770" i="6"/>
  <c r="P770" i="6"/>
  <c r="Q770" i="6"/>
  <c r="S770" i="6"/>
  <c r="T770" i="6"/>
  <c r="U770" i="6"/>
  <c r="V770" i="6"/>
  <c r="AO867" i="6" s="1"/>
  <c r="W770" i="6"/>
  <c r="D771" i="6"/>
  <c r="H771" i="6"/>
  <c r="Y771" i="6" s="1"/>
  <c r="D772" i="6"/>
  <c r="Z772" i="6" s="1"/>
  <c r="H772" i="6"/>
  <c r="Y772" i="6" s="1"/>
  <c r="D773" i="6"/>
  <c r="H773" i="6"/>
  <c r="Y773" i="6"/>
  <c r="D774" i="6"/>
  <c r="H774" i="6"/>
  <c r="Y774" i="6" s="1"/>
  <c r="D775" i="6"/>
  <c r="H775" i="6"/>
  <c r="Y775" i="6" s="1"/>
  <c r="Z775" i="6" s="1"/>
  <c r="D776" i="6"/>
  <c r="E776" i="6"/>
  <c r="G776" i="6"/>
  <c r="H776" i="6"/>
  <c r="Y776" i="6" s="1"/>
  <c r="I776" i="6"/>
  <c r="J776" i="6"/>
  <c r="K776" i="6"/>
  <c r="L776" i="6"/>
  <c r="M776" i="6"/>
  <c r="O776" i="6"/>
  <c r="P776" i="6"/>
  <c r="Q776" i="6"/>
  <c r="S776" i="6"/>
  <c r="T776" i="6"/>
  <c r="U776" i="6"/>
  <c r="V776" i="6"/>
  <c r="W776" i="6"/>
  <c r="E777" i="6"/>
  <c r="F777" i="6"/>
  <c r="G777" i="6"/>
  <c r="I777" i="6"/>
  <c r="J777" i="6"/>
  <c r="K777" i="6"/>
  <c r="L777" i="6"/>
  <c r="M777" i="6"/>
  <c r="O777" i="6"/>
  <c r="P777" i="6"/>
  <c r="Q777" i="6"/>
  <c r="S777" i="6"/>
  <c r="T777" i="6"/>
  <c r="U777" i="6"/>
  <c r="V777" i="6"/>
  <c r="W777" i="6"/>
  <c r="Y777" i="6"/>
  <c r="Z777" i="6" s="1"/>
  <c r="D778" i="6"/>
  <c r="R778" i="6"/>
  <c r="Y778" i="6" s="1"/>
  <c r="D779" i="6"/>
  <c r="E779" i="6"/>
  <c r="F779" i="6"/>
  <c r="G779" i="6"/>
  <c r="I779" i="6"/>
  <c r="J779" i="6"/>
  <c r="K779" i="6"/>
  <c r="L779" i="6"/>
  <c r="M779" i="6"/>
  <c r="P779" i="6"/>
  <c r="Q779" i="6"/>
  <c r="R779" i="6"/>
  <c r="Y779" i="6" s="1"/>
  <c r="S779" i="6"/>
  <c r="T779" i="6"/>
  <c r="U779" i="6"/>
  <c r="V779" i="6"/>
  <c r="W779" i="6"/>
  <c r="D784" i="6"/>
  <c r="E784" i="6"/>
  <c r="F784" i="6"/>
  <c r="G784" i="6"/>
  <c r="H784" i="6"/>
  <c r="Y784" i="6" s="1"/>
  <c r="Z784" i="6" s="1"/>
  <c r="I784" i="6"/>
  <c r="J784" i="6"/>
  <c r="K784" i="6"/>
  <c r="L784" i="6"/>
  <c r="M784" i="6"/>
  <c r="O784" i="6"/>
  <c r="P784" i="6"/>
  <c r="Q784" i="6"/>
  <c r="S784" i="6"/>
  <c r="T784" i="6"/>
  <c r="U784" i="6"/>
  <c r="V784" i="6"/>
  <c r="W784" i="6"/>
  <c r="D785" i="6"/>
  <c r="E785" i="6"/>
  <c r="F785" i="6"/>
  <c r="G785" i="6"/>
  <c r="H785" i="6"/>
  <c r="Y785" i="6" s="1"/>
  <c r="I785" i="6"/>
  <c r="J785" i="6"/>
  <c r="K785" i="6"/>
  <c r="L785" i="6"/>
  <c r="M785" i="6"/>
  <c r="O785" i="6"/>
  <c r="P785" i="6"/>
  <c r="Q785" i="6"/>
  <c r="S785" i="6"/>
  <c r="T785" i="6"/>
  <c r="U785" i="6"/>
  <c r="V785" i="6"/>
  <c r="W785" i="6"/>
  <c r="D786" i="6"/>
  <c r="H786" i="6"/>
  <c r="D787" i="6"/>
  <c r="H787" i="6"/>
  <c r="Y787" i="6" s="1"/>
  <c r="E788" i="6"/>
  <c r="F788" i="6"/>
  <c r="G788" i="6"/>
  <c r="I788" i="6"/>
  <c r="J788" i="6"/>
  <c r="K788" i="6"/>
  <c r="L788" i="6"/>
  <c r="M788" i="6"/>
  <c r="O788" i="6"/>
  <c r="P788" i="6"/>
  <c r="Q788" i="6"/>
  <c r="S788" i="6"/>
  <c r="T788" i="6"/>
  <c r="U788" i="6"/>
  <c r="V788" i="6"/>
  <c r="W788" i="6"/>
  <c r="Y788" i="6"/>
  <c r="Z788" i="6" s="1"/>
  <c r="R790" i="6"/>
  <c r="D793" i="6"/>
  <c r="E793" i="6"/>
  <c r="F793" i="6"/>
  <c r="G793" i="6"/>
  <c r="H793" i="6"/>
  <c r="Y793" i="6" s="1"/>
  <c r="I793" i="6"/>
  <c r="J793" i="6"/>
  <c r="K793" i="6"/>
  <c r="L793" i="6"/>
  <c r="M793" i="6"/>
  <c r="O793" i="6"/>
  <c r="P793" i="6"/>
  <c r="Q793" i="6"/>
  <c r="S793" i="6"/>
  <c r="T793" i="6"/>
  <c r="U793" i="6"/>
  <c r="V793" i="6"/>
  <c r="W793" i="6"/>
  <c r="D794" i="6"/>
  <c r="E794" i="6"/>
  <c r="F794" i="6"/>
  <c r="G794" i="6"/>
  <c r="H794" i="6"/>
  <c r="I794" i="6"/>
  <c r="J794" i="6"/>
  <c r="K794" i="6"/>
  <c r="L794" i="6"/>
  <c r="M794" i="6"/>
  <c r="O794" i="6"/>
  <c r="P794" i="6"/>
  <c r="Q794" i="6"/>
  <c r="S794" i="6"/>
  <c r="T794" i="6"/>
  <c r="U794" i="6"/>
  <c r="V794" i="6"/>
  <c r="W794" i="6"/>
  <c r="E796" i="6"/>
  <c r="F796" i="6"/>
  <c r="G796" i="6"/>
  <c r="I796" i="6"/>
  <c r="J796" i="6"/>
  <c r="K796" i="6"/>
  <c r="L796" i="6"/>
  <c r="M796" i="6"/>
  <c r="O796" i="6"/>
  <c r="P796" i="6"/>
  <c r="Q796" i="6"/>
  <c r="S796" i="6"/>
  <c r="T796" i="6"/>
  <c r="U796" i="6"/>
  <c r="V796" i="6"/>
  <c r="W796" i="6"/>
  <c r="Y796" i="6"/>
  <c r="Z796" i="6" s="1"/>
  <c r="D797" i="6"/>
  <c r="E797" i="6"/>
  <c r="F797" i="6"/>
  <c r="G797" i="6"/>
  <c r="I797" i="6"/>
  <c r="J797" i="6"/>
  <c r="K797" i="6"/>
  <c r="L797" i="6"/>
  <c r="M797" i="6"/>
  <c r="P797" i="6"/>
  <c r="Q797" i="6"/>
  <c r="R797" i="6"/>
  <c r="Y797" i="6" s="1"/>
  <c r="S797" i="6"/>
  <c r="T797" i="6"/>
  <c r="U797" i="6"/>
  <c r="V797" i="6"/>
  <c r="W797" i="6"/>
  <c r="D798" i="6"/>
  <c r="E798" i="6"/>
  <c r="F798" i="6"/>
  <c r="G798" i="6"/>
  <c r="H798" i="6"/>
  <c r="I798" i="6"/>
  <c r="J798" i="6"/>
  <c r="K798" i="6"/>
  <c r="L798" i="6"/>
  <c r="M798" i="6"/>
  <c r="O798" i="6"/>
  <c r="P798" i="6"/>
  <c r="Q798" i="6"/>
  <c r="S798" i="6"/>
  <c r="T798" i="6"/>
  <c r="U798" i="6"/>
  <c r="V798" i="6"/>
  <c r="W798" i="6"/>
  <c r="D799" i="6"/>
  <c r="H799" i="6"/>
  <c r="Y799" i="6" s="1"/>
  <c r="D800" i="6"/>
  <c r="H800" i="6"/>
  <c r="Y800" i="6" s="1"/>
  <c r="D801" i="6"/>
  <c r="F801" i="6"/>
  <c r="G801" i="6"/>
  <c r="H801" i="6"/>
  <c r="I801" i="6"/>
  <c r="J801" i="6"/>
  <c r="K801" i="6"/>
  <c r="L801" i="6"/>
  <c r="M801" i="6"/>
  <c r="O801" i="6"/>
  <c r="P801" i="6"/>
  <c r="Q801" i="6"/>
  <c r="S801" i="6"/>
  <c r="T801" i="6"/>
  <c r="U801" i="6"/>
  <c r="V801" i="6"/>
  <c r="W801" i="6"/>
  <c r="E802" i="6"/>
  <c r="F802" i="6"/>
  <c r="G802" i="6"/>
  <c r="I802" i="6"/>
  <c r="J802" i="6"/>
  <c r="K802" i="6"/>
  <c r="L802" i="6"/>
  <c r="M802" i="6"/>
  <c r="O802" i="6"/>
  <c r="P802" i="6"/>
  <c r="Q802" i="6"/>
  <c r="S802" i="6"/>
  <c r="T802" i="6"/>
  <c r="U802" i="6"/>
  <c r="V802" i="6"/>
  <c r="W802" i="6"/>
  <c r="D807" i="6"/>
  <c r="E807" i="6"/>
  <c r="F807" i="6"/>
  <c r="G807" i="6"/>
  <c r="I807" i="6"/>
  <c r="J807" i="6"/>
  <c r="K807" i="6"/>
  <c r="L807" i="6"/>
  <c r="M807" i="6"/>
  <c r="P807" i="6"/>
  <c r="Q807" i="6"/>
  <c r="R807" i="6"/>
  <c r="Y807" i="6" s="1"/>
  <c r="S807" i="6"/>
  <c r="T807" i="6"/>
  <c r="U807" i="6"/>
  <c r="V807" i="6"/>
  <c r="W807" i="6"/>
  <c r="D808" i="6"/>
  <c r="E808" i="6"/>
  <c r="F808" i="6"/>
  <c r="G808" i="6"/>
  <c r="H808" i="6"/>
  <c r="Y808" i="6" s="1"/>
  <c r="I808" i="6"/>
  <c r="J808" i="6"/>
  <c r="K808" i="6"/>
  <c r="L808" i="6"/>
  <c r="M808" i="6"/>
  <c r="O808" i="6"/>
  <c r="P808" i="6"/>
  <c r="Q808" i="6"/>
  <c r="S808" i="6"/>
  <c r="T808" i="6"/>
  <c r="U808" i="6"/>
  <c r="V808" i="6"/>
  <c r="W808" i="6"/>
  <c r="D810" i="6"/>
  <c r="E810" i="6"/>
  <c r="F810" i="6"/>
  <c r="G810" i="6"/>
  <c r="I810" i="6"/>
  <c r="J810" i="6"/>
  <c r="K810" i="6"/>
  <c r="L810" i="6"/>
  <c r="M810" i="6"/>
  <c r="P810" i="6"/>
  <c r="Q810" i="6"/>
  <c r="R810" i="6"/>
  <c r="S810" i="6"/>
  <c r="T810" i="6"/>
  <c r="U810" i="6"/>
  <c r="V810" i="6"/>
  <c r="W810" i="6"/>
  <c r="E811" i="6"/>
  <c r="F811" i="6"/>
  <c r="G811" i="6"/>
  <c r="I811" i="6"/>
  <c r="J811" i="6"/>
  <c r="K811" i="6"/>
  <c r="L811" i="6"/>
  <c r="M811" i="6"/>
  <c r="P811" i="6"/>
  <c r="Q811" i="6"/>
  <c r="S811" i="6"/>
  <c r="T811" i="6"/>
  <c r="U811" i="6"/>
  <c r="V811" i="6"/>
  <c r="W811" i="6"/>
  <c r="Y811" i="6"/>
  <c r="Z811" i="6" s="1"/>
  <c r="E812" i="6"/>
  <c r="F812" i="6"/>
  <c r="G812" i="6"/>
  <c r="I812" i="6"/>
  <c r="J812" i="6"/>
  <c r="K812" i="6"/>
  <c r="L812" i="6"/>
  <c r="M812" i="6"/>
  <c r="O812" i="6"/>
  <c r="P812" i="6"/>
  <c r="Q812" i="6"/>
  <c r="S812" i="6"/>
  <c r="T812" i="6"/>
  <c r="U812" i="6"/>
  <c r="V812" i="6"/>
  <c r="W812" i="6"/>
  <c r="Y812" i="6"/>
  <c r="Z812" i="6" s="1"/>
  <c r="D813" i="6"/>
  <c r="E813" i="6"/>
  <c r="AG882" i="6" s="1"/>
  <c r="F813" i="6"/>
  <c r="AH882" i="6" s="1"/>
  <c r="G813" i="6"/>
  <c r="H813" i="6"/>
  <c r="Y813" i="6" s="1"/>
  <c r="I813" i="6"/>
  <c r="J813" i="6"/>
  <c r="K813" i="6"/>
  <c r="L813" i="6"/>
  <c r="AJ882" i="6" s="1"/>
  <c r="M813" i="6"/>
  <c r="O813" i="6"/>
  <c r="AL882" i="6" s="1"/>
  <c r="P813" i="6"/>
  <c r="AM882" i="6" s="1"/>
  <c r="Q813" i="6"/>
  <c r="S813" i="6"/>
  <c r="T813" i="6"/>
  <c r="U813" i="6"/>
  <c r="V813" i="6"/>
  <c r="AO882" i="6" s="1"/>
  <c r="W813" i="6"/>
  <c r="D819" i="6"/>
  <c r="E819" i="6"/>
  <c r="F819" i="6"/>
  <c r="G819" i="6"/>
  <c r="H819" i="6"/>
  <c r="Y819" i="6" s="1"/>
  <c r="Z819" i="6" s="1"/>
  <c r="I819" i="6"/>
  <c r="J819" i="6"/>
  <c r="K819" i="6"/>
  <c r="L819" i="6"/>
  <c r="M819" i="6"/>
  <c r="O819" i="6"/>
  <c r="P819" i="6"/>
  <c r="Q819" i="6"/>
  <c r="S819" i="6"/>
  <c r="T819" i="6"/>
  <c r="U819" i="6"/>
  <c r="V819" i="6"/>
  <c r="W819" i="6"/>
  <c r="D820" i="6"/>
  <c r="E820" i="6"/>
  <c r="F820" i="6"/>
  <c r="G820" i="6"/>
  <c r="H820" i="6"/>
  <c r="Y820" i="6" s="1"/>
  <c r="Z820" i="6" s="1"/>
  <c r="I820" i="6"/>
  <c r="J820" i="6"/>
  <c r="K820" i="6"/>
  <c r="L820" i="6"/>
  <c r="M820" i="6"/>
  <c r="O820" i="6"/>
  <c r="P820" i="6"/>
  <c r="Q820" i="6"/>
  <c r="S820" i="6"/>
  <c r="T820" i="6"/>
  <c r="U820" i="6"/>
  <c r="V820" i="6"/>
  <c r="W820" i="6"/>
  <c r="D821" i="6"/>
  <c r="H821" i="6"/>
  <c r="Y821" i="6" s="1"/>
  <c r="D822" i="6"/>
  <c r="H822" i="6"/>
  <c r="D823" i="6"/>
  <c r="H823" i="6"/>
  <c r="Y823" i="6" s="1"/>
  <c r="D824" i="6"/>
  <c r="E824" i="6"/>
  <c r="F824" i="6"/>
  <c r="G824" i="6"/>
  <c r="I824" i="6"/>
  <c r="J824" i="6"/>
  <c r="K824" i="6"/>
  <c r="L824" i="6"/>
  <c r="M824" i="6"/>
  <c r="O824" i="6"/>
  <c r="P824" i="6"/>
  <c r="Q824" i="6"/>
  <c r="R824" i="6"/>
  <c r="S824" i="6"/>
  <c r="T824" i="6"/>
  <c r="U824" i="6"/>
  <c r="V824" i="6"/>
  <c r="W824" i="6"/>
  <c r="D830" i="6"/>
  <c r="E830" i="6"/>
  <c r="F830" i="6"/>
  <c r="G830" i="6"/>
  <c r="H830" i="6"/>
  <c r="Y830" i="6" s="1"/>
  <c r="Z830" i="6" s="1"/>
  <c r="I830" i="6"/>
  <c r="J830" i="6"/>
  <c r="K830" i="6"/>
  <c r="L830" i="6"/>
  <c r="M830" i="6"/>
  <c r="O830" i="6"/>
  <c r="P830" i="6"/>
  <c r="Q830" i="6"/>
  <c r="S830" i="6"/>
  <c r="T830" i="6"/>
  <c r="U830" i="6"/>
  <c r="V830" i="6"/>
  <c r="W830" i="6"/>
  <c r="D831" i="6"/>
  <c r="H831" i="6"/>
  <c r="Y831" i="6" s="1"/>
  <c r="D832" i="6"/>
  <c r="E832" i="6"/>
  <c r="F832" i="6"/>
  <c r="G832" i="6"/>
  <c r="I832" i="6"/>
  <c r="J832" i="6"/>
  <c r="K832" i="6"/>
  <c r="L832" i="6"/>
  <c r="M832" i="6"/>
  <c r="O832" i="6"/>
  <c r="P832" i="6"/>
  <c r="Q832" i="6"/>
  <c r="S832" i="6"/>
  <c r="T832" i="6"/>
  <c r="U832" i="6"/>
  <c r="V832" i="6"/>
  <c r="W832" i="6"/>
  <c r="D833" i="6"/>
  <c r="H833" i="6"/>
  <c r="D834" i="6"/>
  <c r="H834" i="6"/>
  <c r="Y834" i="6" s="1"/>
  <c r="D835" i="6"/>
  <c r="AF885" i="6" s="1"/>
  <c r="E835" i="6"/>
  <c r="F835" i="6"/>
  <c r="G835" i="6"/>
  <c r="I835" i="6"/>
  <c r="J835" i="6"/>
  <c r="K835" i="6"/>
  <c r="L835" i="6"/>
  <c r="M835" i="6"/>
  <c r="O835" i="6"/>
  <c r="P835" i="6"/>
  <c r="Q835" i="6"/>
  <c r="S835" i="6"/>
  <c r="T835" i="6"/>
  <c r="U835" i="6"/>
  <c r="V835" i="6"/>
  <c r="W835" i="6"/>
  <c r="D836" i="6"/>
  <c r="AF877" i="6" s="1"/>
  <c r="E836" i="6"/>
  <c r="F836" i="6"/>
  <c r="G836" i="6"/>
  <c r="I836" i="6"/>
  <c r="J836" i="6"/>
  <c r="K836" i="6"/>
  <c r="L836" i="6"/>
  <c r="M836" i="6"/>
  <c r="O836" i="6"/>
  <c r="P836" i="6"/>
  <c r="Q836" i="6"/>
  <c r="R836" i="6"/>
  <c r="S836" i="6"/>
  <c r="T836" i="6"/>
  <c r="U836" i="6"/>
  <c r="V836" i="6"/>
  <c r="W836" i="6"/>
  <c r="D837" i="6"/>
  <c r="AF886" i="6" s="1"/>
  <c r="E837" i="6"/>
  <c r="AG886" i="6" s="1"/>
  <c r="F837" i="6"/>
  <c r="AH886" i="6" s="1"/>
  <c r="G837" i="6"/>
  <c r="I837" i="6"/>
  <c r="J837" i="6"/>
  <c r="K837" i="6"/>
  <c r="L837" i="6"/>
  <c r="AJ886" i="6" s="1"/>
  <c r="M837" i="6"/>
  <c r="O837" i="6"/>
  <c r="AL886" i="6" s="1"/>
  <c r="P837" i="6"/>
  <c r="AM886" i="6" s="1"/>
  <c r="Q837" i="6"/>
  <c r="S837" i="6"/>
  <c r="T837" i="6"/>
  <c r="U837" i="6"/>
  <c r="V837" i="6"/>
  <c r="AO886" i="6" s="1"/>
  <c r="W837" i="6"/>
  <c r="D843" i="6"/>
  <c r="E843" i="6"/>
  <c r="F843" i="6"/>
  <c r="G843" i="6"/>
  <c r="H843" i="6"/>
  <c r="I843" i="6"/>
  <c r="J843" i="6"/>
  <c r="K843" i="6"/>
  <c r="L843" i="6"/>
  <c r="M843" i="6"/>
  <c r="O843" i="6"/>
  <c r="P843" i="6"/>
  <c r="Q843" i="6"/>
  <c r="R843" i="6"/>
  <c r="S843" i="6"/>
  <c r="T843" i="6"/>
  <c r="U843" i="6"/>
  <c r="V843" i="6"/>
  <c r="W843" i="6"/>
  <c r="D844" i="6"/>
  <c r="E844" i="6"/>
  <c r="F844" i="6"/>
  <c r="G844" i="6"/>
  <c r="H844" i="6"/>
  <c r="I844" i="6"/>
  <c r="J844" i="6"/>
  <c r="K844" i="6"/>
  <c r="L844" i="6"/>
  <c r="M844" i="6"/>
  <c r="O844" i="6"/>
  <c r="P844" i="6"/>
  <c r="Q844" i="6"/>
  <c r="S844" i="6"/>
  <c r="T844" i="6"/>
  <c r="U844" i="6"/>
  <c r="V844" i="6"/>
  <c r="W844" i="6"/>
  <c r="D845" i="6"/>
  <c r="F845" i="6"/>
  <c r="G845" i="6"/>
  <c r="H845" i="6"/>
  <c r="Y845" i="6" s="1"/>
  <c r="I845" i="6"/>
  <c r="J845" i="6"/>
  <c r="K845" i="6"/>
  <c r="L845" i="6"/>
  <c r="M845" i="6"/>
  <c r="O845" i="6"/>
  <c r="P845" i="6"/>
  <c r="Q845" i="6"/>
  <c r="S845" i="6"/>
  <c r="T845" i="6"/>
  <c r="U845" i="6"/>
  <c r="V845" i="6"/>
  <c r="W845" i="6"/>
  <c r="D846" i="6"/>
  <c r="H846" i="6"/>
  <c r="Y846" i="6" s="1"/>
  <c r="Z846" i="6" s="1"/>
  <c r="D847" i="6"/>
  <c r="H847" i="6"/>
  <c r="Y847" i="6" s="1"/>
  <c r="D848" i="6"/>
  <c r="H848" i="6"/>
  <c r="Y848" i="6" s="1"/>
  <c r="E849" i="6"/>
  <c r="F849" i="6"/>
  <c r="G849" i="6"/>
  <c r="I849" i="6"/>
  <c r="J849" i="6"/>
  <c r="K849" i="6"/>
  <c r="L849" i="6"/>
  <c r="M849" i="6"/>
  <c r="O849" i="6"/>
  <c r="P849" i="6"/>
  <c r="Q849" i="6"/>
  <c r="S849" i="6"/>
  <c r="T849" i="6"/>
  <c r="U849" i="6"/>
  <c r="V849" i="6"/>
  <c r="W849" i="6"/>
  <c r="Y849" i="6"/>
  <c r="E850" i="6"/>
  <c r="F850" i="6"/>
  <c r="G850" i="6"/>
  <c r="I850" i="6"/>
  <c r="J850" i="6"/>
  <c r="K850" i="6"/>
  <c r="L850" i="6"/>
  <c r="M850" i="6"/>
  <c r="O850" i="6"/>
  <c r="P850" i="6"/>
  <c r="Q850" i="6"/>
  <c r="S850" i="6"/>
  <c r="T850" i="6"/>
  <c r="U850" i="6"/>
  <c r="V850" i="6"/>
  <c r="W850" i="6"/>
  <c r="Y850" i="6"/>
  <c r="E851" i="6"/>
  <c r="F851" i="6"/>
  <c r="G851" i="6"/>
  <c r="I851" i="6"/>
  <c r="J851" i="6"/>
  <c r="K851" i="6"/>
  <c r="L851" i="6"/>
  <c r="M851" i="6"/>
  <c r="O851" i="6"/>
  <c r="P851" i="6"/>
  <c r="Q851" i="6"/>
  <c r="S851" i="6"/>
  <c r="T851" i="6"/>
  <c r="U851" i="6"/>
  <c r="V851" i="6"/>
  <c r="W851" i="6"/>
  <c r="E857" i="6"/>
  <c r="F857" i="6"/>
  <c r="G857" i="6"/>
  <c r="I857" i="6"/>
  <c r="J857" i="6"/>
  <c r="K857" i="6"/>
  <c r="L857" i="6"/>
  <c r="M857" i="6"/>
  <c r="O857" i="6"/>
  <c r="P857" i="6"/>
  <c r="Q857" i="6"/>
  <c r="S857" i="6"/>
  <c r="T857" i="6"/>
  <c r="U857" i="6"/>
  <c r="V857" i="6"/>
  <c r="W857" i="6"/>
  <c r="Y857" i="6"/>
  <c r="Z857" i="6" s="1"/>
  <c r="D858" i="6"/>
  <c r="E858" i="6"/>
  <c r="F858" i="6"/>
  <c r="G858" i="6"/>
  <c r="H858" i="6"/>
  <c r="Y858" i="6" s="1"/>
  <c r="Z858" i="6" s="1"/>
  <c r="I858" i="6"/>
  <c r="J858" i="6"/>
  <c r="K858" i="6"/>
  <c r="L858" i="6"/>
  <c r="M858" i="6"/>
  <c r="O858" i="6"/>
  <c r="P858" i="6"/>
  <c r="Q858" i="6"/>
  <c r="S858" i="6"/>
  <c r="T858" i="6"/>
  <c r="U858" i="6"/>
  <c r="V858" i="6"/>
  <c r="W858" i="6"/>
  <c r="D859" i="6"/>
  <c r="E859" i="6"/>
  <c r="F859" i="6"/>
  <c r="G859" i="6"/>
  <c r="H859" i="6"/>
  <c r="I859" i="6"/>
  <c r="J859" i="6"/>
  <c r="K859" i="6"/>
  <c r="L859" i="6"/>
  <c r="M859" i="6"/>
  <c r="O859" i="6"/>
  <c r="P859" i="6"/>
  <c r="Q859" i="6"/>
  <c r="S859" i="6"/>
  <c r="T859" i="6"/>
  <c r="U859" i="6"/>
  <c r="V859" i="6"/>
  <c r="W859" i="6"/>
  <c r="D860" i="6"/>
  <c r="E860" i="6"/>
  <c r="F860" i="6"/>
  <c r="G860" i="6"/>
  <c r="I860" i="6"/>
  <c r="J860" i="6"/>
  <c r="K860" i="6"/>
  <c r="L860" i="6"/>
  <c r="M860" i="6"/>
  <c r="O860" i="6"/>
  <c r="P860" i="6"/>
  <c r="Q860" i="6"/>
  <c r="R860" i="6"/>
  <c r="R862" i="6" s="1"/>
  <c r="S860" i="6"/>
  <c r="T860" i="6"/>
  <c r="U860" i="6"/>
  <c r="V860" i="6"/>
  <c r="W860" i="6"/>
  <c r="D866" i="6"/>
  <c r="E866" i="6"/>
  <c r="F866" i="6"/>
  <c r="G866" i="6"/>
  <c r="H866" i="6"/>
  <c r="Y866" i="6" s="1"/>
  <c r="Z866" i="6" s="1"/>
  <c r="I866" i="6"/>
  <c r="J866" i="6"/>
  <c r="K866" i="6"/>
  <c r="L866" i="6"/>
  <c r="M866" i="6"/>
  <c r="O866" i="6"/>
  <c r="P866" i="6"/>
  <c r="Q866" i="6"/>
  <c r="S866" i="6"/>
  <c r="T866" i="6"/>
  <c r="U866" i="6"/>
  <c r="V866" i="6"/>
  <c r="W866" i="6"/>
  <c r="D867" i="6"/>
  <c r="AF866" i="6" s="1"/>
  <c r="E867" i="6"/>
  <c r="AG866" i="6" s="1"/>
  <c r="F867" i="6"/>
  <c r="AH866" i="6" s="1"/>
  <c r="G867" i="6"/>
  <c r="H867" i="6"/>
  <c r="I867" i="6"/>
  <c r="J867" i="6"/>
  <c r="K867" i="6"/>
  <c r="L867" i="6"/>
  <c r="AJ866" i="6" s="1"/>
  <c r="M867" i="6"/>
  <c r="O867" i="6"/>
  <c r="AL866" i="6" s="1"/>
  <c r="P867" i="6"/>
  <c r="AM866" i="6" s="1"/>
  <c r="Q867" i="6"/>
  <c r="S867" i="6"/>
  <c r="T867" i="6"/>
  <c r="U867" i="6"/>
  <c r="V867" i="6"/>
  <c r="AO866" i="6" s="1"/>
  <c r="W867" i="6"/>
  <c r="D868" i="6"/>
  <c r="E868" i="6"/>
  <c r="F868" i="6"/>
  <c r="G868" i="6"/>
  <c r="H868" i="6"/>
  <c r="Y868" i="6" s="1"/>
  <c r="I868" i="6"/>
  <c r="J868" i="6"/>
  <c r="K868" i="6"/>
  <c r="L868" i="6"/>
  <c r="M868" i="6"/>
  <c r="O868" i="6"/>
  <c r="P868" i="6"/>
  <c r="Q868" i="6"/>
  <c r="S868" i="6"/>
  <c r="T868" i="6"/>
  <c r="U868" i="6"/>
  <c r="V868" i="6"/>
  <c r="W868" i="6"/>
  <c r="AF868" i="6"/>
  <c r="D869" i="6"/>
  <c r="AF881" i="6" s="1"/>
  <c r="E869" i="6"/>
  <c r="AG881" i="6" s="1"/>
  <c r="F869" i="6"/>
  <c r="AH881" i="6" s="1"/>
  <c r="G869" i="6"/>
  <c r="H869" i="6"/>
  <c r="Y869" i="6" s="1"/>
  <c r="I869" i="6"/>
  <c r="J869" i="6"/>
  <c r="K869" i="6"/>
  <c r="L869" i="6"/>
  <c r="AJ881" i="6" s="1"/>
  <c r="M869" i="6"/>
  <c r="O869" i="6"/>
  <c r="AL881" i="6" s="1"/>
  <c r="P869" i="6"/>
  <c r="AM881" i="6" s="1"/>
  <c r="Q869" i="6"/>
  <c r="S869" i="6"/>
  <c r="T869" i="6"/>
  <c r="U869" i="6"/>
  <c r="V869" i="6"/>
  <c r="AO881" i="6" s="1"/>
  <c r="W869" i="6"/>
  <c r="D870" i="6"/>
  <c r="H870" i="6"/>
  <c r="Y870" i="6" s="1"/>
  <c r="D871" i="6"/>
  <c r="F871" i="6"/>
  <c r="G871" i="6"/>
  <c r="H871" i="6"/>
  <c r="Y871" i="6" s="1"/>
  <c r="I871" i="6"/>
  <c r="J871" i="6"/>
  <c r="K871" i="6"/>
  <c r="L871" i="6"/>
  <c r="M871" i="6"/>
  <c r="O871" i="6"/>
  <c r="P871" i="6"/>
  <c r="Q871" i="6"/>
  <c r="S871" i="6"/>
  <c r="T871" i="6"/>
  <c r="U871" i="6"/>
  <c r="V871" i="6"/>
  <c r="W871" i="6"/>
  <c r="D872" i="6"/>
  <c r="H872" i="6"/>
  <c r="Y872" i="6" s="1"/>
  <c r="E873" i="6"/>
  <c r="F873" i="6"/>
  <c r="G873" i="6"/>
  <c r="I873" i="6"/>
  <c r="J873" i="6"/>
  <c r="K873" i="6"/>
  <c r="L873" i="6"/>
  <c r="M873" i="6"/>
  <c r="O873" i="6"/>
  <c r="P873" i="6"/>
  <c r="Q873" i="6"/>
  <c r="S873" i="6"/>
  <c r="T873" i="6"/>
  <c r="U873" i="6"/>
  <c r="V873" i="6"/>
  <c r="W873" i="6"/>
  <c r="Y873" i="6"/>
  <c r="Z873" i="6" s="1"/>
  <c r="D874" i="6"/>
  <c r="E874" i="6"/>
  <c r="F874" i="6"/>
  <c r="G874" i="6"/>
  <c r="I874" i="6"/>
  <c r="J874" i="6"/>
  <c r="K874" i="6"/>
  <c r="L874" i="6"/>
  <c r="M874" i="6"/>
  <c r="O874" i="6"/>
  <c r="P874" i="6"/>
  <c r="Q874" i="6"/>
  <c r="R874" i="6"/>
  <c r="Y874" i="6" s="1"/>
  <c r="Z874" i="6" s="1"/>
  <c r="S874" i="6"/>
  <c r="T874" i="6"/>
  <c r="U874" i="6"/>
  <c r="V874" i="6"/>
  <c r="W874" i="6"/>
  <c r="E875" i="6"/>
  <c r="F875" i="6"/>
  <c r="G875" i="6"/>
  <c r="I875" i="6"/>
  <c r="J875" i="6"/>
  <c r="K875" i="6"/>
  <c r="L875" i="6"/>
  <c r="M875" i="6"/>
  <c r="O875" i="6"/>
  <c r="P875" i="6"/>
  <c r="Q875" i="6"/>
  <c r="S875" i="6"/>
  <c r="T875" i="6"/>
  <c r="U875" i="6"/>
  <c r="V875" i="6"/>
  <c r="W875" i="6"/>
  <c r="Y875" i="6"/>
  <c r="Z875" i="6" s="1"/>
  <c r="AF876" i="6"/>
  <c r="D881" i="6"/>
  <c r="E881" i="6"/>
  <c r="F881" i="6"/>
  <c r="G881" i="6"/>
  <c r="H881" i="6"/>
  <c r="Y881" i="6" s="1"/>
  <c r="Z881" i="6" s="1"/>
  <c r="I881" i="6"/>
  <c r="J881" i="6"/>
  <c r="K881" i="6"/>
  <c r="L881" i="6"/>
  <c r="M881" i="6"/>
  <c r="O881" i="6"/>
  <c r="P881" i="6"/>
  <c r="Q881" i="6"/>
  <c r="S881" i="6"/>
  <c r="T881" i="6"/>
  <c r="U881" i="6"/>
  <c r="V881" i="6"/>
  <c r="W881" i="6"/>
  <c r="D882" i="6"/>
  <c r="E882" i="6"/>
  <c r="F882" i="6"/>
  <c r="G882" i="6"/>
  <c r="H882" i="6"/>
  <c r="Y882" i="6" s="1"/>
  <c r="Z882" i="6" s="1"/>
  <c r="I882" i="6"/>
  <c r="J882" i="6"/>
  <c r="K882" i="6"/>
  <c r="L882" i="6"/>
  <c r="M882" i="6"/>
  <c r="O882" i="6"/>
  <c r="P882" i="6"/>
  <c r="Q882" i="6"/>
  <c r="S882" i="6"/>
  <c r="T882" i="6"/>
  <c r="U882" i="6"/>
  <c r="V882" i="6"/>
  <c r="W882" i="6"/>
  <c r="AF882" i="6"/>
  <c r="D883" i="6"/>
  <c r="H883" i="6"/>
  <c r="Y883" i="6" s="1"/>
  <c r="D884" i="6"/>
  <c r="H884" i="6"/>
  <c r="Y884" i="6" s="1"/>
  <c r="D885" i="6"/>
  <c r="AF878" i="6" s="1"/>
  <c r="E885" i="6"/>
  <c r="AG878" i="6" s="1"/>
  <c r="F885" i="6"/>
  <c r="G885" i="6"/>
  <c r="H885" i="6"/>
  <c r="Y885" i="6" s="1"/>
  <c r="I885" i="6"/>
  <c r="J885" i="6"/>
  <c r="K885" i="6"/>
  <c r="L885" i="6"/>
  <c r="M885" i="6"/>
  <c r="O885" i="6"/>
  <c r="AL878" i="6" s="1"/>
  <c r="P885" i="6"/>
  <c r="Q885" i="6"/>
  <c r="S885" i="6"/>
  <c r="T885" i="6"/>
  <c r="U885" i="6"/>
  <c r="V885" i="6"/>
  <c r="AO878" i="6" s="1"/>
  <c r="W885" i="6"/>
  <c r="R887" i="6"/>
  <c r="AF887" i="6"/>
  <c r="D894" i="6"/>
  <c r="E894" i="6"/>
  <c r="F894" i="6"/>
  <c r="G894" i="6"/>
  <c r="H894" i="6"/>
  <c r="I894" i="6"/>
  <c r="J894" i="6"/>
  <c r="K894" i="6"/>
  <c r="L894" i="6"/>
  <c r="M894" i="6"/>
  <c r="O894" i="6"/>
  <c r="P894" i="6"/>
  <c r="Q894" i="6"/>
  <c r="S894" i="6"/>
  <c r="T894" i="6"/>
  <c r="U894" i="6"/>
  <c r="V894" i="6"/>
  <c r="W894" i="6"/>
  <c r="D895" i="6"/>
  <c r="Y895" i="6"/>
  <c r="D896" i="6"/>
  <c r="H896" i="6"/>
  <c r="Y896" i="6" s="1"/>
  <c r="D897" i="6"/>
  <c r="AF983" i="6" s="1"/>
  <c r="E897" i="6"/>
  <c r="F897" i="6"/>
  <c r="G897" i="6"/>
  <c r="I897" i="6"/>
  <c r="J897" i="6"/>
  <c r="K897" i="6"/>
  <c r="L897" i="6"/>
  <c r="M897" i="6"/>
  <c r="O897" i="6"/>
  <c r="P897" i="6"/>
  <c r="Q897" i="6"/>
  <c r="S897" i="6"/>
  <c r="T897" i="6"/>
  <c r="U897" i="6"/>
  <c r="V897" i="6"/>
  <c r="W897" i="6"/>
  <c r="Y897" i="6"/>
  <c r="D898" i="6"/>
  <c r="E898" i="6"/>
  <c r="F898" i="6"/>
  <c r="G898" i="6"/>
  <c r="I898" i="6"/>
  <c r="J898" i="6"/>
  <c r="K898" i="6"/>
  <c r="L898" i="6"/>
  <c r="M898" i="6"/>
  <c r="O898" i="6"/>
  <c r="P898" i="6"/>
  <c r="Q898" i="6"/>
  <c r="S898" i="6"/>
  <c r="T898" i="6"/>
  <c r="U898" i="6"/>
  <c r="V898" i="6"/>
  <c r="W898" i="6"/>
  <c r="Y898" i="6"/>
  <c r="R900" i="6"/>
  <c r="D903" i="6"/>
  <c r="E903" i="6"/>
  <c r="F903" i="6"/>
  <c r="G903" i="6"/>
  <c r="I903" i="6"/>
  <c r="J903" i="6"/>
  <c r="K903" i="6"/>
  <c r="L903" i="6"/>
  <c r="M903" i="6"/>
  <c r="O903" i="6"/>
  <c r="P903" i="6"/>
  <c r="Q903" i="6"/>
  <c r="R903" i="6"/>
  <c r="Y903" i="6" s="1"/>
  <c r="S903" i="6"/>
  <c r="T903" i="6"/>
  <c r="U903" i="6"/>
  <c r="V903" i="6"/>
  <c r="W903" i="6"/>
  <c r="D904" i="6"/>
  <c r="D905" i="6"/>
  <c r="E905" i="6"/>
  <c r="F905" i="6"/>
  <c r="G905" i="6"/>
  <c r="H905" i="6"/>
  <c r="Y905" i="6" s="1"/>
  <c r="Z905" i="6" s="1"/>
  <c r="I905" i="6"/>
  <c r="J905" i="6"/>
  <c r="K905" i="6"/>
  <c r="L905" i="6"/>
  <c r="M905" i="6"/>
  <c r="O905" i="6"/>
  <c r="P905" i="6"/>
  <c r="Q905" i="6"/>
  <c r="S905" i="6"/>
  <c r="T905" i="6"/>
  <c r="U905" i="6"/>
  <c r="V905" i="6"/>
  <c r="W905" i="6"/>
  <c r="D906" i="6"/>
  <c r="H906" i="6"/>
  <c r="Y906" i="6" s="1"/>
  <c r="D907" i="6"/>
  <c r="AF986" i="6" s="1"/>
  <c r="E907" i="6"/>
  <c r="F907" i="6"/>
  <c r="G907" i="6"/>
  <c r="I907" i="6"/>
  <c r="J907" i="6"/>
  <c r="K907" i="6"/>
  <c r="L907" i="6"/>
  <c r="M907" i="6"/>
  <c r="O907" i="6"/>
  <c r="P907" i="6"/>
  <c r="Q907" i="6"/>
  <c r="S907" i="6"/>
  <c r="T907" i="6"/>
  <c r="U907" i="6"/>
  <c r="V907" i="6"/>
  <c r="W907" i="6"/>
  <c r="Y907" i="6"/>
  <c r="D908" i="6"/>
  <c r="AF987" i="6" s="1"/>
  <c r="E908" i="6"/>
  <c r="F908" i="6"/>
  <c r="G908" i="6"/>
  <c r="I908" i="6"/>
  <c r="J908" i="6"/>
  <c r="K908" i="6"/>
  <c r="L908" i="6"/>
  <c r="M908" i="6"/>
  <c r="P908" i="6"/>
  <c r="Q908" i="6"/>
  <c r="R908" i="6"/>
  <c r="Y908" i="6" s="1"/>
  <c r="S908" i="6"/>
  <c r="T908" i="6"/>
  <c r="U908" i="6"/>
  <c r="V908" i="6"/>
  <c r="W908" i="6"/>
  <c r="D909" i="6"/>
  <c r="E909" i="6"/>
  <c r="F909" i="6"/>
  <c r="G909" i="6"/>
  <c r="I909" i="6"/>
  <c r="J909" i="6"/>
  <c r="K909" i="6"/>
  <c r="L909" i="6"/>
  <c r="M909" i="6"/>
  <c r="O909" i="6"/>
  <c r="P909" i="6"/>
  <c r="Q909" i="6"/>
  <c r="R909" i="6"/>
  <c r="Y909" i="6" s="1"/>
  <c r="Z909" i="6" s="1"/>
  <c r="S909" i="6"/>
  <c r="T909" i="6"/>
  <c r="U909" i="6"/>
  <c r="V909" i="6"/>
  <c r="W909" i="6"/>
  <c r="D914" i="6"/>
  <c r="E914" i="6"/>
  <c r="F914" i="6"/>
  <c r="G914" i="6"/>
  <c r="I914" i="6"/>
  <c r="J914" i="6"/>
  <c r="K914" i="6"/>
  <c r="L914" i="6"/>
  <c r="M914" i="6"/>
  <c r="P914" i="6"/>
  <c r="Q914" i="6"/>
  <c r="R914" i="6"/>
  <c r="S914" i="6"/>
  <c r="T914" i="6"/>
  <c r="U914" i="6"/>
  <c r="V914" i="6"/>
  <c r="W914" i="6"/>
  <c r="D915" i="6"/>
  <c r="E915" i="6"/>
  <c r="F915" i="6"/>
  <c r="G915" i="6"/>
  <c r="H915" i="6"/>
  <c r="I915" i="6"/>
  <c r="J915" i="6"/>
  <c r="K915" i="6"/>
  <c r="L915" i="6"/>
  <c r="M915" i="6"/>
  <c r="O915" i="6"/>
  <c r="P915" i="6"/>
  <c r="Q915" i="6"/>
  <c r="S915" i="6"/>
  <c r="T915" i="6"/>
  <c r="U915" i="6"/>
  <c r="V915" i="6"/>
  <c r="W915" i="6"/>
  <c r="D916" i="6"/>
  <c r="H916" i="6"/>
  <c r="Y916" i="6" s="1"/>
  <c r="E917" i="6"/>
  <c r="F917" i="6"/>
  <c r="G917" i="6"/>
  <c r="I917" i="6"/>
  <c r="J917" i="6"/>
  <c r="K917" i="6"/>
  <c r="L917" i="6"/>
  <c r="M917" i="6"/>
  <c r="P917" i="6"/>
  <c r="Q917" i="6"/>
  <c r="S917" i="6"/>
  <c r="T917" i="6"/>
  <c r="U917" i="6"/>
  <c r="V917" i="6"/>
  <c r="W917" i="6"/>
  <c r="Y917" i="6"/>
  <c r="Z917" i="6" s="1"/>
  <c r="E918" i="6"/>
  <c r="F918" i="6"/>
  <c r="G918" i="6"/>
  <c r="I918" i="6"/>
  <c r="J918" i="6"/>
  <c r="K918" i="6"/>
  <c r="L918" i="6"/>
  <c r="M918" i="6"/>
  <c r="O918" i="6"/>
  <c r="P918" i="6"/>
  <c r="Q918" i="6"/>
  <c r="S918" i="6"/>
  <c r="T918" i="6"/>
  <c r="U918" i="6"/>
  <c r="V918" i="6"/>
  <c r="W918" i="6"/>
  <c r="Y918" i="6"/>
  <c r="Z918" i="6" s="1"/>
  <c r="C919" i="6"/>
  <c r="D919" i="6"/>
  <c r="AF989" i="6" s="1"/>
  <c r="E919" i="6"/>
  <c r="AG989" i="6" s="1"/>
  <c r="F919" i="6"/>
  <c r="AH989" i="6" s="1"/>
  <c r="G919" i="6"/>
  <c r="H919" i="6"/>
  <c r="Y919" i="6" s="1"/>
  <c r="Z919" i="6" s="1"/>
  <c r="I919" i="6"/>
  <c r="J919" i="6"/>
  <c r="K919" i="6"/>
  <c r="L919" i="6"/>
  <c r="AJ989" i="6" s="1"/>
  <c r="M919" i="6"/>
  <c r="O919" i="6"/>
  <c r="AL989" i="6" s="1"/>
  <c r="P919" i="6"/>
  <c r="AM989" i="6" s="1"/>
  <c r="Q919" i="6"/>
  <c r="S919" i="6"/>
  <c r="T919" i="6"/>
  <c r="U919" i="6"/>
  <c r="V919" i="6"/>
  <c r="AO989" i="6" s="1"/>
  <c r="W919" i="6"/>
  <c r="D923" i="6"/>
  <c r="E923" i="6"/>
  <c r="F923" i="6"/>
  <c r="G923" i="6"/>
  <c r="I923" i="6"/>
  <c r="J923" i="6"/>
  <c r="K923" i="6"/>
  <c r="L923" i="6"/>
  <c r="M923" i="6"/>
  <c r="N923" i="6"/>
  <c r="P923" i="6"/>
  <c r="Q923" i="6"/>
  <c r="R923" i="6"/>
  <c r="Y923" i="6" s="1"/>
  <c r="Z923" i="6" s="1"/>
  <c r="S923" i="6"/>
  <c r="T923" i="6"/>
  <c r="U923" i="6"/>
  <c r="V923" i="6"/>
  <c r="W923" i="6"/>
  <c r="X923" i="6"/>
  <c r="AA923" i="6"/>
  <c r="AB923" i="6"/>
  <c r="D924" i="6"/>
  <c r="E924" i="6"/>
  <c r="F924" i="6"/>
  <c r="G924" i="6"/>
  <c r="H924" i="6"/>
  <c r="I924" i="6"/>
  <c r="J924" i="6"/>
  <c r="K924" i="6"/>
  <c r="L924" i="6"/>
  <c r="M924" i="6"/>
  <c r="O924" i="6"/>
  <c r="P924" i="6"/>
  <c r="Q924" i="6"/>
  <c r="S924" i="6"/>
  <c r="T924" i="6"/>
  <c r="U924" i="6"/>
  <c r="V924" i="6"/>
  <c r="W924" i="6"/>
  <c r="D925" i="6"/>
  <c r="F925" i="6"/>
  <c r="G925" i="6"/>
  <c r="I925" i="6"/>
  <c r="J925" i="6"/>
  <c r="K925" i="6"/>
  <c r="L925" i="6"/>
  <c r="M925" i="6"/>
  <c r="O925" i="6"/>
  <c r="P925" i="6"/>
  <c r="Q925" i="6"/>
  <c r="S925" i="6"/>
  <c r="T925" i="6"/>
  <c r="U925" i="6"/>
  <c r="V925" i="6"/>
  <c r="W925" i="6"/>
  <c r="D927" i="6"/>
  <c r="H927" i="6"/>
  <c r="Y927" i="6" s="1"/>
  <c r="E928" i="6"/>
  <c r="F928" i="6"/>
  <c r="G928" i="6"/>
  <c r="I928" i="6"/>
  <c r="J928" i="6"/>
  <c r="K928" i="6"/>
  <c r="L928" i="6"/>
  <c r="M928" i="6"/>
  <c r="O928" i="6"/>
  <c r="P928" i="6"/>
  <c r="Q928" i="6"/>
  <c r="S928" i="6"/>
  <c r="T928" i="6"/>
  <c r="U928" i="6"/>
  <c r="V928" i="6"/>
  <c r="W928" i="6"/>
  <c r="E929" i="6"/>
  <c r="F929" i="6"/>
  <c r="G929" i="6"/>
  <c r="I929" i="6"/>
  <c r="J929" i="6"/>
  <c r="K929" i="6"/>
  <c r="L929" i="6"/>
  <c r="M929" i="6"/>
  <c r="O929" i="6"/>
  <c r="P929" i="6"/>
  <c r="Q929" i="6"/>
  <c r="S929" i="6"/>
  <c r="T929" i="6"/>
  <c r="U929" i="6"/>
  <c r="V929" i="6"/>
  <c r="W929" i="6"/>
  <c r="R931" i="6"/>
  <c r="D934" i="6"/>
  <c r="E934" i="6"/>
  <c r="F934" i="6"/>
  <c r="G934" i="6"/>
  <c r="H934" i="6"/>
  <c r="Y934" i="6" s="1"/>
  <c r="Z934" i="6" s="1"/>
  <c r="I934" i="6"/>
  <c r="J934" i="6"/>
  <c r="K934" i="6"/>
  <c r="L934" i="6"/>
  <c r="M934" i="6"/>
  <c r="O934" i="6"/>
  <c r="P934" i="6"/>
  <c r="Q934" i="6"/>
  <c r="S934" i="6"/>
  <c r="T934" i="6"/>
  <c r="U934" i="6"/>
  <c r="V934" i="6"/>
  <c r="W934" i="6"/>
  <c r="D935" i="6"/>
  <c r="F935" i="6"/>
  <c r="G935" i="6"/>
  <c r="H935" i="6"/>
  <c r="Y935" i="6" s="1"/>
  <c r="I935" i="6"/>
  <c r="J935" i="6"/>
  <c r="K935" i="6"/>
  <c r="L935" i="6"/>
  <c r="M935" i="6"/>
  <c r="O935" i="6"/>
  <c r="P935" i="6"/>
  <c r="Q935" i="6"/>
  <c r="S935" i="6"/>
  <c r="T935" i="6"/>
  <c r="U935" i="6"/>
  <c r="V935" i="6"/>
  <c r="W935" i="6"/>
  <c r="D936" i="6"/>
  <c r="H936" i="6"/>
  <c r="Y936" i="6" s="1"/>
  <c r="D937" i="6"/>
  <c r="H937" i="6"/>
  <c r="D938" i="6"/>
  <c r="AF980" i="6" s="1"/>
  <c r="F938" i="6"/>
  <c r="AH980" i="6" s="1"/>
  <c r="G938" i="6"/>
  <c r="H938" i="6"/>
  <c r="Y938" i="6" s="1"/>
  <c r="I938" i="6"/>
  <c r="J938" i="6"/>
  <c r="K938" i="6"/>
  <c r="L938" i="6"/>
  <c r="AJ980" i="6" s="1"/>
  <c r="M938" i="6"/>
  <c r="O938" i="6"/>
  <c r="AL980" i="6" s="1"/>
  <c r="P938" i="6"/>
  <c r="AM980" i="6" s="1"/>
  <c r="Q938" i="6"/>
  <c r="S938" i="6"/>
  <c r="T938" i="6"/>
  <c r="U938" i="6"/>
  <c r="V938" i="6"/>
  <c r="W938" i="6"/>
  <c r="E939" i="6"/>
  <c r="F939" i="6"/>
  <c r="G939" i="6"/>
  <c r="I939" i="6"/>
  <c r="J939" i="6"/>
  <c r="K939" i="6"/>
  <c r="L939" i="6"/>
  <c r="M939" i="6"/>
  <c r="O939" i="6"/>
  <c r="P939" i="6"/>
  <c r="Q939" i="6"/>
  <c r="S939" i="6"/>
  <c r="T939" i="6"/>
  <c r="U939" i="6"/>
  <c r="V939" i="6"/>
  <c r="W939" i="6"/>
  <c r="Y939" i="6"/>
  <c r="Z939" i="6" s="1"/>
  <c r="E940" i="6"/>
  <c r="F940" i="6"/>
  <c r="G940" i="6"/>
  <c r="I940" i="6"/>
  <c r="J940" i="6"/>
  <c r="K940" i="6"/>
  <c r="L940" i="6"/>
  <c r="M940" i="6"/>
  <c r="P940" i="6"/>
  <c r="Q940" i="6"/>
  <c r="S940" i="6"/>
  <c r="T940" i="6"/>
  <c r="U940" i="6"/>
  <c r="V940" i="6"/>
  <c r="W940" i="6"/>
  <c r="Y940" i="6"/>
  <c r="Z940" i="6" s="1"/>
  <c r="R942" i="6"/>
  <c r="D944" i="6"/>
  <c r="E944" i="6"/>
  <c r="F944" i="6"/>
  <c r="G944" i="6"/>
  <c r="I944" i="6"/>
  <c r="J944" i="6"/>
  <c r="K944" i="6"/>
  <c r="L944" i="6"/>
  <c r="M944" i="6"/>
  <c r="N944" i="6"/>
  <c r="O944" i="6"/>
  <c r="P944" i="6"/>
  <c r="Q944" i="6"/>
  <c r="S944" i="6"/>
  <c r="T944" i="6"/>
  <c r="U944" i="6"/>
  <c r="V944" i="6"/>
  <c r="W944" i="6"/>
  <c r="X944" i="6"/>
  <c r="Z944" i="6"/>
  <c r="AA944" i="6"/>
  <c r="AB944" i="6"/>
  <c r="D945" i="6"/>
  <c r="E945" i="6"/>
  <c r="F945" i="6"/>
  <c r="G945" i="6"/>
  <c r="H945" i="6"/>
  <c r="I945" i="6"/>
  <c r="J945" i="6"/>
  <c r="K945" i="6"/>
  <c r="L945" i="6"/>
  <c r="M945" i="6"/>
  <c r="P945" i="6"/>
  <c r="Q945" i="6"/>
  <c r="R945" i="6"/>
  <c r="R954" i="6" s="1"/>
  <c r="S945" i="6"/>
  <c r="T945" i="6"/>
  <c r="U945" i="6"/>
  <c r="V945" i="6"/>
  <c r="W945" i="6"/>
  <c r="D946" i="6"/>
  <c r="H946" i="6"/>
  <c r="Y946" i="6" s="1"/>
  <c r="D948" i="6"/>
  <c r="E948" i="6"/>
  <c r="F948" i="6"/>
  <c r="G948" i="6"/>
  <c r="H948" i="6"/>
  <c r="Y948" i="6" s="1"/>
  <c r="I948" i="6"/>
  <c r="J948" i="6"/>
  <c r="K948" i="6"/>
  <c r="L948" i="6"/>
  <c r="M948" i="6"/>
  <c r="O948" i="6"/>
  <c r="P948" i="6"/>
  <c r="Q948" i="6"/>
  <c r="S948" i="6"/>
  <c r="T948" i="6"/>
  <c r="U948" i="6"/>
  <c r="V948" i="6"/>
  <c r="W948" i="6"/>
  <c r="D949" i="6"/>
  <c r="E949" i="6"/>
  <c r="F949" i="6"/>
  <c r="AH977" i="6" s="1"/>
  <c r="G949" i="6"/>
  <c r="H949" i="6"/>
  <c r="Y949" i="6" s="1"/>
  <c r="I949" i="6"/>
  <c r="J949" i="6"/>
  <c r="K949" i="6"/>
  <c r="L949" i="6"/>
  <c r="AJ977" i="6" s="1"/>
  <c r="M949" i="6"/>
  <c r="O949" i="6"/>
  <c r="AL977" i="6" s="1"/>
  <c r="P949" i="6"/>
  <c r="Q949" i="6"/>
  <c r="S949" i="6"/>
  <c r="T949" i="6"/>
  <c r="U949" i="6"/>
  <c r="V949" i="6"/>
  <c r="AO977" i="6" s="1"/>
  <c r="W949" i="6"/>
  <c r="D950" i="6"/>
  <c r="H950" i="6"/>
  <c r="E951" i="6"/>
  <c r="F951" i="6"/>
  <c r="G951" i="6"/>
  <c r="I951" i="6"/>
  <c r="J951" i="6"/>
  <c r="K951" i="6"/>
  <c r="L951" i="6"/>
  <c r="M951" i="6"/>
  <c r="O951" i="6"/>
  <c r="P951" i="6"/>
  <c r="Q951" i="6"/>
  <c r="S951" i="6"/>
  <c r="T951" i="6"/>
  <c r="U951" i="6"/>
  <c r="V951" i="6"/>
  <c r="W951" i="6"/>
  <c r="Y951" i="6"/>
  <c r="Z951" i="6" s="1"/>
  <c r="D952" i="6"/>
  <c r="E952" i="6"/>
  <c r="F952" i="6"/>
  <c r="G952" i="6"/>
  <c r="I952" i="6"/>
  <c r="J952" i="6"/>
  <c r="K952" i="6"/>
  <c r="L952" i="6"/>
  <c r="M952" i="6"/>
  <c r="P952" i="6"/>
  <c r="Q952" i="6"/>
  <c r="S952" i="6"/>
  <c r="T952" i="6"/>
  <c r="U952" i="6"/>
  <c r="V952" i="6"/>
  <c r="W952" i="6"/>
  <c r="Y952" i="6"/>
  <c r="E958" i="6"/>
  <c r="F958" i="6"/>
  <c r="G958" i="6"/>
  <c r="I958" i="6"/>
  <c r="J958" i="6"/>
  <c r="K958" i="6"/>
  <c r="L958" i="6"/>
  <c r="M958" i="6"/>
  <c r="P958" i="6"/>
  <c r="Q958" i="6"/>
  <c r="S958" i="6"/>
  <c r="T958" i="6"/>
  <c r="U958" i="6"/>
  <c r="V958" i="6"/>
  <c r="W958" i="6"/>
  <c r="Y958" i="6"/>
  <c r="Z958" i="6" s="1"/>
  <c r="D959" i="6"/>
  <c r="D962" i="6" s="1"/>
  <c r="E959" i="6"/>
  <c r="F959" i="6"/>
  <c r="G959" i="6"/>
  <c r="H959" i="6"/>
  <c r="I959" i="6"/>
  <c r="J959" i="6"/>
  <c r="K959" i="6"/>
  <c r="L959" i="6"/>
  <c r="M959" i="6"/>
  <c r="O959" i="6"/>
  <c r="P959" i="6"/>
  <c r="Q959" i="6"/>
  <c r="S959" i="6"/>
  <c r="T959" i="6"/>
  <c r="U959" i="6"/>
  <c r="V959" i="6"/>
  <c r="W959" i="6"/>
  <c r="E960" i="6"/>
  <c r="F960" i="6"/>
  <c r="G960" i="6"/>
  <c r="I960" i="6"/>
  <c r="J960" i="6"/>
  <c r="K960" i="6"/>
  <c r="L960" i="6"/>
  <c r="M960" i="6"/>
  <c r="O960" i="6"/>
  <c r="P960" i="6"/>
  <c r="Q960" i="6"/>
  <c r="S960" i="6"/>
  <c r="T960" i="6"/>
  <c r="U960" i="6"/>
  <c r="V960" i="6"/>
  <c r="W960" i="6"/>
  <c r="Y960" i="6"/>
  <c r="Z960" i="6" s="1"/>
  <c r="R962" i="6"/>
  <c r="E964" i="6"/>
  <c r="F964" i="6"/>
  <c r="G964" i="6"/>
  <c r="I964" i="6"/>
  <c r="J964" i="6"/>
  <c r="K964" i="6"/>
  <c r="L964" i="6"/>
  <c r="M964" i="6"/>
  <c r="N964" i="6"/>
  <c r="O964" i="6"/>
  <c r="P964" i="6"/>
  <c r="Q964" i="6"/>
  <c r="S964" i="6"/>
  <c r="T964" i="6"/>
  <c r="U964" i="6"/>
  <c r="V964" i="6"/>
  <c r="W964" i="6"/>
  <c r="X964" i="6"/>
  <c r="Z964" i="6"/>
  <c r="AA964" i="6"/>
  <c r="AB964" i="6"/>
  <c r="D965" i="6"/>
  <c r="E965" i="6"/>
  <c r="F965" i="6"/>
  <c r="G965" i="6"/>
  <c r="I965" i="6"/>
  <c r="J965" i="6"/>
  <c r="K965" i="6"/>
  <c r="L965" i="6"/>
  <c r="M965" i="6"/>
  <c r="O965" i="6"/>
  <c r="P965" i="6"/>
  <c r="Q965" i="6"/>
  <c r="S965" i="6"/>
  <c r="T965" i="6"/>
  <c r="U965" i="6"/>
  <c r="V965" i="6"/>
  <c r="W965" i="6"/>
  <c r="D966" i="6"/>
  <c r="F966" i="6"/>
  <c r="G966" i="6"/>
  <c r="H966" i="6"/>
  <c r="I966" i="6"/>
  <c r="J966" i="6"/>
  <c r="K966" i="6"/>
  <c r="L966" i="6"/>
  <c r="M966" i="6"/>
  <c r="O966" i="6"/>
  <c r="P966" i="6"/>
  <c r="Q966" i="6"/>
  <c r="S966" i="6"/>
  <c r="T966" i="6"/>
  <c r="U966" i="6"/>
  <c r="V966" i="6"/>
  <c r="W966" i="6"/>
  <c r="D967" i="6"/>
  <c r="H967" i="6"/>
  <c r="Y967" i="6" s="1"/>
  <c r="D969" i="6"/>
  <c r="AF978" i="6" s="1"/>
  <c r="E969" i="6"/>
  <c r="AG978" i="6" s="1"/>
  <c r="F969" i="6"/>
  <c r="AH978" i="6" s="1"/>
  <c r="G969" i="6"/>
  <c r="H969" i="6"/>
  <c r="I969" i="6"/>
  <c r="J969" i="6"/>
  <c r="K969" i="6"/>
  <c r="L969" i="6"/>
  <c r="AJ978" i="6" s="1"/>
  <c r="M969" i="6"/>
  <c r="O969" i="6"/>
  <c r="AL978" i="6" s="1"/>
  <c r="P969" i="6"/>
  <c r="AM978" i="6" s="1"/>
  <c r="Q969" i="6"/>
  <c r="S969" i="6"/>
  <c r="T969" i="6"/>
  <c r="U969" i="6"/>
  <c r="V969" i="6"/>
  <c r="AO978" i="6" s="1"/>
  <c r="W969" i="6"/>
  <c r="D970" i="6"/>
  <c r="H970" i="6"/>
  <c r="Y970" i="6" s="1"/>
  <c r="D971" i="6"/>
  <c r="H971" i="6"/>
  <c r="Y971" i="6" s="1"/>
  <c r="D972" i="6"/>
  <c r="E972" i="6"/>
  <c r="F972" i="6"/>
  <c r="G972" i="6"/>
  <c r="I972" i="6"/>
  <c r="J972" i="6"/>
  <c r="K972" i="6"/>
  <c r="L972" i="6"/>
  <c r="M972" i="6"/>
  <c r="O972" i="6"/>
  <c r="P972" i="6"/>
  <c r="Q972" i="6"/>
  <c r="S972" i="6"/>
  <c r="T972" i="6"/>
  <c r="U972" i="6"/>
  <c r="V972" i="6"/>
  <c r="W972" i="6"/>
  <c r="D977" i="6"/>
  <c r="E977" i="6"/>
  <c r="F977" i="6"/>
  <c r="G977" i="6"/>
  <c r="H977" i="6"/>
  <c r="Y977" i="6" s="1"/>
  <c r="I977" i="6"/>
  <c r="J977" i="6"/>
  <c r="K977" i="6"/>
  <c r="L977" i="6"/>
  <c r="M977" i="6"/>
  <c r="O977" i="6"/>
  <c r="P977" i="6"/>
  <c r="Q977" i="6"/>
  <c r="S977" i="6"/>
  <c r="T977" i="6"/>
  <c r="U977" i="6"/>
  <c r="V977" i="6"/>
  <c r="W977" i="6"/>
  <c r="D978" i="6"/>
  <c r="F978" i="6"/>
  <c r="G978" i="6"/>
  <c r="H978" i="6"/>
  <c r="Y978" i="6" s="1"/>
  <c r="I978" i="6"/>
  <c r="J978" i="6"/>
  <c r="K978" i="6"/>
  <c r="L978" i="6"/>
  <c r="M978" i="6"/>
  <c r="O978" i="6"/>
  <c r="P978" i="6"/>
  <c r="Q978" i="6"/>
  <c r="S978" i="6"/>
  <c r="T978" i="6"/>
  <c r="U978" i="6"/>
  <c r="V978" i="6"/>
  <c r="W978" i="6"/>
  <c r="D979" i="6"/>
  <c r="H979" i="6"/>
  <c r="D980" i="6"/>
  <c r="E980" i="6"/>
  <c r="F980" i="6"/>
  <c r="G980" i="6"/>
  <c r="I980" i="6"/>
  <c r="J980" i="6"/>
  <c r="K980" i="6"/>
  <c r="L980" i="6"/>
  <c r="M980" i="6"/>
  <c r="O980" i="6"/>
  <c r="P980" i="6"/>
  <c r="Q980" i="6"/>
  <c r="R980" i="6"/>
  <c r="Y980" i="6" s="1"/>
  <c r="Z980" i="6" s="1"/>
  <c r="S980" i="6"/>
  <c r="T980" i="6"/>
  <c r="U980" i="6"/>
  <c r="V980" i="6"/>
  <c r="W980" i="6"/>
  <c r="AF984" i="6"/>
  <c r="D985" i="6"/>
  <c r="E985" i="6"/>
  <c r="F985" i="6"/>
  <c r="G985" i="6"/>
  <c r="H985" i="6"/>
  <c r="Y985" i="6" s="1"/>
  <c r="Z985" i="6" s="1"/>
  <c r="I985" i="6"/>
  <c r="J985" i="6"/>
  <c r="K985" i="6"/>
  <c r="L985" i="6"/>
  <c r="M985" i="6"/>
  <c r="O985" i="6"/>
  <c r="P985" i="6"/>
  <c r="Q985" i="6"/>
  <c r="S985" i="6"/>
  <c r="T985" i="6"/>
  <c r="U985" i="6"/>
  <c r="V985" i="6"/>
  <c r="W985" i="6"/>
  <c r="D986" i="6"/>
  <c r="F986" i="6"/>
  <c r="G986" i="6"/>
  <c r="H986" i="6"/>
  <c r="I986" i="6"/>
  <c r="J986" i="6"/>
  <c r="K986" i="6"/>
  <c r="L986" i="6"/>
  <c r="M986" i="6"/>
  <c r="O986" i="6"/>
  <c r="P986" i="6"/>
  <c r="Q986" i="6"/>
  <c r="S986" i="6"/>
  <c r="T986" i="6"/>
  <c r="U986" i="6"/>
  <c r="V986" i="6"/>
  <c r="W986" i="6"/>
  <c r="R988" i="6"/>
  <c r="Y991" i="6"/>
  <c r="M994" i="6"/>
  <c r="Q994" i="6"/>
  <c r="W994" i="6"/>
  <c r="D999" i="6"/>
  <c r="E999" i="6"/>
  <c r="F999" i="6"/>
  <c r="G999" i="6"/>
  <c r="H999" i="6"/>
  <c r="Y999" i="6" s="1"/>
  <c r="Z999" i="6" s="1"/>
  <c r="I999" i="6"/>
  <c r="J999" i="6"/>
  <c r="K999" i="6"/>
  <c r="L999" i="6"/>
  <c r="M999" i="6"/>
  <c r="O999" i="6"/>
  <c r="P999" i="6"/>
  <c r="Q999" i="6"/>
  <c r="S999" i="6"/>
  <c r="T999" i="6"/>
  <c r="U999" i="6"/>
  <c r="V999" i="6"/>
  <c r="W999" i="6"/>
  <c r="D1000" i="6"/>
  <c r="E1000" i="6"/>
  <c r="F1000" i="6"/>
  <c r="G1000" i="6"/>
  <c r="H1000" i="6"/>
  <c r="Y1000" i="6" s="1"/>
  <c r="Z1000" i="6" s="1"/>
  <c r="I1000" i="6"/>
  <c r="J1000" i="6"/>
  <c r="K1000" i="6"/>
  <c r="L1000" i="6"/>
  <c r="M1000" i="6"/>
  <c r="O1000" i="6"/>
  <c r="P1000" i="6"/>
  <c r="Q1000" i="6"/>
  <c r="S1000" i="6"/>
  <c r="T1000" i="6"/>
  <c r="U1000" i="6"/>
  <c r="V1000" i="6"/>
  <c r="W1000" i="6"/>
  <c r="D1001" i="6"/>
  <c r="H1001" i="6"/>
  <c r="D1002" i="6"/>
  <c r="F1002" i="6"/>
  <c r="G1002" i="6"/>
  <c r="H1002" i="6"/>
  <c r="Y1002" i="6" s="1"/>
  <c r="I1002" i="6"/>
  <c r="J1002" i="6"/>
  <c r="K1002" i="6"/>
  <c r="L1002" i="6"/>
  <c r="M1002" i="6"/>
  <c r="O1002" i="6"/>
  <c r="P1002" i="6"/>
  <c r="Q1002" i="6"/>
  <c r="S1002" i="6"/>
  <c r="T1002" i="6"/>
  <c r="U1002" i="6"/>
  <c r="V1002" i="6"/>
  <c r="W1002" i="6"/>
  <c r="D1003" i="6"/>
  <c r="H1003" i="6"/>
  <c r="Y1003" i="6" s="1"/>
  <c r="D1004" i="6"/>
  <c r="H1004" i="6"/>
  <c r="Y1004" i="6"/>
  <c r="D1005" i="6"/>
  <c r="H1005" i="6"/>
  <c r="Y1005" i="6" s="1"/>
  <c r="D1006" i="6"/>
  <c r="H1006" i="6"/>
  <c r="Y1006" i="6" s="1"/>
  <c r="D1007" i="6"/>
  <c r="E1007" i="6"/>
  <c r="F1007" i="6"/>
  <c r="G1007" i="6"/>
  <c r="I1007" i="6"/>
  <c r="J1007" i="6"/>
  <c r="K1007" i="6"/>
  <c r="L1007" i="6"/>
  <c r="M1007" i="6"/>
  <c r="P1007" i="6"/>
  <c r="Q1007" i="6"/>
  <c r="R1007" i="6"/>
  <c r="Y1007" i="6" s="1"/>
  <c r="S1007" i="6"/>
  <c r="T1007" i="6"/>
  <c r="U1007" i="6"/>
  <c r="V1007" i="6"/>
  <c r="W1007" i="6"/>
  <c r="D1008" i="6"/>
  <c r="E1008" i="6"/>
  <c r="F1008" i="6"/>
  <c r="G1008" i="6"/>
  <c r="I1008" i="6"/>
  <c r="J1008" i="6"/>
  <c r="K1008" i="6"/>
  <c r="L1008" i="6"/>
  <c r="M1008" i="6"/>
  <c r="P1008" i="6"/>
  <c r="Q1008" i="6"/>
  <c r="R1008" i="6"/>
  <c r="Y1008" i="6" s="1"/>
  <c r="S1008" i="6"/>
  <c r="T1008" i="6"/>
  <c r="U1008" i="6"/>
  <c r="V1008" i="6"/>
  <c r="W1008" i="6"/>
  <c r="D1013" i="6"/>
  <c r="E1013" i="6"/>
  <c r="F1013" i="6"/>
  <c r="G1013" i="6"/>
  <c r="I1013" i="6"/>
  <c r="J1013" i="6"/>
  <c r="K1013" i="6"/>
  <c r="L1013" i="6"/>
  <c r="M1013" i="6"/>
  <c r="O1013" i="6"/>
  <c r="P1013" i="6"/>
  <c r="Q1013" i="6"/>
  <c r="R1013" i="6"/>
  <c r="Y1013" i="6" s="1"/>
  <c r="Z1013" i="6" s="1"/>
  <c r="S1013" i="6"/>
  <c r="T1013" i="6"/>
  <c r="U1013" i="6"/>
  <c r="V1013" i="6"/>
  <c r="W1013" i="6"/>
  <c r="D1014" i="6"/>
  <c r="E1014" i="6"/>
  <c r="F1014" i="6"/>
  <c r="G1014" i="6"/>
  <c r="H1014" i="6"/>
  <c r="Y1014" i="6" s="1"/>
  <c r="Z1014" i="6" s="1"/>
  <c r="I1014" i="6"/>
  <c r="J1014" i="6"/>
  <c r="K1014" i="6"/>
  <c r="L1014" i="6"/>
  <c r="M1014" i="6"/>
  <c r="O1014" i="6"/>
  <c r="P1014" i="6"/>
  <c r="Q1014" i="6"/>
  <c r="S1014" i="6"/>
  <c r="T1014" i="6"/>
  <c r="U1014" i="6"/>
  <c r="V1014" i="6"/>
  <c r="W1014" i="6"/>
  <c r="D1015" i="6"/>
  <c r="E1015" i="6"/>
  <c r="F1015" i="6"/>
  <c r="G1015" i="6"/>
  <c r="I1015" i="6"/>
  <c r="J1015" i="6"/>
  <c r="K1015" i="6"/>
  <c r="L1015" i="6"/>
  <c r="M1015" i="6"/>
  <c r="P1015" i="6"/>
  <c r="Q1015" i="6"/>
  <c r="R1015" i="6"/>
  <c r="S1015" i="6"/>
  <c r="T1015" i="6"/>
  <c r="U1015" i="6"/>
  <c r="V1015" i="6"/>
  <c r="W1015" i="6"/>
  <c r="D1016" i="6"/>
  <c r="E1016" i="6"/>
  <c r="F1016" i="6"/>
  <c r="G1016" i="6"/>
  <c r="I1016" i="6"/>
  <c r="J1016" i="6"/>
  <c r="K1016" i="6"/>
  <c r="L1016" i="6"/>
  <c r="M1016" i="6"/>
  <c r="O1016" i="6"/>
  <c r="P1016" i="6"/>
  <c r="Q1016" i="6"/>
  <c r="R1016" i="6"/>
  <c r="Y1016" i="6" s="1"/>
  <c r="Z1016" i="6" s="1"/>
  <c r="S1016" i="6"/>
  <c r="T1016" i="6"/>
  <c r="U1016" i="6"/>
  <c r="V1016" i="6"/>
  <c r="W1016" i="6"/>
  <c r="D1022" i="6"/>
  <c r="E1022" i="6"/>
  <c r="F1022" i="6"/>
  <c r="G1022" i="6"/>
  <c r="H1022" i="6"/>
  <c r="Y1022" i="6" s="1"/>
  <c r="Z1022" i="6" s="1"/>
  <c r="I1022" i="6"/>
  <c r="J1022" i="6"/>
  <c r="K1022" i="6"/>
  <c r="L1022" i="6"/>
  <c r="M1022" i="6"/>
  <c r="O1022" i="6"/>
  <c r="P1022" i="6"/>
  <c r="Q1022" i="6"/>
  <c r="S1022" i="6"/>
  <c r="T1022" i="6"/>
  <c r="U1022" i="6"/>
  <c r="V1022" i="6"/>
  <c r="W1022" i="6"/>
  <c r="D1023" i="6"/>
  <c r="H1023" i="6"/>
  <c r="Y1023" i="6" s="1"/>
  <c r="D1024" i="6"/>
  <c r="H1024" i="6"/>
  <c r="D1026" i="6"/>
  <c r="E1026" i="6"/>
  <c r="F1026" i="6"/>
  <c r="G1026" i="6"/>
  <c r="H1026" i="6"/>
  <c r="I1026" i="6"/>
  <c r="J1026" i="6"/>
  <c r="K1026" i="6"/>
  <c r="L1026" i="6"/>
  <c r="M1026" i="6"/>
  <c r="O1026" i="6"/>
  <c r="P1026" i="6"/>
  <c r="Q1026" i="6"/>
  <c r="S1026" i="6"/>
  <c r="T1026" i="6"/>
  <c r="U1026" i="6"/>
  <c r="V1026" i="6"/>
  <c r="W1026" i="6"/>
  <c r="E1027" i="6"/>
  <c r="F1027" i="6"/>
  <c r="G1027" i="6"/>
  <c r="I1027" i="6"/>
  <c r="J1027" i="6"/>
  <c r="K1027" i="6"/>
  <c r="L1027" i="6"/>
  <c r="M1027" i="6"/>
  <c r="O1027" i="6"/>
  <c r="P1027" i="6"/>
  <c r="Q1027" i="6"/>
  <c r="S1027" i="6"/>
  <c r="T1027" i="6"/>
  <c r="U1027" i="6"/>
  <c r="V1027" i="6"/>
  <c r="W1027" i="6"/>
  <c r="Y1027" i="6"/>
  <c r="Z1027" i="6" s="1"/>
  <c r="E1028" i="6"/>
  <c r="F1028" i="6"/>
  <c r="G1028" i="6"/>
  <c r="I1028" i="6"/>
  <c r="J1028" i="6"/>
  <c r="K1028" i="6"/>
  <c r="L1028" i="6"/>
  <c r="M1028" i="6"/>
  <c r="O1028" i="6"/>
  <c r="P1028" i="6"/>
  <c r="Q1028" i="6"/>
  <c r="S1028" i="6"/>
  <c r="T1028" i="6"/>
  <c r="U1028" i="6"/>
  <c r="V1028" i="6"/>
  <c r="W1028" i="6"/>
  <c r="Y1028" i="6"/>
  <c r="Z1028" i="6" s="1"/>
  <c r="R1030" i="6"/>
  <c r="D1034" i="6"/>
  <c r="E1034" i="6"/>
  <c r="F1034" i="6"/>
  <c r="G1034" i="6"/>
  <c r="H1034" i="6"/>
  <c r="Y1034" i="6" s="1"/>
  <c r="I1034" i="6"/>
  <c r="J1034" i="6"/>
  <c r="K1034" i="6"/>
  <c r="L1034" i="6"/>
  <c r="M1034" i="6"/>
  <c r="O1034" i="6"/>
  <c r="P1034" i="6"/>
  <c r="Q1034" i="6"/>
  <c r="S1034" i="6"/>
  <c r="T1034" i="6"/>
  <c r="U1034" i="6"/>
  <c r="V1034" i="6"/>
  <c r="W1034" i="6"/>
  <c r="D1035" i="6"/>
  <c r="E1035" i="6"/>
  <c r="F1035" i="6"/>
  <c r="G1035" i="6"/>
  <c r="H1035" i="6"/>
  <c r="Y1035" i="6" s="1"/>
  <c r="Z1035" i="6" s="1"/>
  <c r="I1035" i="6"/>
  <c r="J1035" i="6"/>
  <c r="K1035" i="6"/>
  <c r="L1035" i="6"/>
  <c r="M1035" i="6"/>
  <c r="O1035" i="6"/>
  <c r="P1035" i="6"/>
  <c r="Q1035" i="6"/>
  <c r="S1035" i="6"/>
  <c r="T1035" i="6"/>
  <c r="U1035" i="6"/>
  <c r="V1035" i="6"/>
  <c r="W1035" i="6"/>
  <c r="D1036" i="6"/>
  <c r="H1036" i="6"/>
  <c r="Y1036" i="6" s="1"/>
  <c r="D1037" i="6"/>
  <c r="E1037" i="6"/>
  <c r="F1037" i="6"/>
  <c r="G1037" i="6"/>
  <c r="I1037" i="6"/>
  <c r="J1037" i="6"/>
  <c r="K1037" i="6"/>
  <c r="L1037" i="6"/>
  <c r="M1037" i="6"/>
  <c r="O1037" i="6"/>
  <c r="P1037" i="6"/>
  <c r="Q1037" i="6"/>
  <c r="R1037" i="6"/>
  <c r="S1037" i="6"/>
  <c r="T1037" i="6"/>
  <c r="U1037" i="6"/>
  <c r="V1037" i="6"/>
  <c r="W1037" i="6"/>
  <c r="E1038" i="6"/>
  <c r="F1038" i="6"/>
  <c r="G1038" i="6"/>
  <c r="I1038" i="6"/>
  <c r="J1038" i="6"/>
  <c r="K1038" i="6"/>
  <c r="L1038" i="6"/>
  <c r="M1038" i="6"/>
  <c r="O1038" i="6"/>
  <c r="P1038" i="6"/>
  <c r="Q1038" i="6"/>
  <c r="S1038" i="6"/>
  <c r="T1038" i="6"/>
  <c r="U1038" i="6"/>
  <c r="V1038" i="6"/>
  <c r="W1038" i="6"/>
  <c r="Y1038" i="6"/>
  <c r="Z1038" i="6" s="1"/>
  <c r="E1039" i="6"/>
  <c r="F1039" i="6"/>
  <c r="G1039" i="6"/>
  <c r="I1039" i="6"/>
  <c r="J1039" i="6"/>
  <c r="K1039" i="6"/>
  <c r="L1039" i="6"/>
  <c r="M1039" i="6"/>
  <c r="O1039" i="6"/>
  <c r="P1039" i="6"/>
  <c r="Q1039" i="6"/>
  <c r="S1039" i="6"/>
  <c r="T1039" i="6"/>
  <c r="U1039" i="6"/>
  <c r="V1039" i="6"/>
  <c r="W1039" i="6"/>
  <c r="Y1039" i="6"/>
  <c r="Z1039" i="6" s="1"/>
  <c r="E1043" i="6"/>
  <c r="F1043" i="6"/>
  <c r="G1043" i="6"/>
  <c r="I1043" i="6"/>
  <c r="J1043" i="6"/>
  <c r="K1043" i="6"/>
  <c r="L1043" i="6"/>
  <c r="M1043" i="6"/>
  <c r="O1043" i="6"/>
  <c r="P1043" i="6"/>
  <c r="Q1043" i="6"/>
  <c r="R1043" i="6"/>
  <c r="Y1043" i="6" s="1"/>
  <c r="Z1043" i="6" s="1"/>
  <c r="S1043" i="6"/>
  <c r="T1043" i="6"/>
  <c r="U1043" i="6"/>
  <c r="V1043" i="6"/>
  <c r="W1043" i="6"/>
  <c r="E1044" i="6"/>
  <c r="F1044" i="6"/>
  <c r="G1044" i="6"/>
  <c r="I1044" i="6"/>
  <c r="J1044" i="6"/>
  <c r="K1044" i="6"/>
  <c r="L1044" i="6"/>
  <c r="M1044" i="6"/>
  <c r="O1044" i="6"/>
  <c r="P1044" i="6"/>
  <c r="Q1044" i="6"/>
  <c r="S1044" i="6"/>
  <c r="T1044" i="6"/>
  <c r="U1044" i="6"/>
  <c r="V1044" i="6"/>
  <c r="W1044" i="6"/>
  <c r="Y1044" i="6"/>
  <c r="Z1044" i="6" s="1"/>
  <c r="D1045" i="6"/>
  <c r="E1045" i="6"/>
  <c r="F1045" i="6"/>
  <c r="G1045" i="6"/>
  <c r="H1045" i="6"/>
  <c r="I1045" i="6"/>
  <c r="J1045" i="6"/>
  <c r="K1045" i="6"/>
  <c r="L1045" i="6"/>
  <c r="M1045" i="6"/>
  <c r="O1045" i="6"/>
  <c r="P1045" i="6"/>
  <c r="Q1045" i="6"/>
  <c r="S1045" i="6"/>
  <c r="T1045" i="6"/>
  <c r="U1045" i="6"/>
  <c r="V1045" i="6"/>
  <c r="W1045" i="6"/>
  <c r="D1046" i="6"/>
  <c r="H1046" i="6"/>
  <c r="Y1046" i="6" s="1"/>
  <c r="D1047" i="6"/>
  <c r="E1047" i="6"/>
  <c r="F1047" i="6"/>
  <c r="G1047" i="6"/>
  <c r="I1047" i="6"/>
  <c r="J1047" i="6"/>
  <c r="K1047" i="6"/>
  <c r="L1047" i="6"/>
  <c r="M1047" i="6"/>
  <c r="O1047" i="6"/>
  <c r="P1047" i="6"/>
  <c r="Q1047" i="6"/>
  <c r="R1047" i="6"/>
  <c r="Y1047" i="6" s="1"/>
  <c r="Z1047" i="6" s="1"/>
  <c r="S1047" i="6"/>
  <c r="T1047" i="6"/>
  <c r="U1047" i="6"/>
  <c r="V1047" i="6"/>
  <c r="W1047" i="6"/>
  <c r="D1048" i="6"/>
  <c r="E1048" i="6"/>
  <c r="F1048" i="6"/>
  <c r="G1048" i="6"/>
  <c r="I1048" i="6"/>
  <c r="J1048" i="6"/>
  <c r="K1048" i="6"/>
  <c r="L1048" i="6"/>
  <c r="M1048" i="6"/>
  <c r="P1048" i="6"/>
  <c r="Q1048" i="6"/>
  <c r="R1048" i="6"/>
  <c r="Y1048" i="6" s="1"/>
  <c r="S1048" i="6"/>
  <c r="T1048" i="6"/>
  <c r="U1048" i="6"/>
  <c r="V1048" i="6"/>
  <c r="W1048" i="6"/>
  <c r="C1049" i="6"/>
  <c r="D1049" i="6"/>
  <c r="AF1104" i="6" s="1"/>
  <c r="E1049" i="6"/>
  <c r="F1049" i="6"/>
  <c r="G1049" i="6"/>
  <c r="I1049" i="6"/>
  <c r="J1049" i="6"/>
  <c r="K1049" i="6"/>
  <c r="L1049" i="6"/>
  <c r="M1049" i="6"/>
  <c r="O1049" i="6"/>
  <c r="P1049" i="6"/>
  <c r="Q1049" i="6"/>
  <c r="S1049" i="6"/>
  <c r="T1049" i="6"/>
  <c r="U1049" i="6"/>
  <c r="V1049" i="6"/>
  <c r="W1049" i="6"/>
  <c r="Y1049" i="6"/>
  <c r="D1054" i="6"/>
  <c r="E1054" i="6"/>
  <c r="F1054" i="6"/>
  <c r="G1054" i="6"/>
  <c r="I1054" i="6"/>
  <c r="J1054" i="6"/>
  <c r="K1054" i="6"/>
  <c r="L1054" i="6"/>
  <c r="M1054" i="6"/>
  <c r="O1054" i="6"/>
  <c r="P1054" i="6"/>
  <c r="Q1054" i="6"/>
  <c r="S1054" i="6"/>
  <c r="T1054" i="6"/>
  <c r="U1054" i="6"/>
  <c r="V1054" i="6"/>
  <c r="W1054" i="6"/>
  <c r="D1055" i="6"/>
  <c r="E1055" i="6"/>
  <c r="F1055" i="6"/>
  <c r="G1055" i="6"/>
  <c r="H1055" i="6"/>
  <c r="I1055" i="6"/>
  <c r="J1055" i="6"/>
  <c r="K1055" i="6"/>
  <c r="L1055" i="6"/>
  <c r="M1055" i="6"/>
  <c r="O1055" i="6"/>
  <c r="P1055" i="6"/>
  <c r="Q1055" i="6"/>
  <c r="S1055" i="6"/>
  <c r="T1055" i="6"/>
  <c r="U1055" i="6"/>
  <c r="V1055" i="6"/>
  <c r="W1055" i="6"/>
  <c r="D1056" i="6"/>
  <c r="E1056" i="6"/>
  <c r="F1056" i="6"/>
  <c r="G1056" i="6"/>
  <c r="I1056" i="6"/>
  <c r="J1056" i="6"/>
  <c r="K1056" i="6"/>
  <c r="L1056" i="6"/>
  <c r="M1056" i="6"/>
  <c r="O1056" i="6"/>
  <c r="P1056" i="6"/>
  <c r="Q1056" i="6"/>
  <c r="R1056" i="6"/>
  <c r="S1056" i="6"/>
  <c r="T1056" i="6"/>
  <c r="U1056" i="6"/>
  <c r="V1056" i="6"/>
  <c r="W1056" i="6"/>
  <c r="D1057" i="6"/>
  <c r="E1057" i="6"/>
  <c r="F1057" i="6"/>
  <c r="G1057" i="6"/>
  <c r="I1057" i="6"/>
  <c r="J1057" i="6"/>
  <c r="K1057" i="6"/>
  <c r="L1057" i="6"/>
  <c r="M1057" i="6"/>
  <c r="O1057" i="6"/>
  <c r="P1057" i="6"/>
  <c r="Q1057" i="6"/>
  <c r="S1057" i="6"/>
  <c r="T1057" i="6"/>
  <c r="U1057" i="6"/>
  <c r="V1057" i="6"/>
  <c r="W1057" i="6"/>
  <c r="Y1057" i="6"/>
  <c r="E1061" i="6"/>
  <c r="F1061" i="6"/>
  <c r="G1061" i="6"/>
  <c r="I1061" i="6"/>
  <c r="J1061" i="6"/>
  <c r="K1061" i="6"/>
  <c r="L1061" i="6"/>
  <c r="M1061" i="6"/>
  <c r="O1061" i="6"/>
  <c r="P1061" i="6"/>
  <c r="Q1061" i="6"/>
  <c r="S1061" i="6"/>
  <c r="T1061" i="6"/>
  <c r="U1061" i="6"/>
  <c r="V1061" i="6"/>
  <c r="W1061" i="6"/>
  <c r="Y1061" i="6"/>
  <c r="Z1061" i="6" s="1"/>
  <c r="D1062" i="6"/>
  <c r="E1062" i="6"/>
  <c r="F1062" i="6"/>
  <c r="G1062" i="6"/>
  <c r="H1062" i="6"/>
  <c r="Y1062" i="6" s="1"/>
  <c r="Z1062" i="6" s="1"/>
  <c r="I1062" i="6"/>
  <c r="J1062" i="6"/>
  <c r="K1062" i="6"/>
  <c r="L1062" i="6"/>
  <c r="M1062" i="6"/>
  <c r="O1062" i="6"/>
  <c r="P1062" i="6"/>
  <c r="Q1062" i="6"/>
  <c r="S1062" i="6"/>
  <c r="T1062" i="6"/>
  <c r="U1062" i="6"/>
  <c r="V1062" i="6"/>
  <c r="W1062" i="6"/>
  <c r="D1063" i="6"/>
  <c r="H1063" i="6"/>
  <c r="D1064" i="6"/>
  <c r="E1064" i="6"/>
  <c r="F1064" i="6"/>
  <c r="G1064" i="6"/>
  <c r="I1064" i="6"/>
  <c r="J1064" i="6"/>
  <c r="K1064" i="6"/>
  <c r="L1064" i="6"/>
  <c r="M1064" i="6"/>
  <c r="P1064" i="6"/>
  <c r="Q1064" i="6"/>
  <c r="R1064" i="6"/>
  <c r="S1064" i="6"/>
  <c r="T1064" i="6"/>
  <c r="U1064" i="6"/>
  <c r="V1064" i="6"/>
  <c r="W1064" i="6"/>
  <c r="E1065" i="6"/>
  <c r="F1065" i="6"/>
  <c r="G1065" i="6"/>
  <c r="I1065" i="6"/>
  <c r="J1065" i="6"/>
  <c r="K1065" i="6"/>
  <c r="L1065" i="6"/>
  <c r="M1065" i="6"/>
  <c r="O1065" i="6"/>
  <c r="P1065" i="6"/>
  <c r="Q1065" i="6"/>
  <c r="S1065" i="6"/>
  <c r="T1065" i="6"/>
  <c r="U1065" i="6"/>
  <c r="V1065" i="6"/>
  <c r="W1065" i="6"/>
  <c r="Y1065" i="6"/>
  <c r="Z1065" i="6" s="1"/>
  <c r="D1066" i="6"/>
  <c r="E1066" i="6"/>
  <c r="F1066" i="6"/>
  <c r="G1066" i="6"/>
  <c r="I1066" i="6"/>
  <c r="J1066" i="6"/>
  <c r="K1066" i="6"/>
  <c r="L1066" i="6"/>
  <c r="M1066" i="6"/>
  <c r="O1066" i="6"/>
  <c r="P1066" i="6"/>
  <c r="Q1066" i="6"/>
  <c r="R1066" i="6"/>
  <c r="Y1066" i="6" s="1"/>
  <c r="Z1066" i="6" s="1"/>
  <c r="S1066" i="6"/>
  <c r="T1066" i="6"/>
  <c r="U1066" i="6"/>
  <c r="V1066" i="6"/>
  <c r="W1066" i="6"/>
  <c r="D1070" i="6"/>
  <c r="E1070" i="6"/>
  <c r="F1070" i="6"/>
  <c r="G1070" i="6"/>
  <c r="H1070" i="6"/>
  <c r="I1070" i="6"/>
  <c r="J1070" i="6"/>
  <c r="K1070" i="6"/>
  <c r="L1070" i="6"/>
  <c r="M1070" i="6"/>
  <c r="O1070" i="6"/>
  <c r="P1070" i="6"/>
  <c r="Q1070" i="6"/>
  <c r="S1070" i="6"/>
  <c r="T1070" i="6"/>
  <c r="U1070" i="6"/>
  <c r="V1070" i="6"/>
  <c r="W1070" i="6"/>
  <c r="D1071" i="6"/>
  <c r="H1071" i="6"/>
  <c r="Y1071" i="6" s="1"/>
  <c r="D1072" i="6"/>
  <c r="E1072" i="6"/>
  <c r="F1072" i="6"/>
  <c r="G1072" i="6"/>
  <c r="H1072" i="6"/>
  <c r="Y1072" i="6" s="1"/>
  <c r="Z1072" i="6" s="1"/>
  <c r="I1072" i="6"/>
  <c r="J1072" i="6"/>
  <c r="K1072" i="6"/>
  <c r="L1072" i="6"/>
  <c r="M1072" i="6"/>
  <c r="O1072" i="6"/>
  <c r="P1072" i="6"/>
  <c r="Q1072" i="6"/>
  <c r="S1072" i="6"/>
  <c r="T1072" i="6"/>
  <c r="U1072" i="6"/>
  <c r="V1072" i="6"/>
  <c r="W1072" i="6"/>
  <c r="E1073" i="6"/>
  <c r="AG1105" i="6" s="1"/>
  <c r="F1073" i="6"/>
  <c r="AH1105" i="6" s="1"/>
  <c r="G1073" i="6"/>
  <c r="I1073" i="6"/>
  <c r="J1073" i="6"/>
  <c r="K1073" i="6"/>
  <c r="L1073" i="6"/>
  <c r="AJ1105" i="6" s="1"/>
  <c r="M1073" i="6"/>
  <c r="O1073" i="6"/>
  <c r="AL1105" i="6" s="1"/>
  <c r="P1073" i="6"/>
  <c r="AM1105" i="6" s="1"/>
  <c r="Q1073" i="6"/>
  <c r="S1073" i="6"/>
  <c r="T1073" i="6"/>
  <c r="U1073" i="6"/>
  <c r="V1073" i="6"/>
  <c r="AO1105" i="6" s="1"/>
  <c r="W1073" i="6"/>
  <c r="Y1073" i="6"/>
  <c r="Z1073" i="6" s="1"/>
  <c r="D1074" i="6"/>
  <c r="E1074" i="6"/>
  <c r="F1074" i="6"/>
  <c r="G1074" i="6"/>
  <c r="I1074" i="6"/>
  <c r="J1074" i="6"/>
  <c r="K1074" i="6"/>
  <c r="L1074" i="6"/>
  <c r="M1074" i="6"/>
  <c r="O1074" i="6"/>
  <c r="P1074" i="6"/>
  <c r="Q1074" i="6"/>
  <c r="R1074" i="6"/>
  <c r="Y1074" i="6" s="1"/>
  <c r="Z1074" i="6" s="1"/>
  <c r="S1074" i="6"/>
  <c r="T1074" i="6"/>
  <c r="U1074" i="6"/>
  <c r="V1074" i="6"/>
  <c r="W1074" i="6"/>
  <c r="E1080" i="6"/>
  <c r="F1080" i="6"/>
  <c r="G1080" i="6"/>
  <c r="I1080" i="6"/>
  <c r="J1080" i="6"/>
  <c r="K1080" i="6"/>
  <c r="L1080" i="6"/>
  <c r="M1080" i="6"/>
  <c r="O1080" i="6"/>
  <c r="P1080" i="6"/>
  <c r="Q1080" i="6"/>
  <c r="S1080" i="6"/>
  <c r="T1080" i="6"/>
  <c r="U1080" i="6"/>
  <c r="V1080" i="6"/>
  <c r="W1080" i="6"/>
  <c r="Y1080" i="6"/>
  <c r="Z1080" i="6" s="1"/>
  <c r="D1081" i="6"/>
  <c r="E1081" i="6"/>
  <c r="F1081" i="6"/>
  <c r="G1081" i="6"/>
  <c r="H1081" i="6"/>
  <c r="I1081" i="6"/>
  <c r="J1081" i="6"/>
  <c r="K1081" i="6"/>
  <c r="L1081" i="6"/>
  <c r="M1081" i="6"/>
  <c r="O1081" i="6"/>
  <c r="P1081" i="6"/>
  <c r="Q1081" i="6"/>
  <c r="S1081" i="6"/>
  <c r="T1081" i="6"/>
  <c r="U1081" i="6"/>
  <c r="V1081" i="6"/>
  <c r="W1081" i="6"/>
  <c r="D1082" i="6"/>
  <c r="F1082" i="6"/>
  <c r="G1082" i="6"/>
  <c r="H1082" i="6"/>
  <c r="Y1082" i="6" s="1"/>
  <c r="I1082" i="6"/>
  <c r="J1082" i="6"/>
  <c r="K1082" i="6"/>
  <c r="L1082" i="6"/>
  <c r="M1082" i="6"/>
  <c r="O1082" i="6"/>
  <c r="P1082" i="6"/>
  <c r="Q1082" i="6"/>
  <c r="S1082" i="6"/>
  <c r="T1082" i="6"/>
  <c r="U1082" i="6"/>
  <c r="V1082" i="6"/>
  <c r="W1082" i="6"/>
  <c r="D1083" i="6"/>
  <c r="H1083" i="6"/>
  <c r="Y1083" i="6" s="1"/>
  <c r="D1084" i="6"/>
  <c r="H1084" i="6"/>
  <c r="Y1084" i="6" s="1"/>
  <c r="D1085" i="6"/>
  <c r="H1085" i="6"/>
  <c r="Y1085" i="6" s="1"/>
  <c r="D1086" i="6"/>
  <c r="AF1106" i="6" s="1"/>
  <c r="E1086" i="6"/>
  <c r="AG1106" i="6" s="1"/>
  <c r="F1086" i="6"/>
  <c r="AH1106" i="6" s="1"/>
  <c r="G1086" i="6"/>
  <c r="H1086" i="6"/>
  <c r="Y1086" i="6" s="1"/>
  <c r="Z1086" i="6" s="1"/>
  <c r="I1086" i="6"/>
  <c r="J1086" i="6"/>
  <c r="K1086" i="6"/>
  <c r="L1086" i="6"/>
  <c r="AJ1106" i="6" s="1"/>
  <c r="M1086" i="6"/>
  <c r="O1086" i="6"/>
  <c r="AL1106" i="6" s="1"/>
  <c r="P1086" i="6"/>
  <c r="AM1106" i="6" s="1"/>
  <c r="Q1086" i="6"/>
  <c r="S1086" i="6"/>
  <c r="T1086" i="6"/>
  <c r="U1086" i="6"/>
  <c r="V1086" i="6"/>
  <c r="AO1106" i="6" s="1"/>
  <c r="W1086" i="6"/>
  <c r="R1088" i="6"/>
  <c r="D1090" i="6"/>
  <c r="E1090" i="6"/>
  <c r="F1090" i="6"/>
  <c r="G1090" i="6"/>
  <c r="I1090" i="6"/>
  <c r="J1090" i="6"/>
  <c r="K1090" i="6"/>
  <c r="L1090" i="6"/>
  <c r="M1090" i="6"/>
  <c r="P1090" i="6"/>
  <c r="Q1090" i="6"/>
  <c r="S1090" i="6"/>
  <c r="T1090" i="6"/>
  <c r="U1090" i="6"/>
  <c r="V1090" i="6"/>
  <c r="W1090" i="6"/>
  <c r="Y1090" i="6"/>
  <c r="Z1090" i="6" s="1"/>
  <c r="D1091" i="6"/>
  <c r="E1091" i="6"/>
  <c r="F1091" i="6"/>
  <c r="G1091" i="6"/>
  <c r="H1091" i="6"/>
  <c r="I1091" i="6"/>
  <c r="J1091" i="6"/>
  <c r="K1091" i="6"/>
  <c r="L1091" i="6"/>
  <c r="M1091" i="6"/>
  <c r="O1091" i="6"/>
  <c r="P1091" i="6"/>
  <c r="Q1091" i="6"/>
  <c r="S1091" i="6"/>
  <c r="T1091" i="6"/>
  <c r="U1091" i="6"/>
  <c r="V1091" i="6"/>
  <c r="W1091" i="6"/>
  <c r="D1092" i="6"/>
  <c r="E1092" i="6"/>
  <c r="F1092" i="6"/>
  <c r="G1092" i="6"/>
  <c r="H1092" i="6"/>
  <c r="Y1092" i="6" s="1"/>
  <c r="I1092" i="6"/>
  <c r="J1092" i="6"/>
  <c r="K1092" i="6"/>
  <c r="L1092" i="6"/>
  <c r="M1092" i="6"/>
  <c r="O1092" i="6"/>
  <c r="P1092" i="6"/>
  <c r="Q1092" i="6"/>
  <c r="S1092" i="6"/>
  <c r="T1092" i="6"/>
  <c r="U1092" i="6"/>
  <c r="V1092" i="6"/>
  <c r="W1092" i="6"/>
  <c r="D1093" i="6"/>
  <c r="E1093" i="6"/>
  <c r="F1093" i="6"/>
  <c r="G1093" i="6"/>
  <c r="I1093" i="6"/>
  <c r="J1093" i="6"/>
  <c r="K1093" i="6"/>
  <c r="L1093" i="6"/>
  <c r="M1093" i="6"/>
  <c r="P1093" i="6"/>
  <c r="Q1093" i="6"/>
  <c r="R1093" i="6"/>
  <c r="Y1093" i="6" s="1"/>
  <c r="S1093" i="6"/>
  <c r="T1093" i="6"/>
  <c r="U1093" i="6"/>
  <c r="V1093" i="6"/>
  <c r="W1093" i="6"/>
  <c r="D1094" i="6"/>
  <c r="E1094" i="6"/>
  <c r="F1094" i="6"/>
  <c r="G1094" i="6"/>
  <c r="I1094" i="6"/>
  <c r="J1094" i="6"/>
  <c r="K1094" i="6"/>
  <c r="L1094" i="6"/>
  <c r="M1094" i="6"/>
  <c r="P1094" i="6"/>
  <c r="Q1094" i="6"/>
  <c r="R1094" i="6"/>
  <c r="Y1094" i="6" s="1"/>
  <c r="S1094" i="6"/>
  <c r="T1094" i="6"/>
  <c r="U1094" i="6"/>
  <c r="V1094" i="6"/>
  <c r="W1094" i="6"/>
  <c r="D1100" i="6"/>
  <c r="E1100" i="6"/>
  <c r="F1100" i="6"/>
  <c r="G1100" i="6"/>
  <c r="H1100" i="6"/>
  <c r="Y1100" i="6" s="1"/>
  <c r="I1100" i="6"/>
  <c r="J1100" i="6"/>
  <c r="K1100" i="6"/>
  <c r="L1100" i="6"/>
  <c r="M1100" i="6"/>
  <c r="O1100" i="6"/>
  <c r="P1100" i="6"/>
  <c r="Q1100" i="6"/>
  <c r="S1100" i="6"/>
  <c r="T1100" i="6"/>
  <c r="U1100" i="6"/>
  <c r="V1100" i="6"/>
  <c r="W1100" i="6"/>
  <c r="D1101" i="6"/>
  <c r="E1101" i="6"/>
  <c r="F1101" i="6"/>
  <c r="G1101" i="6"/>
  <c r="H1101" i="6"/>
  <c r="Y1101" i="6" s="1"/>
  <c r="I1101" i="6"/>
  <c r="J1101" i="6"/>
  <c r="K1101" i="6"/>
  <c r="L1101" i="6"/>
  <c r="M1101" i="6"/>
  <c r="O1101" i="6"/>
  <c r="P1101" i="6"/>
  <c r="Q1101" i="6"/>
  <c r="S1101" i="6"/>
  <c r="T1101" i="6"/>
  <c r="U1101" i="6"/>
  <c r="V1101" i="6"/>
  <c r="W1101" i="6"/>
  <c r="D1102" i="6"/>
  <c r="H1102" i="6"/>
  <c r="Y1102" i="6" s="1"/>
  <c r="D1103" i="6"/>
  <c r="H1103" i="6"/>
  <c r="Y1103" i="6" s="1"/>
  <c r="E1104" i="6"/>
  <c r="F1104" i="6"/>
  <c r="G1104" i="6"/>
  <c r="I1104" i="6"/>
  <c r="J1104" i="6"/>
  <c r="K1104" i="6"/>
  <c r="L1104" i="6"/>
  <c r="M1104" i="6"/>
  <c r="O1104" i="6"/>
  <c r="P1104" i="6"/>
  <c r="Q1104" i="6"/>
  <c r="S1104" i="6"/>
  <c r="T1104" i="6"/>
  <c r="U1104" i="6"/>
  <c r="V1104" i="6"/>
  <c r="W1104" i="6"/>
  <c r="Y1104" i="6"/>
  <c r="Z1104" i="6" s="1"/>
  <c r="AF1105" i="6"/>
  <c r="R1106" i="6"/>
  <c r="D1114" i="6"/>
  <c r="E1114" i="6"/>
  <c r="F1114" i="6"/>
  <c r="G1114" i="6"/>
  <c r="H1114" i="6"/>
  <c r="Y1114" i="6" s="1"/>
  <c r="I1114" i="6"/>
  <c r="J1114" i="6"/>
  <c r="K1114" i="6"/>
  <c r="L1114" i="6"/>
  <c r="M1114" i="6"/>
  <c r="P1114" i="6"/>
  <c r="Q1114" i="6"/>
  <c r="S1114" i="6"/>
  <c r="T1114" i="6"/>
  <c r="U1114" i="6"/>
  <c r="V1114" i="6"/>
  <c r="W1114" i="6"/>
  <c r="D1115" i="6"/>
  <c r="F1115" i="6"/>
  <c r="G1115" i="6"/>
  <c r="H1115" i="6"/>
  <c r="Y1115" i="6" s="1"/>
  <c r="I1115" i="6"/>
  <c r="J1115" i="6"/>
  <c r="K1115" i="6"/>
  <c r="L1115" i="6"/>
  <c r="M1115" i="6"/>
  <c r="O1115" i="6"/>
  <c r="P1115" i="6"/>
  <c r="Q1115" i="6"/>
  <c r="S1115" i="6"/>
  <c r="T1115" i="6"/>
  <c r="U1115" i="6"/>
  <c r="V1115" i="6"/>
  <c r="W1115" i="6"/>
  <c r="E1116" i="6"/>
  <c r="F1116" i="6"/>
  <c r="G1116" i="6"/>
  <c r="I1116" i="6"/>
  <c r="J1116" i="6"/>
  <c r="K1116" i="6"/>
  <c r="L1116" i="6"/>
  <c r="M1116" i="6"/>
  <c r="O1116" i="6"/>
  <c r="P1116" i="6"/>
  <c r="Q1116" i="6"/>
  <c r="S1116" i="6"/>
  <c r="T1116" i="6"/>
  <c r="U1116" i="6"/>
  <c r="V1116" i="6"/>
  <c r="W1116" i="6"/>
  <c r="Y1116" i="6"/>
  <c r="AF1158" i="6"/>
  <c r="F1117" i="6"/>
  <c r="AH1158" i="6" s="1"/>
  <c r="G1117" i="6"/>
  <c r="Y1117" i="6"/>
  <c r="I1117" i="6"/>
  <c r="J1117" i="6"/>
  <c r="K1117" i="6"/>
  <c r="L1117" i="6"/>
  <c r="AJ1158" i="6" s="1"/>
  <c r="M1117" i="6"/>
  <c r="O1117" i="6"/>
  <c r="AL1158" i="6" s="1"/>
  <c r="P1117" i="6"/>
  <c r="AM1158" i="6" s="1"/>
  <c r="Q1117" i="6"/>
  <c r="S1117" i="6"/>
  <c r="T1117" i="6"/>
  <c r="U1117" i="6"/>
  <c r="V1117" i="6"/>
  <c r="AO1158" i="6" s="1"/>
  <c r="W1117" i="6"/>
  <c r="D1118" i="6"/>
  <c r="AF1159" i="6" s="1"/>
  <c r="E1118" i="6"/>
  <c r="AG1159" i="6" s="1"/>
  <c r="F1118" i="6"/>
  <c r="AH1159" i="6" s="1"/>
  <c r="G1118" i="6"/>
  <c r="H1118" i="6"/>
  <c r="Y1118" i="6" s="1"/>
  <c r="Z1118" i="6" s="1"/>
  <c r="I1118" i="6"/>
  <c r="J1118" i="6"/>
  <c r="K1118" i="6"/>
  <c r="L1118" i="6"/>
  <c r="AJ1159" i="6" s="1"/>
  <c r="M1118" i="6"/>
  <c r="O1118" i="6"/>
  <c r="AL1159" i="6" s="1"/>
  <c r="P1118" i="6"/>
  <c r="AM1159" i="6" s="1"/>
  <c r="Q1118" i="6"/>
  <c r="S1118" i="6"/>
  <c r="T1118" i="6"/>
  <c r="U1118" i="6"/>
  <c r="V1118" i="6"/>
  <c r="AO1159" i="6" s="1"/>
  <c r="W1118" i="6"/>
  <c r="D1119" i="6"/>
  <c r="H1119" i="6"/>
  <c r="Y1119" i="6" s="1"/>
  <c r="E1120" i="6"/>
  <c r="F1120" i="6"/>
  <c r="G1120" i="6"/>
  <c r="I1120" i="6"/>
  <c r="J1120" i="6"/>
  <c r="K1120" i="6"/>
  <c r="L1120" i="6"/>
  <c r="M1120" i="6"/>
  <c r="P1120" i="6"/>
  <c r="Q1120" i="6"/>
  <c r="S1120" i="6"/>
  <c r="T1120" i="6"/>
  <c r="U1120" i="6"/>
  <c r="V1120" i="6"/>
  <c r="W1120" i="6"/>
  <c r="Y1120" i="6"/>
  <c r="Z1120" i="6" s="1"/>
  <c r="E1121" i="6"/>
  <c r="F1121" i="6"/>
  <c r="G1121" i="6"/>
  <c r="I1121" i="6"/>
  <c r="J1121" i="6"/>
  <c r="K1121" i="6"/>
  <c r="L1121" i="6"/>
  <c r="M1121" i="6"/>
  <c r="O1121" i="6"/>
  <c r="P1121" i="6"/>
  <c r="Q1121" i="6"/>
  <c r="S1121" i="6"/>
  <c r="T1121" i="6"/>
  <c r="U1121" i="6"/>
  <c r="V1121" i="6"/>
  <c r="W1121" i="6"/>
  <c r="Y1121" i="6"/>
  <c r="Z1121" i="6" s="1"/>
  <c r="R1123" i="6"/>
  <c r="E1125" i="6"/>
  <c r="F1125" i="6"/>
  <c r="G1125" i="6"/>
  <c r="I1125" i="6"/>
  <c r="J1125" i="6"/>
  <c r="K1125" i="6"/>
  <c r="L1125" i="6"/>
  <c r="M1125" i="6"/>
  <c r="N1125" i="6"/>
  <c r="P1125" i="6"/>
  <c r="Q1125" i="6"/>
  <c r="S1125" i="6"/>
  <c r="T1125" i="6"/>
  <c r="U1125" i="6"/>
  <c r="V1125" i="6"/>
  <c r="V1589" i="6" s="1"/>
  <c r="V1641" i="6" s="1"/>
  <c r="W1125" i="6"/>
  <c r="X1125" i="6"/>
  <c r="Z1125" i="6"/>
  <c r="AA1125" i="6"/>
  <c r="AB1125" i="6"/>
  <c r="D1126" i="6"/>
  <c r="E1126" i="6"/>
  <c r="F1126" i="6"/>
  <c r="G1126" i="6"/>
  <c r="H1126" i="6"/>
  <c r="I1126" i="6"/>
  <c r="J1126" i="6"/>
  <c r="K1126" i="6"/>
  <c r="L1126" i="6"/>
  <c r="M1126" i="6"/>
  <c r="O1126" i="6"/>
  <c r="P1126" i="6"/>
  <c r="Q1126" i="6"/>
  <c r="R1126" i="6"/>
  <c r="R1131" i="6" s="1"/>
  <c r="S1126" i="6"/>
  <c r="T1126" i="6"/>
  <c r="U1126" i="6"/>
  <c r="V1126" i="6"/>
  <c r="W1126" i="6"/>
  <c r="D1127" i="6"/>
  <c r="E1127" i="6"/>
  <c r="F1127" i="6"/>
  <c r="G1127" i="6"/>
  <c r="H1127" i="6"/>
  <c r="Y1127" i="6" s="1"/>
  <c r="I1127" i="6"/>
  <c r="J1127" i="6"/>
  <c r="K1127" i="6"/>
  <c r="L1127" i="6"/>
  <c r="M1127" i="6"/>
  <c r="O1127" i="6"/>
  <c r="P1127" i="6"/>
  <c r="Q1127" i="6"/>
  <c r="S1127" i="6"/>
  <c r="T1127" i="6"/>
  <c r="U1127" i="6"/>
  <c r="V1127" i="6"/>
  <c r="W1127" i="6"/>
  <c r="E1128" i="6"/>
  <c r="F1128" i="6"/>
  <c r="G1128" i="6"/>
  <c r="I1128" i="6"/>
  <c r="J1128" i="6"/>
  <c r="K1128" i="6"/>
  <c r="L1128" i="6"/>
  <c r="M1128" i="6"/>
  <c r="O1128" i="6"/>
  <c r="P1128" i="6"/>
  <c r="Q1128" i="6"/>
  <c r="S1128" i="6"/>
  <c r="T1128" i="6"/>
  <c r="U1128" i="6"/>
  <c r="V1128" i="6"/>
  <c r="W1128" i="6"/>
  <c r="Y1128" i="6"/>
  <c r="Z1128" i="6" s="1"/>
  <c r="E1129" i="6"/>
  <c r="F1129" i="6"/>
  <c r="G1129" i="6"/>
  <c r="I1129" i="6"/>
  <c r="J1129" i="6"/>
  <c r="K1129" i="6"/>
  <c r="L1129" i="6"/>
  <c r="M1129" i="6"/>
  <c r="O1129" i="6"/>
  <c r="P1129" i="6"/>
  <c r="Q1129" i="6"/>
  <c r="S1129" i="6"/>
  <c r="T1129" i="6"/>
  <c r="U1129" i="6"/>
  <c r="V1129" i="6"/>
  <c r="W1129" i="6"/>
  <c r="Y1129" i="6"/>
  <c r="Z1129" i="6" s="1"/>
  <c r="D1133" i="6"/>
  <c r="R1133" i="6"/>
  <c r="S1133" i="6"/>
  <c r="T1133" i="6"/>
  <c r="U1133" i="6"/>
  <c r="V1133" i="6"/>
  <c r="W1133" i="6"/>
  <c r="X1133" i="6"/>
  <c r="Y1133" i="6"/>
  <c r="Z1133" i="6" s="1"/>
  <c r="AA1136" i="6"/>
  <c r="AB1136" i="6"/>
  <c r="D1137" i="6"/>
  <c r="E1137" i="6"/>
  <c r="F1137" i="6"/>
  <c r="G1137" i="6"/>
  <c r="H1137" i="6"/>
  <c r="Y1137" i="6" s="1"/>
  <c r="I1137" i="6"/>
  <c r="J1137" i="6"/>
  <c r="K1137" i="6"/>
  <c r="L1137" i="6"/>
  <c r="M1137" i="6"/>
  <c r="O1137" i="6"/>
  <c r="P1137" i="6"/>
  <c r="Q1137" i="6"/>
  <c r="S1137" i="6"/>
  <c r="T1137" i="6"/>
  <c r="U1137" i="6"/>
  <c r="V1137" i="6"/>
  <c r="W1137" i="6"/>
  <c r="D1138" i="6"/>
  <c r="E1138" i="6"/>
  <c r="F1138" i="6"/>
  <c r="G1138" i="6"/>
  <c r="H1138" i="6"/>
  <c r="Y1138" i="6" s="1"/>
  <c r="I1138" i="6"/>
  <c r="J1138" i="6"/>
  <c r="K1138" i="6"/>
  <c r="L1138" i="6"/>
  <c r="M1138" i="6"/>
  <c r="O1138" i="6"/>
  <c r="P1138" i="6"/>
  <c r="Q1138" i="6"/>
  <c r="S1138" i="6"/>
  <c r="T1138" i="6"/>
  <c r="U1138" i="6"/>
  <c r="V1138" i="6"/>
  <c r="W1138" i="6"/>
  <c r="D1139" i="6"/>
  <c r="E1139" i="6"/>
  <c r="F1139" i="6"/>
  <c r="G1139" i="6"/>
  <c r="I1139" i="6"/>
  <c r="J1139" i="6"/>
  <c r="K1139" i="6"/>
  <c r="L1139" i="6"/>
  <c r="M1139" i="6"/>
  <c r="O1139" i="6"/>
  <c r="P1139" i="6"/>
  <c r="Q1139" i="6"/>
  <c r="S1139" i="6"/>
  <c r="T1139" i="6"/>
  <c r="U1139" i="6"/>
  <c r="V1139" i="6"/>
  <c r="W1139" i="6"/>
  <c r="Y1139" i="6"/>
  <c r="D1140" i="6"/>
  <c r="AF1164" i="6" s="1"/>
  <c r="E1140" i="6"/>
  <c r="F1140" i="6"/>
  <c r="G1140" i="6"/>
  <c r="I1140" i="6"/>
  <c r="J1140" i="6"/>
  <c r="K1140" i="6"/>
  <c r="L1140" i="6"/>
  <c r="M1140" i="6"/>
  <c r="O1140" i="6"/>
  <c r="P1140" i="6"/>
  <c r="Q1140" i="6"/>
  <c r="S1140" i="6"/>
  <c r="T1140" i="6"/>
  <c r="U1140" i="6"/>
  <c r="V1140" i="6"/>
  <c r="W1140" i="6"/>
  <c r="Y1140" i="6"/>
  <c r="D1141" i="6"/>
  <c r="E1141" i="6"/>
  <c r="F1141" i="6"/>
  <c r="G1141" i="6"/>
  <c r="I1141" i="6"/>
  <c r="J1141" i="6"/>
  <c r="K1141" i="6"/>
  <c r="L1141" i="6"/>
  <c r="M1141" i="6"/>
  <c r="O1141" i="6"/>
  <c r="P1141" i="6"/>
  <c r="Q1141" i="6"/>
  <c r="S1141" i="6"/>
  <c r="T1141" i="6"/>
  <c r="U1141" i="6"/>
  <c r="V1141" i="6"/>
  <c r="W1141" i="6"/>
  <c r="Y1141" i="6"/>
  <c r="R1143" i="6"/>
  <c r="E1145" i="6"/>
  <c r="F1145" i="6"/>
  <c r="G1145" i="6"/>
  <c r="I1145" i="6"/>
  <c r="J1145" i="6"/>
  <c r="K1145" i="6"/>
  <c r="L1145" i="6"/>
  <c r="M1145" i="6"/>
  <c r="N1145" i="6"/>
  <c r="O1145" i="6"/>
  <c r="P1145" i="6"/>
  <c r="Q1145" i="6"/>
  <c r="S1145" i="6"/>
  <c r="T1145" i="6"/>
  <c r="U1145" i="6"/>
  <c r="V1145" i="6"/>
  <c r="W1145" i="6"/>
  <c r="X1145" i="6"/>
  <c r="Z1145" i="6"/>
  <c r="AA1145" i="6"/>
  <c r="AB1145" i="6"/>
  <c r="AA1146" i="6"/>
  <c r="AB1146" i="6"/>
  <c r="AA1147" i="6"/>
  <c r="AB1147" i="6"/>
  <c r="D1148" i="6"/>
  <c r="E1148" i="6"/>
  <c r="F1148" i="6"/>
  <c r="G1148" i="6"/>
  <c r="H1148" i="6"/>
  <c r="Y1148" i="6" s="1"/>
  <c r="I1148" i="6"/>
  <c r="J1148" i="6"/>
  <c r="K1148" i="6"/>
  <c r="L1148" i="6"/>
  <c r="M1148" i="6"/>
  <c r="O1148" i="6"/>
  <c r="P1148" i="6"/>
  <c r="Q1148" i="6"/>
  <c r="S1148" i="6"/>
  <c r="T1148" i="6"/>
  <c r="U1148" i="6"/>
  <c r="V1148" i="6"/>
  <c r="W1148" i="6"/>
  <c r="D1149" i="6"/>
  <c r="H1149" i="6"/>
  <c r="Y1149" i="6" s="1"/>
  <c r="D1150" i="6"/>
  <c r="F1150" i="6"/>
  <c r="G1150" i="6"/>
  <c r="H1150" i="6"/>
  <c r="Y1150" i="6" s="1"/>
  <c r="I1150" i="6"/>
  <c r="J1150" i="6"/>
  <c r="K1150" i="6"/>
  <c r="L1150" i="6"/>
  <c r="M1150" i="6"/>
  <c r="O1150" i="6"/>
  <c r="P1150" i="6"/>
  <c r="Q1150" i="6"/>
  <c r="S1150" i="6"/>
  <c r="T1150" i="6"/>
  <c r="U1150" i="6"/>
  <c r="V1150" i="6"/>
  <c r="W1150" i="6"/>
  <c r="D1151" i="6"/>
  <c r="H1151" i="6"/>
  <c r="Y1151" i="6" s="1"/>
  <c r="Z1151" i="6" s="1"/>
  <c r="D1152" i="6"/>
  <c r="H1152" i="6"/>
  <c r="Y1152" i="6" s="1"/>
  <c r="E1153" i="6"/>
  <c r="F1153" i="6"/>
  <c r="G1153" i="6"/>
  <c r="I1153" i="6"/>
  <c r="J1153" i="6"/>
  <c r="K1153" i="6"/>
  <c r="L1153" i="6"/>
  <c r="M1153" i="6"/>
  <c r="O1153" i="6"/>
  <c r="P1153" i="6"/>
  <c r="Q1153" i="6"/>
  <c r="S1153" i="6"/>
  <c r="T1153" i="6"/>
  <c r="U1153" i="6"/>
  <c r="V1153" i="6"/>
  <c r="W1153" i="6"/>
  <c r="Y1153" i="6"/>
  <c r="Z1153" i="6" s="1"/>
  <c r="E1154" i="6"/>
  <c r="F1154" i="6"/>
  <c r="G1154" i="6"/>
  <c r="I1154" i="6"/>
  <c r="J1154" i="6"/>
  <c r="K1154" i="6"/>
  <c r="L1154" i="6"/>
  <c r="M1154" i="6"/>
  <c r="O1154" i="6"/>
  <c r="P1154" i="6"/>
  <c r="Q1154" i="6"/>
  <c r="S1154" i="6"/>
  <c r="T1154" i="6"/>
  <c r="U1154" i="6"/>
  <c r="V1154" i="6"/>
  <c r="W1154" i="6"/>
  <c r="Y1154" i="6"/>
  <c r="Z1154" i="6" s="1"/>
  <c r="R1156" i="6"/>
  <c r="D1158" i="6"/>
  <c r="E1158" i="6"/>
  <c r="F1158" i="6"/>
  <c r="G1158" i="6"/>
  <c r="I1158" i="6"/>
  <c r="J1158" i="6"/>
  <c r="K1158" i="6"/>
  <c r="L1158" i="6"/>
  <c r="M1158" i="6"/>
  <c r="N1158" i="6"/>
  <c r="O1158" i="6"/>
  <c r="P1158" i="6"/>
  <c r="Q1158" i="6"/>
  <c r="S1158" i="6"/>
  <c r="T1158" i="6"/>
  <c r="U1158" i="6"/>
  <c r="V1158" i="6"/>
  <c r="W1158" i="6"/>
  <c r="X1158" i="6"/>
  <c r="Z1158" i="6"/>
  <c r="AA1158" i="6"/>
  <c r="AB1158" i="6"/>
  <c r="D1159" i="6"/>
  <c r="E1159" i="6"/>
  <c r="F1159" i="6"/>
  <c r="G1159" i="6"/>
  <c r="I1159" i="6"/>
  <c r="J1159" i="6"/>
  <c r="K1159" i="6"/>
  <c r="L1159" i="6"/>
  <c r="M1159" i="6"/>
  <c r="P1159" i="6"/>
  <c r="Q1159" i="6"/>
  <c r="R1159" i="6"/>
  <c r="Y1159" i="6" s="1"/>
  <c r="S1159" i="6"/>
  <c r="T1159" i="6"/>
  <c r="U1159" i="6"/>
  <c r="V1159" i="6"/>
  <c r="W1159" i="6"/>
  <c r="D1160" i="6"/>
  <c r="E1160" i="6"/>
  <c r="F1160" i="6"/>
  <c r="G1160" i="6"/>
  <c r="H1160" i="6"/>
  <c r="Y1160" i="6" s="1"/>
  <c r="Z1160" i="6" s="1"/>
  <c r="I1160" i="6"/>
  <c r="J1160" i="6"/>
  <c r="K1160" i="6"/>
  <c r="L1160" i="6"/>
  <c r="M1160" i="6"/>
  <c r="O1160" i="6"/>
  <c r="P1160" i="6"/>
  <c r="Q1160" i="6"/>
  <c r="S1160" i="6"/>
  <c r="T1160" i="6"/>
  <c r="U1160" i="6"/>
  <c r="V1160" i="6"/>
  <c r="W1160" i="6"/>
  <c r="D1161" i="6"/>
  <c r="AF1165" i="6" s="1"/>
  <c r="E1161" i="6"/>
  <c r="AG1165" i="6" s="1"/>
  <c r="F1161" i="6"/>
  <c r="AH1165" i="6" s="1"/>
  <c r="G1161" i="6"/>
  <c r="I1161" i="6"/>
  <c r="J1161" i="6"/>
  <c r="K1161" i="6"/>
  <c r="L1161" i="6"/>
  <c r="AJ1165" i="6" s="1"/>
  <c r="M1161" i="6"/>
  <c r="O1161" i="6"/>
  <c r="AL1165" i="6" s="1"/>
  <c r="P1161" i="6"/>
  <c r="AM1165" i="6" s="1"/>
  <c r="Q1161" i="6"/>
  <c r="R1161" i="6"/>
  <c r="Y1161" i="6" s="1"/>
  <c r="Z1161" i="6" s="1"/>
  <c r="S1161" i="6"/>
  <c r="T1161" i="6"/>
  <c r="U1161" i="6"/>
  <c r="V1161" i="6"/>
  <c r="AO1165" i="6" s="1"/>
  <c r="W1161" i="6"/>
  <c r="D1162" i="6"/>
  <c r="E1162" i="6"/>
  <c r="F1162" i="6"/>
  <c r="G1162" i="6"/>
  <c r="I1162" i="6"/>
  <c r="J1162" i="6"/>
  <c r="K1162" i="6"/>
  <c r="L1162" i="6"/>
  <c r="M1162" i="6"/>
  <c r="O1162" i="6"/>
  <c r="P1162" i="6"/>
  <c r="Q1162" i="6"/>
  <c r="R1162" i="6"/>
  <c r="Y1162" i="6" s="1"/>
  <c r="Z1162" i="6" s="1"/>
  <c r="S1162" i="6"/>
  <c r="T1162" i="6"/>
  <c r="U1162" i="6"/>
  <c r="V1162" i="6"/>
  <c r="W1162" i="6"/>
  <c r="D1163" i="6"/>
  <c r="AF1166" i="6" s="1"/>
  <c r="E1163" i="6"/>
  <c r="F1163" i="6"/>
  <c r="AH1166" i="6" s="1"/>
  <c r="G1163" i="6"/>
  <c r="I1163" i="6"/>
  <c r="J1163" i="6"/>
  <c r="K1163" i="6"/>
  <c r="L1163" i="6"/>
  <c r="M1163" i="6"/>
  <c r="O1163" i="6"/>
  <c r="P1163" i="6"/>
  <c r="Q1163" i="6"/>
  <c r="R1163" i="6"/>
  <c r="Y1163" i="6" s="1"/>
  <c r="S1163" i="6"/>
  <c r="T1163" i="6"/>
  <c r="U1163" i="6"/>
  <c r="V1163" i="6"/>
  <c r="AO1166" i="6" s="1"/>
  <c r="W1163" i="6"/>
  <c r="D1173" i="6"/>
  <c r="E1173" i="6"/>
  <c r="F1173" i="6"/>
  <c r="G1173" i="6"/>
  <c r="H1173" i="6"/>
  <c r="I1173" i="6"/>
  <c r="J1173" i="6"/>
  <c r="K1173" i="6"/>
  <c r="L1173" i="6"/>
  <c r="M1173" i="6"/>
  <c r="O1173" i="6"/>
  <c r="P1173" i="6"/>
  <c r="Q1173" i="6"/>
  <c r="S1173" i="6"/>
  <c r="T1173" i="6"/>
  <c r="U1173" i="6"/>
  <c r="V1173" i="6"/>
  <c r="W1173" i="6"/>
  <c r="D1174" i="6"/>
  <c r="E1174" i="6"/>
  <c r="F1174" i="6"/>
  <c r="G1174" i="6"/>
  <c r="H1174" i="6"/>
  <c r="I1174" i="6"/>
  <c r="J1174" i="6"/>
  <c r="K1174" i="6"/>
  <c r="L1174" i="6"/>
  <c r="M1174" i="6"/>
  <c r="O1174" i="6"/>
  <c r="P1174" i="6"/>
  <c r="Q1174" i="6"/>
  <c r="S1174" i="6"/>
  <c r="T1174" i="6"/>
  <c r="U1174" i="6"/>
  <c r="V1174" i="6"/>
  <c r="W1174" i="6"/>
  <c r="D1175" i="6"/>
  <c r="H1175" i="6"/>
  <c r="Y1175" i="6" s="1"/>
  <c r="D1176" i="6"/>
  <c r="Y1176" i="6"/>
  <c r="D1177" i="6"/>
  <c r="H1177" i="6"/>
  <c r="Y1177" i="6" s="1"/>
  <c r="D1178" i="6"/>
  <c r="H1178" i="6"/>
  <c r="Y1178" i="6" s="1"/>
  <c r="E1179" i="6"/>
  <c r="F1179" i="6"/>
  <c r="G1179" i="6"/>
  <c r="I1179" i="6"/>
  <c r="J1179" i="6"/>
  <c r="K1179" i="6"/>
  <c r="L1179" i="6"/>
  <c r="M1179" i="6"/>
  <c r="O1179" i="6"/>
  <c r="P1179" i="6"/>
  <c r="Q1179" i="6"/>
  <c r="S1179" i="6"/>
  <c r="T1179" i="6"/>
  <c r="U1179" i="6"/>
  <c r="V1179" i="6"/>
  <c r="W1179" i="6"/>
  <c r="E1180" i="6"/>
  <c r="F1180" i="6"/>
  <c r="G1180" i="6"/>
  <c r="I1180" i="6"/>
  <c r="J1180" i="6"/>
  <c r="K1180" i="6"/>
  <c r="L1180" i="6"/>
  <c r="M1180" i="6"/>
  <c r="O1180" i="6"/>
  <c r="P1180" i="6"/>
  <c r="Q1180" i="6"/>
  <c r="S1180" i="6"/>
  <c r="T1180" i="6"/>
  <c r="U1180" i="6"/>
  <c r="V1180" i="6"/>
  <c r="W1180" i="6"/>
  <c r="D1184" i="6"/>
  <c r="E1184" i="6"/>
  <c r="F1184" i="6"/>
  <c r="G1184" i="6"/>
  <c r="H1184" i="6"/>
  <c r="I1184" i="6"/>
  <c r="J1184" i="6"/>
  <c r="K1184" i="6"/>
  <c r="L1184" i="6"/>
  <c r="M1184" i="6"/>
  <c r="O1184" i="6"/>
  <c r="P1184" i="6"/>
  <c r="Q1184" i="6"/>
  <c r="R1184" i="6"/>
  <c r="S1184" i="6"/>
  <c r="T1184" i="6"/>
  <c r="U1184" i="6"/>
  <c r="V1184" i="6"/>
  <c r="W1184" i="6"/>
  <c r="D1187" i="6"/>
  <c r="H1187" i="6"/>
  <c r="D1188" i="6"/>
  <c r="H1188" i="6"/>
  <c r="Y1188" i="6" s="1"/>
  <c r="D1189" i="6"/>
  <c r="H1189" i="6"/>
  <c r="Y1189" i="6" s="1"/>
  <c r="Z1189" i="6" s="1"/>
  <c r="D1190" i="6"/>
  <c r="E1190" i="6"/>
  <c r="F1190" i="6"/>
  <c r="G1190" i="6"/>
  <c r="I1190" i="6"/>
  <c r="J1190" i="6"/>
  <c r="K1190" i="6"/>
  <c r="L1190" i="6"/>
  <c r="M1190" i="6"/>
  <c r="P1190" i="6"/>
  <c r="Q1190" i="6"/>
  <c r="S1190" i="6"/>
  <c r="T1190" i="6"/>
  <c r="U1190" i="6"/>
  <c r="V1190" i="6"/>
  <c r="W1190" i="6"/>
  <c r="D1191" i="6"/>
  <c r="E1191" i="6"/>
  <c r="F1191" i="6"/>
  <c r="G1191" i="6"/>
  <c r="I1191" i="6"/>
  <c r="J1191" i="6"/>
  <c r="K1191" i="6"/>
  <c r="L1191" i="6"/>
  <c r="M1191" i="6"/>
  <c r="O1191" i="6"/>
  <c r="P1191" i="6"/>
  <c r="Q1191" i="6"/>
  <c r="S1191" i="6"/>
  <c r="T1191" i="6"/>
  <c r="U1191" i="6"/>
  <c r="V1191" i="6"/>
  <c r="W1191" i="6"/>
  <c r="D1196" i="6"/>
  <c r="E1196" i="6"/>
  <c r="F1196" i="6"/>
  <c r="G1196" i="6"/>
  <c r="H1196" i="6"/>
  <c r="I1196" i="6"/>
  <c r="J1196" i="6"/>
  <c r="K1196" i="6"/>
  <c r="L1196" i="6"/>
  <c r="M1196" i="6"/>
  <c r="O1196" i="6"/>
  <c r="P1196" i="6"/>
  <c r="Q1196" i="6"/>
  <c r="R1196" i="6"/>
  <c r="S1196" i="6"/>
  <c r="T1196" i="6"/>
  <c r="U1196" i="6"/>
  <c r="V1196" i="6"/>
  <c r="W1196" i="6"/>
  <c r="D1197" i="6"/>
  <c r="H1197" i="6"/>
  <c r="Y1197" i="6" s="1"/>
  <c r="D1198" i="6"/>
  <c r="E1198" i="6"/>
  <c r="F1198" i="6"/>
  <c r="G1198" i="6"/>
  <c r="H1198" i="6"/>
  <c r="I1198" i="6"/>
  <c r="J1198" i="6"/>
  <c r="K1198" i="6"/>
  <c r="L1198" i="6"/>
  <c r="M1198" i="6"/>
  <c r="O1198" i="6"/>
  <c r="P1198" i="6"/>
  <c r="Q1198" i="6"/>
  <c r="S1198" i="6"/>
  <c r="T1198" i="6"/>
  <c r="U1198" i="6"/>
  <c r="V1198" i="6"/>
  <c r="W1198" i="6"/>
  <c r="D1199" i="6"/>
  <c r="H1199" i="6"/>
  <c r="Y1199" i="6" s="1"/>
  <c r="D1200" i="6"/>
  <c r="H1200" i="6"/>
  <c r="Y1200" i="6" s="1"/>
  <c r="E1201" i="6"/>
  <c r="AG1256" i="6" s="1"/>
  <c r="F1201" i="6"/>
  <c r="AH1256" i="6" s="1"/>
  <c r="G1201" i="6"/>
  <c r="I1201" i="6"/>
  <c r="J1201" i="6"/>
  <c r="K1201" i="6"/>
  <c r="L1201" i="6"/>
  <c r="AJ1256" i="6" s="1"/>
  <c r="M1201" i="6"/>
  <c r="O1201" i="6"/>
  <c r="AL1256" i="6" s="1"/>
  <c r="P1201" i="6"/>
  <c r="AM1256" i="6" s="1"/>
  <c r="Q1201" i="6"/>
  <c r="S1201" i="6"/>
  <c r="T1201" i="6"/>
  <c r="U1201" i="6"/>
  <c r="V1201" i="6"/>
  <c r="AO1256" i="6" s="1"/>
  <c r="W1201" i="6"/>
  <c r="D1202" i="6"/>
  <c r="E1202" i="6"/>
  <c r="F1202" i="6"/>
  <c r="G1202" i="6"/>
  <c r="I1202" i="6"/>
  <c r="J1202" i="6"/>
  <c r="K1202" i="6"/>
  <c r="L1202" i="6"/>
  <c r="M1202" i="6"/>
  <c r="P1202" i="6"/>
  <c r="Q1202" i="6"/>
  <c r="S1202" i="6"/>
  <c r="T1202" i="6"/>
  <c r="U1202" i="6"/>
  <c r="V1202" i="6"/>
  <c r="W1202" i="6"/>
  <c r="D1203" i="6"/>
  <c r="E1203" i="6"/>
  <c r="F1203" i="6"/>
  <c r="G1203" i="6"/>
  <c r="I1203" i="6"/>
  <c r="J1203" i="6"/>
  <c r="K1203" i="6"/>
  <c r="L1203" i="6"/>
  <c r="M1203" i="6"/>
  <c r="P1203" i="6"/>
  <c r="Q1203" i="6"/>
  <c r="R1203" i="6"/>
  <c r="Y1203" i="6" s="1"/>
  <c r="S1203" i="6"/>
  <c r="T1203" i="6"/>
  <c r="U1203" i="6"/>
  <c r="V1203" i="6"/>
  <c r="W1203" i="6"/>
  <c r="D1204" i="6"/>
  <c r="AF1253" i="6" s="1"/>
  <c r="E1204" i="6"/>
  <c r="F1204" i="6"/>
  <c r="G1204" i="6"/>
  <c r="I1204" i="6"/>
  <c r="J1204" i="6"/>
  <c r="K1204" i="6"/>
  <c r="L1204" i="6"/>
  <c r="M1204" i="6"/>
  <c r="O1204" i="6"/>
  <c r="P1204" i="6"/>
  <c r="Q1204" i="6"/>
  <c r="R1204" i="6"/>
  <c r="Y1204" i="6" s="1"/>
  <c r="Z1204" i="6" s="1"/>
  <c r="S1204" i="6"/>
  <c r="T1204" i="6"/>
  <c r="U1204" i="6"/>
  <c r="V1204" i="6"/>
  <c r="W1204" i="6"/>
  <c r="D1210" i="6"/>
  <c r="E1210" i="6"/>
  <c r="F1210" i="6"/>
  <c r="G1210" i="6"/>
  <c r="I1210" i="6"/>
  <c r="J1210" i="6"/>
  <c r="K1210" i="6"/>
  <c r="L1210" i="6"/>
  <c r="M1210" i="6"/>
  <c r="O1210" i="6"/>
  <c r="P1210" i="6"/>
  <c r="Q1210" i="6"/>
  <c r="R1210" i="6"/>
  <c r="S1210" i="6"/>
  <c r="T1210" i="6"/>
  <c r="U1210" i="6"/>
  <c r="V1210" i="6"/>
  <c r="W1210" i="6"/>
  <c r="E1211" i="6"/>
  <c r="F1211" i="6"/>
  <c r="G1211" i="6"/>
  <c r="I1211" i="6"/>
  <c r="J1211" i="6"/>
  <c r="K1211" i="6"/>
  <c r="L1211" i="6"/>
  <c r="M1211" i="6"/>
  <c r="O1211" i="6"/>
  <c r="P1211" i="6"/>
  <c r="Q1211" i="6"/>
  <c r="S1211" i="6"/>
  <c r="T1211" i="6"/>
  <c r="U1211" i="6"/>
  <c r="V1211" i="6"/>
  <c r="W1211" i="6"/>
  <c r="D1212" i="6"/>
  <c r="D1215" i="6" s="1"/>
  <c r="E1212" i="6"/>
  <c r="F1212" i="6"/>
  <c r="G1212" i="6"/>
  <c r="I1212" i="6"/>
  <c r="J1212" i="6"/>
  <c r="K1212" i="6"/>
  <c r="L1212" i="6"/>
  <c r="M1212" i="6"/>
  <c r="O1212" i="6"/>
  <c r="P1212" i="6"/>
  <c r="Q1212" i="6"/>
  <c r="R1212" i="6"/>
  <c r="S1212" i="6"/>
  <c r="T1212" i="6"/>
  <c r="U1212" i="6"/>
  <c r="V1212" i="6"/>
  <c r="W1212" i="6"/>
  <c r="D1213" i="6"/>
  <c r="E1213" i="6"/>
  <c r="F1213" i="6"/>
  <c r="G1213" i="6"/>
  <c r="I1213" i="6"/>
  <c r="J1213" i="6"/>
  <c r="K1213" i="6"/>
  <c r="L1213" i="6"/>
  <c r="M1213" i="6"/>
  <c r="O1213" i="6"/>
  <c r="P1213" i="6"/>
  <c r="Q1213" i="6"/>
  <c r="R1213" i="6"/>
  <c r="S1213" i="6"/>
  <c r="T1213" i="6"/>
  <c r="U1213" i="6"/>
  <c r="V1213" i="6"/>
  <c r="W1213" i="6"/>
  <c r="D1217" i="6"/>
  <c r="E1217" i="6"/>
  <c r="F1217" i="6"/>
  <c r="G1217" i="6"/>
  <c r="I1217" i="6"/>
  <c r="J1217" i="6"/>
  <c r="K1217" i="6"/>
  <c r="L1217" i="6"/>
  <c r="M1217" i="6"/>
  <c r="P1217" i="6"/>
  <c r="Q1217" i="6"/>
  <c r="R1217" i="6"/>
  <c r="Y1217" i="6" s="1"/>
  <c r="S1217" i="6"/>
  <c r="T1217" i="6"/>
  <c r="U1217" i="6"/>
  <c r="V1217" i="6"/>
  <c r="W1217" i="6"/>
  <c r="D1218" i="6"/>
  <c r="E1218" i="6"/>
  <c r="F1218" i="6"/>
  <c r="G1218" i="6"/>
  <c r="I1218" i="6"/>
  <c r="J1218" i="6"/>
  <c r="K1218" i="6"/>
  <c r="L1218" i="6"/>
  <c r="M1218" i="6"/>
  <c r="P1218" i="6"/>
  <c r="Q1218" i="6"/>
  <c r="R1218" i="6"/>
  <c r="S1218" i="6"/>
  <c r="T1218" i="6"/>
  <c r="U1218" i="6"/>
  <c r="V1218" i="6"/>
  <c r="W1218" i="6"/>
  <c r="R1219" i="6"/>
  <c r="D1220" i="6"/>
  <c r="E1220" i="6"/>
  <c r="F1220" i="6"/>
  <c r="G1220" i="6"/>
  <c r="H1220" i="6"/>
  <c r="I1220" i="6"/>
  <c r="J1220" i="6"/>
  <c r="K1220" i="6"/>
  <c r="L1220" i="6"/>
  <c r="M1220" i="6"/>
  <c r="O1220" i="6"/>
  <c r="P1220" i="6"/>
  <c r="Q1220" i="6"/>
  <c r="S1220" i="6"/>
  <c r="T1220" i="6"/>
  <c r="U1220" i="6"/>
  <c r="V1220" i="6"/>
  <c r="W1220" i="6"/>
  <c r="D1221" i="6"/>
  <c r="H1221" i="6"/>
  <c r="Y1221" i="6" s="1"/>
  <c r="D1222" i="6"/>
  <c r="H1222" i="6"/>
  <c r="D1223" i="6"/>
  <c r="H1223" i="6"/>
  <c r="Y1223" i="6" s="1"/>
  <c r="D1224" i="6"/>
  <c r="H1224" i="6"/>
  <c r="Y1224" i="6" s="1"/>
  <c r="D1226" i="6"/>
  <c r="H1226" i="6"/>
  <c r="Y1226" i="6" s="1"/>
  <c r="D1227" i="6"/>
  <c r="E1227" i="6"/>
  <c r="F1227" i="6"/>
  <c r="G1227" i="6"/>
  <c r="I1227" i="6"/>
  <c r="J1227" i="6"/>
  <c r="K1227" i="6"/>
  <c r="L1227" i="6"/>
  <c r="M1227" i="6"/>
  <c r="P1227" i="6"/>
  <c r="Q1227" i="6"/>
  <c r="R1227" i="6"/>
  <c r="Y1227" i="6" s="1"/>
  <c r="S1227" i="6"/>
  <c r="T1227" i="6"/>
  <c r="U1227" i="6"/>
  <c r="V1227" i="6"/>
  <c r="W1227" i="6"/>
  <c r="E1228" i="6"/>
  <c r="AG1273" i="6" s="1"/>
  <c r="F1228" i="6"/>
  <c r="AH1273" i="6" s="1"/>
  <c r="G1228" i="6"/>
  <c r="H1228" i="6"/>
  <c r="I1228" i="6"/>
  <c r="J1228" i="6"/>
  <c r="K1228" i="6"/>
  <c r="L1228" i="6"/>
  <c r="AJ1273" i="6" s="1"/>
  <c r="M1228" i="6"/>
  <c r="O1228" i="6"/>
  <c r="AL1273" i="6" s="1"/>
  <c r="P1228" i="6"/>
  <c r="AM1273" i="6" s="1"/>
  <c r="Q1228" i="6"/>
  <c r="S1228" i="6"/>
  <c r="T1228" i="6"/>
  <c r="U1228" i="6"/>
  <c r="V1228" i="6"/>
  <c r="AO1273" i="6" s="1"/>
  <c r="W1228" i="6"/>
  <c r="D1229" i="6"/>
  <c r="E1229" i="6"/>
  <c r="AG1274" i="6" s="1"/>
  <c r="F1229" i="6"/>
  <c r="AH1274" i="6" s="1"/>
  <c r="G1229" i="6"/>
  <c r="I1229" i="6"/>
  <c r="J1229" i="6"/>
  <c r="K1229" i="6"/>
  <c r="L1229" i="6"/>
  <c r="AJ1274" i="6" s="1"/>
  <c r="M1229" i="6"/>
  <c r="O1229" i="6"/>
  <c r="AL1274" i="6" s="1"/>
  <c r="P1229" i="6"/>
  <c r="AM1274" i="6" s="1"/>
  <c r="Q1229" i="6"/>
  <c r="R1229" i="6"/>
  <c r="Y1229" i="6" s="1"/>
  <c r="S1229" i="6"/>
  <c r="T1229" i="6"/>
  <c r="U1229" i="6"/>
  <c r="V1229" i="6"/>
  <c r="W1229" i="6"/>
  <c r="D1235" i="6"/>
  <c r="E1235" i="6"/>
  <c r="F1235" i="6"/>
  <c r="G1235" i="6"/>
  <c r="Y1235" i="6"/>
  <c r="Z1235" i="6" s="1"/>
  <c r="I1235" i="6"/>
  <c r="J1235" i="6"/>
  <c r="K1235" i="6"/>
  <c r="L1235" i="6"/>
  <c r="M1235" i="6"/>
  <c r="O1235" i="6"/>
  <c r="P1235" i="6"/>
  <c r="Q1235" i="6"/>
  <c r="S1235" i="6"/>
  <c r="T1235" i="6"/>
  <c r="U1235" i="6"/>
  <c r="V1235" i="6"/>
  <c r="W1235" i="6"/>
  <c r="D1236" i="6"/>
  <c r="E1236" i="6"/>
  <c r="F1236" i="6"/>
  <c r="G1236" i="6"/>
  <c r="H1236" i="6"/>
  <c r="I1236" i="6"/>
  <c r="J1236" i="6"/>
  <c r="K1236" i="6"/>
  <c r="L1236" i="6"/>
  <c r="M1236" i="6"/>
  <c r="O1236" i="6"/>
  <c r="P1236" i="6"/>
  <c r="Q1236" i="6"/>
  <c r="S1236" i="6"/>
  <c r="T1236" i="6"/>
  <c r="U1236" i="6"/>
  <c r="V1236" i="6"/>
  <c r="W1236" i="6"/>
  <c r="D1237" i="6"/>
  <c r="H1237" i="6"/>
  <c r="Y1237" i="6" s="1"/>
  <c r="Y1238" i="6"/>
  <c r="D1239" i="6"/>
  <c r="H1239" i="6"/>
  <c r="Y1239" i="6" s="1"/>
  <c r="E1240" i="6"/>
  <c r="F1240" i="6"/>
  <c r="G1240" i="6"/>
  <c r="I1240" i="6"/>
  <c r="J1240" i="6"/>
  <c r="K1240" i="6"/>
  <c r="L1240" i="6"/>
  <c r="M1240" i="6"/>
  <c r="O1240" i="6"/>
  <c r="P1240" i="6"/>
  <c r="Q1240" i="6"/>
  <c r="S1240" i="6"/>
  <c r="T1240" i="6"/>
  <c r="U1240" i="6"/>
  <c r="V1240" i="6"/>
  <c r="W1240" i="6"/>
  <c r="Y1240" i="6"/>
  <c r="Z1240" i="6" s="1"/>
  <c r="E1241" i="6"/>
  <c r="F1241" i="6"/>
  <c r="G1241" i="6"/>
  <c r="I1241" i="6"/>
  <c r="J1241" i="6"/>
  <c r="K1241" i="6"/>
  <c r="L1241" i="6"/>
  <c r="M1241" i="6"/>
  <c r="O1241" i="6"/>
  <c r="P1241" i="6"/>
  <c r="Q1241" i="6"/>
  <c r="S1241" i="6"/>
  <c r="T1241" i="6"/>
  <c r="U1241" i="6"/>
  <c r="V1241" i="6"/>
  <c r="W1241" i="6"/>
  <c r="Y1241" i="6"/>
  <c r="Z1241" i="6" s="1"/>
  <c r="E1242" i="6"/>
  <c r="F1242" i="6"/>
  <c r="G1242" i="6"/>
  <c r="I1242" i="6"/>
  <c r="J1242" i="6"/>
  <c r="K1242" i="6"/>
  <c r="L1242" i="6"/>
  <c r="M1242" i="6"/>
  <c r="O1242" i="6"/>
  <c r="P1242" i="6"/>
  <c r="Q1242" i="6"/>
  <c r="S1242" i="6"/>
  <c r="T1242" i="6"/>
  <c r="U1242" i="6"/>
  <c r="V1242" i="6"/>
  <c r="W1242" i="6"/>
  <c r="Y1242" i="6"/>
  <c r="Z1242" i="6" s="1"/>
  <c r="R1244" i="6"/>
  <c r="D1246" i="6"/>
  <c r="E1246" i="6"/>
  <c r="F1246" i="6"/>
  <c r="G1246" i="6"/>
  <c r="I1246" i="6"/>
  <c r="J1246" i="6"/>
  <c r="K1246" i="6"/>
  <c r="L1246" i="6"/>
  <c r="M1246" i="6"/>
  <c r="N1246" i="6"/>
  <c r="O1246" i="6"/>
  <c r="P1246" i="6"/>
  <c r="Q1246" i="6"/>
  <c r="S1246" i="6"/>
  <c r="T1246" i="6"/>
  <c r="U1246" i="6"/>
  <c r="V1246" i="6"/>
  <c r="W1246" i="6"/>
  <c r="X1246" i="6"/>
  <c r="Z1246" i="6"/>
  <c r="AA1246" i="6"/>
  <c r="AB1246" i="6"/>
  <c r="AA1247" i="6"/>
  <c r="AB1247" i="6"/>
  <c r="D1248" i="6"/>
  <c r="E1248" i="6"/>
  <c r="F1248" i="6"/>
  <c r="G1248" i="6"/>
  <c r="H1248" i="6"/>
  <c r="I1248" i="6"/>
  <c r="J1248" i="6"/>
  <c r="K1248" i="6"/>
  <c r="L1248" i="6"/>
  <c r="M1248" i="6"/>
  <c r="O1248" i="6"/>
  <c r="P1248" i="6"/>
  <c r="Q1248" i="6"/>
  <c r="R1248" i="6"/>
  <c r="S1248" i="6"/>
  <c r="T1248" i="6"/>
  <c r="U1248" i="6"/>
  <c r="V1248" i="6"/>
  <c r="W1248" i="6"/>
  <c r="D1249" i="6"/>
  <c r="D1250" i="6"/>
  <c r="H1250" i="6"/>
  <c r="Y1250" i="6" s="1"/>
  <c r="D1251" i="6"/>
  <c r="H1251" i="6"/>
  <c r="Y1251" i="6" s="1"/>
  <c r="D1252" i="6"/>
  <c r="E1252" i="6"/>
  <c r="F1252" i="6"/>
  <c r="G1252" i="6"/>
  <c r="H1252" i="6"/>
  <c r="Y1252" i="6" s="1"/>
  <c r="Z1252" i="6" s="1"/>
  <c r="I1252" i="6"/>
  <c r="J1252" i="6"/>
  <c r="K1252" i="6"/>
  <c r="L1252" i="6"/>
  <c r="M1252" i="6"/>
  <c r="O1252" i="6"/>
  <c r="P1252" i="6"/>
  <c r="Q1252" i="6"/>
  <c r="S1252" i="6"/>
  <c r="T1252" i="6"/>
  <c r="U1252" i="6"/>
  <c r="V1252" i="6"/>
  <c r="W1252" i="6"/>
  <c r="D1253" i="6"/>
  <c r="AF1275" i="6" s="1"/>
  <c r="E1253" i="6"/>
  <c r="F1253" i="6"/>
  <c r="G1253" i="6"/>
  <c r="H1253" i="6"/>
  <c r="Y1253" i="6" s="1"/>
  <c r="I1253" i="6"/>
  <c r="J1253" i="6"/>
  <c r="K1253" i="6"/>
  <c r="L1253" i="6"/>
  <c r="AJ1275" i="6" s="1"/>
  <c r="M1253" i="6"/>
  <c r="O1253" i="6"/>
  <c r="AL1275" i="6" s="1"/>
  <c r="P1253" i="6"/>
  <c r="Q1253" i="6"/>
  <c r="S1253" i="6"/>
  <c r="T1253" i="6"/>
  <c r="U1253" i="6"/>
  <c r="V1253" i="6"/>
  <c r="AO1275" i="6" s="1"/>
  <c r="W1253" i="6"/>
  <c r="AF1256" i="6"/>
  <c r="D1267" i="6"/>
  <c r="E1267" i="6"/>
  <c r="F1267" i="6"/>
  <c r="G1267" i="6"/>
  <c r="H1267" i="6"/>
  <c r="I1267" i="6"/>
  <c r="J1267" i="6"/>
  <c r="K1267" i="6"/>
  <c r="L1267" i="6"/>
  <c r="M1267" i="6"/>
  <c r="P1267" i="6"/>
  <c r="Q1267" i="6"/>
  <c r="R1267" i="6"/>
  <c r="R1275" i="6" s="1"/>
  <c r="S1267" i="6"/>
  <c r="T1267" i="6"/>
  <c r="U1267" i="6"/>
  <c r="V1267" i="6"/>
  <c r="W1267" i="6"/>
  <c r="D1269" i="6"/>
  <c r="H1269" i="6"/>
  <c r="D1270" i="6"/>
  <c r="F1270" i="6"/>
  <c r="G1270" i="6"/>
  <c r="H1270" i="6"/>
  <c r="Y1270" i="6" s="1"/>
  <c r="Z1270" i="6" s="1"/>
  <c r="I1270" i="6"/>
  <c r="J1270" i="6"/>
  <c r="K1270" i="6"/>
  <c r="L1270" i="6"/>
  <c r="M1270" i="6"/>
  <c r="O1270" i="6"/>
  <c r="P1270" i="6"/>
  <c r="Q1270" i="6"/>
  <c r="S1270" i="6"/>
  <c r="T1270" i="6"/>
  <c r="U1270" i="6"/>
  <c r="V1270" i="6"/>
  <c r="W1270" i="6"/>
  <c r="D1271" i="6"/>
  <c r="H1271" i="6"/>
  <c r="Y1271" i="6" s="1"/>
  <c r="D1273" i="6"/>
  <c r="E1273" i="6"/>
  <c r="F1273" i="6"/>
  <c r="G1273" i="6"/>
  <c r="H1273" i="6"/>
  <c r="Y1273" i="6" s="1"/>
  <c r="Z1273" i="6" s="1"/>
  <c r="I1273" i="6"/>
  <c r="J1273" i="6"/>
  <c r="K1273" i="6"/>
  <c r="L1273" i="6"/>
  <c r="M1273" i="6"/>
  <c r="O1273" i="6"/>
  <c r="P1273" i="6"/>
  <c r="Q1273" i="6"/>
  <c r="S1273" i="6"/>
  <c r="T1273" i="6"/>
  <c r="U1273" i="6"/>
  <c r="V1273" i="6"/>
  <c r="W1273" i="6"/>
  <c r="D1282" i="6"/>
  <c r="E1282" i="6"/>
  <c r="F1282" i="6"/>
  <c r="G1282" i="6"/>
  <c r="H1282" i="6"/>
  <c r="Y1282" i="6" s="1"/>
  <c r="Z1282" i="6" s="1"/>
  <c r="I1282" i="6"/>
  <c r="J1282" i="6"/>
  <c r="K1282" i="6"/>
  <c r="L1282" i="6"/>
  <c r="M1282" i="6"/>
  <c r="O1282" i="6"/>
  <c r="P1282" i="6"/>
  <c r="Q1282" i="6"/>
  <c r="S1282" i="6"/>
  <c r="T1282" i="6"/>
  <c r="U1282" i="6"/>
  <c r="V1282" i="6"/>
  <c r="W1282" i="6"/>
  <c r="D1283" i="6"/>
  <c r="H1283" i="6"/>
  <c r="Y1283" i="6"/>
  <c r="D1284" i="6"/>
  <c r="H1284" i="6"/>
  <c r="E1290" i="6"/>
  <c r="F1290" i="6"/>
  <c r="G1290" i="6"/>
  <c r="I1290" i="6"/>
  <c r="J1290" i="6"/>
  <c r="K1290" i="6"/>
  <c r="L1290" i="6"/>
  <c r="M1290" i="6"/>
  <c r="O1290" i="6"/>
  <c r="P1290" i="6"/>
  <c r="Q1290" i="6"/>
  <c r="S1290" i="6"/>
  <c r="T1290" i="6"/>
  <c r="U1290" i="6"/>
  <c r="V1290" i="6"/>
  <c r="W1290" i="6"/>
  <c r="Y1290" i="6"/>
  <c r="Z1290" i="6" s="1"/>
  <c r="E1291" i="6"/>
  <c r="F1291" i="6"/>
  <c r="G1291" i="6"/>
  <c r="I1291" i="6"/>
  <c r="J1291" i="6"/>
  <c r="K1291" i="6"/>
  <c r="L1291" i="6"/>
  <c r="M1291" i="6"/>
  <c r="O1291" i="6"/>
  <c r="P1291" i="6"/>
  <c r="Q1291" i="6"/>
  <c r="S1291" i="6"/>
  <c r="T1291" i="6"/>
  <c r="U1291" i="6"/>
  <c r="V1291" i="6"/>
  <c r="W1291" i="6"/>
  <c r="Y1291" i="6"/>
  <c r="Z1291" i="6" s="1"/>
  <c r="R1293" i="6"/>
  <c r="D1298" i="6"/>
  <c r="E1298" i="6"/>
  <c r="F1298" i="6"/>
  <c r="G1298" i="6"/>
  <c r="I1298" i="6"/>
  <c r="J1298" i="6"/>
  <c r="K1298" i="6"/>
  <c r="L1298" i="6"/>
  <c r="M1298" i="6"/>
  <c r="O1298" i="6"/>
  <c r="P1298" i="6"/>
  <c r="Q1298" i="6"/>
  <c r="S1298" i="6"/>
  <c r="T1298" i="6"/>
  <c r="U1298" i="6"/>
  <c r="V1298" i="6"/>
  <c r="W1298" i="6"/>
  <c r="D1299" i="6"/>
  <c r="H1299" i="6"/>
  <c r="Y1299" i="6" s="1"/>
  <c r="D1300" i="6"/>
  <c r="D1301" i="6"/>
  <c r="E1301" i="6"/>
  <c r="F1301" i="6"/>
  <c r="G1301" i="6"/>
  <c r="H1301" i="6"/>
  <c r="Y1301" i="6" s="1"/>
  <c r="Z1301" i="6" s="1"/>
  <c r="I1301" i="6"/>
  <c r="J1301" i="6"/>
  <c r="K1301" i="6"/>
  <c r="L1301" i="6"/>
  <c r="M1301" i="6"/>
  <c r="O1301" i="6"/>
  <c r="P1301" i="6"/>
  <c r="Q1301" i="6"/>
  <c r="S1301" i="6"/>
  <c r="T1301" i="6"/>
  <c r="U1301" i="6"/>
  <c r="V1301" i="6"/>
  <c r="W1301" i="6"/>
  <c r="D1302" i="6"/>
  <c r="E1302" i="6"/>
  <c r="F1302" i="6"/>
  <c r="G1302" i="6"/>
  <c r="H1302" i="6"/>
  <c r="Y1302" i="6" s="1"/>
  <c r="Z1302" i="6" s="1"/>
  <c r="I1302" i="6"/>
  <c r="J1302" i="6"/>
  <c r="K1302" i="6"/>
  <c r="L1302" i="6"/>
  <c r="M1302" i="6"/>
  <c r="O1302" i="6"/>
  <c r="P1302" i="6"/>
  <c r="Q1302" i="6"/>
  <c r="S1302" i="6"/>
  <c r="T1302" i="6"/>
  <c r="U1302" i="6"/>
  <c r="V1302" i="6"/>
  <c r="W1302" i="6"/>
  <c r="D1303" i="6"/>
  <c r="H1303" i="6"/>
  <c r="Y1303" i="6" s="1"/>
  <c r="D1306" i="6"/>
  <c r="H1306" i="6"/>
  <c r="Y1306" i="6" s="1"/>
  <c r="E1307" i="6"/>
  <c r="F1307" i="6"/>
  <c r="G1307" i="6"/>
  <c r="I1307" i="6"/>
  <c r="J1307" i="6"/>
  <c r="K1307" i="6"/>
  <c r="L1307" i="6"/>
  <c r="M1307" i="6"/>
  <c r="O1307" i="6"/>
  <c r="P1307" i="6"/>
  <c r="Q1307" i="6"/>
  <c r="S1307" i="6"/>
  <c r="T1307" i="6"/>
  <c r="U1307" i="6"/>
  <c r="V1307" i="6"/>
  <c r="W1307" i="6"/>
  <c r="Y1307" i="6"/>
  <c r="Z1307" i="6" s="1"/>
  <c r="E1308" i="6"/>
  <c r="AG1358" i="6" s="1"/>
  <c r="F1308" i="6"/>
  <c r="AH1358" i="6" s="1"/>
  <c r="G1308" i="6"/>
  <c r="I1308" i="6"/>
  <c r="J1308" i="6"/>
  <c r="K1308" i="6"/>
  <c r="L1308" i="6"/>
  <c r="AJ1358" i="6" s="1"/>
  <c r="M1308" i="6"/>
  <c r="O1308" i="6"/>
  <c r="AL1358" i="6" s="1"/>
  <c r="P1308" i="6"/>
  <c r="AM1358" i="6" s="1"/>
  <c r="Q1308" i="6"/>
  <c r="S1308" i="6"/>
  <c r="T1308" i="6"/>
  <c r="U1308" i="6"/>
  <c r="V1308" i="6"/>
  <c r="AO1358" i="6" s="1"/>
  <c r="W1308" i="6"/>
  <c r="Y1308" i="6"/>
  <c r="Z1308" i="6" s="1"/>
  <c r="E1309" i="6"/>
  <c r="F1309" i="6"/>
  <c r="G1309" i="6"/>
  <c r="I1309" i="6"/>
  <c r="J1309" i="6"/>
  <c r="K1309" i="6"/>
  <c r="L1309" i="6"/>
  <c r="M1309" i="6"/>
  <c r="O1309" i="6"/>
  <c r="P1309" i="6"/>
  <c r="Q1309" i="6"/>
  <c r="S1309" i="6"/>
  <c r="T1309" i="6"/>
  <c r="U1309" i="6"/>
  <c r="V1309" i="6"/>
  <c r="W1309" i="6"/>
  <c r="Y1309" i="6"/>
  <c r="Z1309" i="6" s="1"/>
  <c r="R1311" i="6"/>
  <c r="D1313" i="6"/>
  <c r="E1313" i="6"/>
  <c r="F1313" i="6"/>
  <c r="G1313" i="6"/>
  <c r="H1313" i="6"/>
  <c r="Y1313" i="6" s="1"/>
  <c r="Z1313" i="6" s="1"/>
  <c r="I1313" i="6"/>
  <c r="J1313" i="6"/>
  <c r="K1313" i="6"/>
  <c r="L1313" i="6"/>
  <c r="M1313" i="6"/>
  <c r="O1313" i="6"/>
  <c r="P1313" i="6"/>
  <c r="Q1313" i="6"/>
  <c r="S1313" i="6"/>
  <c r="T1313" i="6"/>
  <c r="U1313" i="6"/>
  <c r="V1313" i="6"/>
  <c r="W1313" i="6"/>
  <c r="D1314" i="6"/>
  <c r="E1314" i="6"/>
  <c r="F1314" i="6"/>
  <c r="G1314" i="6"/>
  <c r="H1314" i="6"/>
  <c r="I1314" i="6"/>
  <c r="J1314" i="6"/>
  <c r="K1314" i="6"/>
  <c r="L1314" i="6"/>
  <c r="M1314" i="6"/>
  <c r="O1314" i="6"/>
  <c r="P1314" i="6"/>
  <c r="Q1314" i="6"/>
  <c r="S1314" i="6"/>
  <c r="T1314" i="6"/>
  <c r="U1314" i="6"/>
  <c r="V1314" i="6"/>
  <c r="W1314" i="6"/>
  <c r="Y1315" i="6"/>
  <c r="Z1315" i="6" s="1"/>
  <c r="D1316" i="6"/>
  <c r="E1317" i="6"/>
  <c r="AG1350" i="6" s="1"/>
  <c r="F1317" i="6"/>
  <c r="AH1350" i="6" s="1"/>
  <c r="G1317" i="6"/>
  <c r="I1317" i="6"/>
  <c r="J1317" i="6"/>
  <c r="K1317" i="6"/>
  <c r="L1317" i="6"/>
  <c r="AJ1350" i="6" s="1"/>
  <c r="M1317" i="6"/>
  <c r="O1317" i="6"/>
  <c r="AL1350" i="6" s="1"/>
  <c r="P1317" i="6"/>
  <c r="AM1350" i="6" s="1"/>
  <c r="Q1317" i="6"/>
  <c r="S1317" i="6"/>
  <c r="T1317" i="6"/>
  <c r="U1317" i="6"/>
  <c r="V1317" i="6"/>
  <c r="AO1350" i="6" s="1"/>
  <c r="W1317" i="6"/>
  <c r="Y1317" i="6"/>
  <c r="Z1317" i="6" s="1"/>
  <c r="F1318" i="6"/>
  <c r="G1318" i="6"/>
  <c r="I1318" i="6"/>
  <c r="J1318" i="6"/>
  <c r="K1318" i="6"/>
  <c r="L1318" i="6"/>
  <c r="M1318" i="6"/>
  <c r="O1318" i="6"/>
  <c r="P1318" i="6"/>
  <c r="Q1318" i="6"/>
  <c r="S1318" i="6"/>
  <c r="T1318" i="6"/>
  <c r="U1318" i="6"/>
  <c r="V1318" i="6"/>
  <c r="W1318" i="6"/>
  <c r="D1319" i="6"/>
  <c r="H1319" i="6"/>
  <c r="Y1319" i="6" s="1"/>
  <c r="D1320" i="6"/>
  <c r="AF1356" i="6" s="1"/>
  <c r="E1320" i="6"/>
  <c r="F1320" i="6"/>
  <c r="G1320" i="6"/>
  <c r="I1320" i="6"/>
  <c r="J1320" i="6"/>
  <c r="K1320" i="6"/>
  <c r="L1320" i="6"/>
  <c r="M1320" i="6"/>
  <c r="O1320" i="6"/>
  <c r="P1320" i="6"/>
  <c r="Q1320" i="6"/>
  <c r="R1320" i="6"/>
  <c r="Y1320" i="6" s="1"/>
  <c r="S1320" i="6"/>
  <c r="T1320" i="6"/>
  <c r="U1320" i="6"/>
  <c r="V1320" i="6"/>
  <c r="W1320" i="6"/>
  <c r="D1321" i="6"/>
  <c r="E1321" i="6"/>
  <c r="F1321" i="6"/>
  <c r="G1321" i="6"/>
  <c r="I1321" i="6"/>
  <c r="J1321" i="6"/>
  <c r="K1321" i="6"/>
  <c r="L1321" i="6"/>
  <c r="M1321" i="6"/>
  <c r="P1321" i="6"/>
  <c r="Q1321" i="6"/>
  <c r="R1321" i="6"/>
  <c r="S1321" i="6"/>
  <c r="T1321" i="6"/>
  <c r="U1321" i="6"/>
  <c r="V1321" i="6"/>
  <c r="W1321" i="6"/>
  <c r="D1325" i="6"/>
  <c r="E1325" i="6"/>
  <c r="F1325" i="6"/>
  <c r="G1325" i="6"/>
  <c r="H1325" i="6"/>
  <c r="Y1325" i="6" s="1"/>
  <c r="Z1325" i="6" s="1"/>
  <c r="I1325" i="6"/>
  <c r="J1325" i="6"/>
  <c r="K1325" i="6"/>
  <c r="L1325" i="6"/>
  <c r="M1325" i="6"/>
  <c r="P1325" i="6"/>
  <c r="Q1325" i="6"/>
  <c r="S1325" i="6"/>
  <c r="T1325" i="6"/>
  <c r="U1325" i="6"/>
  <c r="V1325" i="6"/>
  <c r="W1325" i="6"/>
  <c r="D1326" i="6"/>
  <c r="H1326" i="6"/>
  <c r="Y1326" i="6" s="1"/>
  <c r="D1327" i="6"/>
  <c r="Y1327" i="6"/>
  <c r="D1328" i="6"/>
  <c r="AF1348" i="6" s="1"/>
  <c r="E1328" i="6"/>
  <c r="F1328" i="6"/>
  <c r="G1328" i="6"/>
  <c r="H1328" i="6"/>
  <c r="Y1328" i="6" s="1"/>
  <c r="Z1328" i="6" s="1"/>
  <c r="I1328" i="6"/>
  <c r="J1328" i="6"/>
  <c r="K1328" i="6"/>
  <c r="L1328" i="6"/>
  <c r="M1328" i="6"/>
  <c r="O1328" i="6"/>
  <c r="P1328" i="6"/>
  <c r="Q1328" i="6"/>
  <c r="S1328" i="6"/>
  <c r="T1328" i="6"/>
  <c r="U1328" i="6"/>
  <c r="V1328" i="6"/>
  <c r="W1328" i="6"/>
  <c r="D1329" i="6"/>
  <c r="E1329" i="6"/>
  <c r="F1329" i="6"/>
  <c r="G1329" i="6"/>
  <c r="H1329" i="6"/>
  <c r="Y1329" i="6" s="1"/>
  <c r="Z1329" i="6" s="1"/>
  <c r="I1329" i="6"/>
  <c r="J1329" i="6"/>
  <c r="K1329" i="6"/>
  <c r="L1329" i="6"/>
  <c r="M1329" i="6"/>
  <c r="O1329" i="6"/>
  <c r="P1329" i="6"/>
  <c r="Q1329" i="6"/>
  <c r="S1329" i="6"/>
  <c r="T1329" i="6"/>
  <c r="U1329" i="6"/>
  <c r="V1329" i="6"/>
  <c r="W1329" i="6"/>
  <c r="R1331" i="6"/>
  <c r="B1332" i="6"/>
  <c r="D1333" i="6"/>
  <c r="D1335" i="6"/>
  <c r="E1335" i="6"/>
  <c r="F1335" i="6"/>
  <c r="G1335" i="6"/>
  <c r="H1335" i="6"/>
  <c r="I1335" i="6"/>
  <c r="J1335" i="6"/>
  <c r="K1335" i="6"/>
  <c r="L1335" i="6"/>
  <c r="M1335" i="6"/>
  <c r="P1335" i="6"/>
  <c r="Q1335" i="6"/>
  <c r="R1335" i="6"/>
  <c r="S1335" i="6"/>
  <c r="T1335" i="6"/>
  <c r="U1335" i="6"/>
  <c r="V1335" i="6"/>
  <c r="W1335" i="6"/>
  <c r="AA1339" i="6"/>
  <c r="AB1339" i="6"/>
  <c r="D1340" i="6"/>
  <c r="E1340" i="6"/>
  <c r="F1340" i="6"/>
  <c r="G1340" i="6"/>
  <c r="H1340" i="6"/>
  <c r="I1340" i="6"/>
  <c r="J1340" i="6"/>
  <c r="K1340" i="6"/>
  <c r="L1340" i="6"/>
  <c r="M1340" i="6"/>
  <c r="O1340" i="6"/>
  <c r="P1340" i="6"/>
  <c r="Q1340" i="6"/>
  <c r="R1340" i="6"/>
  <c r="S1340" i="6"/>
  <c r="T1340" i="6"/>
  <c r="U1340" i="6"/>
  <c r="V1340" i="6"/>
  <c r="W1340" i="6"/>
  <c r="D1341" i="6"/>
  <c r="E1341" i="6"/>
  <c r="F1341" i="6"/>
  <c r="G1341" i="6"/>
  <c r="H1341" i="6"/>
  <c r="I1341" i="6"/>
  <c r="J1341" i="6"/>
  <c r="K1341" i="6"/>
  <c r="L1341" i="6"/>
  <c r="M1341" i="6"/>
  <c r="O1341" i="6"/>
  <c r="P1341" i="6"/>
  <c r="Q1341" i="6"/>
  <c r="S1341" i="6"/>
  <c r="T1341" i="6"/>
  <c r="U1341" i="6"/>
  <c r="V1341" i="6"/>
  <c r="W1341" i="6"/>
  <c r="E1342" i="6"/>
  <c r="F1342" i="6"/>
  <c r="G1342" i="6"/>
  <c r="I1342" i="6"/>
  <c r="J1342" i="6"/>
  <c r="K1342" i="6"/>
  <c r="L1342" i="6"/>
  <c r="M1342" i="6"/>
  <c r="O1342" i="6"/>
  <c r="P1342" i="6"/>
  <c r="Q1342" i="6"/>
  <c r="S1342" i="6"/>
  <c r="T1342" i="6"/>
  <c r="U1342" i="6"/>
  <c r="V1342" i="6"/>
  <c r="W1342" i="6"/>
  <c r="D1343" i="6"/>
  <c r="H1343" i="6"/>
  <c r="Y1343" i="6" s="1"/>
  <c r="D1344" i="6"/>
  <c r="H1344" i="6"/>
  <c r="Y1344" i="6" s="1"/>
  <c r="D1348" i="6"/>
  <c r="E1348" i="6"/>
  <c r="F1348" i="6"/>
  <c r="G1348" i="6"/>
  <c r="I1348" i="6"/>
  <c r="J1348" i="6"/>
  <c r="K1348" i="6"/>
  <c r="L1348" i="6"/>
  <c r="M1348" i="6"/>
  <c r="P1348" i="6"/>
  <c r="Q1348" i="6"/>
  <c r="R1348" i="6"/>
  <c r="Y1348" i="6" s="1"/>
  <c r="S1348" i="6"/>
  <c r="T1348" i="6"/>
  <c r="U1348" i="6"/>
  <c r="V1348" i="6"/>
  <c r="W1348" i="6"/>
  <c r="E1349" i="6"/>
  <c r="F1349" i="6"/>
  <c r="G1349" i="6"/>
  <c r="I1349" i="6"/>
  <c r="J1349" i="6"/>
  <c r="K1349" i="6"/>
  <c r="L1349" i="6"/>
  <c r="M1349" i="6"/>
  <c r="O1349" i="6"/>
  <c r="P1349" i="6"/>
  <c r="Q1349" i="6"/>
  <c r="R1349" i="6"/>
  <c r="Y1349" i="6" s="1"/>
  <c r="S1349" i="6"/>
  <c r="T1349" i="6"/>
  <c r="U1349" i="6"/>
  <c r="V1349" i="6"/>
  <c r="W1349" i="6"/>
  <c r="AF1350" i="6"/>
  <c r="D1354" i="6"/>
  <c r="E1354" i="6"/>
  <c r="F1354" i="6"/>
  <c r="G1354" i="6"/>
  <c r="H1354" i="6"/>
  <c r="I1354" i="6"/>
  <c r="J1354" i="6"/>
  <c r="K1354" i="6"/>
  <c r="L1354" i="6"/>
  <c r="M1354" i="6"/>
  <c r="P1354" i="6"/>
  <c r="Q1354" i="6"/>
  <c r="R1354" i="6"/>
  <c r="R1360" i="6" s="1"/>
  <c r="S1354" i="6"/>
  <c r="T1354" i="6"/>
  <c r="U1354" i="6"/>
  <c r="V1354" i="6"/>
  <c r="W1354" i="6"/>
  <c r="E1355" i="6"/>
  <c r="F1355" i="6"/>
  <c r="G1355" i="6"/>
  <c r="I1355" i="6"/>
  <c r="J1355" i="6"/>
  <c r="K1355" i="6"/>
  <c r="L1355" i="6"/>
  <c r="M1355" i="6"/>
  <c r="O1355" i="6"/>
  <c r="P1355" i="6"/>
  <c r="Q1355" i="6"/>
  <c r="S1355" i="6"/>
  <c r="T1355" i="6"/>
  <c r="U1355" i="6"/>
  <c r="V1355" i="6"/>
  <c r="W1355" i="6"/>
  <c r="D1356" i="6"/>
  <c r="D1357" i="6"/>
  <c r="E1357" i="6"/>
  <c r="F1357" i="6"/>
  <c r="G1357" i="6"/>
  <c r="I1357" i="6"/>
  <c r="J1357" i="6"/>
  <c r="K1357" i="6"/>
  <c r="L1357" i="6"/>
  <c r="M1357" i="6"/>
  <c r="P1357" i="6"/>
  <c r="Q1357" i="6"/>
  <c r="S1357" i="6"/>
  <c r="T1357" i="6"/>
  <c r="U1357" i="6"/>
  <c r="V1357" i="6"/>
  <c r="W1357" i="6"/>
  <c r="D1358" i="6"/>
  <c r="E1358" i="6"/>
  <c r="F1358" i="6"/>
  <c r="G1358" i="6"/>
  <c r="I1358" i="6"/>
  <c r="J1358" i="6"/>
  <c r="K1358" i="6"/>
  <c r="L1358" i="6"/>
  <c r="M1358" i="6"/>
  <c r="P1358" i="6"/>
  <c r="Q1358" i="6"/>
  <c r="S1358" i="6"/>
  <c r="T1358" i="6"/>
  <c r="U1358" i="6"/>
  <c r="V1358" i="6"/>
  <c r="W1358" i="6"/>
  <c r="AF1358" i="6"/>
  <c r="D1369" i="6"/>
  <c r="E1369" i="6"/>
  <c r="F1369" i="6"/>
  <c r="G1369" i="6"/>
  <c r="I1369" i="6"/>
  <c r="J1369" i="6"/>
  <c r="K1369" i="6"/>
  <c r="L1369" i="6"/>
  <c r="M1369" i="6"/>
  <c r="O1369" i="6"/>
  <c r="P1369" i="6"/>
  <c r="Q1369" i="6"/>
  <c r="S1369" i="6"/>
  <c r="T1369" i="6"/>
  <c r="U1369" i="6"/>
  <c r="V1369" i="6"/>
  <c r="W1369" i="6"/>
  <c r="Y1369" i="6"/>
  <c r="D1370" i="6"/>
  <c r="F1370" i="6"/>
  <c r="G1370" i="6"/>
  <c r="H1370" i="6"/>
  <c r="I1370" i="6"/>
  <c r="J1370" i="6"/>
  <c r="K1370" i="6"/>
  <c r="L1370" i="6"/>
  <c r="M1370" i="6"/>
  <c r="O1370" i="6"/>
  <c r="P1370" i="6"/>
  <c r="Q1370" i="6"/>
  <c r="S1370" i="6"/>
  <c r="T1370" i="6"/>
  <c r="U1370" i="6"/>
  <c r="V1370" i="6"/>
  <c r="W1370" i="6"/>
  <c r="D1371" i="6"/>
  <c r="H1371" i="6"/>
  <c r="Y1371" i="6" s="1"/>
  <c r="D1373" i="6"/>
  <c r="AF1411" i="6" s="1"/>
  <c r="E1373" i="6"/>
  <c r="AG1411" i="6" s="1"/>
  <c r="F1373" i="6"/>
  <c r="AH1411" i="6" s="1"/>
  <c r="G1373" i="6"/>
  <c r="I1373" i="6"/>
  <c r="J1373" i="6"/>
  <c r="K1373" i="6"/>
  <c r="L1373" i="6"/>
  <c r="AJ1411" i="6" s="1"/>
  <c r="M1373" i="6"/>
  <c r="O1373" i="6"/>
  <c r="AL1411" i="6" s="1"/>
  <c r="P1373" i="6"/>
  <c r="AM1411" i="6" s="1"/>
  <c r="Q1373" i="6"/>
  <c r="R1373" i="6"/>
  <c r="S1373" i="6"/>
  <c r="T1373" i="6"/>
  <c r="U1373" i="6"/>
  <c r="V1373" i="6"/>
  <c r="AO1411" i="6" s="1"/>
  <c r="W1373" i="6"/>
  <c r="D1374" i="6"/>
  <c r="E1374" i="6"/>
  <c r="F1374" i="6"/>
  <c r="G1374" i="6"/>
  <c r="I1374" i="6"/>
  <c r="J1374" i="6"/>
  <c r="K1374" i="6"/>
  <c r="L1374" i="6"/>
  <c r="M1374" i="6"/>
  <c r="O1374" i="6"/>
  <c r="P1374" i="6"/>
  <c r="Q1374" i="6"/>
  <c r="S1374" i="6"/>
  <c r="T1374" i="6"/>
  <c r="U1374" i="6"/>
  <c r="V1374" i="6"/>
  <c r="W1374" i="6"/>
  <c r="Y1374" i="6"/>
  <c r="D1379" i="6"/>
  <c r="E1379" i="6"/>
  <c r="F1379" i="6"/>
  <c r="G1379" i="6"/>
  <c r="H1379" i="6"/>
  <c r="I1379" i="6"/>
  <c r="J1379" i="6"/>
  <c r="K1379" i="6"/>
  <c r="L1379" i="6"/>
  <c r="M1379" i="6"/>
  <c r="O1379" i="6"/>
  <c r="P1379" i="6"/>
  <c r="Q1379" i="6"/>
  <c r="R1379" i="6"/>
  <c r="S1379" i="6"/>
  <c r="T1379" i="6"/>
  <c r="U1379" i="6"/>
  <c r="V1379" i="6"/>
  <c r="W1379" i="6"/>
  <c r="D1380" i="6"/>
  <c r="F1380" i="6"/>
  <c r="G1380" i="6"/>
  <c r="H1380" i="6"/>
  <c r="I1380" i="6"/>
  <c r="J1380" i="6"/>
  <c r="K1380" i="6"/>
  <c r="L1380" i="6"/>
  <c r="M1380" i="6"/>
  <c r="O1380" i="6"/>
  <c r="P1380" i="6"/>
  <c r="Q1380" i="6"/>
  <c r="S1380" i="6"/>
  <c r="T1380" i="6"/>
  <c r="U1380" i="6"/>
  <c r="V1380" i="6"/>
  <c r="W1380" i="6"/>
  <c r="D1381" i="6"/>
  <c r="AF1419" i="6" s="1"/>
  <c r="E1381" i="6"/>
  <c r="AG1419" i="6" s="1"/>
  <c r="F1381" i="6"/>
  <c r="AH1419" i="6" s="1"/>
  <c r="G1381" i="6"/>
  <c r="I1381" i="6"/>
  <c r="J1381" i="6"/>
  <c r="K1381" i="6"/>
  <c r="L1381" i="6"/>
  <c r="AJ1419" i="6" s="1"/>
  <c r="M1381" i="6"/>
  <c r="O1381" i="6"/>
  <c r="AL1419" i="6" s="1"/>
  <c r="P1381" i="6"/>
  <c r="AM1419" i="6" s="1"/>
  <c r="Q1381" i="6"/>
  <c r="R1381" i="6"/>
  <c r="Y1381" i="6" s="1"/>
  <c r="S1381" i="6"/>
  <c r="T1381" i="6"/>
  <c r="U1381" i="6"/>
  <c r="V1381" i="6"/>
  <c r="AO1419" i="6" s="1"/>
  <c r="W1381" i="6"/>
  <c r="D1382" i="6"/>
  <c r="H1382" i="6"/>
  <c r="Y1382" i="6" s="1"/>
  <c r="D1383" i="6"/>
  <c r="H1383" i="6"/>
  <c r="Y1383" i="6" s="1"/>
  <c r="D1384" i="6"/>
  <c r="E1384" i="6"/>
  <c r="F1384" i="6"/>
  <c r="G1384" i="6"/>
  <c r="I1384" i="6"/>
  <c r="J1384" i="6"/>
  <c r="K1384" i="6"/>
  <c r="L1384" i="6"/>
  <c r="M1384" i="6"/>
  <c r="O1384" i="6"/>
  <c r="P1384" i="6"/>
  <c r="Q1384" i="6"/>
  <c r="R1384" i="6"/>
  <c r="S1384" i="6"/>
  <c r="T1384" i="6"/>
  <c r="U1384" i="6"/>
  <c r="V1384" i="6"/>
  <c r="W1384" i="6"/>
  <c r="D1385" i="6"/>
  <c r="AF1420" i="6" s="1"/>
  <c r="E1385" i="6"/>
  <c r="AG1420" i="6" s="1"/>
  <c r="F1385" i="6"/>
  <c r="AH1420" i="6" s="1"/>
  <c r="G1385" i="6"/>
  <c r="I1385" i="6"/>
  <c r="J1385" i="6"/>
  <c r="K1385" i="6"/>
  <c r="L1385" i="6"/>
  <c r="AJ1420" i="6" s="1"/>
  <c r="M1385" i="6"/>
  <c r="P1385" i="6"/>
  <c r="AM1420" i="6" s="1"/>
  <c r="Q1385" i="6"/>
  <c r="R1385" i="6"/>
  <c r="Y1385" i="6" s="1"/>
  <c r="S1385" i="6"/>
  <c r="T1385" i="6"/>
  <c r="U1385" i="6"/>
  <c r="V1385" i="6"/>
  <c r="AO1420" i="6" s="1"/>
  <c r="W1385" i="6"/>
  <c r="D1390" i="6"/>
  <c r="E1390" i="6"/>
  <c r="F1390" i="6"/>
  <c r="G1390" i="6"/>
  <c r="I1390" i="6"/>
  <c r="J1390" i="6"/>
  <c r="K1390" i="6"/>
  <c r="L1390" i="6"/>
  <c r="M1390" i="6"/>
  <c r="O1390" i="6"/>
  <c r="P1390" i="6"/>
  <c r="Q1390" i="6"/>
  <c r="S1390" i="6"/>
  <c r="T1390" i="6"/>
  <c r="U1390" i="6"/>
  <c r="V1390" i="6"/>
  <c r="W1390" i="6"/>
  <c r="Y1390" i="6"/>
  <c r="D1391" i="6"/>
  <c r="E1391" i="6"/>
  <c r="F1391" i="6"/>
  <c r="G1391" i="6"/>
  <c r="H1391" i="6"/>
  <c r="Y1391" i="6" s="1"/>
  <c r="Z1391" i="6" s="1"/>
  <c r="I1391" i="6"/>
  <c r="J1391" i="6"/>
  <c r="K1391" i="6"/>
  <c r="L1391" i="6"/>
  <c r="M1391" i="6"/>
  <c r="O1391" i="6"/>
  <c r="P1391" i="6"/>
  <c r="Q1391" i="6"/>
  <c r="S1391" i="6"/>
  <c r="T1391" i="6"/>
  <c r="U1391" i="6"/>
  <c r="V1391" i="6"/>
  <c r="W1391" i="6"/>
  <c r="R1393" i="6"/>
  <c r="D1396" i="6"/>
  <c r="D1399" i="6" s="1"/>
  <c r="E1396" i="6"/>
  <c r="F1396" i="6"/>
  <c r="G1396" i="6"/>
  <c r="I1396" i="6"/>
  <c r="J1396" i="6"/>
  <c r="K1396" i="6"/>
  <c r="M1396" i="6"/>
  <c r="O1396" i="6"/>
  <c r="P1396" i="6"/>
  <c r="Q1396" i="6"/>
  <c r="S1396" i="6"/>
  <c r="T1396" i="6"/>
  <c r="U1396" i="6"/>
  <c r="V1396" i="6"/>
  <c r="W1396" i="6"/>
  <c r="Y1396" i="6"/>
  <c r="Z1396" i="6" s="1"/>
  <c r="E1397" i="6"/>
  <c r="AG1410" i="6" s="1"/>
  <c r="F1397" i="6"/>
  <c r="AH1410" i="6" s="1"/>
  <c r="G1397" i="6"/>
  <c r="I1397" i="6"/>
  <c r="J1397" i="6"/>
  <c r="K1397" i="6"/>
  <c r="K1399" i="6" s="1"/>
  <c r="L1397" i="6"/>
  <c r="M1397" i="6"/>
  <c r="O1397" i="6"/>
  <c r="AL1410" i="6" s="1"/>
  <c r="P1397" i="6"/>
  <c r="Q1397" i="6"/>
  <c r="S1397" i="6"/>
  <c r="T1397" i="6"/>
  <c r="U1397" i="6"/>
  <c r="V1397" i="6"/>
  <c r="AO1410" i="6" s="1"/>
  <c r="W1397" i="6"/>
  <c r="Y1397" i="6"/>
  <c r="Z1397" i="6" s="1"/>
  <c r="AR1410" i="6" s="1"/>
  <c r="H1399" i="6"/>
  <c r="R1399" i="6"/>
  <c r="D1402" i="6"/>
  <c r="E1402" i="6"/>
  <c r="F1402" i="6"/>
  <c r="G1402" i="6"/>
  <c r="I1402" i="6"/>
  <c r="J1402" i="6"/>
  <c r="K1402" i="6"/>
  <c r="L1402" i="6"/>
  <c r="M1402" i="6"/>
  <c r="O1402" i="6"/>
  <c r="P1402" i="6"/>
  <c r="Q1402" i="6"/>
  <c r="S1402" i="6"/>
  <c r="T1402" i="6"/>
  <c r="U1402" i="6"/>
  <c r="V1402" i="6"/>
  <c r="W1402" i="6"/>
  <c r="D1403" i="6"/>
  <c r="H1403" i="6"/>
  <c r="Y1403" i="6" s="1"/>
  <c r="D1407" i="6"/>
  <c r="F1407" i="6"/>
  <c r="G1407" i="6"/>
  <c r="H1407" i="6"/>
  <c r="Y1407" i="6" s="1"/>
  <c r="Z1407" i="6" s="1"/>
  <c r="I1407" i="6"/>
  <c r="J1407" i="6"/>
  <c r="K1407" i="6"/>
  <c r="L1407" i="6"/>
  <c r="M1407" i="6"/>
  <c r="O1407" i="6"/>
  <c r="P1407" i="6"/>
  <c r="Q1407" i="6"/>
  <c r="S1407" i="6"/>
  <c r="T1407" i="6"/>
  <c r="U1407" i="6"/>
  <c r="V1407" i="6"/>
  <c r="W1407" i="6"/>
  <c r="D1408" i="6"/>
  <c r="AF1421" i="6" s="1"/>
  <c r="E1408" i="6"/>
  <c r="AG1421" i="6" s="1"/>
  <c r="F1408" i="6"/>
  <c r="AH1421" i="6" s="1"/>
  <c r="G1408" i="6"/>
  <c r="H1408" i="6"/>
  <c r="I1408" i="6"/>
  <c r="J1408" i="6"/>
  <c r="K1408" i="6"/>
  <c r="L1408" i="6"/>
  <c r="AJ1421" i="6" s="1"/>
  <c r="M1408" i="6"/>
  <c r="O1408" i="6"/>
  <c r="AL1421" i="6" s="1"/>
  <c r="P1408" i="6"/>
  <c r="AM1421" i="6" s="1"/>
  <c r="Q1408" i="6"/>
  <c r="S1408" i="6"/>
  <c r="T1408" i="6"/>
  <c r="U1408" i="6"/>
  <c r="V1408" i="6"/>
  <c r="W1408" i="6"/>
  <c r="AF1410" i="6"/>
  <c r="AP1410" i="6"/>
  <c r="AK1411" i="6"/>
  <c r="AR1411" i="6"/>
  <c r="P1412" i="6"/>
  <c r="AS1412" i="6"/>
  <c r="D1417" i="6"/>
  <c r="H1417" i="6"/>
  <c r="R1417" i="6"/>
  <c r="D1418" i="6"/>
  <c r="E1418" i="6"/>
  <c r="F1418" i="6"/>
  <c r="G1418" i="6"/>
  <c r="H1418" i="6"/>
  <c r="I1418" i="6"/>
  <c r="J1418" i="6"/>
  <c r="K1418" i="6"/>
  <c r="L1418" i="6"/>
  <c r="M1418" i="6"/>
  <c r="O1418" i="6"/>
  <c r="P1418" i="6"/>
  <c r="Q1418" i="6"/>
  <c r="S1418" i="6"/>
  <c r="T1418" i="6"/>
  <c r="U1418" i="6"/>
  <c r="V1418" i="6"/>
  <c r="W1418" i="6"/>
  <c r="E1419" i="6"/>
  <c r="AG1422" i="6" s="1"/>
  <c r="F1419" i="6"/>
  <c r="AH1422" i="6" s="1"/>
  <c r="G1419" i="6"/>
  <c r="I1419" i="6"/>
  <c r="J1419" i="6"/>
  <c r="K1419" i="6"/>
  <c r="L1419" i="6"/>
  <c r="M1419" i="6"/>
  <c r="O1419" i="6"/>
  <c r="AL1422" i="6" s="1"/>
  <c r="P1419" i="6"/>
  <c r="AM1422" i="6" s="1"/>
  <c r="Q1419" i="6"/>
  <c r="S1419" i="6"/>
  <c r="T1419" i="6"/>
  <c r="U1419" i="6"/>
  <c r="V1419" i="6"/>
  <c r="AO1422" i="6" s="1"/>
  <c r="W1419" i="6"/>
  <c r="Y1419" i="6"/>
  <c r="Z1419" i="6" s="1"/>
  <c r="E1420" i="6"/>
  <c r="F1420" i="6"/>
  <c r="G1420" i="6"/>
  <c r="I1420" i="6"/>
  <c r="J1420" i="6"/>
  <c r="K1420" i="6"/>
  <c r="L1420" i="6"/>
  <c r="M1420" i="6"/>
  <c r="O1420" i="6"/>
  <c r="P1420" i="6"/>
  <c r="Q1420" i="6"/>
  <c r="R1420" i="6"/>
  <c r="Y1420" i="6" s="1"/>
  <c r="S1420" i="6"/>
  <c r="T1420" i="6"/>
  <c r="U1420" i="6"/>
  <c r="V1420" i="6"/>
  <c r="W1420" i="6"/>
  <c r="AF1422" i="6"/>
  <c r="AJ1422" i="6"/>
  <c r="D1430" i="6"/>
  <c r="E1430" i="6"/>
  <c r="F1430" i="6"/>
  <c r="G1430" i="6"/>
  <c r="H1430" i="6"/>
  <c r="I1430" i="6"/>
  <c r="J1430" i="6"/>
  <c r="K1430" i="6"/>
  <c r="L1430" i="6"/>
  <c r="M1430" i="6"/>
  <c r="P1430" i="6"/>
  <c r="Q1430" i="6"/>
  <c r="R1430" i="6"/>
  <c r="T1430" i="6"/>
  <c r="V1430" i="6"/>
  <c r="W1430" i="6"/>
  <c r="D1431" i="6"/>
  <c r="F1431" i="6"/>
  <c r="G1431" i="6"/>
  <c r="H1431" i="6"/>
  <c r="I1431" i="6"/>
  <c r="J1431" i="6"/>
  <c r="K1431" i="6"/>
  <c r="L1431" i="6"/>
  <c r="M1431" i="6"/>
  <c r="O1431" i="6"/>
  <c r="P1431" i="6"/>
  <c r="Q1431" i="6"/>
  <c r="S1431" i="6"/>
  <c r="T1431" i="6"/>
  <c r="U1431" i="6"/>
  <c r="V1431" i="6"/>
  <c r="W1431" i="6"/>
  <c r="D1432" i="6"/>
  <c r="F1432" i="6"/>
  <c r="AH1454" i="6" s="1"/>
  <c r="G1432" i="6"/>
  <c r="H1432" i="6"/>
  <c r="Y1432" i="6" s="1"/>
  <c r="I1432" i="6"/>
  <c r="J1432" i="6"/>
  <c r="K1432" i="6"/>
  <c r="L1432" i="6"/>
  <c r="AJ1454" i="6" s="1"/>
  <c r="M1432" i="6"/>
  <c r="O1432" i="6"/>
  <c r="AL1454" i="6" s="1"/>
  <c r="P1432" i="6"/>
  <c r="AM1454" i="6" s="1"/>
  <c r="Q1432" i="6"/>
  <c r="S1432" i="6"/>
  <c r="T1432" i="6"/>
  <c r="U1432" i="6"/>
  <c r="V1432" i="6"/>
  <c r="AO1454" i="6" s="1"/>
  <c r="W1432" i="6"/>
  <c r="D1433" i="6"/>
  <c r="E1433" i="6"/>
  <c r="F1433" i="6"/>
  <c r="G1433" i="6"/>
  <c r="H1433" i="6"/>
  <c r="I1433" i="6"/>
  <c r="J1433" i="6"/>
  <c r="K1433" i="6"/>
  <c r="L1433" i="6"/>
  <c r="M1433" i="6"/>
  <c r="O1433" i="6"/>
  <c r="P1433" i="6"/>
  <c r="Q1433" i="6"/>
  <c r="S1433" i="6"/>
  <c r="T1433" i="6"/>
  <c r="U1433" i="6"/>
  <c r="V1433" i="6"/>
  <c r="W1433" i="6"/>
  <c r="D1434" i="6"/>
  <c r="H1434" i="6"/>
  <c r="Y1434" i="6" s="1"/>
  <c r="D1435" i="6"/>
  <c r="H1435" i="6"/>
  <c r="Y1435" i="6" s="1"/>
  <c r="D1437" i="6"/>
  <c r="H1437" i="6"/>
  <c r="Y1437" i="6" s="1"/>
  <c r="D1438" i="6"/>
  <c r="E1438" i="6"/>
  <c r="F1438" i="6"/>
  <c r="G1438" i="6"/>
  <c r="I1438" i="6"/>
  <c r="J1438" i="6"/>
  <c r="K1438" i="6"/>
  <c r="L1438" i="6"/>
  <c r="M1438" i="6"/>
  <c r="P1438" i="6"/>
  <c r="Q1438" i="6"/>
  <c r="R1438" i="6"/>
  <c r="Y1438" i="6" s="1"/>
  <c r="T1438" i="6"/>
  <c r="U1438" i="6"/>
  <c r="V1438" i="6"/>
  <c r="W1438" i="6"/>
  <c r="D1439" i="6"/>
  <c r="AF1461" i="6" s="1"/>
  <c r="E1439" i="6"/>
  <c r="F1439" i="6"/>
  <c r="G1439" i="6"/>
  <c r="I1439" i="6"/>
  <c r="J1439" i="6"/>
  <c r="K1439" i="6"/>
  <c r="L1439" i="6"/>
  <c r="M1439" i="6"/>
  <c r="O1439" i="6"/>
  <c r="P1439" i="6"/>
  <c r="Q1439" i="6"/>
  <c r="R1439" i="6"/>
  <c r="Y1439" i="6" s="1"/>
  <c r="S1439" i="6"/>
  <c r="T1439" i="6"/>
  <c r="U1439" i="6"/>
  <c r="V1439" i="6"/>
  <c r="W1439" i="6"/>
  <c r="C1440" i="6"/>
  <c r="D1440" i="6"/>
  <c r="AF1462" i="6" s="1"/>
  <c r="E1440" i="6"/>
  <c r="AG1462" i="6" s="1"/>
  <c r="F1440" i="6"/>
  <c r="G1440" i="6"/>
  <c r="H1440" i="6"/>
  <c r="Y1440" i="6" s="1"/>
  <c r="I1440" i="6"/>
  <c r="J1440" i="6"/>
  <c r="K1440" i="6"/>
  <c r="L1440" i="6"/>
  <c r="AJ1462" i="6" s="1"/>
  <c r="M1440" i="6"/>
  <c r="O1440" i="6"/>
  <c r="AL1462" i="6" s="1"/>
  <c r="P1440" i="6"/>
  <c r="AM1462" i="6" s="1"/>
  <c r="Q1440" i="6"/>
  <c r="S1440" i="6"/>
  <c r="T1440" i="6"/>
  <c r="U1440" i="6"/>
  <c r="V1440" i="6"/>
  <c r="AO1462" i="6" s="1"/>
  <c r="W1440" i="6"/>
  <c r="D1445" i="6"/>
  <c r="E1445" i="6"/>
  <c r="F1445" i="6"/>
  <c r="G1445" i="6"/>
  <c r="H1445" i="6"/>
  <c r="Y1445" i="6" s="1"/>
  <c r="Z1445" i="6" s="1"/>
  <c r="I1445" i="6"/>
  <c r="J1445" i="6"/>
  <c r="K1445" i="6"/>
  <c r="L1445" i="6"/>
  <c r="M1445" i="6"/>
  <c r="O1445" i="6"/>
  <c r="P1445" i="6"/>
  <c r="Q1445" i="6"/>
  <c r="S1445" i="6"/>
  <c r="T1445" i="6"/>
  <c r="U1445" i="6"/>
  <c r="V1445" i="6"/>
  <c r="W1445" i="6"/>
  <c r="D1446" i="6"/>
  <c r="E1446" i="6"/>
  <c r="F1446" i="6"/>
  <c r="G1446" i="6"/>
  <c r="H1446" i="6"/>
  <c r="Y1446" i="6" s="1"/>
  <c r="I1446" i="6"/>
  <c r="J1446" i="6"/>
  <c r="K1446" i="6"/>
  <c r="L1446" i="6"/>
  <c r="M1446" i="6"/>
  <c r="O1446" i="6"/>
  <c r="P1446" i="6"/>
  <c r="Q1446" i="6"/>
  <c r="S1446" i="6"/>
  <c r="T1446" i="6"/>
  <c r="U1446" i="6"/>
  <c r="V1446" i="6"/>
  <c r="W1446" i="6"/>
  <c r="D1447" i="6"/>
  <c r="E1447" i="6"/>
  <c r="F1447" i="6"/>
  <c r="G1447" i="6"/>
  <c r="H1447" i="6"/>
  <c r="Y1447" i="6" s="1"/>
  <c r="I1447" i="6"/>
  <c r="J1447" i="6"/>
  <c r="K1447" i="6"/>
  <c r="L1447" i="6"/>
  <c r="M1447" i="6"/>
  <c r="O1447" i="6"/>
  <c r="P1447" i="6"/>
  <c r="Q1447" i="6"/>
  <c r="S1447" i="6"/>
  <c r="T1447" i="6"/>
  <c r="U1447" i="6"/>
  <c r="V1447" i="6"/>
  <c r="W1447" i="6"/>
  <c r="E1448" i="6"/>
  <c r="AG1464" i="6" s="1"/>
  <c r="F1448" i="6"/>
  <c r="AH1464" i="6" s="1"/>
  <c r="G1448" i="6"/>
  <c r="I1448" i="6"/>
  <c r="J1448" i="6"/>
  <c r="K1448" i="6"/>
  <c r="L1448" i="6"/>
  <c r="AJ1464" i="6" s="1"/>
  <c r="M1448" i="6"/>
  <c r="O1448" i="6"/>
  <c r="AL1464" i="6" s="1"/>
  <c r="P1448" i="6"/>
  <c r="AM1464" i="6" s="1"/>
  <c r="Q1448" i="6"/>
  <c r="S1448" i="6"/>
  <c r="T1448" i="6"/>
  <c r="U1448" i="6"/>
  <c r="V1448" i="6"/>
  <c r="AO1464" i="6" s="1"/>
  <c r="W1448" i="6"/>
  <c r="Y1448" i="6"/>
  <c r="Z1448" i="6" s="1"/>
  <c r="AA1448" i="6"/>
  <c r="E1449" i="6"/>
  <c r="F1449" i="6"/>
  <c r="G1449" i="6"/>
  <c r="I1449" i="6"/>
  <c r="J1449" i="6"/>
  <c r="K1449" i="6"/>
  <c r="L1449" i="6"/>
  <c r="M1449" i="6"/>
  <c r="O1449" i="6"/>
  <c r="P1449" i="6"/>
  <c r="Q1449" i="6"/>
  <c r="S1449" i="6"/>
  <c r="T1449" i="6"/>
  <c r="U1449" i="6"/>
  <c r="V1449" i="6"/>
  <c r="W1449" i="6"/>
  <c r="Y1449" i="6"/>
  <c r="Z1449" i="6" s="1"/>
  <c r="E1450" i="6"/>
  <c r="F1450" i="6"/>
  <c r="G1450" i="6"/>
  <c r="I1450" i="6"/>
  <c r="J1450" i="6"/>
  <c r="K1450" i="6"/>
  <c r="L1450" i="6"/>
  <c r="M1450" i="6"/>
  <c r="O1450" i="6"/>
  <c r="P1450" i="6"/>
  <c r="Q1450" i="6"/>
  <c r="S1450" i="6"/>
  <c r="T1450" i="6"/>
  <c r="U1450" i="6"/>
  <c r="V1450" i="6"/>
  <c r="W1450" i="6"/>
  <c r="Y1450" i="6"/>
  <c r="R1452" i="6"/>
  <c r="E1455" i="6"/>
  <c r="F1455" i="6"/>
  <c r="G1455" i="6"/>
  <c r="I1455" i="6"/>
  <c r="J1455" i="6"/>
  <c r="K1455" i="6"/>
  <c r="L1455" i="6"/>
  <c r="M1455" i="6"/>
  <c r="O1455" i="6"/>
  <c r="P1455" i="6"/>
  <c r="Q1455" i="6"/>
  <c r="R1455" i="6"/>
  <c r="S1455" i="6"/>
  <c r="T1455" i="6"/>
  <c r="U1455" i="6"/>
  <c r="V1455" i="6"/>
  <c r="W1455" i="6"/>
  <c r="D1456" i="6"/>
  <c r="F1456" i="6"/>
  <c r="G1456" i="6"/>
  <c r="H1456" i="6"/>
  <c r="I1456" i="6"/>
  <c r="J1456" i="6"/>
  <c r="K1456" i="6"/>
  <c r="L1456" i="6"/>
  <c r="M1456" i="6"/>
  <c r="O1456" i="6"/>
  <c r="P1456" i="6"/>
  <c r="Q1456" i="6"/>
  <c r="S1456" i="6"/>
  <c r="T1456" i="6"/>
  <c r="U1456" i="6"/>
  <c r="V1456" i="6"/>
  <c r="W1456" i="6"/>
  <c r="D1458" i="6"/>
  <c r="AF1456" i="6" s="1"/>
  <c r="E1458" i="6"/>
  <c r="AG1456" i="6" s="1"/>
  <c r="F1458" i="6"/>
  <c r="AH1456" i="6" s="1"/>
  <c r="G1458" i="6"/>
  <c r="H1458" i="6"/>
  <c r="Y1458" i="6" s="1"/>
  <c r="I1458" i="6"/>
  <c r="J1458" i="6"/>
  <c r="K1458" i="6"/>
  <c r="L1458" i="6"/>
  <c r="AJ1456" i="6" s="1"/>
  <c r="M1458" i="6"/>
  <c r="O1458" i="6"/>
  <c r="AL1456" i="6" s="1"/>
  <c r="P1458" i="6"/>
  <c r="AM1456" i="6" s="1"/>
  <c r="Q1458" i="6"/>
  <c r="S1458" i="6"/>
  <c r="T1458" i="6"/>
  <c r="U1458" i="6"/>
  <c r="V1458" i="6"/>
  <c r="AO1456" i="6" s="1"/>
  <c r="W1458" i="6"/>
  <c r="D1460" i="6"/>
  <c r="AF1463" i="6" s="1"/>
  <c r="E1460" i="6"/>
  <c r="AG1463" i="6" s="1"/>
  <c r="F1460" i="6"/>
  <c r="AH1463" i="6" s="1"/>
  <c r="G1460" i="6"/>
  <c r="H1460" i="6"/>
  <c r="Y1460" i="6" s="1"/>
  <c r="Z1460" i="6" s="1"/>
  <c r="I1460" i="6"/>
  <c r="J1460" i="6"/>
  <c r="K1460" i="6"/>
  <c r="L1460" i="6"/>
  <c r="AJ1463" i="6" s="1"/>
  <c r="M1460" i="6"/>
  <c r="O1460" i="6"/>
  <c r="P1460" i="6"/>
  <c r="AM1463" i="6" s="1"/>
  <c r="Q1460" i="6"/>
  <c r="S1460" i="6"/>
  <c r="T1460" i="6"/>
  <c r="U1460" i="6"/>
  <c r="V1460" i="6"/>
  <c r="AO1463" i="6" s="1"/>
  <c r="W1460" i="6"/>
  <c r="E1461" i="6"/>
  <c r="F1461" i="6"/>
  <c r="G1461" i="6"/>
  <c r="I1461" i="6"/>
  <c r="J1461" i="6"/>
  <c r="K1461" i="6"/>
  <c r="L1461" i="6"/>
  <c r="M1461" i="6"/>
  <c r="P1461" i="6"/>
  <c r="Q1461" i="6"/>
  <c r="R1461" i="6"/>
  <c r="S1461" i="6"/>
  <c r="T1461" i="6"/>
  <c r="U1461" i="6"/>
  <c r="V1461" i="6"/>
  <c r="W1461" i="6"/>
  <c r="B1464" i="6"/>
  <c r="AF1464" i="6"/>
  <c r="E1465" i="6"/>
  <c r="F1465" i="6"/>
  <c r="G1465" i="6"/>
  <c r="I1465" i="6"/>
  <c r="J1465" i="6"/>
  <c r="K1465" i="6"/>
  <c r="L1465" i="6"/>
  <c r="M1465" i="6"/>
  <c r="N1465" i="6"/>
  <c r="P1465" i="6"/>
  <c r="Q1465" i="6"/>
  <c r="S1465" i="6"/>
  <c r="T1465" i="6"/>
  <c r="U1465" i="6"/>
  <c r="V1465" i="6"/>
  <c r="W1465" i="6"/>
  <c r="X1465" i="6"/>
  <c r="Z1465" i="6"/>
  <c r="AA1465" i="6"/>
  <c r="AB1465" i="6"/>
  <c r="D1471" i="6"/>
  <c r="E1471" i="6"/>
  <c r="F1471" i="6"/>
  <c r="G1471" i="6"/>
  <c r="H1471" i="6"/>
  <c r="I1471" i="6"/>
  <c r="J1471" i="6"/>
  <c r="K1471" i="6"/>
  <c r="L1471" i="6"/>
  <c r="M1471" i="6"/>
  <c r="O1471" i="6"/>
  <c r="P1471" i="6"/>
  <c r="Q1471" i="6"/>
  <c r="R1471" i="6"/>
  <c r="R1481" i="6" s="1"/>
  <c r="S1471" i="6"/>
  <c r="T1471" i="6"/>
  <c r="U1471" i="6"/>
  <c r="V1471" i="6"/>
  <c r="W1471" i="6"/>
  <c r="D1472" i="6"/>
  <c r="D1473" i="6"/>
  <c r="E1473" i="6"/>
  <c r="AG1514" i="6" s="1"/>
  <c r="AI1514" i="6" s="1"/>
  <c r="F1473" i="6"/>
  <c r="AH1514" i="6" s="1"/>
  <c r="G1473" i="6"/>
  <c r="H1473" i="6"/>
  <c r="Y1473" i="6" s="1"/>
  <c r="Z1473" i="6" s="1"/>
  <c r="I1473" i="6"/>
  <c r="J1473" i="6"/>
  <c r="K1473" i="6"/>
  <c r="L1473" i="6"/>
  <c r="AJ1514" i="6" s="1"/>
  <c r="M1473" i="6"/>
  <c r="O1473" i="6"/>
  <c r="AL1514" i="6" s="1"/>
  <c r="P1473" i="6"/>
  <c r="AM1514" i="6" s="1"/>
  <c r="Q1473" i="6"/>
  <c r="S1473" i="6"/>
  <c r="T1473" i="6"/>
  <c r="U1473" i="6"/>
  <c r="V1473" i="6"/>
  <c r="AO1514" i="6" s="1"/>
  <c r="W1473" i="6"/>
  <c r="X1473" i="6"/>
  <c r="D1474" i="6"/>
  <c r="E1474" i="6"/>
  <c r="F1474" i="6"/>
  <c r="G1474" i="6"/>
  <c r="H1474" i="6"/>
  <c r="Y1474" i="6" s="1"/>
  <c r="Z1474" i="6" s="1"/>
  <c r="I1474" i="6"/>
  <c r="J1474" i="6"/>
  <c r="K1474" i="6"/>
  <c r="L1474" i="6"/>
  <c r="M1474" i="6"/>
  <c r="O1474" i="6"/>
  <c r="P1474" i="6"/>
  <c r="Q1474" i="6"/>
  <c r="S1474" i="6"/>
  <c r="T1474" i="6"/>
  <c r="U1474" i="6"/>
  <c r="V1474" i="6"/>
  <c r="W1474" i="6"/>
  <c r="D1475" i="6"/>
  <c r="F1475" i="6"/>
  <c r="G1475" i="6"/>
  <c r="H1475" i="6"/>
  <c r="Y1475" i="6" s="1"/>
  <c r="I1475" i="6"/>
  <c r="J1475" i="6"/>
  <c r="K1475" i="6"/>
  <c r="L1475" i="6"/>
  <c r="M1475" i="6"/>
  <c r="O1475" i="6"/>
  <c r="P1475" i="6"/>
  <c r="Q1475" i="6"/>
  <c r="S1475" i="6"/>
  <c r="T1475" i="6"/>
  <c r="U1475" i="6"/>
  <c r="V1475" i="6"/>
  <c r="W1475" i="6"/>
  <c r="D1476" i="6"/>
  <c r="H1476" i="6"/>
  <c r="Y1476" i="6" s="1"/>
  <c r="D1477" i="6"/>
  <c r="H1477" i="6"/>
  <c r="Y1477" i="6" s="1"/>
  <c r="D1478" i="6"/>
  <c r="E1478" i="6"/>
  <c r="F1478" i="6"/>
  <c r="G1478" i="6"/>
  <c r="H1478" i="6"/>
  <c r="Y1478" i="6" s="1"/>
  <c r="Z1478" i="6" s="1"/>
  <c r="I1478" i="6"/>
  <c r="J1478" i="6"/>
  <c r="K1478" i="6"/>
  <c r="L1478" i="6"/>
  <c r="M1478" i="6"/>
  <c r="O1478" i="6"/>
  <c r="P1478" i="6"/>
  <c r="Q1478" i="6"/>
  <c r="S1478" i="6"/>
  <c r="T1478" i="6"/>
  <c r="U1478" i="6"/>
  <c r="V1478" i="6"/>
  <c r="W1478" i="6"/>
  <c r="E1479" i="6"/>
  <c r="F1479" i="6"/>
  <c r="G1479" i="6"/>
  <c r="I1479" i="6"/>
  <c r="J1479" i="6"/>
  <c r="K1479" i="6"/>
  <c r="L1479" i="6"/>
  <c r="M1479" i="6"/>
  <c r="O1479" i="6"/>
  <c r="P1479" i="6"/>
  <c r="Q1479" i="6"/>
  <c r="S1479" i="6"/>
  <c r="T1479" i="6"/>
  <c r="U1479" i="6"/>
  <c r="V1479" i="6"/>
  <c r="W1479" i="6"/>
  <c r="Y1479" i="6"/>
  <c r="Z1479" i="6" s="1"/>
  <c r="D1484" i="6"/>
  <c r="E1484" i="6"/>
  <c r="F1484" i="6"/>
  <c r="G1484" i="6"/>
  <c r="H1484" i="6"/>
  <c r="I1484" i="6"/>
  <c r="J1484" i="6"/>
  <c r="K1484" i="6"/>
  <c r="L1484" i="6"/>
  <c r="M1484" i="6"/>
  <c r="P1484" i="6"/>
  <c r="Q1484" i="6"/>
  <c r="R1484" i="6"/>
  <c r="R1491" i="6" s="1"/>
  <c r="U1484" i="6"/>
  <c r="V1484" i="6"/>
  <c r="W1484" i="6"/>
  <c r="D1485" i="6"/>
  <c r="E1485" i="6"/>
  <c r="F1485" i="6"/>
  <c r="G1485" i="6"/>
  <c r="H1485" i="6"/>
  <c r="Y1485" i="6" s="1"/>
  <c r="Z1485" i="6" s="1"/>
  <c r="I1485" i="6"/>
  <c r="J1485" i="6"/>
  <c r="K1485" i="6"/>
  <c r="L1485" i="6"/>
  <c r="M1485" i="6"/>
  <c r="O1485" i="6"/>
  <c r="P1485" i="6"/>
  <c r="Q1485" i="6"/>
  <c r="S1485" i="6"/>
  <c r="T1485" i="6"/>
  <c r="U1485" i="6"/>
  <c r="V1485" i="6"/>
  <c r="W1485" i="6"/>
  <c r="D1486" i="6"/>
  <c r="H1486" i="6"/>
  <c r="Y1486" i="6" s="1"/>
  <c r="D1487" i="6"/>
  <c r="Y1487" i="6"/>
  <c r="D1488" i="6"/>
  <c r="E1488" i="6"/>
  <c r="F1488" i="6"/>
  <c r="G1488" i="6"/>
  <c r="I1488" i="6"/>
  <c r="J1488" i="6"/>
  <c r="K1488" i="6"/>
  <c r="L1488" i="6"/>
  <c r="M1488" i="6"/>
  <c r="O1488" i="6"/>
  <c r="P1488" i="6"/>
  <c r="Q1488" i="6"/>
  <c r="S1488" i="6"/>
  <c r="T1488" i="6"/>
  <c r="U1488" i="6"/>
  <c r="V1488" i="6"/>
  <c r="W1488" i="6"/>
  <c r="Y1488" i="6"/>
  <c r="D1489" i="6"/>
  <c r="E1489" i="6"/>
  <c r="F1489" i="6"/>
  <c r="G1489" i="6"/>
  <c r="I1489" i="6"/>
  <c r="J1489" i="6"/>
  <c r="K1489" i="6"/>
  <c r="L1489" i="6"/>
  <c r="M1489" i="6"/>
  <c r="O1489" i="6"/>
  <c r="P1489" i="6"/>
  <c r="Q1489" i="6"/>
  <c r="S1489" i="6"/>
  <c r="T1489" i="6"/>
  <c r="U1489" i="6"/>
  <c r="V1489" i="6"/>
  <c r="W1489" i="6"/>
  <c r="Y1489" i="6"/>
  <c r="D1494" i="6"/>
  <c r="E1494" i="6"/>
  <c r="F1494" i="6"/>
  <c r="G1494" i="6"/>
  <c r="H1494" i="6"/>
  <c r="I1494" i="6"/>
  <c r="J1494" i="6"/>
  <c r="K1494" i="6"/>
  <c r="L1494" i="6"/>
  <c r="M1494" i="6"/>
  <c r="O1494" i="6"/>
  <c r="P1494" i="6"/>
  <c r="Q1494" i="6"/>
  <c r="R1494" i="6"/>
  <c r="R1503" i="6" s="1"/>
  <c r="S1494" i="6"/>
  <c r="T1494" i="6"/>
  <c r="U1494" i="6"/>
  <c r="V1494" i="6"/>
  <c r="W1494" i="6"/>
  <c r="D1495" i="6"/>
  <c r="E1495" i="6"/>
  <c r="F1495" i="6"/>
  <c r="G1495" i="6"/>
  <c r="H1495" i="6"/>
  <c r="Y1495" i="6" s="1"/>
  <c r="Z1495" i="6" s="1"/>
  <c r="I1495" i="6"/>
  <c r="J1495" i="6"/>
  <c r="K1495" i="6"/>
  <c r="L1495" i="6"/>
  <c r="M1495" i="6"/>
  <c r="O1495" i="6"/>
  <c r="P1495" i="6"/>
  <c r="Q1495" i="6"/>
  <c r="S1495" i="6"/>
  <c r="T1495" i="6"/>
  <c r="U1495" i="6"/>
  <c r="V1495" i="6"/>
  <c r="W1495" i="6"/>
  <c r="D1496" i="6"/>
  <c r="H1496" i="6"/>
  <c r="Y1496" i="6" s="1"/>
  <c r="D1497" i="6"/>
  <c r="H1497" i="6"/>
  <c r="D1498" i="6"/>
  <c r="E1498" i="6"/>
  <c r="F1498" i="6"/>
  <c r="G1498" i="6"/>
  <c r="H1498" i="6"/>
  <c r="Y1498" i="6" s="1"/>
  <c r="Z1498" i="6" s="1"/>
  <c r="I1498" i="6"/>
  <c r="J1498" i="6"/>
  <c r="K1498" i="6"/>
  <c r="L1498" i="6"/>
  <c r="M1498" i="6"/>
  <c r="O1498" i="6"/>
  <c r="P1498" i="6"/>
  <c r="Q1498" i="6"/>
  <c r="S1498" i="6"/>
  <c r="T1498" i="6"/>
  <c r="U1498" i="6"/>
  <c r="V1498" i="6"/>
  <c r="W1498" i="6"/>
  <c r="D1499" i="6"/>
  <c r="E1499" i="6"/>
  <c r="F1499" i="6"/>
  <c r="G1499" i="6"/>
  <c r="H1499" i="6"/>
  <c r="Y1499" i="6" s="1"/>
  <c r="Z1499" i="6" s="1"/>
  <c r="I1499" i="6"/>
  <c r="J1499" i="6"/>
  <c r="K1499" i="6"/>
  <c r="L1499" i="6"/>
  <c r="M1499" i="6"/>
  <c r="O1499" i="6"/>
  <c r="P1499" i="6"/>
  <c r="Q1499" i="6"/>
  <c r="S1499" i="6"/>
  <c r="T1499" i="6"/>
  <c r="U1499" i="6"/>
  <c r="V1499" i="6"/>
  <c r="W1499" i="6"/>
  <c r="D1500" i="6"/>
  <c r="E1500" i="6"/>
  <c r="F1500" i="6"/>
  <c r="G1500" i="6"/>
  <c r="I1500" i="6"/>
  <c r="J1500" i="6"/>
  <c r="K1500" i="6"/>
  <c r="L1500" i="6"/>
  <c r="M1500" i="6"/>
  <c r="O1500" i="6"/>
  <c r="P1500" i="6"/>
  <c r="Q1500" i="6"/>
  <c r="S1500" i="6"/>
  <c r="T1500" i="6"/>
  <c r="U1500" i="6"/>
  <c r="V1500" i="6"/>
  <c r="W1500" i="6"/>
  <c r="Y1500" i="6"/>
  <c r="D1501" i="6"/>
  <c r="E1501" i="6"/>
  <c r="F1501" i="6"/>
  <c r="G1501" i="6"/>
  <c r="I1501" i="6"/>
  <c r="J1501" i="6"/>
  <c r="K1501" i="6"/>
  <c r="L1501" i="6"/>
  <c r="M1501" i="6"/>
  <c r="O1501" i="6"/>
  <c r="P1501" i="6"/>
  <c r="Q1501" i="6"/>
  <c r="S1501" i="6"/>
  <c r="T1501" i="6"/>
  <c r="U1501" i="6"/>
  <c r="V1501" i="6"/>
  <c r="W1501" i="6"/>
  <c r="Y1501" i="6"/>
  <c r="D1506" i="6"/>
  <c r="E1506" i="6"/>
  <c r="F1506" i="6"/>
  <c r="G1506" i="6"/>
  <c r="I1506" i="6"/>
  <c r="J1506" i="6"/>
  <c r="K1506" i="6"/>
  <c r="L1506" i="6"/>
  <c r="M1506" i="6"/>
  <c r="O1506" i="6"/>
  <c r="P1506" i="6"/>
  <c r="Q1506" i="6"/>
  <c r="R1506" i="6"/>
  <c r="Y1506" i="6" s="1"/>
  <c r="Z1506" i="6" s="1"/>
  <c r="S1506" i="6"/>
  <c r="T1506" i="6"/>
  <c r="U1506" i="6"/>
  <c r="V1506" i="6"/>
  <c r="W1506" i="6"/>
  <c r="D1508" i="6"/>
  <c r="E1508" i="6"/>
  <c r="F1508" i="6"/>
  <c r="G1508" i="6"/>
  <c r="H1508" i="6"/>
  <c r="Y1508" i="6" s="1"/>
  <c r="I1508" i="6"/>
  <c r="J1508" i="6"/>
  <c r="K1508" i="6"/>
  <c r="L1508" i="6"/>
  <c r="M1508" i="6"/>
  <c r="O1508" i="6"/>
  <c r="P1508" i="6"/>
  <c r="Q1508" i="6"/>
  <c r="S1508" i="6"/>
  <c r="T1508" i="6"/>
  <c r="U1508" i="6"/>
  <c r="V1508" i="6"/>
  <c r="W1508" i="6"/>
  <c r="D1509" i="6"/>
  <c r="H1509" i="6"/>
  <c r="Y1509" i="6" s="1"/>
  <c r="D1510" i="6"/>
  <c r="H1510" i="6"/>
  <c r="Y1510" i="6" s="1"/>
  <c r="D1511" i="6"/>
  <c r="H1511" i="6"/>
  <c r="Y1511" i="6" s="1"/>
  <c r="D1513" i="6"/>
  <c r="E1513" i="6"/>
  <c r="F1513" i="6"/>
  <c r="G1513" i="6"/>
  <c r="H1513" i="6"/>
  <c r="I1513" i="6"/>
  <c r="J1513" i="6"/>
  <c r="K1513" i="6"/>
  <c r="L1513" i="6"/>
  <c r="M1513" i="6"/>
  <c r="O1513" i="6"/>
  <c r="P1513" i="6"/>
  <c r="Q1513" i="6"/>
  <c r="S1513" i="6"/>
  <c r="T1513" i="6"/>
  <c r="U1513" i="6"/>
  <c r="V1513" i="6"/>
  <c r="W1513" i="6"/>
  <c r="AS1513" i="6"/>
  <c r="D1514" i="6"/>
  <c r="AF1517" i="6" s="1"/>
  <c r="E1514" i="6"/>
  <c r="AG1517" i="6" s="1"/>
  <c r="F1514" i="6"/>
  <c r="AH1517" i="6" s="1"/>
  <c r="G1514" i="6"/>
  <c r="I1514" i="6"/>
  <c r="J1514" i="6"/>
  <c r="K1514" i="6"/>
  <c r="L1514" i="6"/>
  <c r="M1514" i="6"/>
  <c r="O1514" i="6"/>
  <c r="AL1517" i="6" s="1"/>
  <c r="P1514" i="6"/>
  <c r="AM1517" i="6" s="1"/>
  <c r="Q1514" i="6"/>
  <c r="R1514" i="6"/>
  <c r="Y1514" i="6" s="1"/>
  <c r="Z1514" i="6" s="1"/>
  <c r="S1514" i="6"/>
  <c r="T1514" i="6"/>
  <c r="U1514" i="6"/>
  <c r="V1514" i="6"/>
  <c r="AO1517" i="6" s="1"/>
  <c r="W1514" i="6"/>
  <c r="AF1514" i="6"/>
  <c r="AN1514" i="6"/>
  <c r="AP1514" i="6" s="1"/>
  <c r="D1515" i="6"/>
  <c r="AF1518" i="6" s="1"/>
  <c r="E1515" i="6"/>
  <c r="AG1518" i="6" s="1"/>
  <c r="F1515" i="6"/>
  <c r="AH1518" i="6" s="1"/>
  <c r="G1515" i="6"/>
  <c r="I1515" i="6"/>
  <c r="J1515" i="6"/>
  <c r="K1515" i="6"/>
  <c r="L1515" i="6"/>
  <c r="M1515" i="6"/>
  <c r="O1515" i="6"/>
  <c r="AL1518" i="6" s="1"/>
  <c r="P1515" i="6"/>
  <c r="AM1518" i="6" s="1"/>
  <c r="Q1515" i="6"/>
  <c r="R1515" i="6"/>
  <c r="Y1515" i="6" s="1"/>
  <c r="Z1515" i="6" s="1"/>
  <c r="S1515" i="6"/>
  <c r="T1515" i="6"/>
  <c r="U1515" i="6"/>
  <c r="V1515" i="6"/>
  <c r="AO1518" i="6" s="1"/>
  <c r="W1515" i="6"/>
  <c r="AB1515" i="6"/>
  <c r="AJ1515" i="6"/>
  <c r="AJ1516" i="6"/>
  <c r="AJ1517" i="6"/>
  <c r="AJ1518" i="6"/>
  <c r="F1536" i="6"/>
  <c r="M1548" i="6"/>
  <c r="Q1548" i="6"/>
  <c r="W1548" i="6"/>
  <c r="AA1548" i="6"/>
  <c r="D1549" i="6"/>
  <c r="H1549" i="6"/>
  <c r="M1549" i="6"/>
  <c r="Q1549" i="6"/>
  <c r="W1549" i="6"/>
  <c r="AA1549" i="6"/>
  <c r="D1550" i="6"/>
  <c r="H1550" i="6"/>
  <c r="M1550" i="6"/>
  <c r="Q1550" i="6"/>
  <c r="R1550" i="6"/>
  <c r="W1550" i="6"/>
  <c r="AA1550" i="6"/>
  <c r="D1552" i="6"/>
  <c r="H1552" i="6"/>
  <c r="Y1552" i="6" s="1"/>
  <c r="M1552" i="6"/>
  <c r="Q1552" i="6"/>
  <c r="S1552" i="6"/>
  <c r="T1552" i="6"/>
  <c r="U1552" i="6"/>
  <c r="W1552" i="6"/>
  <c r="AA1552" i="6"/>
  <c r="D1553" i="6"/>
  <c r="H1553" i="6"/>
  <c r="Y1553" i="6" s="1"/>
  <c r="I1553" i="6"/>
  <c r="J1553" i="6"/>
  <c r="K1553" i="6"/>
  <c r="M1553" i="6"/>
  <c r="Q1553" i="6"/>
  <c r="W1553" i="6"/>
  <c r="AA1553" i="6"/>
  <c r="M1554" i="6"/>
  <c r="Q1554" i="6"/>
  <c r="W1554" i="6"/>
  <c r="Y1554" i="6"/>
  <c r="Z1554" i="6" s="1"/>
  <c r="AA1554" i="6"/>
  <c r="D1555" i="6"/>
  <c r="H1555" i="6"/>
  <c r="M1555" i="6"/>
  <c r="Q1555" i="6"/>
  <c r="W1555" i="6"/>
  <c r="Y1555" i="6"/>
  <c r="AA1555" i="6"/>
  <c r="D1556" i="6"/>
  <c r="H1556" i="6"/>
  <c r="M1556" i="6"/>
  <c r="Q1556" i="6"/>
  <c r="W1556" i="6"/>
  <c r="Y1556" i="6"/>
  <c r="AA1556" i="6"/>
  <c r="D1557" i="6"/>
  <c r="H1557" i="6"/>
  <c r="Y1557" i="6" s="1"/>
  <c r="M1557" i="6"/>
  <c r="Q1557" i="6"/>
  <c r="W1557" i="6"/>
  <c r="AA1557" i="6"/>
  <c r="D1558" i="6"/>
  <c r="H1558" i="6"/>
  <c r="M1558" i="6"/>
  <c r="Q1558" i="6"/>
  <c r="W1558" i="6"/>
  <c r="Y1558" i="6"/>
  <c r="AA1558" i="6"/>
  <c r="D1559" i="6"/>
  <c r="H1559" i="6"/>
  <c r="Y1559" i="6" s="1"/>
  <c r="M1559" i="6"/>
  <c r="Q1559" i="6"/>
  <c r="W1559" i="6"/>
  <c r="AA1559" i="6"/>
  <c r="D1560" i="6"/>
  <c r="H1560" i="6"/>
  <c r="Y1560" i="6" s="1"/>
  <c r="M1560" i="6"/>
  <c r="Q1560" i="6"/>
  <c r="W1560" i="6"/>
  <c r="AA1560" i="6"/>
  <c r="D1561" i="6"/>
  <c r="M1561" i="6"/>
  <c r="Q1561" i="6"/>
  <c r="W1561" i="6"/>
  <c r="Y1561" i="6"/>
  <c r="AA1561" i="6"/>
  <c r="M1562" i="6"/>
  <c r="Q1562" i="6"/>
  <c r="W1562" i="6"/>
  <c r="AA1562" i="6"/>
  <c r="D1563" i="6"/>
  <c r="H1563" i="6"/>
  <c r="Y1563" i="6" s="1"/>
  <c r="M1564" i="6"/>
  <c r="Q1564" i="6"/>
  <c r="R1564" i="6"/>
  <c r="W1564" i="6"/>
  <c r="AA1564" i="6"/>
  <c r="D1566" i="6"/>
  <c r="E1566" i="6"/>
  <c r="F1566" i="6"/>
  <c r="H1566" i="6"/>
  <c r="M1566" i="6"/>
  <c r="Q1566" i="6"/>
  <c r="W1566" i="6"/>
  <c r="Y1566" i="6"/>
  <c r="AA1566" i="6"/>
  <c r="E1567" i="6"/>
  <c r="F1567" i="6"/>
  <c r="M1567" i="6"/>
  <c r="Q1567" i="6"/>
  <c r="W1567" i="6"/>
  <c r="Y1567" i="6"/>
  <c r="AA1567" i="6"/>
  <c r="E1568" i="6"/>
  <c r="F1568" i="6"/>
  <c r="H1568" i="6"/>
  <c r="M1568" i="6"/>
  <c r="Q1568" i="6"/>
  <c r="R1568" i="6"/>
  <c r="W1568" i="6"/>
  <c r="AA1568" i="6"/>
  <c r="D1569" i="6"/>
  <c r="E1569" i="6"/>
  <c r="F1569" i="6"/>
  <c r="M1569" i="6"/>
  <c r="Q1569" i="6"/>
  <c r="W1569" i="6"/>
  <c r="AA1569" i="6"/>
  <c r="E1570" i="6"/>
  <c r="F1570" i="6"/>
  <c r="M1570" i="6"/>
  <c r="Q1570" i="6"/>
  <c r="W1570" i="6"/>
  <c r="AA1570" i="6"/>
  <c r="D1572" i="6"/>
  <c r="E1572" i="6"/>
  <c r="F1572" i="6"/>
  <c r="M1572" i="6"/>
  <c r="Q1572" i="6"/>
  <c r="W1572" i="6"/>
  <c r="Y1572" i="6"/>
  <c r="AA1572" i="6"/>
  <c r="E1573" i="6"/>
  <c r="F1573" i="6"/>
  <c r="H1573" i="6"/>
  <c r="M1573" i="6"/>
  <c r="Q1573" i="6"/>
  <c r="R1573" i="6"/>
  <c r="W1573" i="6"/>
  <c r="AA1573" i="6"/>
  <c r="E1574" i="6"/>
  <c r="F1574" i="6"/>
  <c r="M1574" i="6"/>
  <c r="Q1574" i="6"/>
  <c r="R1574" i="6"/>
  <c r="Y1574" i="6" s="1"/>
  <c r="Z1574" i="6" s="1"/>
  <c r="W1574" i="6"/>
  <c r="AA1574" i="6"/>
  <c r="E1575" i="6"/>
  <c r="F1575" i="6"/>
  <c r="M1575" i="6"/>
  <c r="Q1575" i="6"/>
  <c r="R1575" i="6"/>
  <c r="Y1575" i="6" s="1"/>
  <c r="W1575" i="6"/>
  <c r="AA1575" i="6"/>
  <c r="D1576" i="6"/>
  <c r="E1576" i="6"/>
  <c r="F1576" i="6"/>
  <c r="H1576" i="6"/>
  <c r="M1576" i="6"/>
  <c r="Q1576" i="6"/>
  <c r="R1576" i="6"/>
  <c r="W1576" i="6"/>
  <c r="AA1576" i="6"/>
  <c r="D1577" i="6"/>
  <c r="E1577" i="6"/>
  <c r="F1577" i="6"/>
  <c r="H1577" i="6"/>
  <c r="M1577" i="6"/>
  <c r="Q1577" i="6"/>
  <c r="R1577" i="6"/>
  <c r="W1577" i="6"/>
  <c r="AA1577" i="6"/>
  <c r="E1578" i="6"/>
  <c r="F1578" i="6"/>
  <c r="I1578" i="6"/>
  <c r="J1578" i="6"/>
  <c r="K1578" i="6"/>
  <c r="M1578" i="6"/>
  <c r="Q1578" i="6"/>
  <c r="S1578" i="6"/>
  <c r="T1578" i="6"/>
  <c r="U1578" i="6"/>
  <c r="W1578" i="6"/>
  <c r="AA1578" i="6"/>
  <c r="D1579" i="6"/>
  <c r="E1579" i="6"/>
  <c r="F1579" i="6"/>
  <c r="M1579" i="6"/>
  <c r="Q1579" i="6"/>
  <c r="W1579" i="6"/>
  <c r="Y1579" i="6"/>
  <c r="AA1579" i="6"/>
  <c r="D1580" i="6"/>
  <c r="E1580" i="6"/>
  <c r="F1580" i="6"/>
  <c r="H1580" i="6"/>
  <c r="Y1580" i="6" s="1"/>
  <c r="M1580" i="6"/>
  <c r="Q1580" i="6"/>
  <c r="W1580" i="6"/>
  <c r="AA1580" i="6"/>
  <c r="D1581" i="6"/>
  <c r="E1581" i="6"/>
  <c r="F1581" i="6"/>
  <c r="H1581" i="6"/>
  <c r="M1581" i="6"/>
  <c r="Q1581" i="6"/>
  <c r="W1581" i="6"/>
  <c r="Y1581" i="6"/>
  <c r="AA1581" i="6"/>
  <c r="D1582" i="6"/>
  <c r="E1582" i="6"/>
  <c r="F1582" i="6"/>
  <c r="H1582" i="6"/>
  <c r="Y1582" i="6" s="1"/>
  <c r="M1582" i="6"/>
  <c r="Q1582" i="6"/>
  <c r="W1582" i="6"/>
  <c r="AA1582" i="6"/>
  <c r="E1583" i="6"/>
  <c r="F1583" i="6"/>
  <c r="M1583" i="6"/>
  <c r="Q1583" i="6"/>
  <c r="W1583" i="6"/>
  <c r="Y1583" i="6"/>
  <c r="Z1583" i="6" s="1"/>
  <c r="AA1583" i="6"/>
  <c r="D1584" i="6"/>
  <c r="E1584" i="6"/>
  <c r="F1584" i="6"/>
  <c r="M1584" i="6"/>
  <c r="Q1584" i="6"/>
  <c r="R1584" i="6"/>
  <c r="Y1584" i="6" s="1"/>
  <c r="W1584" i="6"/>
  <c r="AA1584" i="6"/>
  <c r="M1591" i="6"/>
  <c r="Q1591" i="6"/>
  <c r="W1591" i="6"/>
  <c r="B1600" i="6"/>
  <c r="O7" i="1"/>
  <c r="AE7" i="1"/>
  <c r="AJ7" i="1"/>
  <c r="D12" i="1"/>
  <c r="H12" i="1"/>
  <c r="N12" i="1"/>
  <c r="R12" i="1"/>
  <c r="H13" i="1"/>
  <c r="N13" i="1" s="1"/>
  <c r="R13" i="1"/>
  <c r="H14" i="1"/>
  <c r="N14" i="1" s="1"/>
  <c r="R14" i="1"/>
  <c r="H15" i="1"/>
  <c r="H13" i="6" s="1"/>
  <c r="Y13" i="6" s="1"/>
  <c r="Z13" i="6" s="1"/>
  <c r="N15" i="1"/>
  <c r="R15" i="1"/>
  <c r="H16" i="1"/>
  <c r="H14" i="6" s="1"/>
  <c r="R16" i="1"/>
  <c r="H17" i="1"/>
  <c r="H15" i="6" s="1"/>
  <c r="N17" i="1"/>
  <c r="R17" i="1"/>
  <c r="D19" i="1"/>
  <c r="E19" i="1"/>
  <c r="F19" i="1"/>
  <c r="I19" i="1"/>
  <c r="J19" i="1"/>
  <c r="K19" i="1"/>
  <c r="L19" i="1"/>
  <c r="O19" i="1"/>
  <c r="P19" i="1"/>
  <c r="AK71" i="1" s="1"/>
  <c r="AL71" i="1" s="1"/>
  <c r="S19" i="1"/>
  <c r="T19" i="1"/>
  <c r="U19" i="1"/>
  <c r="V19" i="1"/>
  <c r="AM71" i="1" s="1"/>
  <c r="B20" i="1"/>
  <c r="D21" i="1"/>
  <c r="D19" i="6" s="1"/>
  <c r="O21" i="1"/>
  <c r="D22" i="1"/>
  <c r="D27" i="1" s="1"/>
  <c r="H22" i="1"/>
  <c r="R22" i="1"/>
  <c r="X22" i="1" s="1"/>
  <c r="X20" i="6" s="1"/>
  <c r="H23" i="1"/>
  <c r="N23" i="1" s="1"/>
  <c r="R23" i="1"/>
  <c r="H24" i="1"/>
  <c r="N24" i="1" s="1"/>
  <c r="R24" i="1"/>
  <c r="H25" i="1"/>
  <c r="N25" i="1" s="1"/>
  <c r="R25" i="1"/>
  <c r="X25" i="1" s="1"/>
  <c r="E27" i="1"/>
  <c r="F27" i="1"/>
  <c r="I27" i="1"/>
  <c r="J27" i="1"/>
  <c r="K27" i="1"/>
  <c r="L27" i="1"/>
  <c r="AH70" i="1" s="1"/>
  <c r="O27" i="1"/>
  <c r="P27" i="1"/>
  <c r="AK70" i="1" s="1"/>
  <c r="S27" i="1"/>
  <c r="T27" i="1"/>
  <c r="U27" i="1"/>
  <c r="V27" i="1"/>
  <c r="D30" i="1"/>
  <c r="D39" i="1" s="1"/>
  <c r="H30" i="1"/>
  <c r="N30" i="1" s="1"/>
  <c r="R30" i="1"/>
  <c r="D31" i="1"/>
  <c r="H31" i="1"/>
  <c r="N31" i="1" s="1"/>
  <c r="R31" i="1"/>
  <c r="H32" i="1"/>
  <c r="R32" i="1"/>
  <c r="X32" i="1" s="1"/>
  <c r="X33" i="6" s="1"/>
  <c r="H33" i="1"/>
  <c r="N33" i="1" s="1"/>
  <c r="R33" i="1"/>
  <c r="H34" i="1"/>
  <c r="N34" i="1"/>
  <c r="R34" i="1"/>
  <c r="X34" i="1"/>
  <c r="X43" i="6" s="1"/>
  <c r="Y34" i="1"/>
  <c r="Z34" i="1" s="1"/>
  <c r="H35" i="1"/>
  <c r="N35" i="1" s="1"/>
  <c r="R35" i="1"/>
  <c r="H36" i="1"/>
  <c r="R36" i="1"/>
  <c r="X36" i="1" s="1"/>
  <c r="X45" i="6" s="1"/>
  <c r="H37" i="1"/>
  <c r="N37" i="1" s="1"/>
  <c r="R37" i="1"/>
  <c r="E39" i="1"/>
  <c r="F39" i="1"/>
  <c r="I39" i="1"/>
  <c r="J39" i="1"/>
  <c r="K39" i="1"/>
  <c r="L39" i="1"/>
  <c r="O39" i="1"/>
  <c r="P39" i="1"/>
  <c r="S39" i="1"/>
  <c r="T39" i="1"/>
  <c r="U39" i="1"/>
  <c r="V39" i="1"/>
  <c r="D41" i="1"/>
  <c r="D50" i="6" s="1"/>
  <c r="O41" i="1"/>
  <c r="R41" i="1" s="1"/>
  <c r="R50" i="6" s="1"/>
  <c r="Y50" i="6" s="1"/>
  <c r="O50" i="6"/>
  <c r="D42" i="1"/>
  <c r="H42" i="1"/>
  <c r="N42" i="1"/>
  <c r="R42" i="1"/>
  <c r="X42" i="1"/>
  <c r="X51" i="6" s="1"/>
  <c r="Y42" i="1"/>
  <c r="H43" i="1"/>
  <c r="N43" i="1" s="1"/>
  <c r="R43" i="1"/>
  <c r="R47" i="1" s="1"/>
  <c r="H44" i="1"/>
  <c r="R44" i="1"/>
  <c r="X44" i="1" s="1"/>
  <c r="H45" i="1"/>
  <c r="R45" i="1"/>
  <c r="X45" i="1" s="1"/>
  <c r="X54" i="6"/>
  <c r="E47" i="1"/>
  <c r="F47" i="1"/>
  <c r="F75" i="1" s="1"/>
  <c r="F1245" i="1" s="1"/>
  <c r="I47" i="1"/>
  <c r="J47" i="1"/>
  <c r="K47" i="1"/>
  <c r="L47" i="1"/>
  <c r="O47" i="1"/>
  <c r="P47" i="1"/>
  <c r="S47" i="1"/>
  <c r="T47" i="1"/>
  <c r="U47" i="1"/>
  <c r="V47" i="1"/>
  <c r="D50" i="1"/>
  <c r="H50" i="1"/>
  <c r="N50" i="1" s="1"/>
  <c r="N59" i="6" s="1"/>
  <c r="O50" i="1"/>
  <c r="S50" i="1"/>
  <c r="T50" i="1"/>
  <c r="H51" i="1"/>
  <c r="R51" i="1"/>
  <c r="X51" i="1" s="1"/>
  <c r="H52" i="1"/>
  <c r="N52" i="1" s="1"/>
  <c r="R52" i="1"/>
  <c r="H53" i="1"/>
  <c r="R53" i="1"/>
  <c r="X53" i="1" s="1"/>
  <c r="H54" i="1"/>
  <c r="N54" i="1" s="1"/>
  <c r="N75" i="6" s="1"/>
  <c r="R54" i="1"/>
  <c r="H55" i="1"/>
  <c r="N55" i="1"/>
  <c r="N76" i="6" s="1"/>
  <c r="R55" i="1"/>
  <c r="D56" i="1"/>
  <c r="AD62" i="1" s="1"/>
  <c r="E56" i="1"/>
  <c r="E77" i="6"/>
  <c r="AG82" i="6" s="1"/>
  <c r="H56" i="1"/>
  <c r="O56" i="1"/>
  <c r="R56" i="1" s="1"/>
  <c r="X56" i="1" s="1"/>
  <c r="X77" i="6" s="1"/>
  <c r="H57" i="1"/>
  <c r="N57" i="1" s="1"/>
  <c r="O57" i="1"/>
  <c r="O78" i="6" s="1"/>
  <c r="S57" i="1"/>
  <c r="H58" i="1"/>
  <c r="N58" i="1"/>
  <c r="R58" i="1"/>
  <c r="E60" i="1"/>
  <c r="F60" i="1"/>
  <c r="I60" i="1"/>
  <c r="J60" i="1"/>
  <c r="K60" i="1"/>
  <c r="L60" i="1"/>
  <c r="P60" i="1"/>
  <c r="U60" i="1"/>
  <c r="V60" i="1"/>
  <c r="AD61" i="1"/>
  <c r="AE61" i="1"/>
  <c r="AF61" i="1"/>
  <c r="AH61" i="1"/>
  <c r="AJ61" i="1"/>
  <c r="AL61" i="1" s="1"/>
  <c r="AK61" i="1"/>
  <c r="AM61" i="1"/>
  <c r="AE62" i="1"/>
  <c r="AF62" i="1"/>
  <c r="AG62" i="1" s="1"/>
  <c r="AH62" i="1"/>
  <c r="AK62" i="1"/>
  <c r="AM62" i="1"/>
  <c r="D63" i="1"/>
  <c r="H63" i="1"/>
  <c r="R63" i="1"/>
  <c r="AE63" i="1"/>
  <c r="AF63" i="1"/>
  <c r="AG63" i="1" s="1"/>
  <c r="AH63" i="1"/>
  <c r="AK63" i="1"/>
  <c r="AM63" i="1"/>
  <c r="H64" i="1"/>
  <c r="R64" i="1"/>
  <c r="AE64" i="1"/>
  <c r="AF64" i="1"/>
  <c r="AH64" i="1"/>
  <c r="AJ64" i="1"/>
  <c r="AL64" i="1" s="1"/>
  <c r="AK64" i="1"/>
  <c r="AM64" i="1"/>
  <c r="D65" i="1"/>
  <c r="H65" i="1"/>
  <c r="N65" i="1"/>
  <c r="R65" i="1"/>
  <c r="X65" i="1" s="1"/>
  <c r="X86" i="6"/>
  <c r="H66" i="1"/>
  <c r="N66" i="1" s="1"/>
  <c r="N87" i="6" s="1"/>
  <c r="H87" i="6"/>
  <c r="R66" i="1"/>
  <c r="AD66" i="1"/>
  <c r="AE66" i="1"/>
  <c r="AF66" i="1"/>
  <c r="AG66" i="1" s="1"/>
  <c r="AH66" i="1"/>
  <c r="AJ66" i="1"/>
  <c r="AK66" i="1"/>
  <c r="AM66" i="1"/>
  <c r="H67" i="1"/>
  <c r="N67" i="1" s="1"/>
  <c r="R67" i="1"/>
  <c r="AD67" i="1"/>
  <c r="AE67" i="1"/>
  <c r="AF67" i="1"/>
  <c r="AH67" i="1"/>
  <c r="AK67" i="1"/>
  <c r="AM67" i="1"/>
  <c r="H68" i="1"/>
  <c r="H89" i="6" s="1"/>
  <c r="N68" i="1"/>
  <c r="N89" i="6" s="1"/>
  <c r="O68" i="1"/>
  <c r="O72" i="1" s="1"/>
  <c r="AD68" i="1"/>
  <c r="AE68" i="1"/>
  <c r="AG68" i="1" s="1"/>
  <c r="AF68" i="1"/>
  <c r="AH68" i="1"/>
  <c r="AJ68" i="1"/>
  <c r="AL68" i="1" s="1"/>
  <c r="AN68" i="1" s="1"/>
  <c r="AK68" i="1"/>
  <c r="AM68" i="1"/>
  <c r="H69" i="1"/>
  <c r="R69" i="1"/>
  <c r="X69" i="1" s="1"/>
  <c r="X90" i="6" s="1"/>
  <c r="AD69" i="1"/>
  <c r="AE69" i="1"/>
  <c r="AF69" i="1"/>
  <c r="AG69" i="1" s="1"/>
  <c r="AJ69" i="1"/>
  <c r="AL69" i="1" s="1"/>
  <c r="AK69" i="1"/>
  <c r="H70" i="1"/>
  <c r="R70" i="1"/>
  <c r="AD70" i="1"/>
  <c r="AE70" i="1"/>
  <c r="AF70" i="1"/>
  <c r="AJ70" i="1"/>
  <c r="AL70" i="1"/>
  <c r="AM70" i="1"/>
  <c r="AD71" i="1"/>
  <c r="AE71" i="1"/>
  <c r="AF71" i="1"/>
  <c r="AG71" i="1" s="1"/>
  <c r="AO71" i="1" s="1"/>
  <c r="AH71" i="1"/>
  <c r="AJ71" i="1"/>
  <c r="E72" i="1"/>
  <c r="F72" i="1"/>
  <c r="I72" i="1"/>
  <c r="J72" i="1"/>
  <c r="K72" i="1"/>
  <c r="L72" i="1"/>
  <c r="P72" i="1"/>
  <c r="S72" i="1"/>
  <c r="T72" i="1"/>
  <c r="U72" i="1"/>
  <c r="V72" i="1"/>
  <c r="AD72" i="1"/>
  <c r="AE72" i="1"/>
  <c r="AG72" i="1" s="1"/>
  <c r="AF72" i="1"/>
  <c r="AH72" i="1"/>
  <c r="AJ72" i="1"/>
  <c r="AL72" i="1" s="1"/>
  <c r="AK72" i="1"/>
  <c r="AM72" i="1"/>
  <c r="AD73" i="1"/>
  <c r="AE73" i="1"/>
  <c r="AF73" i="1"/>
  <c r="AG73" i="1"/>
  <c r="AH73" i="1"/>
  <c r="AJ73" i="1"/>
  <c r="AL73" i="1" s="1"/>
  <c r="AK73" i="1"/>
  <c r="AM73" i="1"/>
  <c r="R74" i="1"/>
  <c r="H82" i="1"/>
  <c r="R82" i="1"/>
  <c r="X82" i="1" s="1"/>
  <c r="D83" i="1"/>
  <c r="E83" i="1"/>
  <c r="R83" i="1"/>
  <c r="X83" i="1" s="1"/>
  <c r="X103" i="6" s="1"/>
  <c r="D84" i="1"/>
  <c r="E84" i="1"/>
  <c r="H84" i="1" s="1"/>
  <c r="N84" i="1" s="1"/>
  <c r="R84" i="1"/>
  <c r="X84" i="1" s="1"/>
  <c r="X104" i="6" s="1"/>
  <c r="D85" i="1"/>
  <c r="H85" i="1"/>
  <c r="R85" i="1"/>
  <c r="X85" i="1" s="1"/>
  <c r="X105" i="6" s="1"/>
  <c r="D86" i="1"/>
  <c r="H86" i="1"/>
  <c r="N86" i="1"/>
  <c r="N106" i="6" s="1"/>
  <c r="O86" i="1"/>
  <c r="R86" i="1" s="1"/>
  <c r="H87" i="1"/>
  <c r="N87" i="1" s="1"/>
  <c r="R87" i="1"/>
  <c r="F89" i="1"/>
  <c r="F127" i="1" s="1"/>
  <c r="F1247" i="1" s="1"/>
  <c r="I89" i="1"/>
  <c r="J89" i="1"/>
  <c r="K89" i="1"/>
  <c r="L89" i="1"/>
  <c r="P89" i="1"/>
  <c r="S89" i="1"/>
  <c r="T89" i="1"/>
  <c r="U89" i="1"/>
  <c r="V89" i="1"/>
  <c r="H92" i="1"/>
  <c r="N92" i="1" s="1"/>
  <c r="R92" i="1"/>
  <c r="H93" i="1"/>
  <c r="N93" i="1" s="1"/>
  <c r="N99" i="1" s="1"/>
  <c r="R93" i="1"/>
  <c r="X93" i="1" s="1"/>
  <c r="X113" i="6" s="1"/>
  <c r="H94" i="1"/>
  <c r="N94" i="1" s="1"/>
  <c r="R94" i="1"/>
  <c r="D95" i="1"/>
  <c r="H95" i="1"/>
  <c r="N95" i="1" s="1"/>
  <c r="R95" i="1"/>
  <c r="D96" i="1"/>
  <c r="H96" i="1"/>
  <c r="N96" i="1" s="1"/>
  <c r="N117" i="6" s="1"/>
  <c r="O96" i="1"/>
  <c r="O117" i="6" s="1"/>
  <c r="H97" i="1"/>
  <c r="N97" i="1" s="1"/>
  <c r="R97" i="1"/>
  <c r="E99" i="1"/>
  <c r="F99" i="1"/>
  <c r="I99" i="1"/>
  <c r="J99" i="1"/>
  <c r="K99" i="1"/>
  <c r="L99" i="1"/>
  <c r="AH125" i="1" s="1"/>
  <c r="O99" i="1"/>
  <c r="P99" i="1"/>
  <c r="S99" i="1"/>
  <c r="T99" i="1"/>
  <c r="U99" i="1"/>
  <c r="V99" i="1"/>
  <c r="D102" i="1"/>
  <c r="H102" i="1"/>
  <c r="L102" i="1"/>
  <c r="L123" i="6" s="1"/>
  <c r="R102" i="1"/>
  <c r="S102" i="1"/>
  <c r="D103" i="1"/>
  <c r="E103" i="1"/>
  <c r="R103" i="1"/>
  <c r="X103" i="1" s="1"/>
  <c r="X124" i="6" s="1"/>
  <c r="H104" i="1"/>
  <c r="N104" i="1"/>
  <c r="L104" i="1"/>
  <c r="L126" i="6"/>
  <c r="R104" i="1"/>
  <c r="S104" i="1"/>
  <c r="S126" i="6" s="1"/>
  <c r="H105" i="1"/>
  <c r="L105" i="1"/>
  <c r="AH117" i="1" s="1"/>
  <c r="R105" i="1"/>
  <c r="E107" i="1"/>
  <c r="F107" i="1"/>
  <c r="I107" i="1"/>
  <c r="J107" i="1"/>
  <c r="K107" i="1"/>
  <c r="O107" i="1"/>
  <c r="P107" i="1"/>
  <c r="T107" i="1"/>
  <c r="U107" i="1"/>
  <c r="V107" i="1"/>
  <c r="H110" i="1"/>
  <c r="R110" i="1"/>
  <c r="X110" i="1" s="1"/>
  <c r="X132" i="6" s="1"/>
  <c r="H111" i="1"/>
  <c r="N111" i="1" s="1"/>
  <c r="R111" i="1"/>
  <c r="H112" i="1"/>
  <c r="R112" i="1"/>
  <c r="X112" i="1" s="1"/>
  <c r="H113" i="1"/>
  <c r="N113" i="1" s="1"/>
  <c r="N141" i="6"/>
  <c r="O113" i="1"/>
  <c r="R113" i="1" s="1"/>
  <c r="O141" i="6"/>
  <c r="AD114" i="1"/>
  <c r="AF114" i="1"/>
  <c r="AH114" i="1"/>
  <c r="AJ114" i="1"/>
  <c r="AL114" i="1"/>
  <c r="AK114" i="1"/>
  <c r="AM114" i="1"/>
  <c r="D115" i="1"/>
  <c r="E115" i="1"/>
  <c r="F115" i="1"/>
  <c r="I115" i="1"/>
  <c r="J115" i="1"/>
  <c r="K115" i="1"/>
  <c r="L115" i="1"/>
  <c r="O115" i="1"/>
  <c r="P115" i="1"/>
  <c r="S115" i="1"/>
  <c r="T115" i="1"/>
  <c r="U115" i="1"/>
  <c r="V115" i="1"/>
  <c r="AE115" i="1"/>
  <c r="AG115" i="1" s="1"/>
  <c r="AF115" i="1"/>
  <c r="AJ115" i="1"/>
  <c r="AK115" i="1"/>
  <c r="AM115" i="1"/>
  <c r="AE116" i="1"/>
  <c r="AF116" i="1"/>
  <c r="AH116" i="1"/>
  <c r="AJ116" i="1"/>
  <c r="AL116" i="1" s="1"/>
  <c r="AK116" i="1"/>
  <c r="AM116" i="1"/>
  <c r="AF117" i="1"/>
  <c r="AJ117" i="1"/>
  <c r="AK117" i="1"/>
  <c r="AM117" i="1"/>
  <c r="H118" i="1"/>
  <c r="N118" i="1"/>
  <c r="N146" i="6" s="1"/>
  <c r="R118" i="1"/>
  <c r="AE118" i="1"/>
  <c r="AF118" i="1"/>
  <c r="AH118" i="1"/>
  <c r="AK118" i="1"/>
  <c r="AM118" i="1"/>
  <c r="H119" i="1"/>
  <c r="N119" i="1"/>
  <c r="R119" i="1"/>
  <c r="Y119" i="1" s="1"/>
  <c r="X119" i="1"/>
  <c r="X149" i="6" s="1"/>
  <c r="Z119" i="1"/>
  <c r="AD119" i="1"/>
  <c r="AE119" i="1"/>
  <c r="AG119" i="1" s="1"/>
  <c r="AF119" i="1"/>
  <c r="AH119" i="1"/>
  <c r="L1205" i="1" s="1"/>
  <c r="L1578" i="6" s="1"/>
  <c r="AJ119" i="1"/>
  <c r="AL119" i="1"/>
  <c r="AK119" i="1"/>
  <c r="AM119" i="1"/>
  <c r="D120" i="1"/>
  <c r="AD120" i="1" s="1"/>
  <c r="E120" i="1"/>
  <c r="E152" i="6" s="1"/>
  <c r="AG149" i="6" s="1"/>
  <c r="R120" i="1"/>
  <c r="AF120" i="1"/>
  <c r="AH120" i="1"/>
  <c r="AJ120" i="1"/>
  <c r="AK120" i="1"/>
  <c r="AM120" i="1"/>
  <c r="H121" i="1"/>
  <c r="N121" i="1" s="1"/>
  <c r="R121" i="1"/>
  <c r="X121" i="1" s="1"/>
  <c r="X155" i="6" s="1"/>
  <c r="Y121" i="1"/>
  <c r="Z121" i="1" s="1"/>
  <c r="D122" i="1"/>
  <c r="D125" i="1" s="1"/>
  <c r="E122" i="1"/>
  <c r="R122" i="1"/>
  <c r="X122" i="1" s="1"/>
  <c r="X159" i="6" s="1"/>
  <c r="AD122" i="1"/>
  <c r="AE122" i="1"/>
  <c r="AF122" i="1"/>
  <c r="AJ122" i="1"/>
  <c r="AK122" i="1"/>
  <c r="AM122" i="1"/>
  <c r="H123" i="1"/>
  <c r="N123" i="1" s="1"/>
  <c r="N160" i="6" s="1"/>
  <c r="R123" i="1"/>
  <c r="AD123" i="1"/>
  <c r="AE123" i="1"/>
  <c r="AF123" i="1"/>
  <c r="AG123" i="1" s="1"/>
  <c r="AI123" i="1" s="1"/>
  <c r="AH123" i="1"/>
  <c r="AJ123" i="1"/>
  <c r="AL123" i="1" s="1"/>
  <c r="AK123" i="1"/>
  <c r="AD124" i="1"/>
  <c r="AE124" i="1"/>
  <c r="AF124" i="1"/>
  <c r="AJ124" i="1"/>
  <c r="AL124" i="1" s="1"/>
  <c r="AK124" i="1"/>
  <c r="AM124" i="1"/>
  <c r="F125" i="1"/>
  <c r="I125" i="1"/>
  <c r="J125" i="1"/>
  <c r="K125" i="1"/>
  <c r="L125" i="1"/>
  <c r="O125" i="1"/>
  <c r="P125" i="1"/>
  <c r="S125" i="1"/>
  <c r="T125" i="1"/>
  <c r="U125" i="1"/>
  <c r="V125" i="1"/>
  <c r="AA125" i="1"/>
  <c r="AD125" i="1"/>
  <c r="AE125" i="1"/>
  <c r="AF125" i="1"/>
  <c r="AG125" i="1" s="1"/>
  <c r="AJ125" i="1"/>
  <c r="AL125" i="1"/>
  <c r="AK125" i="1"/>
  <c r="AM125" i="1"/>
  <c r="AD126" i="1"/>
  <c r="AE126" i="1"/>
  <c r="AG126" i="1" s="1"/>
  <c r="AF126" i="1"/>
  <c r="AH126" i="1"/>
  <c r="AJ126" i="1"/>
  <c r="AK126" i="1"/>
  <c r="AM126" i="1"/>
  <c r="D132" i="1"/>
  <c r="H132" i="1"/>
  <c r="N132" i="1" s="1"/>
  <c r="R132" i="1"/>
  <c r="H133" i="1"/>
  <c r="R133" i="1"/>
  <c r="X133" i="1" s="1"/>
  <c r="X173" i="6" s="1"/>
  <c r="H134" i="1"/>
  <c r="N134" i="1" s="1"/>
  <c r="R134" i="1"/>
  <c r="D135" i="1"/>
  <c r="E135" i="1"/>
  <c r="E140" i="1" s="1"/>
  <c r="F135" i="1"/>
  <c r="R135" i="1"/>
  <c r="D136" i="1"/>
  <c r="AD194" i="1" s="1"/>
  <c r="H136" i="1"/>
  <c r="N136" i="1" s="1"/>
  <c r="N179" i="6"/>
  <c r="R136" i="1"/>
  <c r="Y136" i="1"/>
  <c r="H137" i="1"/>
  <c r="N137" i="1"/>
  <c r="R137" i="1"/>
  <c r="X137" i="1"/>
  <c r="X180" i="6" s="1"/>
  <c r="Y137" i="1"/>
  <c r="Z137" i="1" s="1"/>
  <c r="H138" i="1"/>
  <c r="N138" i="1" s="1"/>
  <c r="R138" i="1"/>
  <c r="I140" i="1"/>
  <c r="J140" i="1"/>
  <c r="K140" i="1"/>
  <c r="L140" i="1"/>
  <c r="O140" i="1"/>
  <c r="P140" i="1"/>
  <c r="S140" i="1"/>
  <c r="T140" i="1"/>
  <c r="U140" i="1"/>
  <c r="U202" i="1" s="1"/>
  <c r="V140" i="1"/>
  <c r="AA140" i="1"/>
  <c r="D143" i="1"/>
  <c r="H143" i="1"/>
  <c r="Y143" i="1" s="1"/>
  <c r="R143" i="1"/>
  <c r="X143" i="1"/>
  <c r="D144" i="1"/>
  <c r="H144" i="1"/>
  <c r="N144" i="1" s="1"/>
  <c r="N188" i="6" s="1"/>
  <c r="R144" i="1"/>
  <c r="H145" i="1"/>
  <c r="R145" i="1"/>
  <c r="H146" i="1"/>
  <c r="N146" i="1" s="1"/>
  <c r="N199" i="6"/>
  <c r="R146" i="1"/>
  <c r="H147" i="1"/>
  <c r="N147" i="1" s="1"/>
  <c r="R147" i="1"/>
  <c r="H148" i="1"/>
  <c r="N148" i="1" s="1"/>
  <c r="R148" i="1"/>
  <c r="X148" i="1" s="1"/>
  <c r="X201" i="6" s="1"/>
  <c r="Y148" i="1"/>
  <c r="Z148" i="1" s="1"/>
  <c r="E150" i="1"/>
  <c r="F150" i="1"/>
  <c r="I150" i="1"/>
  <c r="J150" i="1"/>
  <c r="K150" i="1"/>
  <c r="L150" i="1"/>
  <c r="O150" i="1"/>
  <c r="P150" i="1"/>
  <c r="S150" i="1"/>
  <c r="T150" i="1"/>
  <c r="U150" i="1"/>
  <c r="V150" i="1"/>
  <c r="AA150" i="1"/>
  <c r="AA200" i="6" s="1"/>
  <c r="D152" i="1"/>
  <c r="O152" i="1"/>
  <c r="D153" i="1"/>
  <c r="H153" i="1"/>
  <c r="N153" i="1"/>
  <c r="O153" i="1"/>
  <c r="O206" i="6"/>
  <c r="H154" i="1"/>
  <c r="N154" i="1"/>
  <c r="R154" i="1"/>
  <c r="Y154" i="1" s="1"/>
  <c r="Z154" i="1" s="1"/>
  <c r="X154" i="1"/>
  <c r="X207" i="6" s="1"/>
  <c r="D155" i="1"/>
  <c r="H155" i="1"/>
  <c r="N155" i="1"/>
  <c r="R155" i="1"/>
  <c r="X155" i="1"/>
  <c r="X208" i="6" s="1"/>
  <c r="Y155" i="1"/>
  <c r="H156" i="1"/>
  <c r="N156" i="1" s="1"/>
  <c r="N209" i="6" s="1"/>
  <c r="R156" i="1"/>
  <c r="H157" i="1"/>
  <c r="N157" i="1" s="1"/>
  <c r="N210" i="6" s="1"/>
  <c r="R157" i="1"/>
  <c r="D158" i="1"/>
  <c r="E158" i="1"/>
  <c r="E215" i="6" s="1"/>
  <c r="R158" i="1"/>
  <c r="H159" i="1"/>
  <c r="N159" i="1" s="1"/>
  <c r="N217" i="6" s="1"/>
  <c r="O159" i="1"/>
  <c r="AJ199" i="1" s="1"/>
  <c r="H160" i="1"/>
  <c r="N160" i="1"/>
  <c r="N218" i="6" s="1"/>
  <c r="R160" i="1"/>
  <c r="F162" i="1"/>
  <c r="I162" i="1"/>
  <c r="J162" i="1"/>
  <c r="K162" i="1"/>
  <c r="L162" i="1"/>
  <c r="P162" i="1"/>
  <c r="S162" i="1"/>
  <c r="T162" i="1"/>
  <c r="U162" i="1"/>
  <c r="V162" i="1"/>
  <c r="AA162" i="1"/>
  <c r="H165" i="1"/>
  <c r="N165" i="1" s="1"/>
  <c r="R165" i="1"/>
  <c r="H166" i="1"/>
  <c r="R166" i="1"/>
  <c r="X166" i="1"/>
  <c r="X227" i="6" s="1"/>
  <c r="H167" i="1"/>
  <c r="R167" i="1"/>
  <c r="X167" i="1" s="1"/>
  <c r="X231" i="6" s="1"/>
  <c r="D168" i="1"/>
  <c r="H168" i="1"/>
  <c r="N168" i="1"/>
  <c r="R168" i="1"/>
  <c r="X168" i="1"/>
  <c r="X232" i="6" s="1"/>
  <c r="Y168" i="1"/>
  <c r="H169" i="1"/>
  <c r="N169" i="1" s="1"/>
  <c r="R169" i="1"/>
  <c r="E171" i="1"/>
  <c r="F171" i="1"/>
  <c r="I171" i="1"/>
  <c r="J171" i="1"/>
  <c r="K171" i="1"/>
  <c r="L171" i="1"/>
  <c r="O171" i="1"/>
  <c r="P171" i="1"/>
  <c r="S171" i="1"/>
  <c r="T171" i="1"/>
  <c r="U171" i="1"/>
  <c r="V171" i="1"/>
  <c r="AA171" i="1"/>
  <c r="E174" i="1"/>
  <c r="H174" i="1" s="1"/>
  <c r="E238" i="6"/>
  <c r="N174" i="1"/>
  <c r="O174" i="1"/>
  <c r="R174" i="1" s="1"/>
  <c r="X174" i="1"/>
  <c r="H175" i="1"/>
  <c r="R175" i="1"/>
  <c r="R239" i="6"/>
  <c r="X175" i="1"/>
  <c r="X239" i="6" s="1"/>
  <c r="H176" i="1"/>
  <c r="N176" i="1"/>
  <c r="N240" i="6" s="1"/>
  <c r="R176" i="1"/>
  <c r="D177" i="1"/>
  <c r="E177" i="1"/>
  <c r="E241" i="6" s="1"/>
  <c r="R177" i="1"/>
  <c r="H178" i="1"/>
  <c r="N178" i="1" s="1"/>
  <c r="R178" i="1"/>
  <c r="D179" i="1"/>
  <c r="D183" i="1" s="1"/>
  <c r="H179" i="1"/>
  <c r="H243" i="6" s="1"/>
  <c r="N179" i="1"/>
  <c r="O179" i="1"/>
  <c r="AJ194" i="1" s="1"/>
  <c r="H180" i="1"/>
  <c r="H244" i="6" s="1"/>
  <c r="O180" i="1"/>
  <c r="H181" i="1"/>
  <c r="R181" i="1"/>
  <c r="E183" i="1"/>
  <c r="F183" i="1"/>
  <c r="I183" i="1"/>
  <c r="J183" i="1"/>
  <c r="K183" i="1"/>
  <c r="L183" i="1"/>
  <c r="L202" i="1" s="1"/>
  <c r="L1249" i="1" s="1"/>
  <c r="P183" i="1"/>
  <c r="S183" i="1"/>
  <c r="T183" i="1"/>
  <c r="U183" i="1"/>
  <c r="V183" i="1"/>
  <c r="AA183" i="1"/>
  <c r="D186" i="1"/>
  <c r="D192" i="1" s="1"/>
  <c r="H186" i="1"/>
  <c r="N186" i="1" s="1"/>
  <c r="R186" i="1"/>
  <c r="D187" i="1"/>
  <c r="H187" i="1"/>
  <c r="R187" i="1"/>
  <c r="H188" i="1"/>
  <c r="N188" i="1" s="1"/>
  <c r="N252" i="6" s="1"/>
  <c r="R188" i="1"/>
  <c r="H189" i="1"/>
  <c r="N189" i="1" s="1"/>
  <c r="N253" i="6" s="1"/>
  <c r="O189" i="1"/>
  <c r="O253" i="6" s="1"/>
  <c r="O192" i="1"/>
  <c r="AE189" i="1"/>
  <c r="AF189" i="1"/>
  <c r="AH189" i="1"/>
  <c r="AJ189" i="1"/>
  <c r="AL189" i="1"/>
  <c r="AK189" i="1"/>
  <c r="AM189" i="1"/>
  <c r="H190" i="1"/>
  <c r="N190" i="1" s="1"/>
  <c r="R190" i="1"/>
  <c r="AD191" i="1"/>
  <c r="AE191" i="1"/>
  <c r="AF191" i="1"/>
  <c r="AH191" i="1"/>
  <c r="AJ191" i="1"/>
  <c r="AL191" i="1" s="1"/>
  <c r="AK191" i="1"/>
  <c r="AM191" i="1"/>
  <c r="E192" i="1"/>
  <c r="F192" i="1"/>
  <c r="I192" i="1"/>
  <c r="J192" i="1"/>
  <c r="K192" i="1"/>
  <c r="L192" i="1"/>
  <c r="P192" i="1"/>
  <c r="S192" i="1"/>
  <c r="T192" i="1"/>
  <c r="U192" i="1"/>
  <c r="V192" i="1"/>
  <c r="AA192" i="1"/>
  <c r="AE192" i="1"/>
  <c r="AF192" i="1"/>
  <c r="AG192" i="1" s="1"/>
  <c r="AH192" i="1"/>
  <c r="AJ192" i="1"/>
  <c r="AK192" i="1"/>
  <c r="AM192" i="1"/>
  <c r="AD193" i="1"/>
  <c r="AE193" i="1"/>
  <c r="AF193" i="1"/>
  <c r="AH193" i="1"/>
  <c r="AJ193" i="1"/>
  <c r="AL193" i="1" s="1"/>
  <c r="AK193" i="1"/>
  <c r="AM193" i="1"/>
  <c r="AE194" i="1"/>
  <c r="AF194" i="1"/>
  <c r="AH194" i="1"/>
  <c r="AK194" i="1"/>
  <c r="AM194" i="1"/>
  <c r="H195" i="1"/>
  <c r="R195" i="1"/>
  <c r="AD195" i="1"/>
  <c r="AE195" i="1"/>
  <c r="AF195" i="1"/>
  <c r="AH195" i="1"/>
  <c r="AK195" i="1"/>
  <c r="AM195" i="1"/>
  <c r="AD196" i="1"/>
  <c r="AE196" i="1"/>
  <c r="AG196" i="1" s="1"/>
  <c r="AI196" i="1" s="1"/>
  <c r="AF196" i="1"/>
  <c r="AH196" i="1"/>
  <c r="AJ196" i="1"/>
  <c r="AK196" i="1"/>
  <c r="P1205" i="1" s="1"/>
  <c r="P1578" i="6" s="1"/>
  <c r="AM196" i="1"/>
  <c r="D197" i="1"/>
  <c r="D200" i="1" s="1"/>
  <c r="H197" i="1"/>
  <c r="N197" i="1" s="1"/>
  <c r="N260" i="6" s="1"/>
  <c r="R197" i="1"/>
  <c r="X197" i="1"/>
  <c r="X260" i="6" s="1"/>
  <c r="Y197" i="1"/>
  <c r="Z197" i="1" s="1"/>
  <c r="AF197" i="1"/>
  <c r="AH197" i="1"/>
  <c r="AJ197" i="1"/>
  <c r="AL197" i="1" s="1"/>
  <c r="AK197" i="1"/>
  <c r="AM197" i="1"/>
  <c r="H198" i="1"/>
  <c r="N198" i="1" s="1"/>
  <c r="R198" i="1"/>
  <c r="X198" i="1" s="1"/>
  <c r="X263" i="6" s="1"/>
  <c r="AD198" i="1"/>
  <c r="AE198" i="1"/>
  <c r="AG198" i="1" s="1"/>
  <c r="AI198" i="1" s="1"/>
  <c r="AF198" i="1"/>
  <c r="AH198" i="1"/>
  <c r="AJ198" i="1"/>
  <c r="AL198" i="1" s="1"/>
  <c r="AK198" i="1"/>
  <c r="AM198" i="1"/>
  <c r="AD199" i="1"/>
  <c r="AE199" i="1"/>
  <c r="AF199" i="1"/>
  <c r="AH199" i="1"/>
  <c r="AK199" i="1"/>
  <c r="AM199" i="1"/>
  <c r="E200" i="1"/>
  <c r="F200" i="1"/>
  <c r="I200" i="1"/>
  <c r="J200" i="1"/>
  <c r="K200" i="1"/>
  <c r="L200" i="1"/>
  <c r="O200" i="1"/>
  <c r="P200" i="1"/>
  <c r="S200" i="1"/>
  <c r="T200" i="1"/>
  <c r="U200" i="1"/>
  <c r="V200" i="1"/>
  <c r="AA200" i="1"/>
  <c r="AD200" i="1"/>
  <c r="AE200" i="1"/>
  <c r="AF200" i="1"/>
  <c r="AH200" i="1"/>
  <c r="L1206" i="1" s="1"/>
  <c r="L1579" i="6" s="1"/>
  <c r="AJ200" i="1"/>
  <c r="AK200" i="1"/>
  <c r="AL200" i="1" s="1"/>
  <c r="AM200" i="1"/>
  <c r="AD201" i="1"/>
  <c r="AE201" i="1"/>
  <c r="AF201" i="1"/>
  <c r="AH201" i="1"/>
  <c r="AJ201" i="1"/>
  <c r="AK201" i="1"/>
  <c r="AM201" i="1"/>
  <c r="D208" i="1"/>
  <c r="H208" i="1"/>
  <c r="O208" i="1"/>
  <c r="H209" i="1"/>
  <c r="N209" i="1"/>
  <c r="R209" i="1"/>
  <c r="H210" i="1"/>
  <c r="N210" i="1" s="1"/>
  <c r="R210" i="1"/>
  <c r="D211" i="1"/>
  <c r="AD324" i="1" s="1"/>
  <c r="E211" i="1"/>
  <c r="H211" i="1" s="1"/>
  <c r="R211" i="1"/>
  <c r="R282" i="6" s="1"/>
  <c r="H212" i="1"/>
  <c r="N212" i="1" s="1"/>
  <c r="R212" i="1"/>
  <c r="H213" i="1"/>
  <c r="R213" i="1"/>
  <c r="R286" i="6" s="1"/>
  <c r="H214" i="1"/>
  <c r="N214" i="1" s="1"/>
  <c r="R214" i="1"/>
  <c r="R287" i="6" s="1"/>
  <c r="D216" i="1"/>
  <c r="F216" i="1"/>
  <c r="I216" i="1"/>
  <c r="J216" i="1"/>
  <c r="K216" i="1"/>
  <c r="L216" i="1"/>
  <c r="P216" i="1"/>
  <c r="S216" i="1"/>
  <c r="T216" i="1"/>
  <c r="U216" i="1"/>
  <c r="V216" i="1"/>
  <c r="H219" i="1"/>
  <c r="H292" i="6"/>
  <c r="N219" i="1"/>
  <c r="N292" i="6" s="1"/>
  <c r="O219" i="1"/>
  <c r="O292" i="6" s="1"/>
  <c r="H220" i="1"/>
  <c r="R220" i="1"/>
  <c r="D221" i="1"/>
  <c r="E221" i="1"/>
  <c r="E294" i="6"/>
  <c r="H221" i="1"/>
  <c r="R221" i="1"/>
  <c r="R294" i="6" s="1"/>
  <c r="X221" i="1"/>
  <c r="X294" i="6"/>
  <c r="H222" i="1"/>
  <c r="R222" i="1"/>
  <c r="R295" i="6" s="1"/>
  <c r="Y222" i="1"/>
  <c r="H223" i="1"/>
  <c r="O223" i="1"/>
  <c r="O296" i="6" s="1"/>
  <c r="D224" i="1"/>
  <c r="D297" i="6"/>
  <c r="H224" i="1"/>
  <c r="O224" i="1"/>
  <c r="R224" i="1" s="1"/>
  <c r="Y224" i="1"/>
  <c r="Y297" i="6" s="1"/>
  <c r="E226" i="1"/>
  <c r="F226" i="1"/>
  <c r="I226" i="1"/>
  <c r="J226" i="1"/>
  <c r="K226" i="1"/>
  <c r="L226" i="1"/>
  <c r="P226" i="1"/>
  <c r="S226" i="1"/>
  <c r="T226" i="1"/>
  <c r="U226" i="1"/>
  <c r="V226" i="1"/>
  <c r="R228" i="1"/>
  <c r="R301" i="6" s="1"/>
  <c r="Y301" i="6" s="1"/>
  <c r="D229" i="1"/>
  <c r="D237" i="1" s="1"/>
  <c r="H229" i="1"/>
  <c r="N229" i="1" s="1"/>
  <c r="R229" i="1"/>
  <c r="H230" i="1"/>
  <c r="N230" i="1"/>
  <c r="R230" i="1"/>
  <c r="H231" i="1"/>
  <c r="N231" i="1" s="1"/>
  <c r="R231" i="1"/>
  <c r="H232" i="1"/>
  <c r="N232" i="1"/>
  <c r="R232" i="1"/>
  <c r="H233" i="1"/>
  <c r="N233" i="1" s="1"/>
  <c r="R233" i="1"/>
  <c r="H234" i="1"/>
  <c r="N234" i="1" s="1"/>
  <c r="R234" i="1"/>
  <c r="D235" i="1"/>
  <c r="H235" i="1"/>
  <c r="R235" i="1"/>
  <c r="X235" i="1" s="1"/>
  <c r="X311" i="6" s="1"/>
  <c r="E237" i="1"/>
  <c r="F237" i="1"/>
  <c r="I237" i="1"/>
  <c r="J237" i="1"/>
  <c r="K237" i="1"/>
  <c r="L237" i="1"/>
  <c r="O237" i="1"/>
  <c r="P237" i="1"/>
  <c r="S237" i="1"/>
  <c r="T237" i="1"/>
  <c r="U237" i="1"/>
  <c r="V237" i="1"/>
  <c r="D240" i="1"/>
  <c r="E240" i="1"/>
  <c r="H240" i="1" s="1"/>
  <c r="N240" i="1" s="1"/>
  <c r="R240" i="1"/>
  <c r="H241" i="1"/>
  <c r="N241" i="1" s="1"/>
  <c r="H319" i="6"/>
  <c r="Y319" i="6" s="1"/>
  <c r="Z319" i="6" s="1"/>
  <c r="R241" i="1"/>
  <c r="D242" i="1"/>
  <c r="E242" i="1"/>
  <c r="R242" i="1"/>
  <c r="X242" i="1" s="1"/>
  <c r="X323" i="6" s="1"/>
  <c r="H243" i="1"/>
  <c r="R243" i="1"/>
  <c r="H244" i="1"/>
  <c r="R244" i="1"/>
  <c r="D245" i="1"/>
  <c r="H245" i="1"/>
  <c r="O245" i="1"/>
  <c r="H246" i="1"/>
  <c r="H327" i="6"/>
  <c r="N246" i="1"/>
  <c r="R246" i="1"/>
  <c r="F248" i="1"/>
  <c r="I248" i="1"/>
  <c r="J248" i="1"/>
  <c r="K248" i="1"/>
  <c r="L248" i="1"/>
  <c r="P248" i="1"/>
  <c r="S248" i="1"/>
  <c r="T248" i="1"/>
  <c r="U248" i="1"/>
  <c r="V248" i="1"/>
  <c r="D251" i="1"/>
  <c r="H251" i="1"/>
  <c r="N251" i="1" s="1"/>
  <c r="N332" i="6"/>
  <c r="O251" i="1"/>
  <c r="D252" i="1"/>
  <c r="D260" i="1" s="1"/>
  <c r="H252" i="1"/>
  <c r="N252" i="1" s="1"/>
  <c r="R252" i="1"/>
  <c r="H253" i="1"/>
  <c r="N253" i="1" s="1"/>
  <c r="N334" i="6" s="1"/>
  <c r="H334" i="6"/>
  <c r="Y334" i="6" s="1"/>
  <c r="R253" i="1"/>
  <c r="H254" i="1"/>
  <c r="N254" i="1"/>
  <c r="N336" i="6" s="1"/>
  <c r="R254" i="1"/>
  <c r="H255" i="1"/>
  <c r="H337" i="6" s="1"/>
  <c r="Y337" i="6" s="1"/>
  <c r="N255" i="1"/>
  <c r="R255" i="1"/>
  <c r="H256" i="1"/>
  <c r="H338" i="6" s="1"/>
  <c r="Y338" i="6" s="1"/>
  <c r="R256" i="1"/>
  <c r="D257" i="1"/>
  <c r="D339" i="6" s="1"/>
  <c r="H257" i="1"/>
  <c r="O257" i="1"/>
  <c r="H258" i="1"/>
  <c r="R258" i="1"/>
  <c r="X258" i="1" s="1"/>
  <c r="X340" i="6" s="1"/>
  <c r="R340" i="6"/>
  <c r="E260" i="1"/>
  <c r="F260" i="1"/>
  <c r="I260" i="1"/>
  <c r="J260" i="1"/>
  <c r="K260" i="1"/>
  <c r="L260" i="1"/>
  <c r="P260" i="1"/>
  <c r="S260" i="1"/>
  <c r="T260" i="1"/>
  <c r="U260" i="1"/>
  <c r="V260" i="1"/>
  <c r="H264" i="1"/>
  <c r="H268" i="1" s="1"/>
  <c r="N264" i="1"/>
  <c r="N346" i="6" s="1"/>
  <c r="R264" i="1"/>
  <c r="Y264" i="1" s="1"/>
  <c r="H265" i="1"/>
  <c r="N265" i="1"/>
  <c r="N350" i="6" s="1"/>
  <c r="R265" i="1"/>
  <c r="X265" i="1" s="1"/>
  <c r="H266" i="1"/>
  <c r="N266" i="1"/>
  <c r="N351" i="6" s="1"/>
  <c r="R266" i="1"/>
  <c r="D268" i="1"/>
  <c r="E268" i="1"/>
  <c r="F268" i="1"/>
  <c r="I268" i="1"/>
  <c r="J268" i="1"/>
  <c r="K268" i="1"/>
  <c r="L268" i="1"/>
  <c r="O268" i="1"/>
  <c r="P268" i="1"/>
  <c r="S268" i="1"/>
  <c r="T268" i="1"/>
  <c r="U268" i="1"/>
  <c r="V268" i="1"/>
  <c r="C271" i="1"/>
  <c r="D271" i="1"/>
  <c r="H271" i="1"/>
  <c r="O271" i="1"/>
  <c r="R271" i="1" s="1"/>
  <c r="O356" i="6"/>
  <c r="S271" i="1"/>
  <c r="H272" i="1"/>
  <c r="N272" i="1"/>
  <c r="R272" i="1"/>
  <c r="H273" i="1"/>
  <c r="N273" i="1" s="1"/>
  <c r="R273" i="1"/>
  <c r="H274" i="1"/>
  <c r="N274" i="1" s="1"/>
  <c r="R274" i="1"/>
  <c r="E276" i="1"/>
  <c r="F276" i="1"/>
  <c r="I276" i="1"/>
  <c r="J276" i="1"/>
  <c r="K276" i="1"/>
  <c r="L276" i="1"/>
  <c r="P276" i="1"/>
  <c r="T276" i="1"/>
  <c r="U276" i="1"/>
  <c r="V276" i="1"/>
  <c r="D280" i="1"/>
  <c r="H280" i="1"/>
  <c r="R280" i="1"/>
  <c r="H281" i="1"/>
  <c r="R281" i="1"/>
  <c r="X281" i="1" s="1"/>
  <c r="X370" i="6" s="1"/>
  <c r="H282" i="1"/>
  <c r="N282" i="1" s="1"/>
  <c r="R282" i="1"/>
  <c r="Y282" i="1" s="1"/>
  <c r="Z282" i="1" s="1"/>
  <c r="X282" i="1"/>
  <c r="X373" i="6" s="1"/>
  <c r="D283" i="1"/>
  <c r="E283" i="1"/>
  <c r="R283" i="1"/>
  <c r="D284" i="1"/>
  <c r="E284" i="1"/>
  <c r="R284" i="1"/>
  <c r="X284" i="1"/>
  <c r="X376" i="6" s="1"/>
  <c r="H285" i="1"/>
  <c r="R285" i="1"/>
  <c r="X285" i="1"/>
  <c r="X377" i="6" s="1"/>
  <c r="H286" i="1"/>
  <c r="N286" i="1" s="1"/>
  <c r="R286" i="1"/>
  <c r="D287" i="1"/>
  <c r="H287" i="1"/>
  <c r="N287" i="1" s="1"/>
  <c r="N379" i="6"/>
  <c r="O287" i="1"/>
  <c r="O379" i="6" s="1"/>
  <c r="D288" i="1"/>
  <c r="H288" i="1"/>
  <c r="R288" i="1"/>
  <c r="X288" i="1" s="1"/>
  <c r="X380" i="6" s="1"/>
  <c r="H289" i="1"/>
  <c r="R289" i="1"/>
  <c r="X289" i="1" s="1"/>
  <c r="X381" i="6" s="1"/>
  <c r="F291" i="1"/>
  <c r="I291" i="1"/>
  <c r="J291" i="1"/>
  <c r="K291" i="1"/>
  <c r="L291" i="1"/>
  <c r="P291" i="1"/>
  <c r="S291" i="1"/>
  <c r="T291" i="1"/>
  <c r="U291" i="1"/>
  <c r="V291" i="1"/>
  <c r="H294" i="1"/>
  <c r="N294" i="1" s="1"/>
  <c r="R294" i="1"/>
  <c r="H295" i="1"/>
  <c r="R295" i="1"/>
  <c r="X295" i="1" s="1"/>
  <c r="X400" i="6" s="1"/>
  <c r="H296" i="1"/>
  <c r="N296" i="1" s="1"/>
  <c r="R296" i="1"/>
  <c r="R299" i="1" s="1"/>
  <c r="H297" i="1"/>
  <c r="N297" i="1" s="1"/>
  <c r="R297" i="1"/>
  <c r="Y297" i="1" s="1"/>
  <c r="Z297" i="1" s="1"/>
  <c r="X297" i="1"/>
  <c r="X402" i="6" s="1"/>
  <c r="D299" i="1"/>
  <c r="E299" i="1"/>
  <c r="F299" i="1"/>
  <c r="I299" i="1"/>
  <c r="J299" i="1"/>
  <c r="K299" i="1"/>
  <c r="L299" i="1"/>
  <c r="O299" i="1"/>
  <c r="P299" i="1"/>
  <c r="S299" i="1"/>
  <c r="T299" i="1"/>
  <c r="U299" i="1"/>
  <c r="V299" i="1"/>
  <c r="H302" i="1"/>
  <c r="N302" i="1" s="1"/>
  <c r="N407" i="6" s="1"/>
  <c r="O302" i="1"/>
  <c r="O310" i="1" s="1"/>
  <c r="D303" i="1"/>
  <c r="D310" i="1" s="1"/>
  <c r="E303" i="1"/>
  <c r="E409" i="6" s="1"/>
  <c r="R303" i="1"/>
  <c r="X303" i="1"/>
  <c r="X409" i="6" s="1"/>
  <c r="H304" i="1"/>
  <c r="N304" i="1" s="1"/>
  <c r="R304" i="1"/>
  <c r="D305" i="1"/>
  <c r="H305" i="1"/>
  <c r="N305" i="1" s="1"/>
  <c r="N411" i="6" s="1"/>
  <c r="O305" i="1"/>
  <c r="O411" i="6" s="1"/>
  <c r="R305" i="1"/>
  <c r="H306" i="1"/>
  <c r="N306" i="1" s="1"/>
  <c r="R306" i="1"/>
  <c r="H307" i="1"/>
  <c r="N307" i="1"/>
  <c r="R307" i="1"/>
  <c r="C308" i="1"/>
  <c r="H308" i="1"/>
  <c r="N308" i="1"/>
  <c r="R308" i="1"/>
  <c r="E310" i="1"/>
  <c r="F310" i="1"/>
  <c r="I310" i="1"/>
  <c r="J310" i="1"/>
  <c r="K310" i="1"/>
  <c r="L310" i="1"/>
  <c r="L341" i="1" s="1"/>
  <c r="L1251" i="1" s="1"/>
  <c r="P310" i="1"/>
  <c r="S310" i="1"/>
  <c r="T310" i="1"/>
  <c r="U310" i="1"/>
  <c r="V310" i="1"/>
  <c r="D312" i="1"/>
  <c r="O312" i="1"/>
  <c r="O419" i="6" s="1"/>
  <c r="H313" i="1"/>
  <c r="Y313" i="1" s="1"/>
  <c r="R313" i="1"/>
  <c r="D314" i="1"/>
  <c r="E314" i="1"/>
  <c r="R314" i="1"/>
  <c r="H315" i="1"/>
  <c r="N315" i="1" s="1"/>
  <c r="N423" i="6" s="1"/>
  <c r="R315" i="1"/>
  <c r="H316" i="1"/>
  <c r="N316" i="1" s="1"/>
  <c r="N424" i="6" s="1"/>
  <c r="R316" i="1"/>
  <c r="X316" i="1" s="1"/>
  <c r="F318" i="1"/>
  <c r="I318" i="1"/>
  <c r="J318" i="1"/>
  <c r="K318" i="1"/>
  <c r="L318" i="1"/>
  <c r="O318" i="1"/>
  <c r="P318" i="1"/>
  <c r="S318" i="1"/>
  <c r="T318" i="1"/>
  <c r="U318" i="1"/>
  <c r="V318" i="1"/>
  <c r="R320" i="1"/>
  <c r="D321" i="1"/>
  <c r="H321" i="1"/>
  <c r="N321" i="1"/>
  <c r="N432" i="6" s="1"/>
  <c r="O321" i="1"/>
  <c r="D322" i="1"/>
  <c r="E322" i="1"/>
  <c r="H322" i="1" s="1"/>
  <c r="N322" i="1" s="1"/>
  <c r="E433" i="6"/>
  <c r="R322" i="1"/>
  <c r="Y322" i="1" s="1"/>
  <c r="X322" i="1"/>
  <c r="X433" i="6" s="1"/>
  <c r="AF322" i="1"/>
  <c r="AH322" i="1"/>
  <c r="AJ322" i="1"/>
  <c r="AK322" i="1"/>
  <c r="D323" i="1"/>
  <c r="E323" i="1"/>
  <c r="R323" i="1"/>
  <c r="AD323" i="1"/>
  <c r="AE323" i="1"/>
  <c r="AF323" i="1"/>
  <c r="AH323" i="1"/>
  <c r="AJ323" i="1"/>
  <c r="AL323" i="1" s="1"/>
  <c r="AK323" i="1"/>
  <c r="H324" i="1"/>
  <c r="N324" i="1"/>
  <c r="N435" i="6" s="1"/>
  <c r="R324" i="1"/>
  <c r="AF324" i="1"/>
  <c r="AH324" i="1"/>
  <c r="AJ324" i="1"/>
  <c r="AK324" i="1"/>
  <c r="H325" i="1"/>
  <c r="N325" i="1"/>
  <c r="R325" i="1"/>
  <c r="AD325" i="1"/>
  <c r="AE325" i="1"/>
  <c r="AF325" i="1"/>
  <c r="AH325" i="1"/>
  <c r="AH341" i="1" s="1"/>
  <c r="AJ325" i="1"/>
  <c r="AL325" i="1" s="1"/>
  <c r="AK325" i="1"/>
  <c r="AM325" i="1"/>
  <c r="H326" i="1"/>
  <c r="N326" i="1" s="1"/>
  <c r="R326" i="1"/>
  <c r="X326" i="1" s="1"/>
  <c r="AD326" i="1"/>
  <c r="AF326" i="1"/>
  <c r="AH326" i="1"/>
  <c r="AJ326" i="1"/>
  <c r="AK326" i="1"/>
  <c r="H327" i="1"/>
  <c r="N327" i="1" s="1"/>
  <c r="R327" i="1"/>
  <c r="AF327" i="1"/>
  <c r="AH327" i="1"/>
  <c r="AK327" i="1"/>
  <c r="AM327" i="1"/>
  <c r="H328" i="1"/>
  <c r="N328" i="1" s="1"/>
  <c r="R328" i="1"/>
  <c r="X328" i="1" s="1"/>
  <c r="X441" i="6" s="1"/>
  <c r="AF328" i="1"/>
  <c r="AH328" i="1"/>
  <c r="AJ328" i="1"/>
  <c r="AK328" i="1"/>
  <c r="AL328" i="1"/>
  <c r="AN328" i="1" s="1"/>
  <c r="AM328" i="1"/>
  <c r="AE329" i="1"/>
  <c r="AF329" i="1"/>
  <c r="AH329" i="1"/>
  <c r="AK329" i="1"/>
  <c r="AM329" i="1"/>
  <c r="F330" i="1"/>
  <c r="I330" i="1"/>
  <c r="J330" i="1"/>
  <c r="K330" i="1"/>
  <c r="L330" i="1"/>
  <c r="P330" i="1"/>
  <c r="S330" i="1"/>
  <c r="T330" i="1"/>
  <c r="U330" i="1"/>
  <c r="V330" i="1"/>
  <c r="AD330" i="1"/>
  <c r="AE330" i="1"/>
  <c r="AF330" i="1"/>
  <c r="AH330" i="1"/>
  <c r="AJ330" i="1"/>
  <c r="AK330" i="1"/>
  <c r="AM330" i="1"/>
  <c r="AD331" i="1"/>
  <c r="AE331" i="1"/>
  <c r="AF331" i="1"/>
  <c r="AH331" i="1"/>
  <c r="AJ331" i="1"/>
  <c r="AK331" i="1"/>
  <c r="AL331" i="1"/>
  <c r="AM331" i="1"/>
  <c r="AD332" i="1"/>
  <c r="AE332" i="1"/>
  <c r="AF332" i="1"/>
  <c r="AG332" i="1" s="1"/>
  <c r="AH332" i="1"/>
  <c r="AJ332" i="1"/>
  <c r="AK332" i="1"/>
  <c r="K1186" i="1" s="1"/>
  <c r="K1556" i="6"/>
  <c r="AM332" i="1"/>
  <c r="H333" i="1"/>
  <c r="R333" i="1"/>
  <c r="AD333" i="1"/>
  <c r="AE333" i="1"/>
  <c r="AF333" i="1"/>
  <c r="AH333" i="1"/>
  <c r="AJ333" i="1"/>
  <c r="AK333" i="1"/>
  <c r="AM333" i="1"/>
  <c r="H334" i="1"/>
  <c r="N334" i="1"/>
  <c r="N447" i="6" s="1"/>
  <c r="R334" i="1"/>
  <c r="AD334" i="1"/>
  <c r="AE334" i="1"/>
  <c r="AG334" i="1" s="1"/>
  <c r="AF334" i="1"/>
  <c r="AH334" i="1"/>
  <c r="AJ334" i="1"/>
  <c r="AL334" i="1"/>
  <c r="AN334" i="1" s="1"/>
  <c r="AK334" i="1"/>
  <c r="AM334" i="1"/>
  <c r="H335" i="1"/>
  <c r="N335" i="1" s="1"/>
  <c r="R335" i="1"/>
  <c r="R339" i="1" s="1"/>
  <c r="AE335" i="1"/>
  <c r="AF335" i="1"/>
  <c r="AH335" i="1"/>
  <c r="AJ335" i="1"/>
  <c r="AK335" i="1"/>
  <c r="AL335" i="1"/>
  <c r="AM335" i="1"/>
  <c r="H336" i="1"/>
  <c r="N336" i="1" s="1"/>
  <c r="N451" i="6"/>
  <c r="R336" i="1"/>
  <c r="Y336" i="1" s="1"/>
  <c r="Z336" i="1" s="1"/>
  <c r="AD336" i="1"/>
  <c r="AE336" i="1"/>
  <c r="AF336" i="1"/>
  <c r="AH336" i="1"/>
  <c r="AJ336" i="1"/>
  <c r="AL336" i="1"/>
  <c r="AK336" i="1"/>
  <c r="AM336" i="1"/>
  <c r="H337" i="1"/>
  <c r="N337" i="1" s="1"/>
  <c r="R337" i="1"/>
  <c r="AE337" i="1"/>
  <c r="AG337" i="1" s="1"/>
  <c r="AF337" i="1"/>
  <c r="AH337" i="1"/>
  <c r="AK337" i="1"/>
  <c r="AM337" i="1"/>
  <c r="AE338" i="1"/>
  <c r="AF338" i="1"/>
  <c r="AG338" i="1" s="1"/>
  <c r="AI338" i="1" s="1"/>
  <c r="AH338" i="1"/>
  <c r="AK338" i="1"/>
  <c r="AM338" i="1"/>
  <c r="D339" i="1"/>
  <c r="E339" i="1"/>
  <c r="F339" i="1"/>
  <c r="I339" i="1"/>
  <c r="J339" i="1"/>
  <c r="K339" i="1"/>
  <c r="L339" i="1"/>
  <c r="O339" i="1"/>
  <c r="P339" i="1"/>
  <c r="S339" i="1"/>
  <c r="T339" i="1"/>
  <c r="U339" i="1"/>
  <c r="V339" i="1"/>
  <c r="AD339" i="1"/>
  <c r="AE339" i="1"/>
  <c r="AG339" i="1" s="1"/>
  <c r="AF339" i="1"/>
  <c r="AH339" i="1"/>
  <c r="AJ339" i="1"/>
  <c r="AK339" i="1"/>
  <c r="AM339" i="1"/>
  <c r="AD340" i="1"/>
  <c r="AE340" i="1"/>
  <c r="AG340" i="1"/>
  <c r="AF340" i="1"/>
  <c r="AH340" i="1"/>
  <c r="AJ340" i="1"/>
  <c r="AK340" i="1"/>
  <c r="AM340" i="1"/>
  <c r="H346" i="1"/>
  <c r="N346" i="1" s="1"/>
  <c r="N461" i="6"/>
  <c r="R346" i="1"/>
  <c r="H347" i="1"/>
  <c r="N347" i="1" s="1"/>
  <c r="N463" i="6" s="1"/>
  <c r="R347" i="1"/>
  <c r="D348" i="1"/>
  <c r="H348" i="1"/>
  <c r="N348" i="1" s="1"/>
  <c r="O348" i="1"/>
  <c r="H349" i="1"/>
  <c r="R349" i="1"/>
  <c r="H350" i="1"/>
  <c r="R350" i="1"/>
  <c r="X350" i="1"/>
  <c r="X470" i="6" s="1"/>
  <c r="H351" i="1"/>
  <c r="N351" i="1" s="1"/>
  <c r="R351" i="1"/>
  <c r="X351" i="1" s="1"/>
  <c r="X472" i="6" s="1"/>
  <c r="H352" i="1"/>
  <c r="N352" i="1" s="1"/>
  <c r="R352" i="1"/>
  <c r="E354" i="1"/>
  <c r="F354" i="1"/>
  <c r="I354" i="1"/>
  <c r="J354" i="1"/>
  <c r="K354" i="1"/>
  <c r="L354" i="1"/>
  <c r="O354" i="1"/>
  <c r="P354" i="1"/>
  <c r="S354" i="1"/>
  <c r="T354" i="1"/>
  <c r="U354" i="1"/>
  <c r="V354" i="1"/>
  <c r="B355" i="1"/>
  <c r="D356" i="1"/>
  <c r="O356" i="1"/>
  <c r="O477" i="6" s="1"/>
  <c r="H357" i="1"/>
  <c r="R357" i="1"/>
  <c r="X357" i="1" s="1"/>
  <c r="X478" i="6" s="1"/>
  <c r="Y357" i="1"/>
  <c r="H358" i="1"/>
  <c r="N358" i="1" s="1"/>
  <c r="R358" i="1"/>
  <c r="X358" i="1"/>
  <c r="X479" i="6" s="1"/>
  <c r="Y358" i="1"/>
  <c r="Z358" i="1" s="1"/>
  <c r="D359" i="1"/>
  <c r="H359" i="1"/>
  <c r="N359" i="1" s="1"/>
  <c r="N483" i="6" s="1"/>
  <c r="O359" i="1"/>
  <c r="O363" i="1" s="1"/>
  <c r="H360" i="1"/>
  <c r="N360" i="1" s="1"/>
  <c r="O360" i="1"/>
  <c r="H361" i="1"/>
  <c r="N361" i="1" s="1"/>
  <c r="R361" i="1"/>
  <c r="D363" i="1"/>
  <c r="E363" i="1"/>
  <c r="F363" i="1"/>
  <c r="I363" i="1"/>
  <c r="J363" i="1"/>
  <c r="K363" i="1"/>
  <c r="L363" i="1"/>
  <c r="P363" i="1"/>
  <c r="S363" i="1"/>
  <c r="T363" i="1"/>
  <c r="U363" i="1"/>
  <c r="V363" i="1"/>
  <c r="B364" i="1"/>
  <c r="D365" i="1"/>
  <c r="O365" i="1"/>
  <c r="O489" i="6" s="1"/>
  <c r="H366" i="1"/>
  <c r="N366" i="1" s="1"/>
  <c r="R366" i="1"/>
  <c r="Y366" i="1" s="1"/>
  <c r="H367" i="1"/>
  <c r="N367" i="1" s="1"/>
  <c r="R367" i="1"/>
  <c r="H368" i="1"/>
  <c r="O368" i="1"/>
  <c r="O498" i="6" s="1"/>
  <c r="H369" i="1"/>
  <c r="N369" i="1"/>
  <c r="N499" i="6" s="1"/>
  <c r="R369" i="1"/>
  <c r="H370" i="1"/>
  <c r="N370" i="1" s="1"/>
  <c r="N500" i="6" s="1"/>
  <c r="R370" i="1"/>
  <c r="Y370" i="1"/>
  <c r="D372" i="1"/>
  <c r="E372" i="1"/>
  <c r="F372" i="1"/>
  <c r="I372" i="1"/>
  <c r="J372" i="1"/>
  <c r="K372" i="1"/>
  <c r="L372" i="1"/>
  <c r="O372" i="1"/>
  <c r="P372" i="1"/>
  <c r="S372" i="1"/>
  <c r="T372" i="1"/>
  <c r="U372" i="1"/>
  <c r="V372" i="1"/>
  <c r="H375" i="1"/>
  <c r="N375" i="1" s="1"/>
  <c r="R375" i="1"/>
  <c r="H376" i="1"/>
  <c r="N376" i="1" s="1"/>
  <c r="R376" i="1"/>
  <c r="H377" i="1"/>
  <c r="N377" i="1" s="1"/>
  <c r="R377" i="1"/>
  <c r="H378" i="1"/>
  <c r="N378" i="1" s="1"/>
  <c r="R378" i="1"/>
  <c r="H379" i="1"/>
  <c r="N379" i="1" s="1"/>
  <c r="O379" i="1"/>
  <c r="D381" i="1"/>
  <c r="E381" i="1"/>
  <c r="F381" i="1"/>
  <c r="I381" i="1"/>
  <c r="J381" i="1"/>
  <c r="K381" i="1"/>
  <c r="L381" i="1"/>
  <c r="O381" i="1"/>
  <c r="P381" i="1"/>
  <c r="S381" i="1"/>
  <c r="T381" i="1"/>
  <c r="U381" i="1"/>
  <c r="V381" i="1"/>
  <c r="H383" i="1"/>
  <c r="N383" i="1" s="1"/>
  <c r="AA383" i="1" s="1"/>
  <c r="R383" i="1"/>
  <c r="X383" i="1" s="1"/>
  <c r="D384" i="1"/>
  <c r="E384" i="1"/>
  <c r="R384" i="1"/>
  <c r="X384" i="1" s="1"/>
  <c r="H385" i="1"/>
  <c r="N385" i="1"/>
  <c r="R385" i="1"/>
  <c r="H386" i="1"/>
  <c r="N386" i="1" s="1"/>
  <c r="R386" i="1"/>
  <c r="D387" i="1"/>
  <c r="H387" i="1"/>
  <c r="N387" i="1" s="1"/>
  <c r="R387" i="1"/>
  <c r="H388" i="1"/>
  <c r="R388" i="1"/>
  <c r="X388" i="1" s="1"/>
  <c r="X526" i="6" s="1"/>
  <c r="D390" i="1"/>
  <c r="F390" i="1"/>
  <c r="I390" i="1"/>
  <c r="J390" i="1"/>
  <c r="K390" i="1"/>
  <c r="L390" i="1"/>
  <c r="O390" i="1"/>
  <c r="P390" i="1"/>
  <c r="S390" i="1"/>
  <c r="T390" i="1"/>
  <c r="U390" i="1"/>
  <c r="V390" i="1"/>
  <c r="E393" i="1"/>
  <c r="H393" i="1" s="1"/>
  <c r="R393" i="1"/>
  <c r="H394" i="1"/>
  <c r="N394" i="1"/>
  <c r="R394" i="1"/>
  <c r="H395" i="1"/>
  <c r="N395" i="1" s="1"/>
  <c r="R395" i="1"/>
  <c r="H396" i="1"/>
  <c r="N396" i="1" s="1"/>
  <c r="R396" i="1"/>
  <c r="D397" i="1"/>
  <c r="H397" i="1"/>
  <c r="N397" i="1" s="1"/>
  <c r="O397" i="1"/>
  <c r="O540" i="6" s="1"/>
  <c r="R397" i="1"/>
  <c r="D398" i="1"/>
  <c r="H398" i="1"/>
  <c r="N398" i="1"/>
  <c r="N541" i="6" s="1"/>
  <c r="R398" i="1"/>
  <c r="Y398" i="1" s="1"/>
  <c r="F400" i="1"/>
  <c r="I400" i="1"/>
  <c r="J400" i="1"/>
  <c r="K400" i="1"/>
  <c r="L400" i="1"/>
  <c r="P400" i="1"/>
  <c r="S400" i="1"/>
  <c r="T400" i="1"/>
  <c r="U400" i="1"/>
  <c r="V400" i="1"/>
  <c r="H403" i="1"/>
  <c r="N403" i="1" s="1"/>
  <c r="N548" i="6" s="1"/>
  <c r="R403" i="1"/>
  <c r="H404" i="1"/>
  <c r="N404" i="1" s="1"/>
  <c r="R404" i="1"/>
  <c r="H405" i="1"/>
  <c r="N405" i="1" s="1"/>
  <c r="R405" i="1"/>
  <c r="D407" i="1"/>
  <c r="E407" i="1"/>
  <c r="F407" i="1"/>
  <c r="I407" i="1"/>
  <c r="J407" i="1"/>
  <c r="K407" i="1"/>
  <c r="L407" i="1"/>
  <c r="O407" i="1"/>
  <c r="P407" i="1"/>
  <c r="S407" i="1"/>
  <c r="T407" i="1"/>
  <c r="U407" i="1"/>
  <c r="V407" i="1"/>
  <c r="H410" i="1"/>
  <c r="N410" i="1" s="1"/>
  <c r="N555" i="6" s="1"/>
  <c r="R410" i="1"/>
  <c r="H411" i="1"/>
  <c r="N411" i="1" s="1"/>
  <c r="N556" i="6" s="1"/>
  <c r="R411" i="1"/>
  <c r="X411" i="1"/>
  <c r="X556" i="6" s="1"/>
  <c r="Y411" i="1"/>
  <c r="Z411" i="1" s="1"/>
  <c r="H412" i="1"/>
  <c r="N412" i="1"/>
  <c r="R412" i="1"/>
  <c r="C413" i="1"/>
  <c r="H413" i="1"/>
  <c r="R413" i="1"/>
  <c r="X413" i="1" s="1"/>
  <c r="X562" i="6" s="1"/>
  <c r="D415" i="1"/>
  <c r="E415" i="1"/>
  <c r="F415" i="1"/>
  <c r="I415" i="1"/>
  <c r="J415" i="1"/>
  <c r="K415" i="1"/>
  <c r="L415" i="1"/>
  <c r="O415" i="1"/>
  <c r="P415" i="1"/>
  <c r="S415" i="1"/>
  <c r="T415" i="1"/>
  <c r="U415" i="1"/>
  <c r="V415" i="1"/>
  <c r="E418" i="1"/>
  <c r="R418" i="1"/>
  <c r="H419" i="1"/>
  <c r="N419" i="1" s="1"/>
  <c r="R419" i="1"/>
  <c r="H420" i="1"/>
  <c r="N420" i="1" s="1"/>
  <c r="R420" i="1"/>
  <c r="H421" i="1"/>
  <c r="N421" i="1"/>
  <c r="R421" i="1"/>
  <c r="H422" i="1"/>
  <c r="N422" i="1" s="1"/>
  <c r="R422" i="1"/>
  <c r="H423" i="1"/>
  <c r="N423" i="1" s="1"/>
  <c r="R423" i="1"/>
  <c r="D425" i="1"/>
  <c r="E425" i="1"/>
  <c r="F425" i="1"/>
  <c r="I425" i="1"/>
  <c r="J425" i="1"/>
  <c r="K425" i="1"/>
  <c r="K454" i="1" s="1"/>
  <c r="K1253" i="1" s="1"/>
  <c r="L425" i="1"/>
  <c r="O425" i="1"/>
  <c r="P425" i="1"/>
  <c r="S425" i="1"/>
  <c r="T425" i="1"/>
  <c r="U425" i="1"/>
  <c r="V425" i="1"/>
  <c r="H428" i="1"/>
  <c r="R428" i="1"/>
  <c r="X428" i="1" s="1"/>
  <c r="X581" i="6" s="1"/>
  <c r="H429" i="1"/>
  <c r="N429" i="1" s="1"/>
  <c r="R429" i="1"/>
  <c r="D431" i="1"/>
  <c r="E431" i="1"/>
  <c r="F431" i="1"/>
  <c r="I431" i="1"/>
  <c r="J431" i="1"/>
  <c r="K431" i="1"/>
  <c r="L431" i="1"/>
  <c r="O431" i="1"/>
  <c r="P431" i="1"/>
  <c r="S431" i="1"/>
  <c r="T431" i="1"/>
  <c r="U431" i="1"/>
  <c r="V431" i="1"/>
  <c r="H434" i="1"/>
  <c r="R434" i="1"/>
  <c r="H435" i="1"/>
  <c r="N435" i="1" s="1"/>
  <c r="R435" i="1"/>
  <c r="Y435" i="1" s="1"/>
  <c r="Z435" i="1" s="1"/>
  <c r="H436" i="1"/>
  <c r="N436" i="1" s="1"/>
  <c r="R436" i="1"/>
  <c r="X436" i="1" s="1"/>
  <c r="D438" i="1"/>
  <c r="E438" i="1"/>
  <c r="F438" i="1"/>
  <c r="I438" i="1"/>
  <c r="J438" i="1"/>
  <c r="K438" i="1"/>
  <c r="L438" i="1"/>
  <c r="O438" i="1"/>
  <c r="P438" i="1"/>
  <c r="S438" i="1"/>
  <c r="T438" i="1"/>
  <c r="U438" i="1"/>
  <c r="V438" i="1"/>
  <c r="AD439" i="1"/>
  <c r="AE439" i="1"/>
  <c r="AF439" i="1"/>
  <c r="AH439" i="1"/>
  <c r="AJ439" i="1"/>
  <c r="AK439" i="1"/>
  <c r="AM439" i="1"/>
  <c r="AD440" i="1"/>
  <c r="AE440" i="1"/>
  <c r="AF440" i="1"/>
  <c r="AH440" i="1"/>
  <c r="AJ440" i="1"/>
  <c r="AK440" i="1"/>
  <c r="AM440" i="1"/>
  <c r="H441" i="1"/>
  <c r="N441" i="1" s="1"/>
  <c r="N602" i="6" s="1"/>
  <c r="R441" i="1"/>
  <c r="AF441" i="1"/>
  <c r="AH441" i="1"/>
  <c r="AJ441" i="1"/>
  <c r="AL441" i="1" s="1"/>
  <c r="AK441" i="1"/>
  <c r="AM441" i="1"/>
  <c r="H442" i="1"/>
  <c r="R442" i="1"/>
  <c r="X442" i="1" s="1"/>
  <c r="X603" i="6" s="1"/>
  <c r="AD442" i="1"/>
  <c r="AE442" i="1"/>
  <c r="AG442" i="1" s="1"/>
  <c r="AF442" i="1"/>
  <c r="AH442" i="1"/>
  <c r="AJ442" i="1"/>
  <c r="AK442" i="1"/>
  <c r="AM442" i="1"/>
  <c r="H443" i="1"/>
  <c r="N443" i="1"/>
  <c r="N604" i="6" s="1"/>
  <c r="R443" i="1"/>
  <c r="Y443" i="1" s="1"/>
  <c r="Z443" i="1" s="1"/>
  <c r="AE443" i="1"/>
  <c r="AG443" i="1" s="1"/>
  <c r="AF443" i="1"/>
  <c r="AH443" i="1"/>
  <c r="AK443" i="1"/>
  <c r="AM443" i="1"/>
  <c r="H444" i="1"/>
  <c r="N444" i="1" s="1"/>
  <c r="R444" i="1"/>
  <c r="AD444" i="1"/>
  <c r="AE444" i="1"/>
  <c r="AF444" i="1"/>
  <c r="AH444" i="1"/>
  <c r="AJ444" i="1"/>
  <c r="AL444" i="1" s="1"/>
  <c r="AN444" i="1" s="1"/>
  <c r="AK444" i="1"/>
  <c r="AM444" i="1"/>
  <c r="H445" i="1"/>
  <c r="N445" i="1" s="1"/>
  <c r="R445" i="1"/>
  <c r="AD445" i="1"/>
  <c r="AE445" i="1"/>
  <c r="AG445" i="1" s="1"/>
  <c r="AF445" i="1"/>
  <c r="AH445" i="1"/>
  <c r="AJ445" i="1"/>
  <c r="AK445" i="1"/>
  <c r="AM445" i="1"/>
  <c r="AD446" i="1"/>
  <c r="AE446" i="1"/>
  <c r="AF446" i="1"/>
  <c r="AH446" i="1"/>
  <c r="AJ446" i="1"/>
  <c r="AK446" i="1"/>
  <c r="AL446" i="1"/>
  <c r="AM446" i="1"/>
  <c r="D447" i="1"/>
  <c r="E447" i="1"/>
  <c r="F447" i="1"/>
  <c r="I447" i="1"/>
  <c r="J447" i="1"/>
  <c r="K447" i="1"/>
  <c r="L447" i="1"/>
  <c r="O447" i="1"/>
  <c r="P447" i="1"/>
  <c r="S447" i="1"/>
  <c r="T447" i="1"/>
  <c r="U447" i="1"/>
  <c r="V447" i="1"/>
  <c r="AD447" i="1"/>
  <c r="AE447" i="1"/>
  <c r="AF447" i="1"/>
  <c r="AH447" i="1"/>
  <c r="AJ447" i="1"/>
  <c r="AL447" i="1"/>
  <c r="AK447" i="1"/>
  <c r="AM447" i="1"/>
  <c r="AD448" i="1"/>
  <c r="AE448" i="1"/>
  <c r="AF448" i="1"/>
  <c r="AH448" i="1"/>
  <c r="AJ448" i="1"/>
  <c r="AL448" i="1" s="1"/>
  <c r="AK448" i="1"/>
  <c r="AM448" i="1"/>
  <c r="H449" i="1"/>
  <c r="N449" i="1" s="1"/>
  <c r="R449" i="1"/>
  <c r="R452" i="1" s="1"/>
  <c r="AD449" i="1"/>
  <c r="AE449" i="1"/>
  <c r="AF449" i="1"/>
  <c r="AH449" i="1"/>
  <c r="AJ449" i="1"/>
  <c r="AL449" i="1"/>
  <c r="AN449" i="1" s="1"/>
  <c r="AK449" i="1"/>
  <c r="AM449" i="1"/>
  <c r="D450" i="1"/>
  <c r="Y450" i="1"/>
  <c r="AA450" i="1"/>
  <c r="AA615" i="6" s="1"/>
  <c r="AF450" i="1"/>
  <c r="AH450" i="1"/>
  <c r="AK450" i="1"/>
  <c r="AM450" i="1"/>
  <c r="AD451" i="1"/>
  <c r="AE451" i="1"/>
  <c r="AG451" i="1"/>
  <c r="AF451" i="1"/>
  <c r="AH451" i="1"/>
  <c r="AJ451" i="1"/>
  <c r="AK451" i="1"/>
  <c r="AL451" i="1" s="1"/>
  <c r="AN451" i="1" s="1"/>
  <c r="AM451" i="1"/>
  <c r="E452" i="1"/>
  <c r="F452" i="1"/>
  <c r="H452" i="1"/>
  <c r="I452" i="1"/>
  <c r="J452" i="1"/>
  <c r="K452" i="1"/>
  <c r="L452" i="1"/>
  <c r="O452" i="1"/>
  <c r="P452" i="1"/>
  <c r="S452" i="1"/>
  <c r="T452" i="1"/>
  <c r="U452" i="1"/>
  <c r="V452" i="1"/>
  <c r="AE453" i="1"/>
  <c r="AF453" i="1"/>
  <c r="AK453" i="1"/>
  <c r="AM453" i="1"/>
  <c r="H460" i="1"/>
  <c r="N460" i="1"/>
  <c r="O460" i="1"/>
  <c r="H461" i="1"/>
  <c r="R461" i="1"/>
  <c r="X461" i="1" s="1"/>
  <c r="X626" i="6" s="1"/>
  <c r="H462" i="1"/>
  <c r="N462" i="1" s="1"/>
  <c r="R462" i="1"/>
  <c r="D464" i="1"/>
  <c r="E464" i="1"/>
  <c r="F464" i="1"/>
  <c r="I464" i="1"/>
  <c r="J464" i="1"/>
  <c r="K464" i="1"/>
  <c r="L464" i="1"/>
  <c r="O464" i="1"/>
  <c r="P464" i="1"/>
  <c r="S464" i="1"/>
  <c r="T464" i="1"/>
  <c r="U464" i="1"/>
  <c r="V464" i="1"/>
  <c r="D467" i="1"/>
  <c r="H467" i="1"/>
  <c r="N467" i="1" s="1"/>
  <c r="O467" i="1"/>
  <c r="S467" i="1"/>
  <c r="S470" i="1" s="1"/>
  <c r="T467" i="1"/>
  <c r="T470" i="1" s="1"/>
  <c r="H468" i="1"/>
  <c r="N468" i="1" s="1"/>
  <c r="N470" i="1" s="1"/>
  <c r="R468" i="1"/>
  <c r="D470" i="1"/>
  <c r="E470" i="1"/>
  <c r="F470" i="1"/>
  <c r="I470" i="1"/>
  <c r="J470" i="1"/>
  <c r="K470" i="1"/>
  <c r="L470" i="1"/>
  <c r="P470" i="1"/>
  <c r="U470" i="1"/>
  <c r="V470" i="1"/>
  <c r="B471" i="1"/>
  <c r="H473" i="1"/>
  <c r="R473" i="1"/>
  <c r="X473" i="1"/>
  <c r="H474" i="1"/>
  <c r="Y474" i="1"/>
  <c r="R474" i="1"/>
  <c r="X474" i="1" s="1"/>
  <c r="D476" i="1"/>
  <c r="E476" i="1"/>
  <c r="F476" i="1"/>
  <c r="I476" i="1"/>
  <c r="J476" i="1"/>
  <c r="K476" i="1"/>
  <c r="L476" i="1"/>
  <c r="O476" i="1"/>
  <c r="P476" i="1"/>
  <c r="R476" i="1"/>
  <c r="S476" i="1"/>
  <c r="T476" i="1"/>
  <c r="U476" i="1"/>
  <c r="V476" i="1"/>
  <c r="D479" i="1"/>
  <c r="D487" i="1" s="1"/>
  <c r="H479" i="1"/>
  <c r="N479" i="1" s="1"/>
  <c r="N636" i="6" s="1"/>
  <c r="O479" i="1"/>
  <c r="H480" i="1"/>
  <c r="N480" i="1" s="1"/>
  <c r="R480" i="1"/>
  <c r="H481" i="1"/>
  <c r="R481" i="1"/>
  <c r="D482" i="1"/>
  <c r="H482" i="1"/>
  <c r="N482" i="1" s="1"/>
  <c r="O482" i="1"/>
  <c r="O639" i="6" s="1"/>
  <c r="H483" i="1"/>
  <c r="N483" i="1" s="1"/>
  <c r="R483" i="1"/>
  <c r="X483" i="1" s="1"/>
  <c r="Y483" i="1"/>
  <c r="Z483" i="1" s="1"/>
  <c r="H484" i="1"/>
  <c r="N484" i="1" s="1"/>
  <c r="R484" i="1"/>
  <c r="X484" i="1" s="1"/>
  <c r="X645" i="6" s="1"/>
  <c r="H485" i="1"/>
  <c r="R485" i="1"/>
  <c r="X485" i="1" s="1"/>
  <c r="X646" i="6" s="1"/>
  <c r="E487" i="1"/>
  <c r="F487" i="1"/>
  <c r="I487" i="1"/>
  <c r="J487" i="1"/>
  <c r="K487" i="1"/>
  <c r="L487" i="1"/>
  <c r="P487" i="1"/>
  <c r="S487" i="1"/>
  <c r="T487" i="1"/>
  <c r="U487" i="1"/>
  <c r="V487" i="1"/>
  <c r="D491" i="1"/>
  <c r="E491" i="1"/>
  <c r="O491" i="1"/>
  <c r="O651" i="6" s="1"/>
  <c r="H492" i="1"/>
  <c r="R492" i="1"/>
  <c r="X492" i="1" s="1"/>
  <c r="X652" i="6" s="1"/>
  <c r="H493" i="1"/>
  <c r="N493" i="1" s="1"/>
  <c r="R493" i="1"/>
  <c r="H494" i="1"/>
  <c r="N494" i="1" s="1"/>
  <c r="R494" i="1"/>
  <c r="X494" i="1" s="1"/>
  <c r="X656" i="6" s="1"/>
  <c r="AB494" i="1"/>
  <c r="AB656" i="6" s="1"/>
  <c r="D495" i="1"/>
  <c r="AD564" i="1" s="1"/>
  <c r="H495" i="1"/>
  <c r="N495" i="1" s="1"/>
  <c r="N657" i="6" s="1"/>
  <c r="O495" i="1"/>
  <c r="H496" i="1"/>
  <c r="N496" i="1" s="1"/>
  <c r="R496" i="1"/>
  <c r="F498" i="1"/>
  <c r="I498" i="1"/>
  <c r="J498" i="1"/>
  <c r="K498" i="1"/>
  <c r="L498" i="1"/>
  <c r="P498" i="1"/>
  <c r="S498" i="1"/>
  <c r="T498" i="1"/>
  <c r="U498" i="1"/>
  <c r="V498" i="1"/>
  <c r="D501" i="1"/>
  <c r="E501" i="1"/>
  <c r="O501" i="1"/>
  <c r="R501" i="1" s="1"/>
  <c r="O663" i="6"/>
  <c r="T501" i="1"/>
  <c r="T663" i="6" s="1"/>
  <c r="D502" i="1"/>
  <c r="E502" i="1"/>
  <c r="R502" i="1"/>
  <c r="X502" i="1" s="1"/>
  <c r="X664" i="6" s="1"/>
  <c r="H503" i="1"/>
  <c r="N503" i="1" s="1"/>
  <c r="N665" i="6" s="1"/>
  <c r="R503" i="1"/>
  <c r="H504" i="1"/>
  <c r="N504" i="1" s="1"/>
  <c r="N668" i="6" s="1"/>
  <c r="R504" i="1"/>
  <c r="X504" i="1" s="1"/>
  <c r="D505" i="1"/>
  <c r="H505" i="1"/>
  <c r="N505" i="1"/>
  <c r="O505" i="1"/>
  <c r="H506" i="1"/>
  <c r="N506" i="1" s="1"/>
  <c r="R506" i="1"/>
  <c r="X506" i="1" s="1"/>
  <c r="X670" i="6" s="1"/>
  <c r="F508" i="1"/>
  <c r="I508" i="1"/>
  <c r="J508" i="1"/>
  <c r="K508" i="1"/>
  <c r="L508" i="1"/>
  <c r="P508" i="1"/>
  <c r="S508" i="1"/>
  <c r="U508" i="1"/>
  <c r="V508" i="1"/>
  <c r="E513" i="1"/>
  <c r="R513" i="1"/>
  <c r="D514" i="1"/>
  <c r="D521" i="1" s="1"/>
  <c r="E514" i="1"/>
  <c r="X514" i="1"/>
  <c r="X677" i="6" s="1"/>
  <c r="H515" i="1"/>
  <c r="Y515" i="1" s="1"/>
  <c r="Z515" i="1"/>
  <c r="Z679" i="6" s="1"/>
  <c r="N515" i="1"/>
  <c r="AB515" i="1" s="1"/>
  <c r="X515" i="1"/>
  <c r="X679" i="6" s="1"/>
  <c r="H516" i="1"/>
  <c r="Y516" i="1" s="1"/>
  <c r="N516" i="1"/>
  <c r="X516" i="1"/>
  <c r="D517" i="1"/>
  <c r="E517" i="1"/>
  <c r="E682" i="6" s="1"/>
  <c r="H517" i="1"/>
  <c r="N517" i="1" s="1"/>
  <c r="R517" i="1"/>
  <c r="D518" i="1"/>
  <c r="H518" i="1"/>
  <c r="N518" i="1" s="1"/>
  <c r="R518" i="1"/>
  <c r="X518" i="1" s="1"/>
  <c r="X683" i="6" s="1"/>
  <c r="Y518" i="1"/>
  <c r="Y683" i="6" s="1"/>
  <c r="H519" i="1"/>
  <c r="N519" i="1" s="1"/>
  <c r="R519" i="1"/>
  <c r="F521" i="1"/>
  <c r="I521" i="1"/>
  <c r="J521" i="1"/>
  <c r="K521" i="1"/>
  <c r="L521" i="1"/>
  <c r="O521" i="1"/>
  <c r="P521" i="1"/>
  <c r="S521" i="1"/>
  <c r="T521" i="1"/>
  <c r="U521" i="1"/>
  <c r="V521" i="1"/>
  <c r="H524" i="1"/>
  <c r="N524" i="1"/>
  <c r="O524" i="1"/>
  <c r="S524" i="1"/>
  <c r="D525" i="1"/>
  <c r="E525" i="1"/>
  <c r="H525" i="1" s="1"/>
  <c r="L525" i="1"/>
  <c r="AH563" i="1" s="1"/>
  <c r="R525" i="1"/>
  <c r="H526" i="1"/>
  <c r="N526" i="1" s="1"/>
  <c r="N694" i="6" s="1"/>
  <c r="R526" i="1"/>
  <c r="Y526" i="1"/>
  <c r="Z526" i="1" s="1"/>
  <c r="H527" i="1"/>
  <c r="N527" i="1" s="1"/>
  <c r="L527" i="1"/>
  <c r="L696" i="6"/>
  <c r="O527" i="1"/>
  <c r="H528" i="1"/>
  <c r="N528" i="1" s="1"/>
  <c r="L528" i="1"/>
  <c r="L697" i="6" s="1"/>
  <c r="R528" i="1"/>
  <c r="X528" i="1" s="1"/>
  <c r="X697" i="6" s="1"/>
  <c r="Y528" i="1"/>
  <c r="Z528" i="1" s="1"/>
  <c r="D530" i="1"/>
  <c r="F530" i="1"/>
  <c r="I530" i="1"/>
  <c r="J530" i="1"/>
  <c r="K530" i="1"/>
  <c r="P530" i="1"/>
  <c r="T530" i="1"/>
  <c r="U530" i="1"/>
  <c r="U576" i="1" s="1"/>
  <c r="U1255" i="1" s="1"/>
  <c r="V530" i="1"/>
  <c r="E533" i="1"/>
  <c r="E702" i="6" s="1"/>
  <c r="H533" i="1"/>
  <c r="N533" i="1"/>
  <c r="O533" i="1"/>
  <c r="H534" i="1"/>
  <c r="R534" i="1"/>
  <c r="H535" i="1"/>
  <c r="R535" i="1"/>
  <c r="X535" i="1"/>
  <c r="X704" i="6" s="1"/>
  <c r="D536" i="1"/>
  <c r="H536" i="1"/>
  <c r="N536" i="1"/>
  <c r="N705" i="6" s="1"/>
  <c r="O536" i="1"/>
  <c r="D537" i="1"/>
  <c r="H537" i="1"/>
  <c r="N537" i="1" s="1"/>
  <c r="R537" i="1"/>
  <c r="E539" i="1"/>
  <c r="F539" i="1"/>
  <c r="I539" i="1"/>
  <c r="J539" i="1"/>
  <c r="K539" i="1"/>
  <c r="L539" i="1"/>
  <c r="P539" i="1"/>
  <c r="S539" i="1"/>
  <c r="T539" i="1"/>
  <c r="U539" i="1"/>
  <c r="V539" i="1"/>
  <c r="H542" i="1"/>
  <c r="R542" i="1"/>
  <c r="H543" i="1"/>
  <c r="N543" i="1" s="1"/>
  <c r="R543" i="1"/>
  <c r="D544" i="1"/>
  <c r="H544" i="1"/>
  <c r="N544" i="1" s="1"/>
  <c r="N713" i="6" s="1"/>
  <c r="O544" i="1"/>
  <c r="O713" i="6" s="1"/>
  <c r="R544" i="1"/>
  <c r="X544" i="1" s="1"/>
  <c r="H545" i="1"/>
  <c r="N545" i="1" s="1"/>
  <c r="N717" i="6" s="1"/>
  <c r="R545" i="1"/>
  <c r="Y545" i="1" s="1"/>
  <c r="Z545" i="1" s="1"/>
  <c r="D546" i="1"/>
  <c r="D718" i="6" s="1"/>
  <c r="AF755" i="6" s="1"/>
  <c r="H546" i="1"/>
  <c r="N546" i="1"/>
  <c r="O546" i="1"/>
  <c r="E548" i="1"/>
  <c r="F548" i="1"/>
  <c r="I548" i="1"/>
  <c r="J548" i="1"/>
  <c r="K548" i="1"/>
  <c r="L548" i="1"/>
  <c r="P548" i="1"/>
  <c r="S548" i="1"/>
  <c r="T548" i="1"/>
  <c r="U548" i="1"/>
  <c r="V548" i="1"/>
  <c r="H551" i="1"/>
  <c r="O551" i="1"/>
  <c r="H552" i="1"/>
  <c r="N552" i="1" s="1"/>
  <c r="N726" i="6" s="1"/>
  <c r="R552" i="1"/>
  <c r="H553" i="1"/>
  <c r="R553" i="1"/>
  <c r="D555" i="1"/>
  <c r="E555" i="1"/>
  <c r="F555" i="1"/>
  <c r="I555" i="1"/>
  <c r="J555" i="1"/>
  <c r="K555" i="1"/>
  <c r="L555" i="1"/>
  <c r="P555" i="1"/>
  <c r="S555" i="1"/>
  <c r="T555" i="1"/>
  <c r="U555" i="1"/>
  <c r="V555" i="1"/>
  <c r="D558" i="1"/>
  <c r="H558" i="1"/>
  <c r="O558" i="1"/>
  <c r="R558" i="1"/>
  <c r="X558" i="1" s="1"/>
  <c r="AD558" i="1"/>
  <c r="AE558" i="1"/>
  <c r="AF558" i="1"/>
  <c r="AH558" i="1"/>
  <c r="AJ558" i="1"/>
  <c r="AK558" i="1"/>
  <c r="AM558" i="1"/>
  <c r="AP558" i="1"/>
  <c r="H559" i="1"/>
  <c r="N559" i="1" s="1"/>
  <c r="R559" i="1"/>
  <c r="AF559" i="1"/>
  <c r="AH559" i="1"/>
  <c r="AJ559" i="1"/>
  <c r="AK559" i="1"/>
  <c r="AM559" i="1"/>
  <c r="AP559" i="1"/>
  <c r="H560" i="1"/>
  <c r="N560" i="1" s="1"/>
  <c r="R560" i="1"/>
  <c r="AD560" i="1"/>
  <c r="AE560" i="1"/>
  <c r="AF560" i="1"/>
  <c r="AH560" i="1"/>
  <c r="AJ560" i="1"/>
  <c r="AL560" i="1" s="1"/>
  <c r="AK560" i="1"/>
  <c r="AM560" i="1"/>
  <c r="AP560" i="1"/>
  <c r="H561" i="1"/>
  <c r="N561" i="1" s="1"/>
  <c r="R561" i="1"/>
  <c r="AD561" i="1"/>
  <c r="AE561" i="1"/>
  <c r="AF561" i="1"/>
  <c r="AH561" i="1"/>
  <c r="AJ561" i="1"/>
  <c r="AL561" i="1" s="1"/>
  <c r="AK561" i="1"/>
  <c r="AM561" i="1"/>
  <c r="D562" i="1"/>
  <c r="H562" i="1"/>
  <c r="N562" i="1" s="1"/>
  <c r="N741" i="6" s="1"/>
  <c r="O562" i="1"/>
  <c r="O741" i="6" s="1"/>
  <c r="AF562" i="1"/>
  <c r="AH562" i="1"/>
  <c r="AK562" i="1"/>
  <c r="AM562" i="1"/>
  <c r="D563" i="1"/>
  <c r="H563" i="1"/>
  <c r="N563" i="1" s="1"/>
  <c r="N742" i="6" s="1"/>
  <c r="O563" i="1"/>
  <c r="O742" i="6" s="1"/>
  <c r="AF563" i="1"/>
  <c r="AJ563" i="1"/>
  <c r="AL563" i="1" s="1"/>
  <c r="AK563" i="1"/>
  <c r="AM563" i="1"/>
  <c r="AE564" i="1"/>
  <c r="AF564" i="1"/>
  <c r="AG564" i="1" s="1"/>
  <c r="AH564" i="1"/>
  <c r="AK564" i="1"/>
  <c r="AM564" i="1"/>
  <c r="E565" i="1"/>
  <c r="F565" i="1"/>
  <c r="I565" i="1"/>
  <c r="J565" i="1"/>
  <c r="K565" i="1"/>
  <c r="L565" i="1"/>
  <c r="P565" i="1"/>
  <c r="S565" i="1"/>
  <c r="T565" i="1"/>
  <c r="U565" i="1"/>
  <c r="V565" i="1"/>
  <c r="AD565" i="1"/>
  <c r="AE565" i="1"/>
  <c r="AF565" i="1"/>
  <c r="AJ565" i="1"/>
  <c r="AK565" i="1"/>
  <c r="AL565" i="1"/>
  <c r="AM565" i="1"/>
  <c r="AD566" i="1"/>
  <c r="AE566" i="1"/>
  <c r="AF566" i="1"/>
  <c r="AG566" i="1" s="1"/>
  <c r="AI566" i="1" s="1"/>
  <c r="AH566" i="1"/>
  <c r="AJ566" i="1"/>
  <c r="AK566" i="1"/>
  <c r="AM566" i="1"/>
  <c r="AD567" i="1"/>
  <c r="AE567" i="1"/>
  <c r="AF567" i="1"/>
  <c r="AH567" i="1"/>
  <c r="AJ567" i="1"/>
  <c r="AK567" i="1"/>
  <c r="AM567" i="1"/>
  <c r="H568" i="1"/>
  <c r="N568" i="1" s="1"/>
  <c r="N750" i="6" s="1"/>
  <c r="O568" i="1"/>
  <c r="AD568" i="1"/>
  <c r="AE568" i="1"/>
  <c r="AF568" i="1"/>
  <c r="AH568" i="1"/>
  <c r="AJ568" i="1"/>
  <c r="AL568" i="1"/>
  <c r="AK568" i="1"/>
  <c r="AM568" i="1"/>
  <c r="H569" i="1"/>
  <c r="R569" i="1"/>
  <c r="D570" i="1"/>
  <c r="D573" i="1" s="1"/>
  <c r="H570" i="1"/>
  <c r="N570" i="1" s="1"/>
  <c r="N752" i="6" s="1"/>
  <c r="R570" i="1"/>
  <c r="AD570" i="1"/>
  <c r="AE570" i="1"/>
  <c r="AF570" i="1"/>
  <c r="AG570" i="1" s="1"/>
  <c r="AH570" i="1"/>
  <c r="AJ570" i="1"/>
  <c r="AK570" i="1"/>
  <c r="AM570" i="1"/>
  <c r="H571" i="1"/>
  <c r="N571" i="1" s="1"/>
  <c r="R571" i="1"/>
  <c r="S571" i="1"/>
  <c r="S753" i="6" s="1"/>
  <c r="AD571" i="1"/>
  <c r="AE571" i="1"/>
  <c r="AF571" i="1"/>
  <c r="AH571" i="1"/>
  <c r="L1191" i="1" s="1"/>
  <c r="L1561" i="6" s="1"/>
  <c r="AJ571" i="1"/>
  <c r="AK571" i="1"/>
  <c r="AM571" i="1"/>
  <c r="AD572" i="1"/>
  <c r="AE572" i="1"/>
  <c r="AG572" i="1" s="1"/>
  <c r="AF572" i="1"/>
  <c r="AH572" i="1"/>
  <c r="AJ572" i="1"/>
  <c r="AL572" i="1" s="1"/>
  <c r="AN572" i="1" s="1"/>
  <c r="AK572" i="1"/>
  <c r="AM572" i="1"/>
  <c r="E573" i="1"/>
  <c r="F573" i="1"/>
  <c r="I573" i="1"/>
  <c r="J573" i="1"/>
  <c r="K573" i="1"/>
  <c r="L573" i="1"/>
  <c r="P573" i="1"/>
  <c r="T573" i="1"/>
  <c r="U573" i="1"/>
  <c r="V573" i="1"/>
  <c r="AE573" i="1"/>
  <c r="AF573" i="1"/>
  <c r="AG573" i="1" s="1"/>
  <c r="AI573" i="1" s="1"/>
  <c r="AH573" i="1"/>
  <c r="AK573" i="1"/>
  <c r="AM573" i="1"/>
  <c r="AE574" i="1"/>
  <c r="AG574" i="1" s="1"/>
  <c r="AF574" i="1"/>
  <c r="AH574" i="1"/>
  <c r="AK574" i="1"/>
  <c r="AM574" i="1"/>
  <c r="AD575" i="1"/>
  <c r="AE575" i="1"/>
  <c r="AF575" i="1"/>
  <c r="AH575" i="1"/>
  <c r="AJ575" i="1"/>
  <c r="AK575" i="1"/>
  <c r="AM575" i="1"/>
  <c r="D581" i="1"/>
  <c r="D589" i="1" s="1"/>
  <c r="H581" i="1"/>
  <c r="N581" i="1"/>
  <c r="O581" i="1"/>
  <c r="H582" i="1"/>
  <c r="N582" i="1" s="1"/>
  <c r="N764" i="6" s="1"/>
  <c r="R582" i="1"/>
  <c r="H583" i="1"/>
  <c r="N583" i="1" s="1"/>
  <c r="N767" i="6" s="1"/>
  <c r="R583" i="1"/>
  <c r="H584" i="1"/>
  <c r="N584" i="1" s="1"/>
  <c r="R584" i="1"/>
  <c r="D585" i="1"/>
  <c r="F585" i="1"/>
  <c r="R585" i="1"/>
  <c r="H586" i="1"/>
  <c r="N586" i="1" s="1"/>
  <c r="R586" i="1"/>
  <c r="H587" i="1"/>
  <c r="N587" i="1" s="1"/>
  <c r="O587" i="1"/>
  <c r="R587" i="1"/>
  <c r="X587" i="1" s="1"/>
  <c r="X779" i="6" s="1"/>
  <c r="E589" i="1"/>
  <c r="I589" i="1"/>
  <c r="J589" i="1"/>
  <c r="K589" i="1"/>
  <c r="K668" i="1" s="1"/>
  <c r="K1257" i="1" s="1"/>
  <c r="L589" i="1"/>
  <c r="P589" i="1"/>
  <c r="S589" i="1"/>
  <c r="T589" i="1"/>
  <c r="T668" i="1" s="1"/>
  <c r="U589" i="1"/>
  <c r="V589" i="1"/>
  <c r="H592" i="1"/>
  <c r="R592" i="1"/>
  <c r="H593" i="1"/>
  <c r="N593" i="1" s="1"/>
  <c r="R593" i="1"/>
  <c r="H594" i="1"/>
  <c r="N594" i="1" s="1"/>
  <c r="N788" i="6" s="1"/>
  <c r="R594" i="1"/>
  <c r="X594" i="1" s="1"/>
  <c r="D596" i="1"/>
  <c r="E596" i="1"/>
  <c r="F596" i="1"/>
  <c r="I596" i="1"/>
  <c r="J596" i="1"/>
  <c r="K596" i="1"/>
  <c r="L596" i="1"/>
  <c r="O596" i="1"/>
  <c r="P596" i="1"/>
  <c r="S596" i="1"/>
  <c r="T596" i="1"/>
  <c r="U596" i="1"/>
  <c r="U668" i="1" s="1"/>
  <c r="U1257" i="1" s="1"/>
  <c r="V596" i="1"/>
  <c r="D598" i="1"/>
  <c r="H598" i="1"/>
  <c r="Y598" i="1" s="1"/>
  <c r="Z598" i="1" s="1"/>
  <c r="N598" i="1"/>
  <c r="N793" i="6" s="1"/>
  <c r="R598" i="1"/>
  <c r="X598" i="1" s="1"/>
  <c r="X793" i="6" s="1"/>
  <c r="H599" i="1"/>
  <c r="R599" i="1"/>
  <c r="X599" i="1" s="1"/>
  <c r="X794" i="6" s="1"/>
  <c r="H600" i="1"/>
  <c r="N600" i="1"/>
  <c r="R600" i="1"/>
  <c r="X600" i="1" s="1"/>
  <c r="X796" i="6" s="1"/>
  <c r="Y600" i="1"/>
  <c r="Z600" i="1" s="1"/>
  <c r="D601" i="1"/>
  <c r="H601" i="1"/>
  <c r="N601" i="1" s="1"/>
  <c r="N797" i="6" s="1"/>
  <c r="O601" i="1"/>
  <c r="H602" i="1"/>
  <c r="N602" i="1" s="1"/>
  <c r="N798" i="6" s="1"/>
  <c r="R602" i="1"/>
  <c r="D603" i="1"/>
  <c r="E603" i="1"/>
  <c r="R603" i="1"/>
  <c r="X603" i="1" s="1"/>
  <c r="X801" i="6" s="1"/>
  <c r="R801" i="6"/>
  <c r="H604" i="1"/>
  <c r="N604" i="1" s="1"/>
  <c r="R604" i="1"/>
  <c r="F606" i="1"/>
  <c r="I606" i="1"/>
  <c r="J606" i="1"/>
  <c r="K606" i="1"/>
  <c r="L606" i="1"/>
  <c r="P606" i="1"/>
  <c r="S606" i="1"/>
  <c r="T606" i="1"/>
  <c r="U606" i="1"/>
  <c r="V606" i="1"/>
  <c r="D608" i="1"/>
  <c r="H608" i="1"/>
  <c r="N608" i="1" s="1"/>
  <c r="N807" i="6" s="1"/>
  <c r="O608" i="1"/>
  <c r="O807" i="6" s="1"/>
  <c r="H609" i="1"/>
  <c r="N609" i="1" s="1"/>
  <c r="R609" i="1"/>
  <c r="D610" i="1"/>
  <c r="H610" i="1"/>
  <c r="N610" i="1" s="1"/>
  <c r="O610" i="1"/>
  <c r="H611" i="1"/>
  <c r="N611" i="1" s="1"/>
  <c r="N811" i="6" s="1"/>
  <c r="O611" i="1"/>
  <c r="O811" i="6" s="1"/>
  <c r="H612" i="1"/>
  <c r="N612" i="1" s="1"/>
  <c r="R612" i="1"/>
  <c r="Y612" i="1" s="1"/>
  <c r="Z612" i="1" s="1"/>
  <c r="H613" i="1"/>
  <c r="N613" i="1" s="1"/>
  <c r="N813" i="6" s="1"/>
  <c r="R613" i="1"/>
  <c r="E615" i="1"/>
  <c r="F615" i="1"/>
  <c r="H615" i="1" s="1"/>
  <c r="I615" i="1"/>
  <c r="J615" i="1"/>
  <c r="K615" i="1"/>
  <c r="L615" i="1"/>
  <c r="N615" i="1" s="1"/>
  <c r="P615" i="1"/>
  <c r="S615" i="1"/>
  <c r="T615" i="1"/>
  <c r="U615" i="1"/>
  <c r="V615" i="1"/>
  <c r="D619" i="1"/>
  <c r="H619" i="1"/>
  <c r="Y619" i="1" s="1"/>
  <c r="N619" i="1"/>
  <c r="R619" i="1"/>
  <c r="X619" i="1" s="1"/>
  <c r="H620" i="1"/>
  <c r="N620" i="1" s="1"/>
  <c r="R620" i="1"/>
  <c r="D621" i="1"/>
  <c r="H621" i="1"/>
  <c r="N621" i="1" s="1"/>
  <c r="R621" i="1"/>
  <c r="E623" i="1"/>
  <c r="F623" i="1"/>
  <c r="I623" i="1"/>
  <c r="J623" i="1"/>
  <c r="K623" i="1"/>
  <c r="L623" i="1"/>
  <c r="O623" i="1"/>
  <c r="P623" i="1"/>
  <c r="S623" i="1"/>
  <c r="T623" i="1"/>
  <c r="U623" i="1"/>
  <c r="V623" i="1"/>
  <c r="D625" i="1"/>
  <c r="H625" i="1"/>
  <c r="N625" i="1"/>
  <c r="R625" i="1"/>
  <c r="H626" i="1"/>
  <c r="H832" i="6" s="1"/>
  <c r="R626" i="1"/>
  <c r="H627" i="1"/>
  <c r="H835" i="6" s="1"/>
  <c r="N627" i="1"/>
  <c r="R627" i="1"/>
  <c r="D628" i="1"/>
  <c r="H628" i="1"/>
  <c r="H836" i="6"/>
  <c r="Y836" i="6" s="1"/>
  <c r="Z836" i="6" s="1"/>
  <c r="R628" i="1"/>
  <c r="X628" i="1" s="1"/>
  <c r="X836" i="6" s="1"/>
  <c r="Y628" i="1"/>
  <c r="D629" i="1"/>
  <c r="H629" i="1"/>
  <c r="R629" i="1"/>
  <c r="D631" i="1"/>
  <c r="E631" i="1"/>
  <c r="F631" i="1"/>
  <c r="I631" i="1"/>
  <c r="J631" i="1"/>
  <c r="K631" i="1"/>
  <c r="L631" i="1"/>
  <c r="O631" i="1"/>
  <c r="P631" i="1"/>
  <c r="S631" i="1"/>
  <c r="T631" i="1"/>
  <c r="U631" i="1"/>
  <c r="V631" i="1"/>
  <c r="H635" i="1"/>
  <c r="N635" i="1" s="1"/>
  <c r="R635" i="1"/>
  <c r="H636" i="1"/>
  <c r="N636" i="1"/>
  <c r="N844" i="6" s="1"/>
  <c r="R636" i="1"/>
  <c r="Y636" i="1" s="1"/>
  <c r="D637" i="1"/>
  <c r="D642" i="1" s="1"/>
  <c r="E637" i="1"/>
  <c r="E845" i="6"/>
  <c r="H637" i="1"/>
  <c r="R637" i="1"/>
  <c r="X637" i="1" s="1"/>
  <c r="X845" i="6" s="1"/>
  <c r="H638" i="1"/>
  <c r="N638" i="1"/>
  <c r="R638" i="1"/>
  <c r="H639" i="1"/>
  <c r="Y639" i="1" s="1"/>
  <c r="Z639" i="1" s="1"/>
  <c r="R639" i="1"/>
  <c r="X639" i="1" s="1"/>
  <c r="X850" i="6" s="1"/>
  <c r="H640" i="1"/>
  <c r="N640" i="1" s="1"/>
  <c r="R640" i="1"/>
  <c r="E642" i="1"/>
  <c r="F642" i="1"/>
  <c r="I642" i="1"/>
  <c r="J642" i="1"/>
  <c r="K642" i="1"/>
  <c r="L642" i="1"/>
  <c r="O642" i="1"/>
  <c r="P642" i="1"/>
  <c r="S642" i="1"/>
  <c r="T642" i="1"/>
  <c r="U642" i="1"/>
  <c r="V642" i="1"/>
  <c r="H644" i="1"/>
  <c r="R644" i="1"/>
  <c r="X644" i="1" s="1"/>
  <c r="H645" i="1"/>
  <c r="N645" i="1" s="1"/>
  <c r="AB645" i="1" s="1"/>
  <c r="AB858" i="6" s="1"/>
  <c r="R645" i="1"/>
  <c r="X645" i="1" s="1"/>
  <c r="H646" i="1"/>
  <c r="N646" i="1" s="1"/>
  <c r="R646" i="1"/>
  <c r="D647" i="1"/>
  <c r="H647" i="1"/>
  <c r="N647" i="1" s="1"/>
  <c r="N860" i="6" s="1"/>
  <c r="R647" i="1"/>
  <c r="E649" i="1"/>
  <c r="F649" i="1"/>
  <c r="I649" i="1"/>
  <c r="J649" i="1"/>
  <c r="K649" i="1"/>
  <c r="L649" i="1"/>
  <c r="O649" i="1"/>
  <c r="P649" i="1"/>
  <c r="S649" i="1"/>
  <c r="T649" i="1"/>
  <c r="U649" i="1"/>
  <c r="V649" i="1"/>
  <c r="H651" i="1"/>
  <c r="N651" i="1" s="1"/>
  <c r="R651" i="1"/>
  <c r="H652" i="1"/>
  <c r="N652" i="1"/>
  <c r="R652" i="1"/>
  <c r="AD652" i="1"/>
  <c r="AE652" i="1"/>
  <c r="AF652" i="1"/>
  <c r="AH652" i="1"/>
  <c r="AJ652" i="1"/>
  <c r="AK652" i="1"/>
  <c r="AM652" i="1"/>
  <c r="H653" i="1"/>
  <c r="R653" i="1"/>
  <c r="AD653" i="1"/>
  <c r="AE653" i="1"/>
  <c r="AG653" i="1" s="1"/>
  <c r="AI653" i="1" s="1"/>
  <c r="AF653" i="1"/>
  <c r="AH653" i="1"/>
  <c r="AJ653" i="1"/>
  <c r="AK653" i="1"/>
  <c r="AM653" i="1"/>
  <c r="H654" i="1"/>
  <c r="N654" i="1" s="1"/>
  <c r="N869" i="6" s="1"/>
  <c r="R654" i="1"/>
  <c r="AD654" i="1"/>
  <c r="AE654" i="1"/>
  <c r="AE668" i="1" s="1"/>
  <c r="AF654" i="1"/>
  <c r="AH654" i="1"/>
  <c r="AJ654" i="1"/>
  <c r="AK654" i="1"/>
  <c r="AM654" i="1"/>
  <c r="D655" i="1"/>
  <c r="E655" i="1"/>
  <c r="E871" i="6"/>
  <c r="R655" i="1"/>
  <c r="H656" i="1"/>
  <c r="N656" i="1" s="1"/>
  <c r="R656" i="1"/>
  <c r="AE656" i="1"/>
  <c r="AH656" i="1"/>
  <c r="AJ656" i="1"/>
  <c r="AK656" i="1"/>
  <c r="AM656" i="1"/>
  <c r="H657" i="1"/>
  <c r="N657" i="1" s="1"/>
  <c r="AB657" i="1" s="1"/>
  <c r="AB874" i="6" s="1"/>
  <c r="R657" i="1"/>
  <c r="X657" i="1" s="1"/>
  <c r="X874" i="6" s="1"/>
  <c r="AE657" i="1"/>
  <c r="AF657" i="1"/>
  <c r="AH657" i="1"/>
  <c r="AK657" i="1"/>
  <c r="AM657" i="1"/>
  <c r="H658" i="1"/>
  <c r="N658" i="1" s="1"/>
  <c r="R658" i="1"/>
  <c r="AD658" i="1"/>
  <c r="AE658" i="1"/>
  <c r="AF658" i="1"/>
  <c r="F1180" i="1" s="1"/>
  <c r="AH658" i="1"/>
  <c r="AJ658" i="1"/>
  <c r="AL658" i="1" s="1"/>
  <c r="AK658" i="1"/>
  <c r="AM658" i="1"/>
  <c r="V1180" i="1" s="1"/>
  <c r="V1549" i="6" s="1"/>
  <c r="AE659" i="1"/>
  <c r="AF659" i="1"/>
  <c r="AH659" i="1"/>
  <c r="AK659" i="1"/>
  <c r="AM659" i="1"/>
  <c r="E660" i="1"/>
  <c r="F660" i="1"/>
  <c r="I660" i="1"/>
  <c r="J660" i="1"/>
  <c r="K660" i="1"/>
  <c r="L660" i="1"/>
  <c r="O660" i="1"/>
  <c r="P660" i="1"/>
  <c r="S660" i="1"/>
  <c r="T660" i="1"/>
  <c r="U660" i="1"/>
  <c r="V660" i="1"/>
  <c r="AD660" i="1"/>
  <c r="AE660" i="1"/>
  <c r="AF660" i="1"/>
  <c r="AG660" i="1" s="1"/>
  <c r="AH660" i="1"/>
  <c r="AJ660" i="1"/>
  <c r="AK660" i="1"/>
  <c r="AL660" i="1"/>
  <c r="AN660" i="1" s="1"/>
  <c r="AM660" i="1"/>
  <c r="AE661" i="1"/>
  <c r="AF661" i="1"/>
  <c r="AG661" i="1"/>
  <c r="AI661" i="1" s="1"/>
  <c r="AH661" i="1"/>
  <c r="AK661" i="1"/>
  <c r="AM661" i="1"/>
  <c r="H662" i="1"/>
  <c r="R662" i="1"/>
  <c r="X662" i="1" s="1"/>
  <c r="X881" i="6" s="1"/>
  <c r="AD662" i="1"/>
  <c r="AE662" i="1"/>
  <c r="AF662" i="1"/>
  <c r="AH662" i="1"/>
  <c r="AJ662" i="1"/>
  <c r="AL662" i="1" s="1"/>
  <c r="AK662" i="1"/>
  <c r="AM662" i="1"/>
  <c r="H663" i="1"/>
  <c r="N663" i="1" s="1"/>
  <c r="R663" i="1"/>
  <c r="AD663" i="1"/>
  <c r="AE663" i="1"/>
  <c r="AF663" i="1"/>
  <c r="AG663" i="1" s="1"/>
  <c r="AH663" i="1"/>
  <c r="AJ663" i="1"/>
  <c r="AK663" i="1"/>
  <c r="AM663" i="1"/>
  <c r="H664" i="1"/>
  <c r="N664" i="1" s="1"/>
  <c r="N885" i="6" s="1"/>
  <c r="R664" i="1"/>
  <c r="Y664" i="1" s="1"/>
  <c r="Z664" i="1" s="1"/>
  <c r="X664" i="1"/>
  <c r="AD664" i="1"/>
  <c r="AE664" i="1"/>
  <c r="AG664" i="1"/>
  <c r="AF664" i="1"/>
  <c r="AH664" i="1"/>
  <c r="AJ664" i="1"/>
  <c r="AK664" i="1"/>
  <c r="AL664" i="1" s="1"/>
  <c r="AM664" i="1"/>
  <c r="AD665" i="1"/>
  <c r="AE665" i="1"/>
  <c r="AF665" i="1"/>
  <c r="AH665" i="1"/>
  <c r="AJ665" i="1"/>
  <c r="AL665" i="1" s="1"/>
  <c r="AK665" i="1"/>
  <c r="AM665" i="1"/>
  <c r="D666" i="1"/>
  <c r="E666" i="1"/>
  <c r="F666" i="1"/>
  <c r="I666" i="1"/>
  <c r="J666" i="1"/>
  <c r="K666" i="1"/>
  <c r="L666" i="1"/>
  <c r="O666" i="1"/>
  <c r="P666" i="1"/>
  <c r="S666" i="1"/>
  <c r="T666" i="1"/>
  <c r="U666" i="1"/>
  <c r="V666" i="1"/>
  <c r="AD666" i="1"/>
  <c r="AE666" i="1"/>
  <c r="AF666" i="1"/>
  <c r="AH666" i="1"/>
  <c r="AJ666" i="1"/>
  <c r="AL666" i="1" s="1"/>
  <c r="AK666" i="1"/>
  <c r="AM666" i="1"/>
  <c r="AD667" i="1"/>
  <c r="AE667" i="1"/>
  <c r="AG667" i="1" s="1"/>
  <c r="AF667" i="1"/>
  <c r="AH667" i="1"/>
  <c r="AJ667" i="1"/>
  <c r="AL667" i="1" s="1"/>
  <c r="AN667" i="1" s="1"/>
  <c r="AK667" i="1"/>
  <c r="AM667" i="1"/>
  <c r="H673" i="1"/>
  <c r="R673" i="1"/>
  <c r="X673" i="1" s="1"/>
  <c r="X894" i="6" s="1"/>
  <c r="H674" i="1"/>
  <c r="N674" i="1" s="1"/>
  <c r="R674" i="1"/>
  <c r="Y674" i="1" s="1"/>
  <c r="Z674" i="1" s="1"/>
  <c r="X674" i="1"/>
  <c r="X897" i="6" s="1"/>
  <c r="H675" i="1"/>
  <c r="N675" i="1" s="1"/>
  <c r="R675" i="1"/>
  <c r="X675" i="1" s="1"/>
  <c r="D677" i="1"/>
  <c r="E677" i="1"/>
  <c r="F677" i="1"/>
  <c r="I677" i="1"/>
  <c r="J677" i="1"/>
  <c r="K677" i="1"/>
  <c r="L677" i="1"/>
  <c r="O677" i="1"/>
  <c r="P677" i="1"/>
  <c r="S677" i="1"/>
  <c r="T677" i="1"/>
  <c r="U677" i="1"/>
  <c r="V677" i="1"/>
  <c r="H680" i="1"/>
  <c r="R680" i="1"/>
  <c r="X680" i="1" s="1"/>
  <c r="H681" i="1"/>
  <c r="N681" i="1" s="1"/>
  <c r="R681" i="1"/>
  <c r="H682" i="1"/>
  <c r="N682" i="1" s="1"/>
  <c r="R682" i="1"/>
  <c r="Y682" i="1" s="1"/>
  <c r="Z682" i="1" s="1"/>
  <c r="H683" i="1"/>
  <c r="N683" i="1" s="1"/>
  <c r="N908" i="6" s="1"/>
  <c r="O683" i="1"/>
  <c r="H684" i="1"/>
  <c r="N684" i="1"/>
  <c r="N909" i="6" s="1"/>
  <c r="R684" i="1"/>
  <c r="Y684" i="1" s="1"/>
  <c r="Z684" i="1" s="1"/>
  <c r="D686" i="1"/>
  <c r="E686" i="1"/>
  <c r="F686" i="1"/>
  <c r="I686" i="1"/>
  <c r="J686" i="1"/>
  <c r="K686" i="1"/>
  <c r="L686" i="1"/>
  <c r="O686" i="1"/>
  <c r="P686" i="1"/>
  <c r="S686" i="1"/>
  <c r="T686" i="1"/>
  <c r="U686" i="1"/>
  <c r="V686" i="1"/>
  <c r="H689" i="1"/>
  <c r="N689" i="1"/>
  <c r="O689" i="1"/>
  <c r="H690" i="1"/>
  <c r="R690" i="1"/>
  <c r="X690" i="1"/>
  <c r="X915" i="6" s="1"/>
  <c r="H691" i="1"/>
  <c r="N691" i="1" s="1"/>
  <c r="O691" i="1"/>
  <c r="H692" i="1"/>
  <c r="N692" i="1"/>
  <c r="R692" i="1"/>
  <c r="X692" i="1" s="1"/>
  <c r="X918" i="6" s="1"/>
  <c r="Y692" i="1"/>
  <c r="Z692" i="1" s="1"/>
  <c r="C693" i="1"/>
  <c r="H693" i="1"/>
  <c r="N693" i="1" s="1"/>
  <c r="N919" i="6" s="1"/>
  <c r="R693" i="1"/>
  <c r="Y693" i="1" s="1"/>
  <c r="Z693" i="1" s="1"/>
  <c r="D695" i="1"/>
  <c r="E695" i="1"/>
  <c r="F695" i="1"/>
  <c r="I695" i="1"/>
  <c r="J695" i="1"/>
  <c r="K695" i="1"/>
  <c r="L695" i="1"/>
  <c r="P695" i="1"/>
  <c r="S695" i="1"/>
  <c r="T695" i="1"/>
  <c r="U695" i="1"/>
  <c r="V695" i="1"/>
  <c r="D697" i="1"/>
  <c r="O697" i="1"/>
  <c r="O923" i="6" s="1"/>
  <c r="H698" i="1"/>
  <c r="N698" i="1" s="1"/>
  <c r="N924" i="6" s="1"/>
  <c r="R698" i="1"/>
  <c r="D699" i="1"/>
  <c r="E699" i="1"/>
  <c r="R699" i="1"/>
  <c r="X699" i="1" s="1"/>
  <c r="X925" i="6" s="1"/>
  <c r="D700" i="1"/>
  <c r="D703" i="1" s="1"/>
  <c r="H700" i="1"/>
  <c r="Y700" i="1" s="1"/>
  <c r="R700" i="1"/>
  <c r="X700" i="1" s="1"/>
  <c r="X928" i="6" s="1"/>
  <c r="H701" i="1"/>
  <c r="N701" i="1" s="1"/>
  <c r="R701" i="1"/>
  <c r="X701" i="1"/>
  <c r="X929" i="6" s="1"/>
  <c r="Y701" i="1"/>
  <c r="Z701" i="1" s="1"/>
  <c r="F703" i="1"/>
  <c r="I703" i="1"/>
  <c r="J703" i="1"/>
  <c r="K703" i="1"/>
  <c r="L703" i="1"/>
  <c r="O703" i="1"/>
  <c r="P703" i="1"/>
  <c r="S703" i="1"/>
  <c r="T703" i="1"/>
  <c r="U703" i="1"/>
  <c r="V703" i="1"/>
  <c r="H706" i="1"/>
  <c r="N706" i="1"/>
  <c r="R706" i="1"/>
  <c r="X706" i="1" s="1"/>
  <c r="D707" i="1"/>
  <c r="E707" i="1"/>
  <c r="E935" i="6"/>
  <c r="H707" i="1"/>
  <c r="R707" i="1"/>
  <c r="D708" i="1"/>
  <c r="E708" i="1"/>
  <c r="R708" i="1"/>
  <c r="H709" i="1"/>
  <c r="N709" i="1" s="1"/>
  <c r="N939" i="6" s="1"/>
  <c r="R709" i="1"/>
  <c r="H710" i="1"/>
  <c r="N710" i="1" s="1"/>
  <c r="O710" i="1"/>
  <c r="F712" i="1"/>
  <c r="I712" i="1"/>
  <c r="J712" i="1"/>
  <c r="K712" i="1"/>
  <c r="L712" i="1"/>
  <c r="P712" i="1"/>
  <c r="S712" i="1"/>
  <c r="T712" i="1"/>
  <c r="U712" i="1"/>
  <c r="V712" i="1"/>
  <c r="R714" i="1"/>
  <c r="R944" i="6" s="1"/>
  <c r="Y944" i="6" s="1"/>
  <c r="D715" i="1"/>
  <c r="H715" i="1"/>
  <c r="N715" i="1" s="1"/>
  <c r="N945" i="6" s="1"/>
  <c r="O715" i="1"/>
  <c r="H716" i="1"/>
  <c r="N716" i="1" s="1"/>
  <c r="R716" i="1"/>
  <c r="H717" i="1"/>
  <c r="N717" i="1" s="1"/>
  <c r="R717" i="1"/>
  <c r="H718" i="1"/>
  <c r="N718" i="1" s="1"/>
  <c r="N951" i="6" s="1"/>
  <c r="R718" i="1"/>
  <c r="D719" i="1"/>
  <c r="H719" i="1"/>
  <c r="O719" i="1"/>
  <c r="E721" i="1"/>
  <c r="F721" i="1"/>
  <c r="I721" i="1"/>
  <c r="J721" i="1"/>
  <c r="K721" i="1"/>
  <c r="L721" i="1"/>
  <c r="P721" i="1"/>
  <c r="S721" i="1"/>
  <c r="T721" i="1"/>
  <c r="U721" i="1"/>
  <c r="V721" i="1"/>
  <c r="H726" i="1"/>
  <c r="O726" i="1"/>
  <c r="O958" i="6" s="1"/>
  <c r="H727" i="1"/>
  <c r="N727" i="1" s="1"/>
  <c r="R727" i="1"/>
  <c r="H728" i="1"/>
  <c r="N728" i="1" s="1"/>
  <c r="R728" i="1"/>
  <c r="D730" i="1"/>
  <c r="E730" i="1"/>
  <c r="F730" i="1"/>
  <c r="I730" i="1"/>
  <c r="J730" i="1"/>
  <c r="K730" i="1"/>
  <c r="L730" i="1"/>
  <c r="P730" i="1"/>
  <c r="S730" i="1"/>
  <c r="T730" i="1"/>
  <c r="U730" i="1"/>
  <c r="V730" i="1"/>
  <c r="D732" i="1"/>
  <c r="D964" i="6" s="1"/>
  <c r="R732" i="1"/>
  <c r="R964" i="6" s="1"/>
  <c r="Y964" i="6" s="1"/>
  <c r="H733" i="1"/>
  <c r="N733" i="1"/>
  <c r="N965" i="6" s="1"/>
  <c r="R733" i="1"/>
  <c r="D734" i="1"/>
  <c r="E734" i="1"/>
  <c r="H734" i="1"/>
  <c r="R734" i="1"/>
  <c r="R966" i="6" s="1"/>
  <c r="H735" i="1"/>
  <c r="N735" i="1" s="1"/>
  <c r="R735" i="1"/>
  <c r="R969" i="6" s="1"/>
  <c r="Y735" i="1"/>
  <c r="H736" i="1"/>
  <c r="N736" i="1" s="1"/>
  <c r="R736" i="1"/>
  <c r="R972" i="6" s="1"/>
  <c r="D738" i="1"/>
  <c r="F738" i="1"/>
  <c r="I738" i="1"/>
  <c r="J738" i="1"/>
  <c r="K738" i="1"/>
  <c r="K754" i="1" s="1"/>
  <c r="K1259" i="1" s="1"/>
  <c r="L738" i="1"/>
  <c r="O738" i="1"/>
  <c r="P738" i="1"/>
  <c r="S738" i="1"/>
  <c r="S754" i="1" s="1"/>
  <c r="T738" i="1"/>
  <c r="U738" i="1"/>
  <c r="V738" i="1"/>
  <c r="H741" i="1"/>
  <c r="R741" i="1"/>
  <c r="X741" i="1" s="1"/>
  <c r="X977" i="6" s="1"/>
  <c r="D742" i="1"/>
  <c r="E742" i="1"/>
  <c r="R742" i="1"/>
  <c r="AD742" i="1"/>
  <c r="AE742" i="1"/>
  <c r="AF742" i="1"/>
  <c r="AH742" i="1"/>
  <c r="AH754" i="1" s="1"/>
  <c r="AJ742" i="1"/>
  <c r="AK742" i="1"/>
  <c r="AM742" i="1"/>
  <c r="H743" i="1"/>
  <c r="N743" i="1" s="1"/>
  <c r="R743" i="1"/>
  <c r="AD743" i="1"/>
  <c r="AE743" i="1"/>
  <c r="AF743" i="1"/>
  <c r="AH743" i="1"/>
  <c r="AJ743" i="1"/>
  <c r="AK743" i="1"/>
  <c r="AL743" i="1" s="1"/>
  <c r="AN743" i="1" s="1"/>
  <c r="AM743" i="1"/>
  <c r="AF744" i="1"/>
  <c r="AH744" i="1"/>
  <c r="AJ744" i="1"/>
  <c r="AL744" i="1" s="1"/>
  <c r="AK744" i="1"/>
  <c r="AM744" i="1"/>
  <c r="F745" i="1"/>
  <c r="I745" i="1"/>
  <c r="J745" i="1"/>
  <c r="K745" i="1"/>
  <c r="L745" i="1"/>
  <c r="O745" i="1"/>
  <c r="P745" i="1"/>
  <c r="S745" i="1"/>
  <c r="T745" i="1"/>
  <c r="U745" i="1"/>
  <c r="V745" i="1"/>
  <c r="AE745" i="1"/>
  <c r="AF745" i="1"/>
  <c r="AH745" i="1"/>
  <c r="AK745" i="1"/>
  <c r="AM745" i="1"/>
  <c r="AF746" i="1"/>
  <c r="AH746" i="1"/>
  <c r="AJ746" i="1"/>
  <c r="AK746" i="1"/>
  <c r="AL746" i="1" s="1"/>
  <c r="AN746" i="1" s="1"/>
  <c r="AM746" i="1"/>
  <c r="AE747" i="1"/>
  <c r="AF747" i="1"/>
  <c r="AG747" i="1" s="1"/>
  <c r="AH747" i="1"/>
  <c r="AK747" i="1"/>
  <c r="AM747" i="1"/>
  <c r="H748" i="1"/>
  <c r="R748" i="1"/>
  <c r="AD748" i="1"/>
  <c r="AE748" i="1"/>
  <c r="AG748" i="1" s="1"/>
  <c r="AF748" i="1"/>
  <c r="AH748" i="1"/>
  <c r="AK748" i="1"/>
  <c r="AM748" i="1"/>
  <c r="D749" i="1"/>
  <c r="E749" i="1"/>
  <c r="E751" i="1" s="1"/>
  <c r="R749" i="1"/>
  <c r="X749" i="1" s="1"/>
  <c r="X986" i="6" s="1"/>
  <c r="AD749" i="1"/>
  <c r="AE749" i="1"/>
  <c r="AF749" i="1"/>
  <c r="AH749" i="1"/>
  <c r="AJ749" i="1"/>
  <c r="AK749" i="1"/>
  <c r="AM749" i="1"/>
  <c r="AD750" i="1"/>
  <c r="AE750" i="1"/>
  <c r="AF750" i="1"/>
  <c r="AG750" i="1" s="1"/>
  <c r="AH750" i="1"/>
  <c r="AJ750" i="1"/>
  <c r="AK750" i="1"/>
  <c r="K1195" i="1" s="1"/>
  <c r="K1567" i="6" s="1"/>
  <c r="AM750" i="1"/>
  <c r="D751" i="1"/>
  <c r="F751" i="1"/>
  <c r="I751" i="1"/>
  <c r="J751" i="1"/>
  <c r="K751" i="1"/>
  <c r="L751" i="1"/>
  <c r="O751" i="1"/>
  <c r="P751" i="1"/>
  <c r="S751" i="1"/>
  <c r="T751" i="1"/>
  <c r="U751" i="1"/>
  <c r="V751" i="1"/>
  <c r="AD751" i="1"/>
  <c r="AE751" i="1"/>
  <c r="AF751" i="1"/>
  <c r="AH751" i="1"/>
  <c r="AK751" i="1"/>
  <c r="AM751" i="1"/>
  <c r="AD752" i="1"/>
  <c r="AE752" i="1"/>
  <c r="AG752" i="1"/>
  <c r="AF752" i="1"/>
  <c r="AH752" i="1"/>
  <c r="AK752" i="1"/>
  <c r="AM752" i="1"/>
  <c r="AD753" i="1"/>
  <c r="AE753" i="1"/>
  <c r="AF753" i="1"/>
  <c r="AG753" i="1"/>
  <c r="AI753" i="1" s="1"/>
  <c r="AH753" i="1"/>
  <c r="AJ753" i="1"/>
  <c r="AK753" i="1"/>
  <c r="AM753" i="1"/>
  <c r="H759" i="1"/>
  <c r="N759" i="1" s="1"/>
  <c r="R759" i="1"/>
  <c r="H760" i="1"/>
  <c r="N760" i="1" s="1"/>
  <c r="N1000" i="6" s="1"/>
  <c r="R760" i="1"/>
  <c r="D761" i="1"/>
  <c r="AD837" i="1" s="1"/>
  <c r="E761" i="1"/>
  <c r="E1002" i="6"/>
  <c r="H761" i="1"/>
  <c r="R761" i="1"/>
  <c r="X761" i="1" s="1"/>
  <c r="X1002" i="6" s="1"/>
  <c r="H762" i="1"/>
  <c r="N762" i="1" s="1"/>
  <c r="O762" i="1"/>
  <c r="R762" i="1" s="1"/>
  <c r="D763" i="1"/>
  <c r="H763" i="1"/>
  <c r="N763" i="1"/>
  <c r="O763" i="1"/>
  <c r="E765" i="1"/>
  <c r="F765" i="1"/>
  <c r="I765" i="1"/>
  <c r="J765" i="1"/>
  <c r="K765" i="1"/>
  <c r="L765" i="1"/>
  <c r="P765" i="1"/>
  <c r="S765" i="1"/>
  <c r="T765" i="1"/>
  <c r="U765" i="1"/>
  <c r="V765" i="1"/>
  <c r="H768" i="1"/>
  <c r="N768" i="1" s="1"/>
  <c r="R768" i="1"/>
  <c r="X768" i="1" s="1"/>
  <c r="H769" i="1"/>
  <c r="R769" i="1"/>
  <c r="D770" i="1"/>
  <c r="H770" i="1"/>
  <c r="N770" i="1"/>
  <c r="N1015" i="6" s="1"/>
  <c r="O770" i="1"/>
  <c r="D771" i="1"/>
  <c r="H771" i="1"/>
  <c r="N771" i="1"/>
  <c r="N1016" i="6" s="1"/>
  <c r="R771" i="1"/>
  <c r="E773" i="1"/>
  <c r="F773" i="1"/>
  <c r="I773" i="1"/>
  <c r="J773" i="1"/>
  <c r="K773" i="1"/>
  <c r="L773" i="1"/>
  <c r="P773" i="1"/>
  <c r="S773" i="1"/>
  <c r="T773" i="1"/>
  <c r="U773" i="1"/>
  <c r="V773" i="1"/>
  <c r="H775" i="1"/>
  <c r="R775" i="1"/>
  <c r="H776" i="1"/>
  <c r="N776" i="1"/>
  <c r="R776" i="1"/>
  <c r="H777" i="1"/>
  <c r="N777" i="1" s="1"/>
  <c r="R777" i="1"/>
  <c r="X777" i="1" s="1"/>
  <c r="X1027" i="6"/>
  <c r="H778" i="1"/>
  <c r="N778" i="1" s="1"/>
  <c r="R778" i="1"/>
  <c r="D780" i="1"/>
  <c r="E780" i="1"/>
  <c r="F780" i="1"/>
  <c r="I780" i="1"/>
  <c r="J780" i="1"/>
  <c r="K780" i="1"/>
  <c r="L780" i="1"/>
  <c r="O780" i="1"/>
  <c r="P780" i="1"/>
  <c r="S780" i="1"/>
  <c r="T780" i="1"/>
  <c r="U780" i="1"/>
  <c r="V780" i="1"/>
  <c r="H782" i="1"/>
  <c r="N782" i="1" s="1"/>
  <c r="R782" i="1"/>
  <c r="H783" i="1"/>
  <c r="N783" i="1" s="1"/>
  <c r="R783" i="1"/>
  <c r="X783" i="1" s="1"/>
  <c r="AB783" i="1" s="1"/>
  <c r="H784" i="1"/>
  <c r="N784" i="1" s="1"/>
  <c r="R784" i="1"/>
  <c r="X784" i="1"/>
  <c r="X1037" i="6" s="1"/>
  <c r="H785" i="1"/>
  <c r="R785" i="1"/>
  <c r="X785" i="1"/>
  <c r="X1038" i="6" s="1"/>
  <c r="H786" i="1"/>
  <c r="N786" i="1" s="1"/>
  <c r="R786" i="1"/>
  <c r="D788" i="1"/>
  <c r="E788" i="1"/>
  <c r="F788" i="1"/>
  <c r="I788" i="1"/>
  <c r="J788" i="1"/>
  <c r="K788" i="1"/>
  <c r="L788" i="1"/>
  <c r="O788" i="1"/>
  <c r="P788" i="1"/>
  <c r="S788" i="1"/>
  <c r="T788" i="1"/>
  <c r="U788" i="1"/>
  <c r="V788" i="1"/>
  <c r="D790" i="1"/>
  <c r="H790" i="1"/>
  <c r="N790" i="1"/>
  <c r="R790" i="1"/>
  <c r="H791" i="1"/>
  <c r="N791" i="1" s="1"/>
  <c r="N1044" i="6" s="1"/>
  <c r="R791" i="1"/>
  <c r="H792" i="1"/>
  <c r="N792" i="1" s="1"/>
  <c r="N1045" i="6" s="1"/>
  <c r="R792" i="1"/>
  <c r="D793" i="1"/>
  <c r="H793" i="1"/>
  <c r="R793" i="1"/>
  <c r="X793" i="1" s="1"/>
  <c r="X1047" i="6" s="1"/>
  <c r="D794" i="1"/>
  <c r="H794" i="1"/>
  <c r="N794" i="1" s="1"/>
  <c r="O794" i="1"/>
  <c r="C795" i="1"/>
  <c r="H795" i="1"/>
  <c r="N795" i="1" s="1"/>
  <c r="N1049" i="6" s="1"/>
  <c r="R795" i="1"/>
  <c r="E797" i="1"/>
  <c r="F797" i="1"/>
  <c r="I797" i="1"/>
  <c r="J797" i="1"/>
  <c r="K797" i="1"/>
  <c r="L797" i="1"/>
  <c r="O797" i="1"/>
  <c r="P797" i="1"/>
  <c r="S797" i="1"/>
  <c r="T797" i="1"/>
  <c r="U797" i="1"/>
  <c r="V797" i="1"/>
  <c r="H799" i="1"/>
  <c r="R799" i="1"/>
  <c r="H800" i="1"/>
  <c r="N800" i="1" s="1"/>
  <c r="N1055" i="6" s="1"/>
  <c r="R800" i="1"/>
  <c r="H801" i="1"/>
  <c r="N801" i="1" s="1"/>
  <c r="R801" i="1"/>
  <c r="X801" i="1" s="1"/>
  <c r="X1056" i="6" s="1"/>
  <c r="H802" i="1"/>
  <c r="N802" i="1"/>
  <c r="R802" i="1"/>
  <c r="D804" i="1"/>
  <c r="E804" i="1"/>
  <c r="F804" i="1"/>
  <c r="I804" i="1"/>
  <c r="J804" i="1"/>
  <c r="K804" i="1"/>
  <c r="L804" i="1"/>
  <c r="O804" i="1"/>
  <c r="P804" i="1"/>
  <c r="S804" i="1"/>
  <c r="T804" i="1"/>
  <c r="T846" i="1" s="1"/>
  <c r="T1261" i="1" s="1"/>
  <c r="U804" i="1"/>
  <c r="V804" i="1"/>
  <c r="D806" i="1"/>
  <c r="H806" i="1"/>
  <c r="R806" i="1"/>
  <c r="H807" i="1"/>
  <c r="N807" i="1" s="1"/>
  <c r="N1062" i="6" s="1"/>
  <c r="R807" i="1"/>
  <c r="D808" i="1"/>
  <c r="D812" i="1" s="1"/>
  <c r="H808" i="1"/>
  <c r="N808" i="1" s="1"/>
  <c r="N1064" i="6" s="1"/>
  <c r="O808" i="1"/>
  <c r="O1064" i="6"/>
  <c r="H809" i="1"/>
  <c r="N809" i="1" s="1"/>
  <c r="R809" i="1"/>
  <c r="X809" i="1"/>
  <c r="X1065" i="6" s="1"/>
  <c r="D810" i="1"/>
  <c r="H810" i="1"/>
  <c r="N810" i="1" s="1"/>
  <c r="R810" i="1"/>
  <c r="E812" i="1"/>
  <c r="F812" i="1"/>
  <c r="I812" i="1"/>
  <c r="J812" i="1"/>
  <c r="K812" i="1"/>
  <c r="L812" i="1"/>
  <c r="O812" i="1"/>
  <c r="P812" i="1"/>
  <c r="S812" i="1"/>
  <c r="T812" i="1"/>
  <c r="U812" i="1"/>
  <c r="V812" i="1"/>
  <c r="H816" i="1"/>
  <c r="R816" i="1"/>
  <c r="X816" i="1"/>
  <c r="H817" i="1"/>
  <c r="N817" i="1" s="1"/>
  <c r="N1072" i="6" s="1"/>
  <c r="R817" i="1"/>
  <c r="H818" i="1"/>
  <c r="N818" i="1" s="1"/>
  <c r="N1073" i="6" s="1"/>
  <c r="R818" i="1"/>
  <c r="X818" i="1" s="1"/>
  <c r="H819" i="1"/>
  <c r="N819" i="1" s="1"/>
  <c r="N1074" i="6" s="1"/>
  <c r="R819" i="1"/>
  <c r="D821" i="1"/>
  <c r="E821" i="1"/>
  <c r="F821" i="1"/>
  <c r="I821" i="1"/>
  <c r="J821" i="1"/>
  <c r="K821" i="1"/>
  <c r="L821" i="1"/>
  <c r="O821" i="1"/>
  <c r="P821" i="1"/>
  <c r="S821" i="1"/>
  <c r="T821" i="1"/>
  <c r="U821" i="1"/>
  <c r="V821" i="1"/>
  <c r="H823" i="1"/>
  <c r="N823" i="1" s="1"/>
  <c r="AB823" i="1" s="1"/>
  <c r="AB1080" i="6" s="1"/>
  <c r="R823" i="1"/>
  <c r="X823" i="1" s="1"/>
  <c r="H824" i="1"/>
  <c r="N824" i="1"/>
  <c r="N1081" i="6" s="1"/>
  <c r="R824" i="1"/>
  <c r="D825" i="1"/>
  <c r="E825" i="1"/>
  <c r="E828" i="1" s="1"/>
  <c r="R825" i="1"/>
  <c r="X825" i="1" s="1"/>
  <c r="X1082" i="6" s="1"/>
  <c r="H826" i="1"/>
  <c r="N826" i="1" s="1"/>
  <c r="R826" i="1"/>
  <c r="D828" i="1"/>
  <c r="F828" i="1"/>
  <c r="I828" i="1"/>
  <c r="J828" i="1"/>
  <c r="K828" i="1"/>
  <c r="L828" i="1"/>
  <c r="O828" i="1"/>
  <c r="P828" i="1"/>
  <c r="S828" i="1"/>
  <c r="T828" i="1"/>
  <c r="U828" i="1"/>
  <c r="V828" i="1"/>
  <c r="D830" i="1"/>
  <c r="H830" i="1"/>
  <c r="O830" i="1"/>
  <c r="O1090" i="6"/>
  <c r="H831" i="1"/>
  <c r="N831" i="1"/>
  <c r="R831" i="1"/>
  <c r="X831" i="1"/>
  <c r="X1091" i="6" s="1"/>
  <c r="H832" i="1"/>
  <c r="R832" i="1"/>
  <c r="N833" i="1"/>
  <c r="O833" i="1"/>
  <c r="D834" i="1"/>
  <c r="N834" i="1"/>
  <c r="O834" i="1"/>
  <c r="R834" i="1"/>
  <c r="D836" i="1"/>
  <c r="E836" i="1"/>
  <c r="F836" i="1"/>
  <c r="I836" i="1"/>
  <c r="J836" i="1"/>
  <c r="K836" i="1"/>
  <c r="L836" i="1"/>
  <c r="P836" i="1"/>
  <c r="S836" i="1"/>
  <c r="T836" i="1"/>
  <c r="U836" i="1"/>
  <c r="V836" i="1"/>
  <c r="AF837" i="1"/>
  <c r="AH837" i="1"/>
  <c r="AJ837" i="1"/>
  <c r="AK837" i="1"/>
  <c r="AM837" i="1"/>
  <c r="AE838" i="1"/>
  <c r="AF838" i="1"/>
  <c r="AH838" i="1"/>
  <c r="AJ838" i="1"/>
  <c r="AK838" i="1"/>
  <c r="AM838" i="1"/>
  <c r="AD839" i="1"/>
  <c r="AE839" i="1"/>
  <c r="AG839" i="1" s="1"/>
  <c r="AF839" i="1"/>
  <c r="AH839" i="1"/>
  <c r="AJ839" i="1"/>
  <c r="AK839" i="1"/>
  <c r="AM839" i="1"/>
  <c r="H840" i="1"/>
  <c r="N840" i="1"/>
  <c r="R840" i="1"/>
  <c r="AE840" i="1"/>
  <c r="AG840" i="1" s="1"/>
  <c r="AF840" i="1"/>
  <c r="AH840" i="1"/>
  <c r="AK840" i="1"/>
  <c r="AM840" i="1"/>
  <c r="H841" i="1"/>
  <c r="N841" i="1" s="1"/>
  <c r="N1101" i="6" s="1"/>
  <c r="R841" i="1"/>
  <c r="AE841" i="1"/>
  <c r="AF841" i="1"/>
  <c r="AH841" i="1"/>
  <c r="AK841" i="1"/>
  <c r="AM841" i="1"/>
  <c r="H842" i="1"/>
  <c r="N842" i="1" s="1"/>
  <c r="R842" i="1"/>
  <c r="X842" i="1"/>
  <c r="X1104" i="6" s="1"/>
  <c r="AD842" i="1"/>
  <c r="AE842" i="1"/>
  <c r="AF842" i="1"/>
  <c r="AH842" i="1"/>
  <c r="AJ842" i="1"/>
  <c r="AK842" i="1"/>
  <c r="AM842" i="1"/>
  <c r="AD843" i="1"/>
  <c r="AE843" i="1"/>
  <c r="AF843" i="1"/>
  <c r="AG843" i="1" s="1"/>
  <c r="AH843" i="1"/>
  <c r="AJ843" i="1"/>
  <c r="AK843" i="1"/>
  <c r="AM843" i="1"/>
  <c r="D844" i="1"/>
  <c r="E844" i="1"/>
  <c r="F844" i="1"/>
  <c r="I844" i="1"/>
  <c r="J844" i="1"/>
  <c r="K844" i="1"/>
  <c r="L844" i="1"/>
  <c r="O844" i="1"/>
  <c r="P844" i="1"/>
  <c r="S844" i="1"/>
  <c r="T844" i="1"/>
  <c r="U844" i="1"/>
  <c r="V844" i="1"/>
  <c r="AD844" i="1"/>
  <c r="AE844" i="1"/>
  <c r="AF844" i="1"/>
  <c r="AH844" i="1"/>
  <c r="AJ844" i="1"/>
  <c r="AL844" i="1" s="1"/>
  <c r="AK844" i="1"/>
  <c r="AM844" i="1"/>
  <c r="AD845" i="1"/>
  <c r="AE845" i="1"/>
  <c r="AF845" i="1"/>
  <c r="F1190" i="1" s="1"/>
  <c r="AH845" i="1"/>
  <c r="L1190" i="1" s="1"/>
  <c r="L1560" i="6" s="1"/>
  <c r="AJ845" i="1"/>
  <c r="AL845" i="1" s="1"/>
  <c r="AK845" i="1"/>
  <c r="AM845" i="1"/>
  <c r="AF846" i="1"/>
  <c r="D852" i="1"/>
  <c r="D860" i="1" s="1"/>
  <c r="H852" i="1"/>
  <c r="N852" i="1"/>
  <c r="N1114" i="6" s="1"/>
  <c r="O852" i="1"/>
  <c r="D853" i="1"/>
  <c r="E853" i="1"/>
  <c r="E1115" i="6" s="1"/>
  <c r="H853" i="1"/>
  <c r="R853" i="1"/>
  <c r="X853" i="1"/>
  <c r="X1115" i="6" s="1"/>
  <c r="H854" i="1"/>
  <c r="N854" i="1" s="1"/>
  <c r="R854" i="1"/>
  <c r="X854" i="1" s="1"/>
  <c r="X1116" i="6" s="1"/>
  <c r="D855" i="1"/>
  <c r="AD890" i="1" s="1"/>
  <c r="E855" i="1"/>
  <c r="R855" i="1"/>
  <c r="H856" i="1"/>
  <c r="N856" i="1" s="1"/>
  <c r="N1118" i="6" s="1"/>
  <c r="R856" i="1"/>
  <c r="H857" i="1"/>
  <c r="N857" i="1" s="1"/>
  <c r="O857" i="1"/>
  <c r="H858" i="1"/>
  <c r="N858" i="1" s="1"/>
  <c r="R858" i="1"/>
  <c r="X858" i="1" s="1"/>
  <c r="X1121" i="6" s="1"/>
  <c r="F860" i="1"/>
  <c r="I860" i="1"/>
  <c r="J860" i="1"/>
  <c r="K860" i="1"/>
  <c r="L860" i="1"/>
  <c r="P860" i="1"/>
  <c r="S860" i="1"/>
  <c r="T860" i="1"/>
  <c r="U860" i="1"/>
  <c r="V860" i="1"/>
  <c r="D862" i="1"/>
  <c r="D1125" i="6"/>
  <c r="O862" i="1"/>
  <c r="O1125" i="6"/>
  <c r="H863" i="1"/>
  <c r="N863" i="1"/>
  <c r="R863" i="1"/>
  <c r="X863" i="1"/>
  <c r="Y863" i="1"/>
  <c r="H864" i="1"/>
  <c r="R864" i="1"/>
  <c r="D865" i="1"/>
  <c r="H865" i="1"/>
  <c r="N865" i="1" s="1"/>
  <c r="R865" i="1"/>
  <c r="R868" i="1" s="1"/>
  <c r="H866" i="1"/>
  <c r="N866" i="1" s="1"/>
  <c r="R866" i="1"/>
  <c r="E868" i="1"/>
  <c r="F868" i="1"/>
  <c r="I868" i="1"/>
  <c r="J868" i="1"/>
  <c r="K868" i="1"/>
  <c r="L868" i="1"/>
  <c r="O868" i="1"/>
  <c r="P868" i="1"/>
  <c r="S868" i="1"/>
  <c r="T868" i="1"/>
  <c r="U868" i="1"/>
  <c r="V868" i="1"/>
  <c r="B869" i="1"/>
  <c r="R870" i="1"/>
  <c r="H871" i="1"/>
  <c r="R871" i="1"/>
  <c r="X871" i="1" s="1"/>
  <c r="X1137" i="6"/>
  <c r="H872" i="1"/>
  <c r="R872" i="1"/>
  <c r="X872" i="1" s="1"/>
  <c r="X1138" i="6" s="1"/>
  <c r="H873" i="1"/>
  <c r="N873" i="1"/>
  <c r="R873" i="1"/>
  <c r="X873" i="1"/>
  <c r="X1139" i="6" s="1"/>
  <c r="Y873" i="1"/>
  <c r="Z873" i="1" s="1"/>
  <c r="H874" i="1"/>
  <c r="N874" i="1" s="1"/>
  <c r="R874" i="1"/>
  <c r="X874" i="1" s="1"/>
  <c r="X1140" i="6" s="1"/>
  <c r="H875" i="1"/>
  <c r="N875" i="1" s="1"/>
  <c r="R875" i="1"/>
  <c r="X875" i="1" s="1"/>
  <c r="X1141" i="6"/>
  <c r="D877" i="1"/>
  <c r="E877" i="1"/>
  <c r="F877" i="1"/>
  <c r="I877" i="1"/>
  <c r="J877" i="1"/>
  <c r="K877" i="1"/>
  <c r="L877" i="1"/>
  <c r="O877" i="1"/>
  <c r="P877" i="1"/>
  <c r="S877" i="1"/>
  <c r="T877" i="1"/>
  <c r="U877" i="1"/>
  <c r="V877" i="1"/>
  <c r="R879" i="1"/>
  <c r="D882" i="1"/>
  <c r="H882" i="1"/>
  <c r="N882" i="1" s="1"/>
  <c r="R882" i="1"/>
  <c r="D883" i="1"/>
  <c r="E883" i="1"/>
  <c r="R883" i="1"/>
  <c r="X883" i="1" s="1"/>
  <c r="X1150" i="6" s="1"/>
  <c r="D884" i="1"/>
  <c r="H884" i="1"/>
  <c r="N884" i="1" s="1"/>
  <c r="R884" i="1"/>
  <c r="H885" i="1"/>
  <c r="N885" i="1"/>
  <c r="R885" i="1"/>
  <c r="F887" i="1"/>
  <c r="I887" i="1"/>
  <c r="J887" i="1"/>
  <c r="K887" i="1"/>
  <c r="L887" i="1"/>
  <c r="O887" i="1"/>
  <c r="P887" i="1"/>
  <c r="S887" i="1"/>
  <c r="T887" i="1"/>
  <c r="U887" i="1"/>
  <c r="V887" i="1"/>
  <c r="R889" i="1"/>
  <c r="R1158" i="6" s="1"/>
  <c r="Y1158" i="6" s="1"/>
  <c r="D890" i="1"/>
  <c r="H890" i="1"/>
  <c r="N890" i="1" s="1"/>
  <c r="O890" i="1"/>
  <c r="R890" i="1" s="1"/>
  <c r="AF890" i="1"/>
  <c r="AH890" i="1"/>
  <c r="AJ890" i="1"/>
  <c r="AK890" i="1"/>
  <c r="AM890" i="1"/>
  <c r="H891" i="1"/>
  <c r="N891" i="1" s="1"/>
  <c r="R891" i="1"/>
  <c r="X891" i="1"/>
  <c r="X1160" i="6" s="1"/>
  <c r="Y891" i="1"/>
  <c r="Z891" i="1" s="1"/>
  <c r="AD891" i="1"/>
  <c r="AE891" i="1"/>
  <c r="AF891" i="1"/>
  <c r="AH891" i="1"/>
  <c r="AJ891" i="1"/>
  <c r="AK891" i="1"/>
  <c r="AL891" i="1" s="1"/>
  <c r="AM891" i="1"/>
  <c r="D892" i="1"/>
  <c r="H892" i="1"/>
  <c r="N892" i="1"/>
  <c r="R892" i="1"/>
  <c r="Y892" i="1" s="1"/>
  <c r="AE892" i="1"/>
  <c r="AF892" i="1"/>
  <c r="AH892" i="1"/>
  <c r="AK892" i="1"/>
  <c r="AM892" i="1"/>
  <c r="H893" i="1"/>
  <c r="N893" i="1" s="1"/>
  <c r="R893" i="1"/>
  <c r="AF893" i="1"/>
  <c r="AH893" i="1"/>
  <c r="AJ893" i="1"/>
  <c r="AK893" i="1"/>
  <c r="AL893" i="1" s="1"/>
  <c r="AM893" i="1"/>
  <c r="H894" i="1"/>
  <c r="N894" i="1"/>
  <c r="N1163" i="6" s="1"/>
  <c r="R894" i="1"/>
  <c r="Y894" i="1" s="1"/>
  <c r="Z894" i="1" s="1"/>
  <c r="AE894" i="1"/>
  <c r="AF894" i="1"/>
  <c r="AH894" i="1"/>
  <c r="AK894" i="1"/>
  <c r="AM894" i="1"/>
  <c r="AD895" i="1"/>
  <c r="AE895" i="1"/>
  <c r="AF895" i="1"/>
  <c r="AG895" i="1" s="1"/>
  <c r="AI895" i="1" s="1"/>
  <c r="AH895" i="1"/>
  <c r="AJ895" i="1"/>
  <c r="AK895" i="1"/>
  <c r="AM895" i="1"/>
  <c r="E896" i="1"/>
  <c r="F896" i="1"/>
  <c r="I896" i="1"/>
  <c r="J896" i="1"/>
  <c r="K896" i="1"/>
  <c r="L896" i="1"/>
  <c r="P896" i="1"/>
  <c r="S896" i="1"/>
  <c r="T896" i="1"/>
  <c r="T899" i="1"/>
  <c r="T1263" i="1" s="1"/>
  <c r="U896" i="1"/>
  <c r="V896" i="1"/>
  <c r="AD896" i="1"/>
  <c r="AE896" i="1"/>
  <c r="AG896" i="1" s="1"/>
  <c r="AF896" i="1"/>
  <c r="AH896" i="1"/>
  <c r="AJ896" i="1"/>
  <c r="AK896" i="1"/>
  <c r="AL896" i="1" s="1"/>
  <c r="AM896" i="1"/>
  <c r="AE897" i="1"/>
  <c r="AF897" i="1"/>
  <c r="AG897" i="1" s="1"/>
  <c r="AH897" i="1"/>
  <c r="AJ897" i="1"/>
  <c r="AK897" i="1"/>
  <c r="AM897" i="1"/>
  <c r="AD898" i="1"/>
  <c r="AE898" i="1"/>
  <c r="AF898" i="1"/>
  <c r="AH898" i="1"/>
  <c r="AJ898" i="1"/>
  <c r="AK898" i="1"/>
  <c r="AL898" i="1"/>
  <c r="AM898" i="1"/>
  <c r="H904" i="1"/>
  <c r="Y904" i="1"/>
  <c r="Z904" i="1" s="1"/>
  <c r="R904" i="1"/>
  <c r="X904" i="1" s="1"/>
  <c r="H905" i="1"/>
  <c r="R905" i="1"/>
  <c r="H906" i="1"/>
  <c r="N906" i="1" s="1"/>
  <c r="R906" i="1"/>
  <c r="R1179" i="6" s="1"/>
  <c r="Y1179" i="6" s="1"/>
  <c r="Z1179" i="6" s="1"/>
  <c r="H907" i="1"/>
  <c r="N907" i="1" s="1"/>
  <c r="AB907" i="1" s="1"/>
  <c r="AB1180" i="6" s="1"/>
  <c r="R907" i="1"/>
  <c r="R1180" i="6" s="1"/>
  <c r="Y1180" i="6" s="1"/>
  <c r="Z1180" i="6" s="1"/>
  <c r="X907" i="1"/>
  <c r="X1180" i="6" s="1"/>
  <c r="D909" i="1"/>
  <c r="E909" i="1"/>
  <c r="F909" i="1"/>
  <c r="I909" i="1"/>
  <c r="J909" i="1"/>
  <c r="K909" i="1"/>
  <c r="L909" i="1"/>
  <c r="O909" i="1"/>
  <c r="P909" i="1"/>
  <c r="S909" i="1"/>
  <c r="T909" i="1"/>
  <c r="U909" i="1"/>
  <c r="V909" i="1"/>
  <c r="H911" i="1"/>
  <c r="N911" i="1" s="1"/>
  <c r="R911" i="1"/>
  <c r="H912" i="1"/>
  <c r="N912" i="1" s="1"/>
  <c r="O912" i="1"/>
  <c r="D913" i="1"/>
  <c r="H913" i="1"/>
  <c r="N913" i="1" s="1"/>
  <c r="R913" i="1"/>
  <c r="R1191" i="6"/>
  <c r="D915" i="1"/>
  <c r="E915" i="1"/>
  <c r="F915" i="1"/>
  <c r="I915" i="1"/>
  <c r="J915" i="1"/>
  <c r="K915" i="1"/>
  <c r="L915" i="1"/>
  <c r="P915" i="1"/>
  <c r="S915" i="1"/>
  <c r="T915" i="1"/>
  <c r="U915" i="1"/>
  <c r="V915" i="1"/>
  <c r="H918" i="1"/>
  <c r="N918" i="1" s="1"/>
  <c r="R918" i="1"/>
  <c r="X918" i="1"/>
  <c r="H919" i="1"/>
  <c r="N919" i="1" s="1"/>
  <c r="AB919" i="1" s="1"/>
  <c r="AB1198" i="6" s="1"/>
  <c r="R919" i="1"/>
  <c r="X919" i="1" s="1"/>
  <c r="X1198" i="6" s="1"/>
  <c r="R1198" i="6"/>
  <c r="H920" i="1"/>
  <c r="N920" i="1"/>
  <c r="R920" i="1"/>
  <c r="D921" i="1"/>
  <c r="AD959" i="1" s="1"/>
  <c r="H921" i="1"/>
  <c r="N921" i="1" s="1"/>
  <c r="O921" i="1"/>
  <c r="D922" i="1"/>
  <c r="H922" i="1"/>
  <c r="O922" i="1"/>
  <c r="O1203" i="6"/>
  <c r="D923" i="1"/>
  <c r="H923" i="1"/>
  <c r="N923" i="1" s="1"/>
  <c r="R923" i="1"/>
  <c r="E925" i="1"/>
  <c r="F925" i="1"/>
  <c r="I925" i="1"/>
  <c r="J925" i="1"/>
  <c r="K925" i="1"/>
  <c r="L925" i="1"/>
  <c r="P925" i="1"/>
  <c r="S925" i="1"/>
  <c r="T925" i="1"/>
  <c r="U925" i="1"/>
  <c r="V925" i="1"/>
  <c r="H929" i="1"/>
  <c r="R929" i="1"/>
  <c r="H930" i="1"/>
  <c r="H1211" i="6" s="1"/>
  <c r="Y1211" i="6" s="1"/>
  <c r="Z1211" i="6" s="1"/>
  <c r="N930" i="1"/>
  <c r="R930" i="1"/>
  <c r="Y930" i="1"/>
  <c r="Z930" i="1" s="1"/>
  <c r="H931" i="1"/>
  <c r="H1212" i="6" s="1"/>
  <c r="N931" i="1"/>
  <c r="R931" i="1"/>
  <c r="Y931" i="1"/>
  <c r="Z931" i="1" s="1"/>
  <c r="H932" i="1"/>
  <c r="H1213" i="6" s="1"/>
  <c r="N932" i="1"/>
  <c r="R932" i="1"/>
  <c r="Y932" i="1"/>
  <c r="Z932" i="1" s="1"/>
  <c r="D934" i="1"/>
  <c r="E934" i="1"/>
  <c r="F934" i="1"/>
  <c r="I934" i="1"/>
  <c r="J934" i="1"/>
  <c r="K934" i="1"/>
  <c r="L934" i="1"/>
  <c r="O934" i="1"/>
  <c r="P934" i="1"/>
  <c r="S934" i="1"/>
  <c r="T934" i="1"/>
  <c r="U934" i="1"/>
  <c r="V934" i="1"/>
  <c r="D936" i="1"/>
  <c r="H936" i="1"/>
  <c r="N936" i="1" s="1"/>
  <c r="O936" i="1"/>
  <c r="O1217" i="6" s="1"/>
  <c r="D937" i="1"/>
  <c r="H937" i="1"/>
  <c r="N937" i="1" s="1"/>
  <c r="O937" i="1"/>
  <c r="O1218" i="6" s="1"/>
  <c r="H938" i="1"/>
  <c r="N938" i="1" s="1"/>
  <c r="R938" i="1"/>
  <c r="H939" i="1"/>
  <c r="O939" i="1"/>
  <c r="O1227" i="6" s="1"/>
  <c r="H940" i="1"/>
  <c r="N940" i="1"/>
  <c r="AB940" i="1" s="1"/>
  <c r="R940" i="1"/>
  <c r="X940" i="1" s="1"/>
  <c r="X1228" i="6"/>
  <c r="AB1228" i="6"/>
  <c r="H941" i="1"/>
  <c r="N941" i="1" s="1"/>
  <c r="R941" i="1"/>
  <c r="X941" i="1"/>
  <c r="E943" i="1"/>
  <c r="F943" i="1"/>
  <c r="I943" i="1"/>
  <c r="J943" i="1"/>
  <c r="K943" i="1"/>
  <c r="L943" i="1"/>
  <c r="P943" i="1"/>
  <c r="P969" i="1" s="1"/>
  <c r="P1265" i="1" s="1"/>
  <c r="S943" i="1"/>
  <c r="T943" i="1"/>
  <c r="U943" i="1"/>
  <c r="V943" i="1"/>
  <c r="H947" i="1"/>
  <c r="N947" i="1" s="1"/>
  <c r="R947" i="1"/>
  <c r="H948" i="1"/>
  <c r="N948" i="1" s="1"/>
  <c r="R948" i="1"/>
  <c r="R953" i="1" s="1"/>
  <c r="H949" i="1"/>
  <c r="N949" i="1"/>
  <c r="R949" i="1"/>
  <c r="H950" i="1"/>
  <c r="N950" i="1" s="1"/>
  <c r="N1241" i="6" s="1"/>
  <c r="R950" i="1"/>
  <c r="H951" i="1"/>
  <c r="N951" i="1" s="1"/>
  <c r="R951" i="1"/>
  <c r="D953" i="1"/>
  <c r="E953" i="1"/>
  <c r="F953" i="1"/>
  <c r="I953" i="1"/>
  <c r="J953" i="1"/>
  <c r="K953" i="1"/>
  <c r="L953" i="1"/>
  <c r="O953" i="1"/>
  <c r="P953" i="1"/>
  <c r="S953" i="1"/>
  <c r="T953" i="1"/>
  <c r="U953" i="1"/>
  <c r="V953" i="1"/>
  <c r="R955" i="1"/>
  <c r="R1246" i="6" s="1"/>
  <c r="Y955" i="1"/>
  <c r="Y1246" i="6" s="1"/>
  <c r="AF956" i="1"/>
  <c r="AH956" i="1"/>
  <c r="AJ956" i="1"/>
  <c r="AK956" i="1"/>
  <c r="AM956" i="1"/>
  <c r="H957" i="1"/>
  <c r="N957" i="1" s="1"/>
  <c r="R957" i="1"/>
  <c r="Y957" i="1" s="1"/>
  <c r="AE957" i="1"/>
  <c r="AF957" i="1"/>
  <c r="AH957" i="1"/>
  <c r="AK957" i="1"/>
  <c r="AM957" i="1"/>
  <c r="H958" i="1"/>
  <c r="N958" i="1" s="1"/>
  <c r="R958" i="1"/>
  <c r="AD958" i="1"/>
  <c r="AE958" i="1"/>
  <c r="AF958" i="1"/>
  <c r="AH958" i="1"/>
  <c r="AJ958" i="1"/>
  <c r="AL958" i="1" s="1"/>
  <c r="AN958" i="1" s="1"/>
  <c r="AK958" i="1"/>
  <c r="AM958" i="1"/>
  <c r="H959" i="1"/>
  <c r="N959" i="1" s="1"/>
  <c r="R959" i="1"/>
  <c r="AE959" i="1"/>
  <c r="AF959" i="1"/>
  <c r="AH959" i="1"/>
  <c r="AK959" i="1"/>
  <c r="AM959" i="1"/>
  <c r="AD960" i="1"/>
  <c r="AE960" i="1"/>
  <c r="AF960" i="1"/>
  <c r="AH960" i="1"/>
  <c r="AJ960" i="1"/>
  <c r="AL960" i="1" s="1"/>
  <c r="AN960" i="1" s="1"/>
  <c r="AK960" i="1"/>
  <c r="AM960" i="1"/>
  <c r="D961" i="1"/>
  <c r="E961" i="1"/>
  <c r="F961" i="1"/>
  <c r="I961" i="1"/>
  <c r="J961" i="1"/>
  <c r="K961" i="1"/>
  <c r="K969" i="1" s="1"/>
  <c r="K1265" i="1" s="1"/>
  <c r="L961" i="1"/>
  <c r="O961" i="1"/>
  <c r="P961" i="1"/>
  <c r="S961" i="1"/>
  <c r="T961" i="1"/>
  <c r="U961" i="1"/>
  <c r="V961" i="1"/>
  <c r="AD961" i="1"/>
  <c r="AE961" i="1"/>
  <c r="AG961" i="1"/>
  <c r="AF961" i="1"/>
  <c r="AH961" i="1"/>
  <c r="AK961" i="1"/>
  <c r="AM961" i="1"/>
  <c r="AD962" i="1"/>
  <c r="AE962" i="1"/>
  <c r="AG962" i="1" s="1"/>
  <c r="AF962" i="1"/>
  <c r="AH962" i="1"/>
  <c r="AJ962" i="1"/>
  <c r="AK962" i="1"/>
  <c r="AL962" i="1" s="1"/>
  <c r="AN962" i="1" s="1"/>
  <c r="AM962" i="1"/>
  <c r="H963" i="1"/>
  <c r="N963" i="1" s="1"/>
  <c r="N1267" i="6" s="1"/>
  <c r="O963" i="1"/>
  <c r="AD963" i="1"/>
  <c r="AE963" i="1"/>
  <c r="AF963" i="1"/>
  <c r="AG963" i="1" s="1"/>
  <c r="AH963" i="1"/>
  <c r="AJ963" i="1"/>
  <c r="AL963" i="1" s="1"/>
  <c r="AN963" i="1" s="1"/>
  <c r="AK963" i="1"/>
  <c r="AM963" i="1"/>
  <c r="D964" i="1"/>
  <c r="E964" i="1"/>
  <c r="R964" i="1"/>
  <c r="X964" i="1" s="1"/>
  <c r="X1270" i="6" s="1"/>
  <c r="H965" i="1"/>
  <c r="R965" i="1"/>
  <c r="AD965" i="1"/>
  <c r="AE965" i="1"/>
  <c r="AF965" i="1"/>
  <c r="AH965" i="1"/>
  <c r="AK965" i="1"/>
  <c r="AM965" i="1"/>
  <c r="AD966" i="1"/>
  <c r="AE966" i="1"/>
  <c r="AG966" i="1"/>
  <c r="AI966" i="1" s="1"/>
  <c r="AF966" i="1"/>
  <c r="AH966" i="1"/>
  <c r="AJ966" i="1"/>
  <c r="AK966" i="1"/>
  <c r="AM966" i="1"/>
  <c r="F967" i="1"/>
  <c r="I967" i="1"/>
  <c r="J967" i="1"/>
  <c r="K967" i="1"/>
  <c r="L967" i="1"/>
  <c r="O967" i="1"/>
  <c r="P967" i="1"/>
  <c r="S967" i="1"/>
  <c r="T967" i="1"/>
  <c r="U967" i="1"/>
  <c r="V967" i="1"/>
  <c r="AD967" i="1"/>
  <c r="D1181" i="1" s="1"/>
  <c r="AE967" i="1"/>
  <c r="AF967" i="1"/>
  <c r="AH967" i="1"/>
  <c r="AJ967" i="1"/>
  <c r="J1181" i="1" s="1"/>
  <c r="J1550" i="6" s="1"/>
  <c r="AK967" i="1"/>
  <c r="K1181" i="1"/>
  <c r="K1550" i="6" s="1"/>
  <c r="AM967" i="1"/>
  <c r="V1181" i="1" s="1"/>
  <c r="V1550" i="6" s="1"/>
  <c r="AD968" i="1"/>
  <c r="AE968" i="1"/>
  <c r="AF968" i="1"/>
  <c r="AH968" i="1"/>
  <c r="AJ968" i="1"/>
  <c r="AK968" i="1"/>
  <c r="AL968" i="1"/>
  <c r="AN968" i="1" s="1"/>
  <c r="AM968" i="1"/>
  <c r="V1208" i="1" s="1"/>
  <c r="V1581" i="6" s="1"/>
  <c r="H974" i="1"/>
  <c r="N974" i="1" s="1"/>
  <c r="R974" i="1"/>
  <c r="X974" i="1" s="1"/>
  <c r="H975" i="1"/>
  <c r="N975" i="1" s="1"/>
  <c r="R975" i="1"/>
  <c r="H976" i="1"/>
  <c r="N976" i="1" s="1"/>
  <c r="R976" i="1"/>
  <c r="D978" i="1"/>
  <c r="E978" i="1"/>
  <c r="F978" i="1"/>
  <c r="F1024" i="1" s="1"/>
  <c r="F1267" i="1" s="1"/>
  <c r="I978" i="1"/>
  <c r="J978" i="1"/>
  <c r="K978" i="1"/>
  <c r="L978" i="1"/>
  <c r="O978" i="1"/>
  <c r="P978" i="1"/>
  <c r="S978" i="1"/>
  <c r="T978" i="1"/>
  <c r="U978" i="1"/>
  <c r="V978" i="1"/>
  <c r="D980" i="1"/>
  <c r="D987" i="1" s="1"/>
  <c r="H980" i="1"/>
  <c r="N980" i="1" s="1"/>
  <c r="R980" i="1"/>
  <c r="X980" i="1" s="1"/>
  <c r="X1298" i="6" s="1"/>
  <c r="H981" i="1"/>
  <c r="R981" i="1"/>
  <c r="X981" i="1" s="1"/>
  <c r="X1301" i="6" s="1"/>
  <c r="H982" i="1"/>
  <c r="N982" i="1" s="1"/>
  <c r="R982" i="1"/>
  <c r="Y982" i="1" s="1"/>
  <c r="Z982" i="1" s="1"/>
  <c r="X982" i="1"/>
  <c r="X1302" i="6" s="1"/>
  <c r="H983" i="1"/>
  <c r="N983" i="1" s="1"/>
  <c r="R983" i="1"/>
  <c r="X983" i="1"/>
  <c r="X1307" i="6" s="1"/>
  <c r="H984" i="1"/>
  <c r="Y984" i="1" s="1"/>
  <c r="Z984" i="1" s="1"/>
  <c r="R984" i="1"/>
  <c r="X984" i="1"/>
  <c r="X1308" i="6" s="1"/>
  <c r="H985" i="1"/>
  <c r="N985" i="1" s="1"/>
  <c r="R985" i="1"/>
  <c r="X985" i="1" s="1"/>
  <c r="X1309" i="6" s="1"/>
  <c r="E987" i="1"/>
  <c r="F987" i="1"/>
  <c r="I987" i="1"/>
  <c r="J987" i="1"/>
  <c r="K987" i="1"/>
  <c r="L987" i="1"/>
  <c r="O987" i="1"/>
  <c r="P987" i="1"/>
  <c r="S987" i="1"/>
  <c r="T987" i="1"/>
  <c r="U987" i="1"/>
  <c r="V987" i="1"/>
  <c r="H989" i="1"/>
  <c r="N989" i="1" s="1"/>
  <c r="R989" i="1"/>
  <c r="H990" i="1"/>
  <c r="R990" i="1"/>
  <c r="H991" i="1"/>
  <c r="R991" i="1"/>
  <c r="X991" i="1"/>
  <c r="X1317" i="6" s="1"/>
  <c r="D992" i="1"/>
  <c r="E992" i="1"/>
  <c r="E1318" i="6" s="1"/>
  <c r="R992" i="1"/>
  <c r="D993" i="1"/>
  <c r="AD1019" i="1" s="1"/>
  <c r="H993" i="1"/>
  <c r="R993" i="1"/>
  <c r="X993" i="1" s="1"/>
  <c r="X1320" i="6" s="1"/>
  <c r="H994" i="1"/>
  <c r="N994" i="1"/>
  <c r="N1321" i="6" s="1"/>
  <c r="O994" i="1"/>
  <c r="O1321" i="6" s="1"/>
  <c r="E996" i="1"/>
  <c r="F996" i="1"/>
  <c r="I996" i="1"/>
  <c r="J996" i="1"/>
  <c r="K996" i="1"/>
  <c r="L996" i="1"/>
  <c r="O996" i="1"/>
  <c r="P996" i="1"/>
  <c r="S996" i="1"/>
  <c r="T996" i="1"/>
  <c r="U996" i="1"/>
  <c r="V996" i="1"/>
  <c r="D998" i="1"/>
  <c r="D1002" i="1" s="1"/>
  <c r="H998" i="1"/>
  <c r="N998" i="1" s="1"/>
  <c r="N1325" i="6" s="1"/>
  <c r="O998" i="1"/>
  <c r="O1325" i="6"/>
  <c r="H999" i="1"/>
  <c r="R999" i="1"/>
  <c r="X999" i="1" s="1"/>
  <c r="X1328" i="6" s="1"/>
  <c r="H1000" i="1"/>
  <c r="R1000" i="1"/>
  <c r="X1000" i="1" s="1"/>
  <c r="X1329" i="6" s="1"/>
  <c r="E1002" i="1"/>
  <c r="F1002" i="1"/>
  <c r="I1002" i="1"/>
  <c r="J1002" i="1"/>
  <c r="K1002" i="1"/>
  <c r="L1002" i="1"/>
  <c r="O1002" i="1"/>
  <c r="P1002" i="1"/>
  <c r="S1002" i="1"/>
  <c r="T1002" i="1"/>
  <c r="U1002" i="1"/>
  <c r="V1002" i="1"/>
  <c r="B1003" i="1"/>
  <c r="R1004" i="1"/>
  <c r="H1006" i="1"/>
  <c r="N1006" i="1" s="1"/>
  <c r="N1335" i="6" s="1"/>
  <c r="O1006" i="1"/>
  <c r="O1335" i="6" s="1"/>
  <c r="R1008" i="1"/>
  <c r="H1009" i="1"/>
  <c r="N1009" i="1" s="1"/>
  <c r="N1340" i="6" s="1"/>
  <c r="R1009" i="1"/>
  <c r="H1010" i="1"/>
  <c r="N1010" i="1"/>
  <c r="R1010" i="1"/>
  <c r="X1010" i="1" s="1"/>
  <c r="X1341" i="6" s="1"/>
  <c r="Y1010" i="1"/>
  <c r="Z1010" i="1" s="1"/>
  <c r="H1011" i="1"/>
  <c r="R1011" i="1"/>
  <c r="H1012" i="1"/>
  <c r="N1012" i="1" s="1"/>
  <c r="O1012" i="1"/>
  <c r="O1348" i="6" s="1"/>
  <c r="R1012" i="1"/>
  <c r="Y1012" i="1" s="1"/>
  <c r="Z1012" i="1" s="1"/>
  <c r="D1013" i="1"/>
  <c r="D1349" i="6" s="1"/>
  <c r="H1013" i="1"/>
  <c r="N1013" i="1"/>
  <c r="R1013" i="1"/>
  <c r="Y1013" i="1" s="1"/>
  <c r="Z1013" i="1" s="1"/>
  <c r="AD1013" i="1"/>
  <c r="AE1013" i="1"/>
  <c r="AG1013" i="1"/>
  <c r="AI1013" i="1" s="1"/>
  <c r="AF1013" i="1"/>
  <c r="AH1013" i="1"/>
  <c r="AJ1013" i="1"/>
  <c r="AK1013" i="1"/>
  <c r="AM1013" i="1"/>
  <c r="AE1014" i="1"/>
  <c r="AF1014" i="1"/>
  <c r="AH1014" i="1"/>
  <c r="AJ1014" i="1"/>
  <c r="AK1014" i="1"/>
  <c r="AL1014" i="1" s="1"/>
  <c r="AN1014" i="1" s="1"/>
  <c r="AM1014" i="1"/>
  <c r="E1015" i="1"/>
  <c r="F1015" i="1"/>
  <c r="I1015" i="1"/>
  <c r="J1015" i="1"/>
  <c r="K1015" i="1"/>
  <c r="L1015" i="1"/>
  <c r="O1015" i="1"/>
  <c r="P1015" i="1"/>
  <c r="S1015" i="1"/>
  <c r="T1015" i="1"/>
  <c r="U1015" i="1"/>
  <c r="V1015" i="1"/>
  <c r="AD1015" i="1"/>
  <c r="AE1015" i="1"/>
  <c r="AG1015" i="1"/>
  <c r="AF1015" i="1"/>
  <c r="AH1015" i="1"/>
  <c r="AJ1015" i="1"/>
  <c r="AK1015" i="1"/>
  <c r="AL1015" i="1" s="1"/>
  <c r="AN1015" i="1" s="1"/>
  <c r="AM1015" i="1"/>
  <c r="AE1016" i="1"/>
  <c r="AF1016" i="1"/>
  <c r="AH1016" i="1"/>
  <c r="AK1016" i="1"/>
  <c r="AM1016" i="1"/>
  <c r="D1017" i="1"/>
  <c r="H1017" i="1"/>
  <c r="N1017" i="1" s="1"/>
  <c r="N1354" i="6" s="1"/>
  <c r="O1017" i="1"/>
  <c r="O1354" i="6" s="1"/>
  <c r="R1017" i="1"/>
  <c r="Y1017" i="1" s="1"/>
  <c r="AD1017" i="1"/>
  <c r="AE1017" i="1"/>
  <c r="AF1017" i="1"/>
  <c r="AH1017" i="1"/>
  <c r="AJ1017" i="1"/>
  <c r="AL1017" i="1" s="1"/>
  <c r="AN1017" i="1" s="1"/>
  <c r="AK1017" i="1"/>
  <c r="AM1017" i="1"/>
  <c r="AM1024" i="1" s="1"/>
  <c r="H1018" i="1"/>
  <c r="R1018" i="1"/>
  <c r="D1019" i="1"/>
  <c r="H1019" i="1"/>
  <c r="N1019" i="1"/>
  <c r="N1357" i="6" s="1"/>
  <c r="O1019" i="1"/>
  <c r="O1357" i="6" s="1"/>
  <c r="AE1019" i="1"/>
  <c r="AF1019" i="1"/>
  <c r="AH1019" i="1"/>
  <c r="AJ1019" i="1"/>
  <c r="AK1019" i="1"/>
  <c r="AL1019" i="1" s="1"/>
  <c r="AN1019" i="1" s="1"/>
  <c r="AM1019" i="1"/>
  <c r="H1020" i="1"/>
  <c r="N1020" i="1" s="1"/>
  <c r="N1358" i="6" s="1"/>
  <c r="O1020" i="1"/>
  <c r="R1020" i="1" s="1"/>
  <c r="AD1020" i="1"/>
  <c r="AE1020" i="1"/>
  <c r="AF1020" i="1"/>
  <c r="AH1020" i="1"/>
  <c r="AK1020" i="1"/>
  <c r="AM1020" i="1"/>
  <c r="AD1021" i="1"/>
  <c r="AE1021" i="1"/>
  <c r="AG1021" i="1"/>
  <c r="AI1021" i="1" s="1"/>
  <c r="AF1021" i="1"/>
  <c r="AH1021" i="1"/>
  <c r="AJ1021" i="1"/>
  <c r="AK1021" i="1"/>
  <c r="AM1021" i="1"/>
  <c r="E1022" i="1"/>
  <c r="F1022" i="1"/>
  <c r="I1022" i="1"/>
  <c r="J1022" i="1"/>
  <c r="K1022" i="1"/>
  <c r="L1022" i="1"/>
  <c r="P1022" i="1"/>
  <c r="S1022" i="1"/>
  <c r="T1022" i="1"/>
  <c r="U1022" i="1"/>
  <c r="V1022" i="1"/>
  <c r="AE1022" i="1"/>
  <c r="AF1022" i="1"/>
  <c r="AG1022" i="1" s="1"/>
  <c r="AH1022" i="1"/>
  <c r="AK1022" i="1"/>
  <c r="AM1022" i="1"/>
  <c r="AE1023" i="1"/>
  <c r="AG1023" i="1" s="1"/>
  <c r="AF1023" i="1"/>
  <c r="AH1023" i="1"/>
  <c r="AK1023" i="1"/>
  <c r="AM1023" i="1"/>
  <c r="K1024" i="1"/>
  <c r="K1267" i="1" s="1"/>
  <c r="U1024" i="1"/>
  <c r="U1267" i="1" s="1"/>
  <c r="H1031" i="1"/>
  <c r="R1031" i="1"/>
  <c r="Y1031" i="1" s="1"/>
  <c r="Z1031" i="1" s="1"/>
  <c r="X1031" i="1"/>
  <c r="X1369" i="6" s="1"/>
  <c r="D1032" i="1"/>
  <c r="D1036" i="1" s="1"/>
  <c r="E1032" i="1"/>
  <c r="E1370" i="6"/>
  <c r="R1032" i="1"/>
  <c r="H1033" i="1"/>
  <c r="N1033" i="1" s="1"/>
  <c r="N1373" i="6" s="1"/>
  <c r="R1033" i="1"/>
  <c r="Y1033" i="1" s="1"/>
  <c r="Z1033" i="1" s="1"/>
  <c r="H1034" i="1"/>
  <c r="N1034" i="1" s="1"/>
  <c r="N1374" i="6" s="1"/>
  <c r="R1034" i="1"/>
  <c r="Y1034" i="1"/>
  <c r="Z1034" i="1" s="1"/>
  <c r="E1036" i="1"/>
  <c r="F1036" i="1"/>
  <c r="I1036" i="1"/>
  <c r="J1036" i="1"/>
  <c r="K1036" i="1"/>
  <c r="L1036" i="1"/>
  <c r="O1036" i="1"/>
  <c r="P1036" i="1"/>
  <c r="S1036" i="1"/>
  <c r="T1036" i="1"/>
  <c r="U1036" i="1"/>
  <c r="V1036" i="1"/>
  <c r="H1039" i="1"/>
  <c r="N1039" i="1" s="1"/>
  <c r="R1039" i="1"/>
  <c r="X1039" i="1" s="1"/>
  <c r="X1379" i="6" s="1"/>
  <c r="D1040" i="1"/>
  <c r="E1040" i="1"/>
  <c r="E1380" i="6" s="1"/>
  <c r="R1040" i="1"/>
  <c r="X1040" i="1" s="1"/>
  <c r="X1380" i="6" s="1"/>
  <c r="H1041" i="1"/>
  <c r="N1041" i="1"/>
  <c r="R1041" i="1"/>
  <c r="D1042" i="1"/>
  <c r="AD1069" i="1" s="1"/>
  <c r="H1042" i="1"/>
  <c r="N1042" i="1" s="1"/>
  <c r="R1042" i="1"/>
  <c r="Y1042" i="1" s="1"/>
  <c r="Z1042" i="1" s="1"/>
  <c r="D1043" i="1"/>
  <c r="AD1071" i="1" s="1"/>
  <c r="H1043" i="1"/>
  <c r="N1043" i="1" s="1"/>
  <c r="N1385" i="6" s="1"/>
  <c r="O1043" i="1"/>
  <c r="O1385" i="6" s="1"/>
  <c r="AL1420" i="6" s="1"/>
  <c r="F1045" i="1"/>
  <c r="I1045" i="1"/>
  <c r="J1045" i="1"/>
  <c r="K1045" i="1"/>
  <c r="L1045" i="1"/>
  <c r="L1075" i="1" s="1"/>
  <c r="L1269" i="1" s="1"/>
  <c r="P1045" i="1"/>
  <c r="S1045" i="1"/>
  <c r="T1045" i="1"/>
  <c r="U1045" i="1"/>
  <c r="V1045" i="1"/>
  <c r="H1048" i="1"/>
  <c r="N1048" i="1"/>
  <c r="R1048" i="1"/>
  <c r="H1049" i="1"/>
  <c r="N1049" i="1" s="1"/>
  <c r="R1049" i="1"/>
  <c r="D1051" i="1"/>
  <c r="E1051" i="1"/>
  <c r="F1051" i="1"/>
  <c r="I1051" i="1"/>
  <c r="J1051" i="1"/>
  <c r="K1051" i="1"/>
  <c r="L1051" i="1"/>
  <c r="O1051" i="1"/>
  <c r="P1051" i="1"/>
  <c r="S1051" i="1"/>
  <c r="T1051" i="1"/>
  <c r="U1051" i="1"/>
  <c r="V1051" i="1"/>
  <c r="H1054" i="1"/>
  <c r="L1054" i="1"/>
  <c r="R1054" i="1"/>
  <c r="X1054" i="1" s="1"/>
  <c r="Y1054" i="1"/>
  <c r="Z1054" i="1" s="1"/>
  <c r="H1055" i="1"/>
  <c r="R1055" i="1"/>
  <c r="X1055" i="1" s="1"/>
  <c r="X1397" i="6" s="1"/>
  <c r="D1057" i="1"/>
  <c r="E1057" i="1"/>
  <c r="F1057" i="1"/>
  <c r="I1057" i="1"/>
  <c r="J1057" i="1"/>
  <c r="K1057" i="1"/>
  <c r="O1057" i="1"/>
  <c r="P1057" i="1"/>
  <c r="S1057" i="1"/>
  <c r="T1057" i="1"/>
  <c r="U1057" i="1"/>
  <c r="V1057" i="1"/>
  <c r="H1060" i="1"/>
  <c r="R1060" i="1"/>
  <c r="X1060" i="1" s="1"/>
  <c r="X1402" i="6" s="1"/>
  <c r="D1061" i="1"/>
  <c r="E1061" i="1"/>
  <c r="E1064" i="1" s="1"/>
  <c r="E1407" i="6"/>
  <c r="R1061" i="1"/>
  <c r="D1062" i="1"/>
  <c r="H1062" i="1"/>
  <c r="N1062" i="1"/>
  <c r="R1062" i="1"/>
  <c r="X1062" i="1" s="1"/>
  <c r="Y1062" i="1"/>
  <c r="D1064" i="1"/>
  <c r="F1064" i="1"/>
  <c r="I1064" i="1"/>
  <c r="I1075" i="1" s="1"/>
  <c r="I1269" i="1" s="1"/>
  <c r="J1064" i="1"/>
  <c r="K1064" i="1"/>
  <c r="L1064" i="1"/>
  <c r="O1064" i="1"/>
  <c r="P1064" i="1"/>
  <c r="S1064" i="1"/>
  <c r="T1064" i="1"/>
  <c r="U1064" i="1"/>
  <c r="V1064" i="1"/>
  <c r="AD1065" i="1"/>
  <c r="AE1065" i="1"/>
  <c r="AF1065" i="1"/>
  <c r="AH1065" i="1"/>
  <c r="AJ1065" i="1"/>
  <c r="AK1065" i="1"/>
  <c r="AM1065" i="1"/>
  <c r="AN1065" i="1"/>
  <c r="P1066" i="1"/>
  <c r="AD1066" i="1"/>
  <c r="D1211" i="1" s="1"/>
  <c r="AE1066" i="1"/>
  <c r="AG1066" i="1" s="1"/>
  <c r="AF1066" i="1"/>
  <c r="F1211" i="1" s="1"/>
  <c r="AH1066" i="1"/>
  <c r="AI1066" i="1"/>
  <c r="AJ1066" i="1"/>
  <c r="AK1066" i="1"/>
  <c r="AM1066" i="1"/>
  <c r="V1211" i="1" s="1"/>
  <c r="V1584" i="6" s="1"/>
  <c r="AP1066" i="1"/>
  <c r="H1067" i="1"/>
  <c r="X1067" i="1"/>
  <c r="AD1067" i="1"/>
  <c r="AE1067" i="1"/>
  <c r="AF1067" i="1"/>
  <c r="AJ1067" i="1"/>
  <c r="AK1067" i="1"/>
  <c r="AL1067" i="1"/>
  <c r="AN1067" i="1" s="1"/>
  <c r="AM1067" i="1"/>
  <c r="H1068" i="1"/>
  <c r="N1068" i="1" s="1"/>
  <c r="X1068" i="1"/>
  <c r="X1418" i="6" s="1"/>
  <c r="Y1068" i="1"/>
  <c r="Z1068" i="1" s="1"/>
  <c r="AF1068" i="1"/>
  <c r="AH1068" i="1"/>
  <c r="AJ1068" i="1"/>
  <c r="AK1068" i="1"/>
  <c r="AM1068" i="1"/>
  <c r="H1069" i="1"/>
  <c r="X1069" i="1"/>
  <c r="X1419" i="6" s="1"/>
  <c r="AE1069" i="1"/>
  <c r="AG1069" i="1" s="1"/>
  <c r="AF1069" i="1"/>
  <c r="AH1069" i="1"/>
  <c r="AJ1069" i="1"/>
  <c r="AK1069" i="1"/>
  <c r="AM1069" i="1"/>
  <c r="H1070" i="1"/>
  <c r="N1070" i="1"/>
  <c r="N1420" i="6" s="1"/>
  <c r="X1070" i="1"/>
  <c r="Y1070" i="1"/>
  <c r="Z1070" i="1"/>
  <c r="AD1070" i="1"/>
  <c r="AE1070" i="1"/>
  <c r="AG1070" i="1" s="1"/>
  <c r="AF1070" i="1"/>
  <c r="AH1070" i="1"/>
  <c r="AJ1070" i="1"/>
  <c r="AL1070" i="1" s="1"/>
  <c r="AK1070" i="1"/>
  <c r="AM1070" i="1"/>
  <c r="V1203" i="1" s="1"/>
  <c r="V1576" i="6" s="1"/>
  <c r="AE1071" i="1"/>
  <c r="AF1071" i="1"/>
  <c r="AG1071" i="1"/>
  <c r="AH1071" i="1"/>
  <c r="AJ1071" i="1"/>
  <c r="AL1071" i="1" s="1"/>
  <c r="AK1071" i="1"/>
  <c r="AM1071" i="1"/>
  <c r="D1072" i="1"/>
  <c r="E1072" i="1"/>
  <c r="F1072" i="1"/>
  <c r="I1072" i="1"/>
  <c r="J1072" i="1"/>
  <c r="K1072" i="1"/>
  <c r="L1072" i="1"/>
  <c r="O1072" i="1"/>
  <c r="P1072" i="1"/>
  <c r="R1072" i="1"/>
  <c r="S1072" i="1"/>
  <c r="T1072" i="1"/>
  <c r="U1072" i="1"/>
  <c r="V1072" i="1"/>
  <c r="AD1072" i="1"/>
  <c r="AE1072" i="1"/>
  <c r="AF1072" i="1"/>
  <c r="AH1072" i="1"/>
  <c r="AJ1072" i="1"/>
  <c r="AK1072" i="1"/>
  <c r="AM1072" i="1"/>
  <c r="AD1073" i="1"/>
  <c r="AE1073" i="1"/>
  <c r="AG1073" i="1"/>
  <c r="AF1073" i="1"/>
  <c r="AJ1073" i="1"/>
  <c r="AL1073" i="1" s="1"/>
  <c r="AK1073" i="1"/>
  <c r="AM1073" i="1"/>
  <c r="D1082" i="1"/>
  <c r="H1082" i="1"/>
  <c r="N1082" i="1" s="1"/>
  <c r="N1430" i="6" s="1"/>
  <c r="O1082" i="1"/>
  <c r="S1082" i="1"/>
  <c r="S1430" i="6" s="1"/>
  <c r="U1082" i="1"/>
  <c r="U1430" i="6" s="1"/>
  <c r="E1083" i="1"/>
  <c r="R1083" i="1"/>
  <c r="X1083" i="1" s="1"/>
  <c r="X1431" i="6" s="1"/>
  <c r="D1084" i="1"/>
  <c r="AD1103" i="1"/>
  <c r="E1084" i="1"/>
  <c r="E1432" i="6" s="1"/>
  <c r="AG1454" i="6" s="1"/>
  <c r="R1084" i="1"/>
  <c r="H1085" i="1"/>
  <c r="N1085" i="1" s="1"/>
  <c r="R1085" i="1"/>
  <c r="Y1085" i="1"/>
  <c r="Z1085" i="1" s="1"/>
  <c r="D1086" i="1"/>
  <c r="H1086" i="1"/>
  <c r="N1086" i="1" s="1"/>
  <c r="N1438" i="6" s="1"/>
  <c r="O1086" i="1"/>
  <c r="S1086" i="1"/>
  <c r="S1438" i="6" s="1"/>
  <c r="H1087" i="1"/>
  <c r="N1087" i="1"/>
  <c r="N1439" i="6" s="1"/>
  <c r="R1087" i="1"/>
  <c r="C1088" i="1"/>
  <c r="H1088" i="1"/>
  <c r="N1088" i="1"/>
  <c r="N1440" i="6" s="1"/>
  <c r="R1088" i="1"/>
  <c r="Y1088" i="1" s="1"/>
  <c r="Z1088" i="1" s="1"/>
  <c r="E1090" i="1"/>
  <c r="F1090" i="1"/>
  <c r="I1090" i="1"/>
  <c r="J1090" i="1"/>
  <c r="K1090" i="1"/>
  <c r="L1090" i="1"/>
  <c r="P1090" i="1"/>
  <c r="T1090" i="1"/>
  <c r="V1090" i="1"/>
  <c r="D1093" i="1"/>
  <c r="H1093" i="1"/>
  <c r="R1093" i="1"/>
  <c r="X1093" i="1" s="1"/>
  <c r="X1445" i="6" s="1"/>
  <c r="H1094" i="1"/>
  <c r="N1094" i="1"/>
  <c r="AB1094" i="1" s="1"/>
  <c r="AB1446" i="6" s="1"/>
  <c r="R1094" i="1"/>
  <c r="Y1094" i="1" s="1"/>
  <c r="X1094" i="1"/>
  <c r="Z1094" i="1"/>
  <c r="H1095" i="1"/>
  <c r="N1095" i="1" s="1"/>
  <c r="R1095" i="1"/>
  <c r="X1095" i="1"/>
  <c r="X1447" i="6" s="1"/>
  <c r="Y1095" i="1"/>
  <c r="Z1095" i="1" s="1"/>
  <c r="H1096" i="1"/>
  <c r="N1096" i="1"/>
  <c r="R1096" i="1"/>
  <c r="Y1096" i="1" s="1"/>
  <c r="Z1096" i="1" s="1"/>
  <c r="H1097" i="1"/>
  <c r="R1097" i="1"/>
  <c r="X1097" i="1" s="1"/>
  <c r="X1449" i="6" s="1"/>
  <c r="H1098" i="1"/>
  <c r="N1098" i="1" s="1"/>
  <c r="R1098" i="1"/>
  <c r="X1098" i="1" s="1"/>
  <c r="X1450" i="6" s="1"/>
  <c r="E1100" i="1"/>
  <c r="F1100" i="1"/>
  <c r="I1100" i="1"/>
  <c r="J1100" i="1"/>
  <c r="K1100" i="1"/>
  <c r="K1112" i="1" s="1"/>
  <c r="K1271" i="1" s="1"/>
  <c r="L1100" i="1"/>
  <c r="O1100" i="1"/>
  <c r="P1100" i="1"/>
  <c r="S1100" i="1"/>
  <c r="T1100" i="1"/>
  <c r="U1100" i="1"/>
  <c r="V1100" i="1"/>
  <c r="V1112" i="1" s="1"/>
  <c r="V1271" i="1" s="1"/>
  <c r="AD1102" i="1"/>
  <c r="AE1102" i="1"/>
  <c r="AF1102" i="1"/>
  <c r="AG1102" i="1"/>
  <c r="AI1102" i="1" s="1"/>
  <c r="AH1102" i="1"/>
  <c r="AJ1102" i="1"/>
  <c r="AK1102" i="1"/>
  <c r="AM1102" i="1"/>
  <c r="AM1112" i="1" s="1"/>
  <c r="H1103" i="1"/>
  <c r="N1103" i="1" s="1"/>
  <c r="R1103" i="1"/>
  <c r="AE1103" i="1"/>
  <c r="AG1103" i="1" s="1"/>
  <c r="AF1103" i="1"/>
  <c r="AH1103" i="1"/>
  <c r="AJ1103" i="1"/>
  <c r="AL1103" i="1"/>
  <c r="AN1103" i="1" s="1"/>
  <c r="AK1103" i="1"/>
  <c r="AM1103" i="1"/>
  <c r="D1104" i="1"/>
  <c r="AD1106" i="1" s="1"/>
  <c r="E1104" i="1"/>
  <c r="E1456" i="6" s="1"/>
  <c r="R1104" i="1"/>
  <c r="AE1104" i="1"/>
  <c r="AF1104" i="1"/>
  <c r="AG1104" i="1" s="1"/>
  <c r="AH1104" i="1"/>
  <c r="AK1104" i="1"/>
  <c r="AM1104" i="1"/>
  <c r="H1105" i="1"/>
  <c r="N1105" i="1" s="1"/>
  <c r="N1458" i="6" s="1"/>
  <c r="R1105" i="1"/>
  <c r="X1105" i="1" s="1"/>
  <c r="AD1105" i="1"/>
  <c r="AE1105" i="1"/>
  <c r="AF1105" i="1"/>
  <c r="AG1105" i="1" s="1"/>
  <c r="AI1105" i="1" s="1"/>
  <c r="AH1105" i="1"/>
  <c r="AJ1105" i="1"/>
  <c r="AK1105" i="1"/>
  <c r="AL1105" i="1" s="1"/>
  <c r="AM1105" i="1"/>
  <c r="H1106" i="1"/>
  <c r="N1106" i="1" s="1"/>
  <c r="R1106" i="1"/>
  <c r="AF1106" i="1"/>
  <c r="AH1106" i="1"/>
  <c r="AJ1106" i="1"/>
  <c r="AL1106" i="1" s="1"/>
  <c r="AK1106" i="1"/>
  <c r="AM1106" i="1"/>
  <c r="D1107" i="1"/>
  <c r="AD1107" i="1" s="1"/>
  <c r="H1107" i="1"/>
  <c r="N1107" i="1"/>
  <c r="N1461" i="6" s="1"/>
  <c r="O1107" i="1"/>
  <c r="AE1107" i="1"/>
  <c r="AG1107" i="1" s="1"/>
  <c r="AF1107" i="1"/>
  <c r="AH1107" i="1"/>
  <c r="AK1107" i="1"/>
  <c r="AM1107" i="1"/>
  <c r="AD1108" i="1"/>
  <c r="AE1108" i="1"/>
  <c r="AF1108" i="1"/>
  <c r="AH1108" i="1"/>
  <c r="AJ1108" i="1"/>
  <c r="AK1108" i="1"/>
  <c r="AL1108" i="1" s="1"/>
  <c r="AN1108" i="1" s="1"/>
  <c r="AM1108" i="1"/>
  <c r="F1109" i="1"/>
  <c r="I1109" i="1"/>
  <c r="I1112" i="1" s="1"/>
  <c r="I1271" i="1" s="1"/>
  <c r="J1109" i="1"/>
  <c r="K1109" i="1"/>
  <c r="L1109" i="1"/>
  <c r="O1109" i="1"/>
  <c r="P1109" i="1"/>
  <c r="S1109" i="1"/>
  <c r="T1109" i="1"/>
  <c r="U1109" i="1"/>
  <c r="V1109" i="1"/>
  <c r="AD1109" i="1"/>
  <c r="AE1109" i="1"/>
  <c r="AF1109" i="1"/>
  <c r="F1200" i="1" s="1"/>
  <c r="AH1109" i="1"/>
  <c r="AJ1109" i="1"/>
  <c r="AK1109" i="1"/>
  <c r="AL1109" i="1"/>
  <c r="AN1109" i="1" s="1"/>
  <c r="AM1109" i="1"/>
  <c r="B1110" i="1"/>
  <c r="AD1110" i="1"/>
  <c r="AE1110" i="1"/>
  <c r="AG1110" i="1" s="1"/>
  <c r="AI1110" i="1" s="1"/>
  <c r="AF1110" i="1"/>
  <c r="AH1110" i="1"/>
  <c r="AJ1110" i="1"/>
  <c r="AK1110" i="1"/>
  <c r="AM1110" i="1"/>
  <c r="D1111" i="1"/>
  <c r="D1465" i="6" s="1"/>
  <c r="O1111" i="1"/>
  <c r="O1465" i="6" s="1"/>
  <c r="AD1111" i="1"/>
  <c r="AE1111" i="1"/>
  <c r="AF1111" i="1"/>
  <c r="AG1111" i="1" s="1"/>
  <c r="AH1111" i="1"/>
  <c r="AJ1111" i="1"/>
  <c r="AK1111" i="1"/>
  <c r="AL1111" i="1" s="1"/>
  <c r="AM1111" i="1"/>
  <c r="F1112" i="1"/>
  <c r="F1271" i="1" s="1"/>
  <c r="L1112" i="1"/>
  <c r="L1271" i="1" s="1"/>
  <c r="P1112" i="1"/>
  <c r="P1271" i="1" s="1"/>
  <c r="D1117" i="1"/>
  <c r="H1117" i="1"/>
  <c r="N1117" i="1" s="1"/>
  <c r="R1117" i="1"/>
  <c r="H1118" i="1"/>
  <c r="N1118" i="1"/>
  <c r="AB1118" i="1" s="1"/>
  <c r="AB1473" i="6" s="1"/>
  <c r="R1118" i="1"/>
  <c r="H1119" i="1"/>
  <c r="N1119" i="1" s="1"/>
  <c r="R1119" i="1"/>
  <c r="X1119" i="1" s="1"/>
  <c r="X1474" i="6" s="1"/>
  <c r="D1120" i="1"/>
  <c r="E1120" i="1"/>
  <c r="E1475" i="6" s="1"/>
  <c r="R1120" i="1"/>
  <c r="H1121" i="1"/>
  <c r="R1121" i="1"/>
  <c r="H1122" i="1"/>
  <c r="N1122" i="1" s="1"/>
  <c r="N1479" i="6" s="1"/>
  <c r="R1122" i="1"/>
  <c r="F1124" i="1"/>
  <c r="I1124" i="1"/>
  <c r="J1124" i="1"/>
  <c r="K1124" i="1"/>
  <c r="L1124" i="1"/>
  <c r="O1124" i="1"/>
  <c r="P1124" i="1"/>
  <c r="S1124" i="1"/>
  <c r="T1124" i="1"/>
  <c r="U1124" i="1"/>
  <c r="V1124" i="1"/>
  <c r="H1127" i="1"/>
  <c r="O1127" i="1"/>
  <c r="O1484" i="6" s="1"/>
  <c r="S1127" i="1"/>
  <c r="S1132" i="1" s="1"/>
  <c r="T1127" i="1"/>
  <c r="T1484" i="6" s="1"/>
  <c r="H1128" i="1"/>
  <c r="N1128" i="1"/>
  <c r="N1485" i="6" s="1"/>
  <c r="R1128" i="1"/>
  <c r="Y1128" i="1" s="1"/>
  <c r="Z1128" i="1" s="1"/>
  <c r="H1129" i="1"/>
  <c r="N1129" i="1" s="1"/>
  <c r="N1488" i="6" s="1"/>
  <c r="R1129" i="1"/>
  <c r="H1130" i="1"/>
  <c r="N1130" i="1" s="1"/>
  <c r="N1489" i="6" s="1"/>
  <c r="R1130" i="1"/>
  <c r="Y1130" i="1"/>
  <c r="Z1130" i="1" s="1"/>
  <c r="D1132" i="1"/>
  <c r="E1132" i="1"/>
  <c r="F1132" i="1"/>
  <c r="I1132" i="1"/>
  <c r="J1132" i="1"/>
  <c r="K1132" i="1"/>
  <c r="L1132" i="1"/>
  <c r="P1132" i="1"/>
  <c r="T1132" i="1"/>
  <c r="U1132" i="1"/>
  <c r="V1132" i="1"/>
  <c r="D1135" i="1"/>
  <c r="H1135" i="1"/>
  <c r="N1135" i="1" s="1"/>
  <c r="N1494" i="6" s="1"/>
  <c r="R1135" i="1"/>
  <c r="X1135" i="1" s="1"/>
  <c r="H1136" i="1"/>
  <c r="N1136" i="1" s="1"/>
  <c r="R1136" i="1"/>
  <c r="X1136" i="1" s="1"/>
  <c r="X1495" i="6" s="1"/>
  <c r="H1137" i="1"/>
  <c r="N1137" i="1"/>
  <c r="R1137" i="1"/>
  <c r="H1138" i="1"/>
  <c r="N1138" i="1" s="1"/>
  <c r="R1138" i="1"/>
  <c r="X1138" i="1" s="1"/>
  <c r="X1499" i="6" s="1"/>
  <c r="H1139" i="1"/>
  <c r="N1139" i="1" s="1"/>
  <c r="R1139" i="1"/>
  <c r="H1140" i="1"/>
  <c r="N1140" i="1" s="1"/>
  <c r="R1140" i="1"/>
  <c r="X1140" i="1" s="1"/>
  <c r="X1501" i="6" s="1"/>
  <c r="E1142" i="1"/>
  <c r="F1142" i="1"/>
  <c r="I1142" i="1"/>
  <c r="J1142" i="1"/>
  <c r="K1142" i="1"/>
  <c r="K1153" i="1" s="1"/>
  <c r="K1273" i="1" s="1"/>
  <c r="L1142" i="1"/>
  <c r="L1153" i="1" s="1"/>
  <c r="L1273" i="1" s="1"/>
  <c r="O1142" i="1"/>
  <c r="P1142" i="1"/>
  <c r="R1142" i="1"/>
  <c r="S1142" i="1"/>
  <c r="T1142" i="1"/>
  <c r="U1142" i="1"/>
  <c r="V1142" i="1"/>
  <c r="AF1144" i="1"/>
  <c r="AH1144" i="1"/>
  <c r="AJ1144" i="1"/>
  <c r="AK1144" i="1"/>
  <c r="P1192" i="1" s="1"/>
  <c r="P1562" i="6" s="1"/>
  <c r="AM1144" i="1"/>
  <c r="D1145" i="1"/>
  <c r="H1145" i="1"/>
  <c r="R1145" i="1"/>
  <c r="X1145" i="1" s="1"/>
  <c r="X1506" i="6" s="1"/>
  <c r="AD1145" i="1"/>
  <c r="D1194" i="1" s="1"/>
  <c r="AE1145" i="1"/>
  <c r="AF1145" i="1"/>
  <c r="AG1145" i="1" s="1"/>
  <c r="AH1145" i="1"/>
  <c r="L1194" i="1" s="1"/>
  <c r="L1566" i="6" s="1"/>
  <c r="AJ1145" i="1"/>
  <c r="AK1145" i="1"/>
  <c r="AM1145" i="1"/>
  <c r="H1146" i="1"/>
  <c r="N1146" i="1" s="1"/>
  <c r="R1146" i="1"/>
  <c r="Y1146" i="1"/>
  <c r="Z1146" i="1" s="1"/>
  <c r="H1147" i="1"/>
  <c r="N1147" i="1" s="1"/>
  <c r="N1513" i="6" s="1"/>
  <c r="R1147" i="1"/>
  <c r="AE1147" i="1"/>
  <c r="AF1147" i="1"/>
  <c r="AG1147" i="1" s="1"/>
  <c r="AH1147" i="1"/>
  <c r="AK1147" i="1"/>
  <c r="AM1147" i="1"/>
  <c r="D1148" i="1"/>
  <c r="H1148" i="1"/>
  <c r="N1148" i="1" s="1"/>
  <c r="R1148" i="1"/>
  <c r="AD1148" i="1"/>
  <c r="AE1148" i="1"/>
  <c r="AG1148" i="1" s="1"/>
  <c r="AF1148" i="1"/>
  <c r="AH1148" i="1"/>
  <c r="AJ1148" i="1"/>
  <c r="AL1148" i="1" s="1"/>
  <c r="AK1148" i="1"/>
  <c r="AM1148" i="1"/>
  <c r="D1149" i="1"/>
  <c r="AD1153" i="1" s="1"/>
  <c r="H1149" i="1"/>
  <c r="N1149" i="1" s="1"/>
  <c r="R1149" i="1"/>
  <c r="X1149" i="1" s="1"/>
  <c r="X1515" i="6" s="1"/>
  <c r="AD1149" i="1"/>
  <c r="D1183" i="1" s="1"/>
  <c r="AE1149" i="1"/>
  <c r="AF1149" i="1"/>
  <c r="AH1149" i="1"/>
  <c r="L1183" i="1" s="1"/>
  <c r="L1553" i="6" s="1"/>
  <c r="AJ1149" i="1"/>
  <c r="O1183" i="1" s="1"/>
  <c r="O1553" i="6" s="1"/>
  <c r="AK1149" i="1"/>
  <c r="AL1149" i="1"/>
  <c r="AM1149" i="1"/>
  <c r="AD1150" i="1"/>
  <c r="AE1150" i="1"/>
  <c r="AG1150" i="1" s="1"/>
  <c r="AO1150" i="1" s="1"/>
  <c r="AF1150" i="1"/>
  <c r="AJ1150" i="1"/>
  <c r="AL1150" i="1" s="1"/>
  <c r="AN1150" i="1" s="1"/>
  <c r="AK1150" i="1"/>
  <c r="AM1150" i="1"/>
  <c r="V1201" i="1" s="1"/>
  <c r="V1574" i="6" s="1"/>
  <c r="E1151" i="1"/>
  <c r="F1151" i="1"/>
  <c r="I1151" i="1"/>
  <c r="J1151" i="1"/>
  <c r="K1151" i="1"/>
  <c r="L1151" i="1"/>
  <c r="O1151" i="1"/>
  <c r="P1151" i="1"/>
  <c r="S1151" i="1"/>
  <c r="T1151" i="1"/>
  <c r="U1151" i="1"/>
  <c r="V1151" i="1"/>
  <c r="AD1151" i="1"/>
  <c r="AE1151" i="1"/>
  <c r="AG1151" i="1" s="1"/>
  <c r="AF1151" i="1"/>
  <c r="AJ1151" i="1"/>
  <c r="AL1151" i="1" s="1"/>
  <c r="AN1151" i="1" s="1"/>
  <c r="AK1151" i="1"/>
  <c r="AM1151" i="1"/>
  <c r="AE1152" i="1"/>
  <c r="AG1152" i="1" s="1"/>
  <c r="AF1152" i="1"/>
  <c r="AJ1152" i="1"/>
  <c r="AK1152" i="1"/>
  <c r="AM1152" i="1"/>
  <c r="V1153" i="1"/>
  <c r="V1273" i="1" s="1"/>
  <c r="AE1153" i="1"/>
  <c r="AG1153" i="1" s="1"/>
  <c r="AF1153" i="1"/>
  <c r="AJ1153" i="1"/>
  <c r="AK1153" i="1"/>
  <c r="AM1153" i="1"/>
  <c r="D1159" i="1"/>
  <c r="D1279" i="1" s="1"/>
  <c r="P1159" i="1"/>
  <c r="S1159" i="1"/>
  <c r="T1159" i="1"/>
  <c r="U1159" i="1"/>
  <c r="F1166" i="1"/>
  <c r="E1176" i="1"/>
  <c r="O1176" i="1" s="1"/>
  <c r="S1179" i="1"/>
  <c r="S1548" i="6" s="1"/>
  <c r="T1179" i="1"/>
  <c r="U1179" i="1"/>
  <c r="U1548" i="6" s="1"/>
  <c r="AA1179" i="1"/>
  <c r="S1180" i="1"/>
  <c r="T1180" i="1"/>
  <c r="T1549" i="6" s="1"/>
  <c r="U1180" i="1"/>
  <c r="U1549" i="6" s="1"/>
  <c r="AA1180" i="1"/>
  <c r="E1181" i="1"/>
  <c r="L1181" i="1"/>
  <c r="L1550" i="6"/>
  <c r="S1181" i="1"/>
  <c r="S1550" i="6" s="1"/>
  <c r="T1181" i="1"/>
  <c r="T1550" i="6"/>
  <c r="U1181" i="1"/>
  <c r="U1550" i="6" s="1"/>
  <c r="AA1181" i="1"/>
  <c r="F1182" i="1"/>
  <c r="P1182" i="1"/>
  <c r="P1552" i="6"/>
  <c r="V1182" i="1"/>
  <c r="V1552" i="6" s="1"/>
  <c r="AA1182" i="1"/>
  <c r="F1183" i="1"/>
  <c r="P1183" i="1"/>
  <c r="P1553" i="6" s="1"/>
  <c r="S1183" i="1"/>
  <c r="S1553" i="6" s="1"/>
  <c r="T1183" i="1"/>
  <c r="T1553" i="6" s="1"/>
  <c r="U1183" i="1"/>
  <c r="U1553" i="6" s="1"/>
  <c r="V1183" i="1"/>
  <c r="V1553" i="6" s="1"/>
  <c r="AA1183" i="1"/>
  <c r="K1184" i="1"/>
  <c r="K1554" i="6" s="1"/>
  <c r="S1184" i="1"/>
  <c r="S1554" i="6" s="1"/>
  <c r="T1184" i="1"/>
  <c r="T1554" i="6" s="1"/>
  <c r="U1184" i="1"/>
  <c r="U1554" i="6" s="1"/>
  <c r="V1184" i="1"/>
  <c r="V1554" i="6" s="1"/>
  <c r="AA1184" i="1"/>
  <c r="O1185" i="1"/>
  <c r="O1555" i="6" s="1"/>
  <c r="S1185" i="1"/>
  <c r="S1555" i="6" s="1"/>
  <c r="T1185" i="1"/>
  <c r="T1555" i="6" s="1"/>
  <c r="U1185" i="1"/>
  <c r="U1555" i="6" s="1"/>
  <c r="AA1185" i="1"/>
  <c r="D1186" i="1"/>
  <c r="E1186" i="1"/>
  <c r="L1186" i="1"/>
  <c r="L1556" i="6"/>
  <c r="S1186" i="1"/>
  <c r="S1556" i="6" s="1"/>
  <c r="T1186" i="1"/>
  <c r="T1556" i="6"/>
  <c r="U1186" i="1"/>
  <c r="U1556" i="6" s="1"/>
  <c r="V1186" i="1"/>
  <c r="V1556" i="6"/>
  <c r="AA1186" i="1"/>
  <c r="D1187" i="1"/>
  <c r="F1187" i="1"/>
  <c r="K1187" i="1"/>
  <c r="K1557" i="6" s="1"/>
  <c r="P1187" i="1"/>
  <c r="P1557" i="6" s="1"/>
  <c r="S1187" i="1"/>
  <c r="S1557" i="6" s="1"/>
  <c r="T1187" i="1"/>
  <c r="T1557" i="6" s="1"/>
  <c r="U1187" i="1"/>
  <c r="U1557" i="6" s="1"/>
  <c r="V1187" i="1"/>
  <c r="V1557" i="6" s="1"/>
  <c r="AA1187" i="1"/>
  <c r="D1188" i="1"/>
  <c r="F1188" i="1"/>
  <c r="J1188" i="1"/>
  <c r="J1558" i="6" s="1"/>
  <c r="K1188" i="1"/>
  <c r="K1558" i="6"/>
  <c r="O1188" i="1"/>
  <c r="O1558" i="6" s="1"/>
  <c r="P1188" i="1"/>
  <c r="P1558" i="6"/>
  <c r="S1188" i="1"/>
  <c r="S1558" i="6" s="1"/>
  <c r="T1188" i="1"/>
  <c r="T1558" i="6" s="1"/>
  <c r="U1188" i="1"/>
  <c r="U1558" i="6" s="1"/>
  <c r="V1188" i="1"/>
  <c r="V1558" i="6" s="1"/>
  <c r="AA1188" i="1"/>
  <c r="D1189" i="1"/>
  <c r="E1189" i="1"/>
  <c r="F1189" i="1"/>
  <c r="J1189" i="1"/>
  <c r="J1559" i="6" s="1"/>
  <c r="L1189" i="1"/>
  <c r="L1559" i="6" s="1"/>
  <c r="O1189" i="1"/>
  <c r="O1559" i="6" s="1"/>
  <c r="S1189" i="1"/>
  <c r="S1559" i="6"/>
  <c r="T1189" i="1"/>
  <c r="T1559" i="6" s="1"/>
  <c r="U1189" i="1"/>
  <c r="U1559" i="6"/>
  <c r="V1189" i="1"/>
  <c r="V1559" i="6" s="1"/>
  <c r="AA1189" i="1"/>
  <c r="D1190" i="1"/>
  <c r="E1190" i="1"/>
  <c r="J1190" i="1"/>
  <c r="J1560" i="6" s="1"/>
  <c r="K1190" i="1"/>
  <c r="K1560" i="6" s="1"/>
  <c r="O1190" i="1"/>
  <c r="O1560" i="6" s="1"/>
  <c r="P1190" i="1"/>
  <c r="P1560" i="6" s="1"/>
  <c r="R1190" i="1"/>
  <c r="S1190" i="1"/>
  <c r="S1560" i="6"/>
  <c r="T1190" i="1"/>
  <c r="T1560" i="6" s="1"/>
  <c r="U1190" i="1"/>
  <c r="U1560" i="6" s="1"/>
  <c r="AA1190" i="1"/>
  <c r="D1191" i="1"/>
  <c r="E1191" i="1"/>
  <c r="F1191" i="1"/>
  <c r="J1191" i="1"/>
  <c r="J1561" i="6"/>
  <c r="O1191" i="1"/>
  <c r="O1561" i="6" s="1"/>
  <c r="S1191" i="1"/>
  <c r="S1561" i="6" s="1"/>
  <c r="T1191" i="1"/>
  <c r="T1561" i="6" s="1"/>
  <c r="U1191" i="1"/>
  <c r="U1561" i="6" s="1"/>
  <c r="V1191" i="1"/>
  <c r="V1561" i="6" s="1"/>
  <c r="AA1191" i="1"/>
  <c r="J1192" i="1"/>
  <c r="J1562" i="6" s="1"/>
  <c r="S1192" i="1"/>
  <c r="S1562" i="6"/>
  <c r="T1192" i="1"/>
  <c r="T1562" i="6" s="1"/>
  <c r="U1192" i="1"/>
  <c r="U1562" i="6"/>
  <c r="AA1192" i="1"/>
  <c r="D1193" i="1"/>
  <c r="E1193" i="1"/>
  <c r="F1193" i="1"/>
  <c r="J1193" i="1"/>
  <c r="J1564" i="6" s="1"/>
  <c r="K1193" i="1"/>
  <c r="K1564" i="6"/>
  <c r="L1193" i="1"/>
  <c r="L1564" i="6" s="1"/>
  <c r="P1193" i="1"/>
  <c r="P1564" i="6"/>
  <c r="S1193" i="1"/>
  <c r="S1564" i="6" s="1"/>
  <c r="T1193" i="1"/>
  <c r="T1564" i="6" s="1"/>
  <c r="U1193" i="1"/>
  <c r="U1564" i="6" s="1"/>
  <c r="V1193" i="1"/>
  <c r="V1564" i="6" s="1"/>
  <c r="AA1193" i="1"/>
  <c r="E1194" i="1"/>
  <c r="J1194" i="1"/>
  <c r="J1566" i="6" s="1"/>
  <c r="O1194" i="1"/>
  <c r="O1566" i="6" s="1"/>
  <c r="S1194" i="1"/>
  <c r="S1566" i="6" s="1"/>
  <c r="T1194" i="1"/>
  <c r="T1566" i="6" s="1"/>
  <c r="U1194" i="1"/>
  <c r="U1566" i="6" s="1"/>
  <c r="AA1194" i="1"/>
  <c r="L1195" i="1"/>
  <c r="L1567" i="6" s="1"/>
  <c r="S1195" i="1"/>
  <c r="S1567" i="6" s="1"/>
  <c r="T1195" i="1"/>
  <c r="T1567" i="6" s="1"/>
  <c r="U1195" i="1"/>
  <c r="U1567" i="6" s="1"/>
  <c r="V1195" i="1"/>
  <c r="V1567" i="6" s="1"/>
  <c r="AA1195" i="1"/>
  <c r="S1196" i="1"/>
  <c r="S1568" i="6" s="1"/>
  <c r="T1196" i="1"/>
  <c r="T1568" i="6" s="1"/>
  <c r="U1196" i="1"/>
  <c r="U1568" i="6" s="1"/>
  <c r="AA1196" i="1"/>
  <c r="F1197" i="1"/>
  <c r="J1197" i="1"/>
  <c r="J1569" i="6" s="1"/>
  <c r="O1197" i="1"/>
  <c r="O1569" i="6"/>
  <c r="S1197" i="1"/>
  <c r="S1569" i="6" s="1"/>
  <c r="T1197" i="1"/>
  <c r="T1569" i="6"/>
  <c r="U1197" i="1"/>
  <c r="U1569" i="6" s="1"/>
  <c r="AA1197" i="1"/>
  <c r="S1198" i="1"/>
  <c r="S1570" i="6" s="1"/>
  <c r="T1198" i="1"/>
  <c r="T1570" i="6" s="1"/>
  <c r="U1198" i="1"/>
  <c r="U1570" i="6" s="1"/>
  <c r="V1198" i="1"/>
  <c r="V1570" i="6" s="1"/>
  <c r="AA1198" i="1"/>
  <c r="D1199" i="1"/>
  <c r="K1199" i="1"/>
  <c r="K1572" i="6" s="1"/>
  <c r="P1199" i="1"/>
  <c r="P1572" i="6" s="1"/>
  <c r="S1199" i="1"/>
  <c r="S1572" i="6" s="1"/>
  <c r="T1199" i="1"/>
  <c r="T1572" i="6" s="1"/>
  <c r="U1199" i="1"/>
  <c r="U1572" i="6" s="1"/>
  <c r="V1199" i="1"/>
  <c r="V1572" i="6" s="1"/>
  <c r="AA1199" i="1"/>
  <c r="K1200" i="1"/>
  <c r="K1573" i="6" s="1"/>
  <c r="S1200" i="1"/>
  <c r="S1573" i="6" s="1"/>
  <c r="T1200" i="1"/>
  <c r="T1573" i="6" s="1"/>
  <c r="U1200" i="1"/>
  <c r="U1573" i="6" s="1"/>
  <c r="AA1200" i="1"/>
  <c r="S1201" i="1"/>
  <c r="S1574" i="6" s="1"/>
  <c r="T1201" i="1"/>
  <c r="T1574" i="6"/>
  <c r="U1201" i="1"/>
  <c r="U1574" i="6" s="1"/>
  <c r="AA1201" i="1"/>
  <c r="S1202" i="1"/>
  <c r="S1575" i="6" s="1"/>
  <c r="T1202" i="1"/>
  <c r="T1575" i="6" s="1"/>
  <c r="U1202" i="1"/>
  <c r="U1575" i="6" s="1"/>
  <c r="AA1202" i="1"/>
  <c r="S1203" i="1"/>
  <c r="S1576" i="6" s="1"/>
  <c r="T1203" i="1"/>
  <c r="T1576" i="6"/>
  <c r="U1203" i="1"/>
  <c r="U1576" i="6" s="1"/>
  <c r="AA1203" i="1"/>
  <c r="S1204" i="1"/>
  <c r="S1577" i="6" s="1"/>
  <c r="T1204" i="1"/>
  <c r="T1577" i="6"/>
  <c r="U1204" i="1"/>
  <c r="U1577" i="6" s="1"/>
  <c r="AA1204" i="1"/>
  <c r="O1205" i="1"/>
  <c r="O1578" i="6" s="1"/>
  <c r="AA1205" i="1"/>
  <c r="E1206" i="1"/>
  <c r="F1206" i="1"/>
  <c r="J1206" i="1"/>
  <c r="J1579" i="6" s="1"/>
  <c r="K1206" i="1"/>
  <c r="K1579" i="6"/>
  <c r="O1206" i="1"/>
  <c r="O1579" i="6" s="1"/>
  <c r="P1206" i="1"/>
  <c r="P1579" i="6"/>
  <c r="S1206" i="1"/>
  <c r="S1579" i="6" s="1"/>
  <c r="T1206" i="1"/>
  <c r="T1579" i="6" s="1"/>
  <c r="U1206" i="1"/>
  <c r="U1579" i="6" s="1"/>
  <c r="V1206" i="1"/>
  <c r="V1579" i="6" s="1"/>
  <c r="AA1206" i="1"/>
  <c r="D1207" i="1"/>
  <c r="E1207" i="1"/>
  <c r="F1207" i="1"/>
  <c r="H1207" i="1"/>
  <c r="J1207" i="1"/>
  <c r="J1580" i="6" s="1"/>
  <c r="K1207" i="1"/>
  <c r="K1580" i="6"/>
  <c r="L1207" i="1"/>
  <c r="L1580" i="6" s="1"/>
  <c r="O1207" i="1"/>
  <c r="O1580" i="6"/>
  <c r="P1207" i="1"/>
  <c r="P1580" i="6" s="1"/>
  <c r="S1207" i="1"/>
  <c r="S1580" i="6" s="1"/>
  <c r="T1207" i="1"/>
  <c r="T1580" i="6" s="1"/>
  <c r="U1207" i="1"/>
  <c r="U1580" i="6"/>
  <c r="AA1207" i="1"/>
  <c r="E1208" i="1"/>
  <c r="J1208" i="1"/>
  <c r="J1581" i="6" s="1"/>
  <c r="K1208" i="1"/>
  <c r="K1581" i="6" s="1"/>
  <c r="O1208" i="1"/>
  <c r="O1581" i="6" s="1"/>
  <c r="P1208" i="1"/>
  <c r="P1581" i="6" s="1"/>
  <c r="S1208" i="1"/>
  <c r="S1581" i="6" s="1"/>
  <c r="T1208" i="1"/>
  <c r="T1581" i="6" s="1"/>
  <c r="U1208" i="1"/>
  <c r="U1581" i="6" s="1"/>
  <c r="AA1208" i="1"/>
  <c r="D1209" i="1"/>
  <c r="S1209" i="1"/>
  <c r="S1582" i="6" s="1"/>
  <c r="T1209" i="1"/>
  <c r="T1582" i="6" s="1"/>
  <c r="U1209" i="1"/>
  <c r="U1582" i="6" s="1"/>
  <c r="V1209" i="1"/>
  <c r="V1582" i="6" s="1"/>
  <c r="AA1209" i="1"/>
  <c r="D1210" i="1"/>
  <c r="F1210" i="1"/>
  <c r="K1210" i="1"/>
  <c r="K1583" i="6" s="1"/>
  <c r="L1210" i="1"/>
  <c r="L1583" i="6" s="1"/>
  <c r="P1210" i="1"/>
  <c r="P1583" i="6" s="1"/>
  <c r="R1210" i="1"/>
  <c r="S1210" i="1"/>
  <c r="S1583" i="6"/>
  <c r="T1210" i="1"/>
  <c r="T1583" i="6" s="1"/>
  <c r="U1210" i="1"/>
  <c r="U1583" i="6" s="1"/>
  <c r="V1210" i="1"/>
  <c r="V1583" i="6" s="1"/>
  <c r="AA1210" i="1"/>
  <c r="J1211" i="1"/>
  <c r="J1584" i="6" s="1"/>
  <c r="N1211" i="1"/>
  <c r="N1584" i="6" s="1"/>
  <c r="O1211" i="1"/>
  <c r="O1584" i="6"/>
  <c r="S1211" i="1"/>
  <c r="S1584" i="6" s="1"/>
  <c r="T1211" i="1"/>
  <c r="T1584" i="6"/>
  <c r="U1211" i="1"/>
  <c r="U1584" i="6" s="1"/>
  <c r="AA1211" i="1"/>
  <c r="D1216" i="1"/>
  <c r="P1216" i="1"/>
  <c r="V1216" i="1"/>
  <c r="V1279" i="1" s="1"/>
  <c r="B1237" i="1"/>
  <c r="E1243" i="1"/>
  <c r="O1243" i="1" s="1"/>
  <c r="P1279" i="1"/>
  <c r="Y670" i="6"/>
  <c r="Z670" i="6" s="1"/>
  <c r="AN1149" i="1"/>
  <c r="R1183" i="1"/>
  <c r="X1183" i="1" s="1"/>
  <c r="X1553" i="6" s="1"/>
  <c r="AA1118" i="1"/>
  <c r="AA1473" i="6" s="1"/>
  <c r="N1473" i="6"/>
  <c r="N1433" i="6"/>
  <c r="AI1023" i="1"/>
  <c r="D1184" i="1"/>
  <c r="E1270" i="6"/>
  <c r="H964" i="1"/>
  <c r="AE956" i="1"/>
  <c r="E967" i="1"/>
  <c r="X947" i="1"/>
  <c r="Y947" i="1"/>
  <c r="N939" i="1"/>
  <c r="N1217" i="6"/>
  <c r="Y913" i="1"/>
  <c r="Z913" i="1" s="1"/>
  <c r="N1159" i="6"/>
  <c r="AA890" i="1"/>
  <c r="H765" i="1"/>
  <c r="N761" i="1"/>
  <c r="AN665" i="1"/>
  <c r="N873" i="6"/>
  <c r="H837" i="6"/>
  <c r="N629" i="1"/>
  <c r="Y629" i="1"/>
  <c r="H631" i="1"/>
  <c r="N770" i="6"/>
  <c r="AL566" i="1"/>
  <c r="AN566" i="1" s="1"/>
  <c r="N605" i="6"/>
  <c r="Y369" i="1"/>
  <c r="Z369" i="1" s="1"/>
  <c r="X369" i="1"/>
  <c r="Z357" i="1"/>
  <c r="N413" i="6"/>
  <c r="N271" i="1"/>
  <c r="H276" i="1"/>
  <c r="O244" i="6"/>
  <c r="R180" i="1"/>
  <c r="AJ195" i="1"/>
  <c r="AL195" i="1" s="1"/>
  <c r="AN195" i="1" s="1"/>
  <c r="H1100" i="1"/>
  <c r="AM1074" i="1"/>
  <c r="S1024" i="1"/>
  <c r="S1267" i="1" s="1"/>
  <c r="P754" i="1"/>
  <c r="P1259" i="1" s="1"/>
  <c r="AF1154" i="1"/>
  <c r="N1498" i="6"/>
  <c r="S1484" i="6"/>
  <c r="N1097" i="1"/>
  <c r="AB1070" i="1"/>
  <c r="AB1420" i="6" s="1"/>
  <c r="Y1039" i="1"/>
  <c r="N1000" i="1"/>
  <c r="N993" i="1"/>
  <c r="Y993" i="1"/>
  <c r="N984" i="1"/>
  <c r="Y974" i="1"/>
  <c r="N1240" i="6"/>
  <c r="N922" i="1"/>
  <c r="N925" i="1" s="1"/>
  <c r="N1161" i="6"/>
  <c r="Y784" i="1"/>
  <c r="Z784" i="1" s="1"/>
  <c r="H788" i="1"/>
  <c r="N1035" i="6"/>
  <c r="AA783" i="1"/>
  <c r="AA1035" i="6" s="1"/>
  <c r="Y718" i="1"/>
  <c r="Z718" i="1" s="1"/>
  <c r="X718" i="1"/>
  <c r="X898" i="6"/>
  <c r="X677" i="1"/>
  <c r="N897" i="6"/>
  <c r="AB674" i="1"/>
  <c r="AB897" i="6" s="1"/>
  <c r="AA674" i="1"/>
  <c r="AA897" i="6" s="1"/>
  <c r="O1184" i="1"/>
  <c r="N551" i="1"/>
  <c r="H555" i="1"/>
  <c r="O718" i="6"/>
  <c r="R546" i="1"/>
  <c r="R548" i="1" s="1"/>
  <c r="AJ574" i="1"/>
  <c r="AL574" i="1"/>
  <c r="AN574" i="1" s="1"/>
  <c r="O548" i="1"/>
  <c r="X713" i="6"/>
  <c r="D548" i="1"/>
  <c r="AB544" i="1"/>
  <c r="AB713" i="6" s="1"/>
  <c r="N697" i="6"/>
  <c r="AA528" i="1"/>
  <c r="AA697" i="6" s="1"/>
  <c r="AB528" i="1"/>
  <c r="AB697" i="6" s="1"/>
  <c r="Y503" i="1"/>
  <c r="Z503" i="1" s="1"/>
  <c r="X503" i="1"/>
  <c r="N434" i="1"/>
  <c r="Y434" i="1"/>
  <c r="H438" i="1"/>
  <c r="Y395" i="1"/>
  <c r="Z395" i="1"/>
  <c r="X395" i="1"/>
  <c r="X534" i="6" s="1"/>
  <c r="Y378" i="1"/>
  <c r="Z378" i="1" s="1"/>
  <c r="X378" i="1"/>
  <c r="AI337" i="1"/>
  <c r="Y176" i="1"/>
  <c r="Z176" i="1" s="1"/>
  <c r="R240" i="6"/>
  <c r="X176" i="1"/>
  <c r="N208" i="6"/>
  <c r="N207" i="6"/>
  <c r="AB154" i="1"/>
  <c r="AB207" i="6"/>
  <c r="AL117" i="1"/>
  <c r="AL115" i="1"/>
  <c r="AK127" i="1"/>
  <c r="K1179" i="1"/>
  <c r="N1455" i="6"/>
  <c r="L1396" i="6"/>
  <c r="L1057" i="1"/>
  <c r="N1054" i="1"/>
  <c r="AH1067" i="1"/>
  <c r="AD1022" i="1"/>
  <c r="AL956" i="1"/>
  <c r="Y951" i="1"/>
  <c r="Z951" i="1" s="1"/>
  <c r="X951" i="1"/>
  <c r="N1202" i="6"/>
  <c r="X885" i="1"/>
  <c r="Y885" i="1"/>
  <c r="Z885" i="1" s="1"/>
  <c r="N872" i="1"/>
  <c r="Y872" i="1"/>
  <c r="Z872" i="1" s="1"/>
  <c r="X1126" i="6"/>
  <c r="N1116" i="6"/>
  <c r="AL839" i="1"/>
  <c r="AN839" i="1" s="1"/>
  <c r="J1180" i="1"/>
  <c r="J1549" i="6" s="1"/>
  <c r="O1180" i="1"/>
  <c r="O1549" i="6" s="1"/>
  <c r="X778" i="1"/>
  <c r="X1028" i="6" s="1"/>
  <c r="Y778" i="1"/>
  <c r="Z778" i="1" s="1"/>
  <c r="N999" i="6"/>
  <c r="AI748" i="1"/>
  <c r="H666" i="1"/>
  <c r="Y662" i="1"/>
  <c r="N662" i="1"/>
  <c r="D623" i="1"/>
  <c r="D565" i="1"/>
  <c r="N461" i="1"/>
  <c r="N464" i="1" s="1"/>
  <c r="Y461" i="1"/>
  <c r="Z461" i="1" s="1"/>
  <c r="H464" i="1"/>
  <c r="N625" i="6"/>
  <c r="AI451" i="1"/>
  <c r="N413" i="1"/>
  <c r="N415" i="1" s="1"/>
  <c r="Y413" i="1"/>
  <c r="Z413" i="1" s="1"/>
  <c r="H415" i="1"/>
  <c r="P1195" i="1"/>
  <c r="P1567" i="6" s="1"/>
  <c r="AL339" i="1"/>
  <c r="X439" i="6"/>
  <c r="AB326" i="1"/>
  <c r="AB439" i="6" s="1"/>
  <c r="N281" i="1"/>
  <c r="Y281" i="1"/>
  <c r="AG201" i="1"/>
  <c r="E1199" i="1"/>
  <c r="N226" i="6"/>
  <c r="N174" i="6"/>
  <c r="V1197" i="1"/>
  <c r="V1569" i="6" s="1"/>
  <c r="D1197" i="1"/>
  <c r="N114" i="6"/>
  <c r="AI72" i="1"/>
  <c r="AP71" i="1"/>
  <c r="X60" i="6"/>
  <c r="AO1151" i="1"/>
  <c r="AP1151" i="1" s="1"/>
  <c r="AL1102" i="1"/>
  <c r="X1446" i="6"/>
  <c r="D1100" i="1"/>
  <c r="Y1087" i="1"/>
  <c r="Z1087" i="1" s="1"/>
  <c r="X1087" i="1"/>
  <c r="X1439" i="6"/>
  <c r="L1211" i="1"/>
  <c r="L1584" i="6" s="1"/>
  <c r="X1041" i="1"/>
  <c r="Y1041" i="1"/>
  <c r="Z1041" i="1"/>
  <c r="AD1016" i="1"/>
  <c r="H1002" i="1"/>
  <c r="N999" i="1"/>
  <c r="Y999" i="1"/>
  <c r="Z999" i="1" s="1"/>
  <c r="Y983" i="1"/>
  <c r="Z983" i="1" s="1"/>
  <c r="Y980" i="1"/>
  <c r="D1208" i="1"/>
  <c r="AL967" i="1"/>
  <c r="N1229" i="6"/>
  <c r="N1228" i="6"/>
  <c r="AA940" i="1"/>
  <c r="AA1228" i="6" s="1"/>
  <c r="AD957" i="1"/>
  <c r="D943" i="1"/>
  <c r="N1153" i="6"/>
  <c r="AL838" i="1"/>
  <c r="AN838" i="1"/>
  <c r="AB777" i="1"/>
  <c r="AB1027" i="6" s="1"/>
  <c r="AA777" i="1"/>
  <c r="AA1027" i="6" s="1"/>
  <c r="N1027" i="6"/>
  <c r="Y734" i="1"/>
  <c r="N734" i="1"/>
  <c r="N684" i="6"/>
  <c r="N682" i="6"/>
  <c r="N505" i="6"/>
  <c r="AG333" i="1"/>
  <c r="E1188" i="1"/>
  <c r="Y252" i="1"/>
  <c r="Z252" i="1" s="1"/>
  <c r="X252" i="1"/>
  <c r="X333" i="6" s="1"/>
  <c r="N276" i="6"/>
  <c r="AD192" i="1"/>
  <c r="Z42" i="1"/>
  <c r="D47" i="1"/>
  <c r="AB42" i="1"/>
  <c r="AD63" i="1"/>
  <c r="N43" i="6"/>
  <c r="AB34" i="1"/>
  <c r="AB43" i="6" s="1"/>
  <c r="AA34" i="1"/>
  <c r="AA43" i="6"/>
  <c r="N12" i="6"/>
  <c r="X1070" i="6"/>
  <c r="AK454" i="1"/>
  <c r="N1190" i="6"/>
  <c r="N1180" i="6"/>
  <c r="AA907" i="1"/>
  <c r="AA1180" i="6" s="1"/>
  <c r="N1179" i="6"/>
  <c r="N1141" i="6"/>
  <c r="AB875" i="1"/>
  <c r="AB1141" i="6"/>
  <c r="AA875" i="1"/>
  <c r="AA1141" i="6" s="1"/>
  <c r="Z863" i="1"/>
  <c r="N1100" i="6"/>
  <c r="O1093" i="6"/>
  <c r="R833" i="1"/>
  <c r="AJ840" i="1"/>
  <c r="AL840" i="1" s="1"/>
  <c r="O836" i="1"/>
  <c r="N1057" i="6"/>
  <c r="H804" i="1"/>
  <c r="N799" i="1"/>
  <c r="N914" i="6"/>
  <c r="AI663" i="1"/>
  <c r="H1189" i="1"/>
  <c r="AN662" i="1"/>
  <c r="AL656" i="1"/>
  <c r="AN656" i="1"/>
  <c r="O1198" i="1"/>
  <c r="N867" i="6"/>
  <c r="N820" i="6"/>
  <c r="Y609" i="1"/>
  <c r="Z609" i="1" s="1"/>
  <c r="X609" i="1"/>
  <c r="Y594" i="1"/>
  <c r="Z594" i="1" s="1"/>
  <c r="N779" i="6"/>
  <c r="AI570" i="1"/>
  <c r="N669" i="6"/>
  <c r="X643" i="6"/>
  <c r="AB483" i="1"/>
  <c r="AB643" i="6"/>
  <c r="Y468" i="1"/>
  <c r="Z468" i="1" s="1"/>
  <c r="X468" i="1"/>
  <c r="Y423" i="1"/>
  <c r="Z423" i="1" s="1"/>
  <c r="X423" i="1"/>
  <c r="X576" i="6" s="1"/>
  <c r="N540" i="6"/>
  <c r="N523" i="6"/>
  <c r="N520" i="6"/>
  <c r="N464" i="6"/>
  <c r="AI332" i="1"/>
  <c r="H1186" i="1"/>
  <c r="AK341" i="1"/>
  <c r="Y241" i="1"/>
  <c r="Z241" i="1"/>
  <c r="X241" i="1"/>
  <c r="N307" i="6"/>
  <c r="AI192" i="1"/>
  <c r="N254" i="6"/>
  <c r="Y188" i="1"/>
  <c r="Z188" i="1" s="1"/>
  <c r="X188" i="1"/>
  <c r="N233" i="6"/>
  <c r="Y167" i="1"/>
  <c r="Z167" i="1" s="1"/>
  <c r="N167" i="1"/>
  <c r="N206" i="6"/>
  <c r="N201" i="6"/>
  <c r="AB148" i="1"/>
  <c r="AB198" i="6" s="1"/>
  <c r="X186" i="6"/>
  <c r="Y102" i="1"/>
  <c r="R107" i="1"/>
  <c r="X102" i="1"/>
  <c r="Y86" i="1"/>
  <c r="Z86" i="1"/>
  <c r="X86" i="1"/>
  <c r="Y82" i="1"/>
  <c r="N82" i="1"/>
  <c r="AM69" i="1"/>
  <c r="V75" i="1"/>
  <c r="T1548" i="6"/>
  <c r="K1194" i="1"/>
  <c r="K1566" i="6" s="1"/>
  <c r="P1194" i="1"/>
  <c r="P1566" i="6" s="1"/>
  <c r="AL1145" i="1"/>
  <c r="N1127" i="1"/>
  <c r="Y1117" i="1"/>
  <c r="X1117" i="1"/>
  <c r="AA1094" i="1"/>
  <c r="AA1446" i="6" s="1"/>
  <c r="E1431" i="6"/>
  <c r="H1083" i="1"/>
  <c r="Y1069" i="1"/>
  <c r="AH1073" i="1"/>
  <c r="N1069" i="1"/>
  <c r="Y1049" i="1"/>
  <c r="Z1049" i="1" s="1"/>
  <c r="X1049" i="1"/>
  <c r="X1391" i="6" s="1"/>
  <c r="N1390" i="6"/>
  <c r="AG1016" i="1"/>
  <c r="N1349" i="6"/>
  <c r="N1302" i="6"/>
  <c r="AB982" i="1"/>
  <c r="AB1302" i="6" s="1"/>
  <c r="AA982" i="1"/>
  <c r="AA1302" i="6" s="1"/>
  <c r="Y976" i="1"/>
  <c r="Z976" i="1" s="1"/>
  <c r="X976" i="1"/>
  <c r="X1291" i="6" s="1"/>
  <c r="N1290" i="6"/>
  <c r="N1253" i="6"/>
  <c r="X949" i="1"/>
  <c r="X1240" i="6" s="1"/>
  <c r="Y949" i="1"/>
  <c r="Z949" i="1" s="1"/>
  <c r="N1220" i="6"/>
  <c r="N1213" i="6"/>
  <c r="N1212" i="6"/>
  <c r="N1211" i="6"/>
  <c r="AB930" i="1"/>
  <c r="AB1211" i="6" s="1"/>
  <c r="N1204" i="6"/>
  <c r="O1202" i="6"/>
  <c r="O925" i="1"/>
  <c r="R921" i="1"/>
  <c r="AJ959" i="1"/>
  <c r="O1190" i="6"/>
  <c r="R912" i="1"/>
  <c r="AJ961" i="1"/>
  <c r="AL961" i="1" s="1"/>
  <c r="AN961" i="1" s="1"/>
  <c r="O915" i="1"/>
  <c r="AL890" i="1"/>
  <c r="Y890" i="1"/>
  <c r="R896" i="1"/>
  <c r="X890" i="1"/>
  <c r="N1140" i="6"/>
  <c r="AB874" i="1"/>
  <c r="AB1140" i="6"/>
  <c r="AA874" i="1"/>
  <c r="AA1140" i="6"/>
  <c r="N1128" i="6"/>
  <c r="N1121" i="6"/>
  <c r="AB858" i="1"/>
  <c r="AB1121" i="6" s="1"/>
  <c r="AA858" i="1"/>
  <c r="AA1121" i="6" s="1"/>
  <c r="V1190" i="1"/>
  <c r="AN845" i="1"/>
  <c r="AI843" i="1"/>
  <c r="AI839" i="1"/>
  <c r="E1082" i="6"/>
  <c r="AE837" i="1"/>
  <c r="H825" i="1"/>
  <c r="X1073" i="6"/>
  <c r="AA818" i="1"/>
  <c r="AA1073" i="6" s="1"/>
  <c r="N1066" i="6"/>
  <c r="AB809" i="1"/>
  <c r="AB1065" i="6"/>
  <c r="X802" i="1"/>
  <c r="X1057" i="6" s="1"/>
  <c r="Y802" i="1"/>
  <c r="Z802" i="1" s="1"/>
  <c r="AB801" i="1"/>
  <c r="AB1056" i="6" s="1"/>
  <c r="N1056" i="6"/>
  <c r="AA801" i="1"/>
  <c r="AA1056" i="6" s="1"/>
  <c r="N793" i="1"/>
  <c r="H797" i="1"/>
  <c r="Y790" i="1"/>
  <c r="X790" i="1"/>
  <c r="N1039" i="6"/>
  <c r="X1035" i="6"/>
  <c r="N1026" i="6"/>
  <c r="H773" i="1"/>
  <c r="N769" i="1"/>
  <c r="AI747" i="1"/>
  <c r="AG742" i="1"/>
  <c r="N972" i="6"/>
  <c r="N719" i="1"/>
  <c r="H721" i="1"/>
  <c r="Y706" i="1"/>
  <c r="L1208" i="1"/>
  <c r="L1581" i="6" s="1"/>
  <c r="X655" i="1"/>
  <c r="X871" i="6" s="1"/>
  <c r="N849" i="6"/>
  <c r="X819" i="6"/>
  <c r="D606" i="1"/>
  <c r="AD659" i="1"/>
  <c r="N796" i="6"/>
  <c r="AB600" i="1"/>
  <c r="AB796" i="6"/>
  <c r="AA600" i="1"/>
  <c r="AA796" i="6" s="1"/>
  <c r="N599" i="1"/>
  <c r="AL575" i="1"/>
  <c r="AN575" i="1" s="1"/>
  <c r="J1195" i="1"/>
  <c r="J1567" i="6" s="1"/>
  <c r="O1195" i="1"/>
  <c r="O1567" i="6" s="1"/>
  <c r="Y570" i="1"/>
  <c r="Z570" i="1" s="1"/>
  <c r="R752" i="6"/>
  <c r="X570" i="1"/>
  <c r="AD574" i="1"/>
  <c r="Y559" i="1"/>
  <c r="Z559" i="1"/>
  <c r="X559" i="1"/>
  <c r="H565" i="1"/>
  <c r="N558" i="1"/>
  <c r="Y558" i="1"/>
  <c r="Y552" i="1"/>
  <c r="Z552" i="1" s="1"/>
  <c r="X552" i="1"/>
  <c r="H548" i="1"/>
  <c r="N542" i="1"/>
  <c r="N696" i="6"/>
  <c r="N679" i="6"/>
  <c r="AB679" i="6"/>
  <c r="AA515" i="1"/>
  <c r="AA679" i="6" s="1"/>
  <c r="Y496" i="1"/>
  <c r="Z496" i="1"/>
  <c r="X496" i="1"/>
  <c r="AB496" i="1" s="1"/>
  <c r="AB658" i="6" s="1"/>
  <c r="N492" i="1"/>
  <c r="Y492" i="1"/>
  <c r="Z492" i="1" s="1"/>
  <c r="N485" i="1"/>
  <c r="Y485" i="1"/>
  <c r="Z485" i="1" s="1"/>
  <c r="X597" i="6"/>
  <c r="AB436" i="1"/>
  <c r="AB597" i="6" s="1"/>
  <c r="AB411" i="1"/>
  <c r="AB556" i="6"/>
  <c r="AA411" i="1"/>
  <c r="AA556" i="6" s="1"/>
  <c r="N537" i="6"/>
  <c r="AH453" i="1"/>
  <c r="N388" i="1"/>
  <c r="Y388" i="1"/>
  <c r="Z388" i="1" s="1"/>
  <c r="N514" i="6"/>
  <c r="N368" i="1"/>
  <c r="H372" i="1"/>
  <c r="Y346" i="1"/>
  <c r="X346" i="1"/>
  <c r="V1207" i="1"/>
  <c r="V1580" i="6" s="1"/>
  <c r="Y334" i="1"/>
  <c r="X334" i="1"/>
  <c r="AL326" i="1"/>
  <c r="P1198" i="1"/>
  <c r="P1570" i="6" s="1"/>
  <c r="AF341" i="1"/>
  <c r="F1205" i="1"/>
  <c r="N433" i="6"/>
  <c r="AB322" i="1"/>
  <c r="AB433" i="6" s="1"/>
  <c r="AA322" i="1"/>
  <c r="AA433" i="6" s="1"/>
  <c r="X314" i="1"/>
  <c r="X422" i="6" s="1"/>
  <c r="Y305" i="1"/>
  <c r="Z305" i="1" s="1"/>
  <c r="X305" i="1"/>
  <c r="AD329" i="1"/>
  <c r="AB305" i="1"/>
  <c r="AB411" i="6" s="1"/>
  <c r="H381" i="6"/>
  <c r="Y381" i="6" s="1"/>
  <c r="X350" i="6"/>
  <c r="Y256" i="1"/>
  <c r="Z256" i="1" s="1"/>
  <c r="X256" i="1"/>
  <c r="X338" i="6" s="1"/>
  <c r="H294" i="6"/>
  <c r="H226" i="1"/>
  <c r="N221" i="1"/>
  <c r="Y221" i="1"/>
  <c r="Y294" i="6" s="1"/>
  <c r="N213" i="1"/>
  <c r="Y213" i="1"/>
  <c r="Z213" i="1"/>
  <c r="R273" i="6"/>
  <c r="Y209" i="1"/>
  <c r="X209" i="1"/>
  <c r="AL199" i="1"/>
  <c r="O1209" i="1"/>
  <c r="O1582" i="6" s="1"/>
  <c r="J1209" i="1"/>
  <c r="J1582" i="6"/>
  <c r="AL194" i="1"/>
  <c r="AN194" i="1"/>
  <c r="AH202" i="1"/>
  <c r="N238" i="6"/>
  <c r="AB174" i="1"/>
  <c r="N166" i="1"/>
  <c r="Y166" i="1"/>
  <c r="Z166" i="1" s="1"/>
  <c r="H171" i="1"/>
  <c r="N85" i="1"/>
  <c r="Y85" i="1"/>
  <c r="L75" i="1"/>
  <c r="AH69" i="1"/>
  <c r="S969" i="1"/>
  <c r="S1265" i="1" s="1"/>
  <c r="V1204" i="1"/>
  <c r="V1577" i="6"/>
  <c r="V576" i="1"/>
  <c r="V1255" i="1" s="1"/>
  <c r="K1211" i="1"/>
  <c r="K1584" i="6" s="1"/>
  <c r="K1204" i="1"/>
  <c r="K1577" i="6" s="1"/>
  <c r="P1200" i="1"/>
  <c r="P1573" i="6" s="1"/>
  <c r="T1153" i="1"/>
  <c r="T1273" i="1" s="1"/>
  <c r="T1112" i="1"/>
  <c r="T1271" i="1" s="1"/>
  <c r="AJ1074" i="1"/>
  <c r="V1024" i="1"/>
  <c r="V1267" i="1" s="1"/>
  <c r="J1024" i="1"/>
  <c r="J1267" i="1" s="1"/>
  <c r="AH969" i="1"/>
  <c r="T969" i="1"/>
  <c r="T1265" i="1" s="1"/>
  <c r="I969" i="1"/>
  <c r="I1265" i="1" s="1"/>
  <c r="X877" i="1"/>
  <c r="L846" i="1"/>
  <c r="L1261" i="1" s="1"/>
  <c r="V846" i="1"/>
  <c r="V1261" i="1" s="1"/>
  <c r="F754" i="1"/>
  <c r="F1259" i="1"/>
  <c r="F1179" i="1"/>
  <c r="Y506" i="1"/>
  <c r="Z506" i="1" s="1"/>
  <c r="AM454" i="1"/>
  <c r="V454" i="1"/>
  <c r="V1253" i="1" s="1"/>
  <c r="V1185" i="1"/>
  <c r="V1555" i="6" s="1"/>
  <c r="AO332" i="1"/>
  <c r="AP332" i="1" s="1"/>
  <c r="N1184" i="6"/>
  <c r="N917" i="6"/>
  <c r="N639" i="6"/>
  <c r="N250" i="6"/>
  <c r="AI897" i="1"/>
  <c r="X884" i="1"/>
  <c r="X1153" i="6" s="1"/>
  <c r="R887" i="1"/>
  <c r="Y884" i="1"/>
  <c r="Z884" i="1" s="1"/>
  <c r="H877" i="1"/>
  <c r="N871" i="1"/>
  <c r="AD894" i="1"/>
  <c r="D868" i="1"/>
  <c r="X855" i="1"/>
  <c r="X1117" i="6" s="1"/>
  <c r="AG844" i="1"/>
  <c r="E1195" i="1"/>
  <c r="N1086" i="6"/>
  <c r="X819" i="1"/>
  <c r="Y819" i="1"/>
  <c r="Z819" i="1" s="1"/>
  <c r="X800" i="1"/>
  <c r="X1055" i="6" s="1"/>
  <c r="Y800" i="1"/>
  <c r="Z800" i="1" s="1"/>
  <c r="AL742" i="1"/>
  <c r="O945" i="6"/>
  <c r="O721" i="1"/>
  <c r="R715" i="1"/>
  <c r="AJ745" i="1"/>
  <c r="AL745" i="1" s="1"/>
  <c r="AN745" i="1" s="1"/>
  <c r="E938" i="6"/>
  <c r="AG980" i="6" s="1"/>
  <c r="H708" i="1"/>
  <c r="N708" i="1" s="1"/>
  <c r="E712" i="1"/>
  <c r="AE744" i="1"/>
  <c r="H677" i="1"/>
  <c r="Y673" i="1"/>
  <c r="N673" i="1"/>
  <c r="AG654" i="1"/>
  <c r="X858" i="6"/>
  <c r="N851" i="6"/>
  <c r="AB619" i="1"/>
  <c r="AA619" i="1"/>
  <c r="N819" i="6"/>
  <c r="N623" i="1"/>
  <c r="N812" i="6"/>
  <c r="X733" i="6"/>
  <c r="AD563" i="1"/>
  <c r="Z474" i="1"/>
  <c r="AN448" i="1"/>
  <c r="AI445" i="1"/>
  <c r="AF454" i="1"/>
  <c r="AG439" i="1"/>
  <c r="N587" i="6"/>
  <c r="N573" i="6"/>
  <c r="N407" i="1"/>
  <c r="Z398" i="1"/>
  <c r="AD453" i="1"/>
  <c r="O484" i="6"/>
  <c r="R360" i="1"/>
  <c r="AJ453" i="1"/>
  <c r="AL453" i="1" s="1"/>
  <c r="AN453" i="1" s="1"/>
  <c r="N452" i="6"/>
  <c r="AG330" i="1"/>
  <c r="F1202" i="1"/>
  <c r="Y316" i="1"/>
  <c r="Z316" i="1" s="1"/>
  <c r="O407" i="6"/>
  <c r="R302" i="1"/>
  <c r="N361" i="6"/>
  <c r="N327" i="6"/>
  <c r="Y234" i="1"/>
  <c r="Z234" i="1" s="1"/>
  <c r="X234" i="1"/>
  <c r="Y295" i="6"/>
  <c r="Z222" i="1"/>
  <c r="Z295" i="6" s="1"/>
  <c r="AN200" i="1"/>
  <c r="R1206" i="1"/>
  <c r="X1206" i="1" s="1"/>
  <c r="X1579" i="6" s="1"/>
  <c r="AN193" i="1"/>
  <c r="N232" i="6"/>
  <c r="AB168" i="1"/>
  <c r="AB232" i="6" s="1"/>
  <c r="Y156" i="1"/>
  <c r="Z156" i="1" s="1"/>
  <c r="X156" i="1"/>
  <c r="Y145" i="1"/>
  <c r="X145" i="1"/>
  <c r="R150" i="1"/>
  <c r="F175" i="6"/>
  <c r="F140" i="1"/>
  <c r="F202" i="1" s="1"/>
  <c r="AB86" i="1"/>
  <c r="AB106" i="6" s="1"/>
  <c r="AD118" i="1"/>
  <c r="R91" i="6"/>
  <c r="Y70" i="1"/>
  <c r="X70" i="1"/>
  <c r="AI66" i="1"/>
  <c r="AI1148" i="1"/>
  <c r="Y1148" i="1"/>
  <c r="Z1148" i="1" s="1"/>
  <c r="X1148" i="1"/>
  <c r="O1461" i="6"/>
  <c r="AJ1107" i="1"/>
  <c r="R1107" i="1"/>
  <c r="N1447" i="6"/>
  <c r="AA1095" i="1"/>
  <c r="AA1447" i="6" s="1"/>
  <c r="D1090" i="1"/>
  <c r="AD1104" i="1"/>
  <c r="AI1071" i="1"/>
  <c r="N1408" i="6"/>
  <c r="H1057" i="1"/>
  <c r="N1055" i="1"/>
  <c r="Y1048" i="1"/>
  <c r="X1048" i="1"/>
  <c r="R1051" i="1"/>
  <c r="N1381" i="6"/>
  <c r="D1045" i="1"/>
  <c r="D1075" i="1" s="1"/>
  <c r="D1269" i="1" s="1"/>
  <c r="AG1019" i="1"/>
  <c r="F1201" i="1"/>
  <c r="X1017" i="1"/>
  <c r="N1341" i="6"/>
  <c r="AA1010" i="1"/>
  <c r="AA1341" i="6"/>
  <c r="X975" i="1"/>
  <c r="AB975" i="1" s="1"/>
  <c r="AB1290" i="6" s="1"/>
  <c r="Y975" i="1"/>
  <c r="Z975" i="1" s="1"/>
  <c r="F1181" i="1"/>
  <c r="AG967" i="1"/>
  <c r="N1252" i="6"/>
  <c r="N1242" i="6"/>
  <c r="AB951" i="1"/>
  <c r="AB1242" i="6" s="1"/>
  <c r="X948" i="1"/>
  <c r="Y948" i="1"/>
  <c r="Z948" i="1" s="1"/>
  <c r="N1235" i="6"/>
  <c r="N1218" i="6"/>
  <c r="X923" i="1"/>
  <c r="Y923" i="1"/>
  <c r="Z923" i="1"/>
  <c r="N1201" i="6"/>
  <c r="N1198" i="6"/>
  <c r="AA919" i="1"/>
  <c r="AA1198" i="6" s="1"/>
  <c r="N1196" i="6"/>
  <c r="R915" i="1"/>
  <c r="X911" i="1"/>
  <c r="AB911" i="1" s="1"/>
  <c r="Y911" i="1"/>
  <c r="X1173" i="6"/>
  <c r="AO896" i="1"/>
  <c r="AP896" i="1" s="1"/>
  <c r="AI896" i="1"/>
  <c r="N1162" i="6"/>
  <c r="Z890" i="1"/>
  <c r="D896" i="1"/>
  <c r="AB890" i="1"/>
  <c r="E1150" i="6"/>
  <c r="E887" i="1"/>
  <c r="H883" i="1"/>
  <c r="AE893" i="1"/>
  <c r="AG893" i="1" s="1"/>
  <c r="N1148" i="6"/>
  <c r="N1139" i="6"/>
  <c r="AB873" i="1"/>
  <c r="AB1139" i="6" s="1"/>
  <c r="AA873" i="1"/>
  <c r="AA1139" i="6" s="1"/>
  <c r="N1129" i="6"/>
  <c r="AB863" i="1"/>
  <c r="N1126" i="6"/>
  <c r="AA863" i="1"/>
  <c r="N1120" i="6"/>
  <c r="N1104" i="6"/>
  <c r="AB842" i="1"/>
  <c r="AB1104" i="6"/>
  <c r="X1080" i="6"/>
  <c r="AA823" i="1"/>
  <c r="X817" i="1"/>
  <c r="Y817" i="1"/>
  <c r="Z817" i="1" s="1"/>
  <c r="X806" i="1"/>
  <c r="Y806" i="1"/>
  <c r="Z806" i="1" s="1"/>
  <c r="N1048" i="6"/>
  <c r="N1034" i="6"/>
  <c r="N1028" i="6"/>
  <c r="X776" i="1"/>
  <c r="X1026" i="6" s="1"/>
  <c r="Y776" i="1"/>
  <c r="Z776" i="1" s="1"/>
  <c r="H780" i="1"/>
  <c r="N775" i="1"/>
  <c r="AB768" i="1"/>
  <c r="N773" i="1"/>
  <c r="AA768" i="1"/>
  <c r="N1013" i="6"/>
  <c r="N1007" i="6"/>
  <c r="N969" i="6"/>
  <c r="Y728" i="1"/>
  <c r="Z728" i="1" s="1"/>
  <c r="X728" i="1"/>
  <c r="Y690" i="1"/>
  <c r="Z690" i="1" s="1"/>
  <c r="N690" i="1"/>
  <c r="H695" i="1"/>
  <c r="N680" i="1"/>
  <c r="Y680" i="1"/>
  <c r="H686" i="1"/>
  <c r="N898" i="6"/>
  <c r="AB675" i="1"/>
  <c r="AB898" i="6" s="1"/>
  <c r="AA675" i="1"/>
  <c r="AA898" i="6" s="1"/>
  <c r="N882" i="6"/>
  <c r="Y654" i="1"/>
  <c r="Z654" i="1" s="1"/>
  <c r="X654" i="1"/>
  <c r="Y651" i="1"/>
  <c r="X651" i="1"/>
  <c r="AB651" i="1" s="1"/>
  <c r="R660" i="1"/>
  <c r="D649" i="1"/>
  <c r="Y637" i="1"/>
  <c r="Z637" i="1" s="1"/>
  <c r="Z845" i="6" s="1"/>
  <c r="N637" i="1"/>
  <c r="N843" i="6"/>
  <c r="Y625" i="1"/>
  <c r="X625" i="1"/>
  <c r="AB625" i="1" s="1"/>
  <c r="N810" i="6"/>
  <c r="D615" i="1"/>
  <c r="AD657" i="1"/>
  <c r="N802" i="6"/>
  <c r="Y583" i="1"/>
  <c r="Z583" i="1" s="1"/>
  <c r="X583" i="1"/>
  <c r="N763" i="6"/>
  <c r="N753" i="6"/>
  <c r="N569" i="1"/>
  <c r="Y569" i="1"/>
  <c r="Z569" i="1" s="1"/>
  <c r="H573" i="1"/>
  <c r="Y525" i="1"/>
  <c r="Z525" i="1" s="1"/>
  <c r="X525" i="1"/>
  <c r="X690" i="6" s="1"/>
  <c r="AB518" i="1"/>
  <c r="AB683" i="6" s="1"/>
  <c r="AA518" i="1"/>
  <c r="AA683" i="6" s="1"/>
  <c r="N683" i="6"/>
  <c r="R521" i="1"/>
  <c r="X513" i="1"/>
  <c r="N670" i="6"/>
  <c r="AB506" i="1"/>
  <c r="AB670" i="6" s="1"/>
  <c r="AA506" i="1"/>
  <c r="AA670" i="6" s="1"/>
  <c r="X501" i="1"/>
  <c r="O636" i="6"/>
  <c r="O487" i="1"/>
  <c r="R479" i="1"/>
  <c r="O470" i="1"/>
  <c r="R467" i="1"/>
  <c r="AJ562" i="1"/>
  <c r="AL562" i="1" s="1"/>
  <c r="AN562" i="1" s="1"/>
  <c r="Z450" i="1"/>
  <c r="AD441" i="1"/>
  <c r="D452" i="1"/>
  <c r="AB450" i="1"/>
  <c r="AB615" i="6" s="1"/>
  <c r="AI443" i="1"/>
  <c r="Y419" i="1"/>
  <c r="Z419" i="1" s="1"/>
  <c r="X419" i="1"/>
  <c r="X572" i="6" s="1"/>
  <c r="N561" i="6"/>
  <c r="N485" i="6"/>
  <c r="N473" i="6"/>
  <c r="N472" i="6"/>
  <c r="AB351" i="1"/>
  <c r="AB472" i="6" s="1"/>
  <c r="AA351" i="1"/>
  <c r="AA472" i="6" s="1"/>
  <c r="H354" i="1"/>
  <c r="N349" i="1"/>
  <c r="AL332" i="1"/>
  <c r="J1186" i="1"/>
  <c r="J1556" i="6" s="1"/>
  <c r="O1186" i="1"/>
  <c r="O1556" i="6" s="1"/>
  <c r="N438" i="6"/>
  <c r="D330" i="1"/>
  <c r="N415" i="6"/>
  <c r="N295" i="1"/>
  <c r="Y295" i="1"/>
  <c r="Z295" i="1" s="1"/>
  <c r="H299" i="1"/>
  <c r="N285" i="1"/>
  <c r="Y285" i="1"/>
  <c r="Z285" i="1" s="1"/>
  <c r="Y272" i="1"/>
  <c r="Z272" i="1" s="1"/>
  <c r="X272" i="1"/>
  <c r="X360" i="6" s="1"/>
  <c r="AD337" i="1"/>
  <c r="E323" i="6"/>
  <c r="AE328" i="1"/>
  <c r="H242" i="1"/>
  <c r="H237" i="1"/>
  <c r="N235" i="1"/>
  <c r="Y230" i="1"/>
  <c r="Z230" i="1" s="1"/>
  <c r="X230" i="1"/>
  <c r="AA230" i="1" s="1"/>
  <c r="AA304" i="6" s="1"/>
  <c r="N211" i="1"/>
  <c r="Y211" i="1"/>
  <c r="Y282" i="6" s="1"/>
  <c r="AL201" i="1"/>
  <c r="D1206" i="1"/>
  <c r="AG195" i="1"/>
  <c r="E1204" i="1"/>
  <c r="H192" i="1"/>
  <c r="N187" i="1"/>
  <c r="N251" i="6" s="1"/>
  <c r="N242" i="6"/>
  <c r="Y157" i="1"/>
  <c r="Z157" i="1" s="1"/>
  <c r="X157" i="1"/>
  <c r="O205" i="6"/>
  <c r="R152" i="1"/>
  <c r="O1159" i="1"/>
  <c r="O1216" i="1" s="1"/>
  <c r="Y146" i="1"/>
  <c r="Z146" i="1" s="1"/>
  <c r="X146" i="1"/>
  <c r="N181" i="6"/>
  <c r="Z136" i="1"/>
  <c r="D89" i="1"/>
  <c r="AD116" i="1"/>
  <c r="AI73" i="1"/>
  <c r="AO73" i="1"/>
  <c r="AP73" i="1" s="1"/>
  <c r="AI62" i="1"/>
  <c r="H1193" i="1"/>
  <c r="AN61" i="1"/>
  <c r="Y52" i="1"/>
  <c r="Z52" i="1" s="1"/>
  <c r="X52" i="1"/>
  <c r="X53" i="6"/>
  <c r="R982" i="6"/>
  <c r="L969" i="1"/>
  <c r="L1265" i="1" s="1"/>
  <c r="AM754" i="1"/>
  <c r="L668" i="1"/>
  <c r="L1257" i="1"/>
  <c r="P1204" i="1"/>
  <c r="P1577" i="6" s="1"/>
  <c r="AK1154" i="1"/>
  <c r="AF1074" i="1"/>
  <c r="L1024" i="1"/>
  <c r="L1267" i="1" s="1"/>
  <c r="E1024" i="1"/>
  <c r="E1267" i="1"/>
  <c r="J969" i="1"/>
  <c r="J1265" i="1" s="1"/>
  <c r="E969" i="1"/>
  <c r="E1265" i="1" s="1"/>
  <c r="I899" i="1"/>
  <c r="I1263" i="1" s="1"/>
  <c r="Y875" i="1"/>
  <c r="Z875" i="1" s="1"/>
  <c r="Y871" i="1"/>
  <c r="AH846" i="1"/>
  <c r="I846" i="1"/>
  <c r="I1261" i="1" s="1"/>
  <c r="N721" i="1"/>
  <c r="V1200" i="1"/>
  <c r="V1573" i="6" s="1"/>
  <c r="AO566" i="1"/>
  <c r="AP566" i="1" s="1"/>
  <c r="H530" i="1"/>
  <c r="L454" i="1"/>
  <c r="L1253" i="1" s="1"/>
  <c r="F454" i="1"/>
  <c r="F1253" i="1" s="1"/>
  <c r="I454" i="1"/>
  <c r="I1253" i="1" s="1"/>
  <c r="AB197" i="1"/>
  <c r="AB260" i="6"/>
  <c r="S202" i="1"/>
  <c r="S1249" i="1" s="1"/>
  <c r="N1154" i="6"/>
  <c r="Y1035" i="3"/>
  <c r="Z1035" i="3" s="1"/>
  <c r="N1035" i="3"/>
  <c r="N1042" i="3" s="1"/>
  <c r="X964" i="3"/>
  <c r="AB964" i="3"/>
  <c r="Y964" i="3"/>
  <c r="Z964" i="3" s="1"/>
  <c r="Y960" i="3"/>
  <c r="Z960" i="3"/>
  <c r="X960" i="3"/>
  <c r="AA960" i="3" s="1"/>
  <c r="AB960" i="3" s="1"/>
  <c r="AA938" i="3"/>
  <c r="AB938" i="3"/>
  <c r="AK925" i="3"/>
  <c r="K1155" i="3"/>
  <c r="P1155" i="3"/>
  <c r="Y839" i="3"/>
  <c r="X839" i="3"/>
  <c r="R844" i="3"/>
  <c r="N340" i="3"/>
  <c r="H345" i="3"/>
  <c r="AL317" i="3"/>
  <c r="J1137" i="3"/>
  <c r="O1137" i="3"/>
  <c r="X840" i="1"/>
  <c r="R844" i="1"/>
  <c r="Y759" i="1"/>
  <c r="Z700" i="1"/>
  <c r="AD747" i="1"/>
  <c r="O914" i="6"/>
  <c r="O695" i="1"/>
  <c r="R689" i="1"/>
  <c r="AD656" i="1"/>
  <c r="D660" i="1"/>
  <c r="AG652" i="1"/>
  <c r="R642" i="1"/>
  <c r="Y635" i="1"/>
  <c r="R798" i="6"/>
  <c r="Y602" i="1"/>
  <c r="Z602" i="1" s="1"/>
  <c r="O696" i="6"/>
  <c r="R527" i="1"/>
  <c r="O530" i="1"/>
  <c r="Y517" i="1"/>
  <c r="Z517" i="1"/>
  <c r="Z682" i="6" s="1"/>
  <c r="X517" i="1"/>
  <c r="X682" i="6" s="1"/>
  <c r="O669" i="6"/>
  <c r="R505" i="1"/>
  <c r="R508" i="1" s="1"/>
  <c r="E664" i="6"/>
  <c r="H502" i="1"/>
  <c r="N502" i="1" s="1"/>
  <c r="N653" i="6"/>
  <c r="N629" i="6"/>
  <c r="N596" i="6"/>
  <c r="Y420" i="1"/>
  <c r="Z420" i="1" s="1"/>
  <c r="X420" i="1"/>
  <c r="AB420" i="1" s="1"/>
  <c r="AB573" i="6" s="1"/>
  <c r="X573" i="6"/>
  <c r="N549" i="6"/>
  <c r="Y396" i="1"/>
  <c r="Z396" i="1" s="1"/>
  <c r="X396" i="1"/>
  <c r="X537" i="6" s="1"/>
  <c r="N506" i="6"/>
  <c r="AB376" i="1"/>
  <c r="AB506" i="6" s="1"/>
  <c r="O464" i="6"/>
  <c r="R348" i="1"/>
  <c r="R354" i="1" s="1"/>
  <c r="N414" i="6"/>
  <c r="N373" i="6"/>
  <c r="N362" i="6"/>
  <c r="Y253" i="1"/>
  <c r="Z253" i="1" s="1"/>
  <c r="X253" i="1"/>
  <c r="X334" i="6" s="1"/>
  <c r="Y246" i="1"/>
  <c r="Z246" i="1" s="1"/>
  <c r="X246" i="1"/>
  <c r="Y231" i="1"/>
  <c r="Z231" i="1" s="1"/>
  <c r="X231" i="1"/>
  <c r="X307" i="6" s="1"/>
  <c r="H295" i="6"/>
  <c r="N222" i="1"/>
  <c r="N287" i="6"/>
  <c r="R276" i="6"/>
  <c r="Y210" i="1"/>
  <c r="Z210" i="1"/>
  <c r="X210" i="1"/>
  <c r="AA210" i="1" s="1"/>
  <c r="AA276" i="6" s="1"/>
  <c r="AG191" i="1"/>
  <c r="Y169" i="1"/>
  <c r="Z169" i="1" s="1"/>
  <c r="X169" i="1"/>
  <c r="X233" i="6"/>
  <c r="N133" i="1"/>
  <c r="N169" i="6"/>
  <c r="AB119" i="1"/>
  <c r="AB149" i="6"/>
  <c r="N149" i="6"/>
  <c r="X69" i="6"/>
  <c r="N31" i="6"/>
  <c r="N15" i="6"/>
  <c r="AG1025" i="3"/>
  <c r="F1153" i="3"/>
  <c r="AA971" i="3"/>
  <c r="AD974" i="3"/>
  <c r="AB971" i="3"/>
  <c r="D974" i="3"/>
  <c r="R499" i="3"/>
  <c r="O505" i="3"/>
  <c r="AN421" i="3"/>
  <c r="AQ421" i="3" s="1"/>
  <c r="AO421" i="3"/>
  <c r="AP421" i="3" s="1"/>
  <c r="N1094" i="6"/>
  <c r="X799" i="1"/>
  <c r="R804" i="1"/>
  <c r="X775" i="1"/>
  <c r="R780" i="1"/>
  <c r="R738" i="1"/>
  <c r="Y733" i="1"/>
  <c r="N959" i="6"/>
  <c r="N949" i="6"/>
  <c r="Y716" i="1"/>
  <c r="Z716" i="1" s="1"/>
  <c r="X716" i="1"/>
  <c r="AB716" i="1" s="1"/>
  <c r="AB948" i="6" s="1"/>
  <c r="AD745" i="1"/>
  <c r="H928" i="6"/>
  <c r="Y928" i="6" s="1"/>
  <c r="Z928" i="6" s="1"/>
  <c r="N700" i="1"/>
  <c r="AB700" i="1" s="1"/>
  <c r="AB928" i="6" s="1"/>
  <c r="N907" i="6"/>
  <c r="Y658" i="1"/>
  <c r="Z658" i="1" s="1"/>
  <c r="X658" i="1"/>
  <c r="N653" i="1"/>
  <c r="Y844" i="6"/>
  <c r="Z636" i="1"/>
  <c r="Z844" i="6" s="1"/>
  <c r="R835" i="6"/>
  <c r="Y627" i="1"/>
  <c r="Z627" i="1" s="1"/>
  <c r="X627" i="1"/>
  <c r="O615" i="1"/>
  <c r="R615" i="1" s="1"/>
  <c r="AJ657" i="1"/>
  <c r="AL657" i="1" s="1"/>
  <c r="AN657" i="1" s="1"/>
  <c r="N785" i="6"/>
  <c r="O750" i="6"/>
  <c r="O573" i="1"/>
  <c r="N739" i="6"/>
  <c r="N706" i="6"/>
  <c r="O702" i="6"/>
  <c r="R533" i="1"/>
  <c r="N689" i="6"/>
  <c r="X681" i="6"/>
  <c r="AA516" i="1"/>
  <c r="AA681" i="6" s="1"/>
  <c r="E663" i="6"/>
  <c r="H501" i="1"/>
  <c r="O657" i="6"/>
  <c r="AJ564" i="1"/>
  <c r="AL564" i="1" s="1"/>
  <c r="N656" i="6"/>
  <c r="AA494" i="1"/>
  <c r="AA656" i="6" s="1"/>
  <c r="N643" i="6"/>
  <c r="AA483" i="1"/>
  <c r="AA643" i="6" s="1"/>
  <c r="Y480" i="1"/>
  <c r="Z480" i="1" s="1"/>
  <c r="X480" i="1"/>
  <c r="N610" i="6"/>
  <c r="N452" i="1"/>
  <c r="N597" i="6"/>
  <c r="AA436" i="1"/>
  <c r="AA597" i="6" s="1"/>
  <c r="N575" i="6"/>
  <c r="Y421" i="1"/>
  <c r="Z421" i="1" s="1"/>
  <c r="X421" i="1"/>
  <c r="N550" i="6"/>
  <c r="Y404" i="1"/>
  <c r="Z404" i="1" s="1"/>
  <c r="X404" i="1"/>
  <c r="AB404" i="1" s="1"/>
  <c r="AB549" i="6" s="1"/>
  <c r="N533" i="6"/>
  <c r="Y393" i="1"/>
  <c r="X393" i="1"/>
  <c r="N512" i="6"/>
  <c r="Y376" i="1"/>
  <c r="Z376" i="1" s="1"/>
  <c r="X376" i="1"/>
  <c r="Y500" i="6"/>
  <c r="Z370" i="1"/>
  <c r="Z500" i="6" s="1"/>
  <c r="N490" i="6"/>
  <c r="N372" i="1"/>
  <c r="N479" i="6"/>
  <c r="N440" i="6"/>
  <c r="N439" i="6"/>
  <c r="AA326" i="1"/>
  <c r="AA439" i="6"/>
  <c r="D318" i="1"/>
  <c r="Y307" i="1"/>
  <c r="Z307" i="1"/>
  <c r="X307" i="1"/>
  <c r="N402" i="6"/>
  <c r="E376" i="6"/>
  <c r="AE326" i="1"/>
  <c r="X283" i="1"/>
  <c r="Y274" i="1"/>
  <c r="Z274" i="1" s="1"/>
  <c r="X274" i="1"/>
  <c r="AB274" i="1" s="1"/>
  <c r="AB362" i="6" s="1"/>
  <c r="Y271" i="1"/>
  <c r="X271" i="1"/>
  <c r="AB271" i="1" s="1"/>
  <c r="R276" i="1"/>
  <c r="N337" i="6"/>
  <c r="Y254" i="1"/>
  <c r="Z254" i="1" s="1"/>
  <c r="X254" i="1"/>
  <c r="H324" i="6"/>
  <c r="N243" i="1"/>
  <c r="N318" i="6"/>
  <c r="N309" i="6"/>
  <c r="Y232" i="1"/>
  <c r="Z232" i="1"/>
  <c r="X232" i="1"/>
  <c r="N302" i="6"/>
  <c r="H296" i="6"/>
  <c r="N223" i="1"/>
  <c r="O272" i="6"/>
  <c r="O216" i="1"/>
  <c r="N243" i="6"/>
  <c r="X238" i="6"/>
  <c r="O217" i="6"/>
  <c r="O162" i="1"/>
  <c r="X158" i="1"/>
  <c r="X215" i="6" s="1"/>
  <c r="AD189" i="1"/>
  <c r="N143" i="1"/>
  <c r="H150" i="1"/>
  <c r="Y132" i="1"/>
  <c r="Z132" i="1" s="1"/>
  <c r="R140" i="1"/>
  <c r="AO125" i="1"/>
  <c r="AP125" i="1" s="1"/>
  <c r="N133" i="6"/>
  <c r="H115" i="1"/>
  <c r="N110" i="1"/>
  <c r="Y110" i="1"/>
  <c r="Y97" i="1"/>
  <c r="Z97" i="1"/>
  <c r="X97" i="1"/>
  <c r="N112" i="6"/>
  <c r="N107" i="6"/>
  <c r="O89" i="6"/>
  <c r="AJ67" i="1"/>
  <c r="R68" i="1"/>
  <c r="Y58" i="1"/>
  <c r="Z58" i="1" s="1"/>
  <c r="X58" i="1"/>
  <c r="N78" i="6"/>
  <c r="H60" i="1"/>
  <c r="N56" i="1"/>
  <c r="Y56" i="1"/>
  <c r="Z56" i="1" s="1"/>
  <c r="N21" i="6"/>
  <c r="N22" i="1"/>
  <c r="Y22" i="1"/>
  <c r="Z22" i="1" s="1"/>
  <c r="Y17" i="1"/>
  <c r="X17" i="1"/>
  <c r="X15" i="6" s="1"/>
  <c r="Y16" i="1"/>
  <c r="Z16" i="1" s="1"/>
  <c r="X16" i="1"/>
  <c r="X14" i="6" s="1"/>
  <c r="Y13" i="1"/>
  <c r="Z13" i="1" s="1"/>
  <c r="X13" i="1"/>
  <c r="X11" i="6" s="1"/>
  <c r="Y12" i="1"/>
  <c r="X12" i="1"/>
  <c r="R19" i="1"/>
  <c r="AA1089" i="3"/>
  <c r="AB1089" i="3"/>
  <c r="AJ1097" i="3"/>
  <c r="O1082" i="3"/>
  <c r="AL970" i="3"/>
  <c r="AN970" i="3" s="1"/>
  <c r="R900" i="3"/>
  <c r="Y893" i="3"/>
  <c r="X887" i="3"/>
  <c r="Y887" i="3"/>
  <c r="Z887" i="3" s="1"/>
  <c r="X886" i="3"/>
  <c r="AA886" i="3" s="1"/>
  <c r="R891" i="3"/>
  <c r="Y886" i="3"/>
  <c r="AJ916" i="3"/>
  <c r="O882" i="3"/>
  <c r="R878" i="3"/>
  <c r="V1156" i="3"/>
  <c r="AF633" i="3"/>
  <c r="AG622" i="3"/>
  <c r="F1131" i="3"/>
  <c r="Y1136" i="1"/>
  <c r="Z1136" i="1" s="1"/>
  <c r="Y1135" i="1"/>
  <c r="Y1105" i="1"/>
  <c r="Z1105" i="1" s="1"/>
  <c r="Y941" i="1"/>
  <c r="Z941" i="1" s="1"/>
  <c r="Y940" i="1"/>
  <c r="Z940" i="1" s="1"/>
  <c r="Y919" i="1"/>
  <c r="Z919" i="1" s="1"/>
  <c r="Y918" i="1"/>
  <c r="Y906" i="1"/>
  <c r="Z906" i="1" s="1"/>
  <c r="K846" i="1"/>
  <c r="K1261" i="1" s="1"/>
  <c r="Y708" i="1"/>
  <c r="Z708" i="1" s="1"/>
  <c r="AO572" i="1"/>
  <c r="AP572" i="1" s="1"/>
  <c r="AM576" i="1"/>
  <c r="AA544" i="1"/>
  <c r="AA713" i="6" s="1"/>
  <c r="H200" i="1"/>
  <c r="P202" i="1"/>
  <c r="P1249" i="1" s="1"/>
  <c r="AA12" i="1"/>
  <c r="P1148" i="3"/>
  <c r="AA503" i="3"/>
  <c r="O1187" i="1"/>
  <c r="O1557" i="6" s="1"/>
  <c r="J1187" i="1"/>
  <c r="J1557" i="6" s="1"/>
  <c r="P1186" i="1"/>
  <c r="P1556" i="6" s="1"/>
  <c r="F1186" i="1"/>
  <c r="P1180" i="1"/>
  <c r="P1549" i="6" s="1"/>
  <c r="K1180" i="1"/>
  <c r="K1549" i="6" s="1"/>
  <c r="AH1153" i="1"/>
  <c r="AH1150" i="1"/>
  <c r="AI1150" i="1" s="1"/>
  <c r="AQ1150" i="1" s="1"/>
  <c r="X1147" i="1"/>
  <c r="X1146" i="1"/>
  <c r="N1145" i="1"/>
  <c r="AD1144" i="1"/>
  <c r="X1130" i="1"/>
  <c r="X1128" i="1"/>
  <c r="X1485" i="6"/>
  <c r="X1122" i="1"/>
  <c r="X1121" i="1"/>
  <c r="X1478" i="6" s="1"/>
  <c r="X1120" i="1"/>
  <c r="X1475" i="6" s="1"/>
  <c r="R1109" i="1"/>
  <c r="X1106" i="1"/>
  <c r="X1460" i="6" s="1"/>
  <c r="X1104" i="1"/>
  <c r="X1456" i="6"/>
  <c r="X1103" i="1"/>
  <c r="AA1103" i="1" s="1"/>
  <c r="N1093" i="1"/>
  <c r="X1088" i="1"/>
  <c r="X1440" i="6" s="1"/>
  <c r="X1085" i="1"/>
  <c r="X1433" i="6" s="1"/>
  <c r="X1084" i="1"/>
  <c r="X1432" i="6" s="1"/>
  <c r="AD1068" i="1"/>
  <c r="X1061" i="1"/>
  <c r="N1060" i="1"/>
  <c r="E1045" i="1"/>
  <c r="X1042" i="1"/>
  <c r="X1384" i="6" s="1"/>
  <c r="H1040" i="1"/>
  <c r="R1036" i="1"/>
  <c r="X1034" i="1"/>
  <c r="X1374" i="6" s="1"/>
  <c r="X1033" i="1"/>
  <c r="X1373" i="6" s="1"/>
  <c r="X1032" i="1"/>
  <c r="X1370" i="6" s="1"/>
  <c r="N1031" i="1"/>
  <c r="H1015" i="1"/>
  <c r="X1013" i="1"/>
  <c r="X1349" i="6" s="1"/>
  <c r="N1011" i="1"/>
  <c r="R1006" i="1"/>
  <c r="R998" i="1"/>
  <c r="X992" i="1"/>
  <c r="X1318" i="6" s="1"/>
  <c r="N991" i="1"/>
  <c r="N990" i="1"/>
  <c r="N965" i="1"/>
  <c r="R961" i="1"/>
  <c r="H961" i="1"/>
  <c r="X959" i="1"/>
  <c r="X1253" i="6" s="1"/>
  <c r="X957" i="1"/>
  <c r="O943" i="1"/>
  <c r="R937" i="1"/>
  <c r="R934" i="1"/>
  <c r="X932" i="1"/>
  <c r="X931" i="1"/>
  <c r="X1212" i="6"/>
  <c r="X930" i="1"/>
  <c r="X1211" i="6" s="1"/>
  <c r="X929" i="1"/>
  <c r="D925" i="1"/>
  <c r="N905" i="1"/>
  <c r="N904" i="1"/>
  <c r="H896" i="1"/>
  <c r="X894" i="1"/>
  <c r="X1163" i="6" s="1"/>
  <c r="X892" i="1"/>
  <c r="X1161" i="6" s="1"/>
  <c r="D887" i="1"/>
  <c r="X882" i="1"/>
  <c r="AA882" i="1" s="1"/>
  <c r="AB882" i="1"/>
  <c r="R857" i="1"/>
  <c r="Y854" i="1"/>
  <c r="N853" i="1"/>
  <c r="Y842" i="1"/>
  <c r="Z842" i="1" s="1"/>
  <c r="Y840" i="1"/>
  <c r="N832" i="1"/>
  <c r="Y831" i="1"/>
  <c r="Z831" i="1" s="1"/>
  <c r="Y809" i="1"/>
  <c r="Z809" i="1" s="1"/>
  <c r="F846" i="1"/>
  <c r="F1261" i="1" s="1"/>
  <c r="R763" i="1"/>
  <c r="AB761" i="1"/>
  <c r="AB1002" i="6" s="1"/>
  <c r="X759" i="1"/>
  <c r="AB759" i="1" s="1"/>
  <c r="AD746" i="1"/>
  <c r="D745" i="1"/>
  <c r="R726" i="1"/>
  <c r="X708" i="1"/>
  <c r="X938" i="6" s="1"/>
  <c r="H712" i="1"/>
  <c r="AO667" i="1"/>
  <c r="AP667" i="1" s="1"/>
  <c r="X663" i="1"/>
  <c r="AA663" i="1" s="1"/>
  <c r="AA882" i="6" s="1"/>
  <c r="AB637" i="1"/>
  <c r="AB845" i="6" s="1"/>
  <c r="X635" i="1"/>
  <c r="AA635" i="1" s="1"/>
  <c r="Z619" i="1"/>
  <c r="X612" i="1"/>
  <c r="T1257" i="1"/>
  <c r="X602" i="1"/>
  <c r="X584" i="1"/>
  <c r="AB584" i="1" s="1"/>
  <c r="AB770" i="6" s="1"/>
  <c r="AG575" i="1"/>
  <c r="AO574" i="1"/>
  <c r="K576" i="1"/>
  <c r="K1255" i="1" s="1"/>
  <c r="AN561" i="1"/>
  <c r="AL558" i="1"/>
  <c r="X545" i="1"/>
  <c r="N534" i="1"/>
  <c r="Z518" i="1"/>
  <c r="O508" i="1"/>
  <c r="Y484" i="1"/>
  <c r="Z484" i="1" s="1"/>
  <c r="N474" i="1"/>
  <c r="AO451" i="1"/>
  <c r="AP451" i="1" s="1"/>
  <c r="AQ451" i="1" s="1"/>
  <c r="AJ443" i="1"/>
  <c r="X443" i="1"/>
  <c r="X441" i="1"/>
  <c r="Y397" i="1"/>
  <c r="Z397" i="1"/>
  <c r="X336" i="1"/>
  <c r="N333" i="1"/>
  <c r="AG329" i="1"/>
  <c r="Y328" i="1"/>
  <c r="Z328" i="1" s="1"/>
  <c r="AJ327" i="1"/>
  <c r="AM323" i="1"/>
  <c r="AN323" i="1" s="1"/>
  <c r="H303" i="1"/>
  <c r="O291" i="1"/>
  <c r="R287" i="1"/>
  <c r="R291" i="1" s="1"/>
  <c r="X266" i="1"/>
  <c r="X264" i="1"/>
  <c r="O226" i="1"/>
  <c r="R219" i="1"/>
  <c r="AJ202" i="1"/>
  <c r="AG199" i="1"/>
  <c r="AN197" i="1"/>
  <c r="N195" i="1"/>
  <c r="AG194" i="1"/>
  <c r="R189" i="1"/>
  <c r="R192" i="1" s="1"/>
  <c r="R171" i="1"/>
  <c r="X165" i="1"/>
  <c r="AB165" i="1" s="1"/>
  <c r="K202" i="1"/>
  <c r="K1249" i="1" s="1"/>
  <c r="X135" i="1"/>
  <c r="X175" i="6" s="1"/>
  <c r="AF127" i="1"/>
  <c r="Y93" i="1"/>
  <c r="Y84" i="1"/>
  <c r="Z84" i="1" s="1"/>
  <c r="AF75" i="1"/>
  <c r="O1358" i="6"/>
  <c r="O1094" i="6"/>
  <c r="N1080" i="6"/>
  <c r="N940" i="6"/>
  <c r="H929" i="6"/>
  <c r="Y929" i="6" s="1"/>
  <c r="Z929" i="6" s="1"/>
  <c r="Y679" i="6"/>
  <c r="R1082" i="3"/>
  <c r="AA914" i="3"/>
  <c r="AB914" i="3"/>
  <c r="N918" i="3"/>
  <c r="AL798" i="3"/>
  <c r="J1132" i="3"/>
  <c r="O1132" i="3"/>
  <c r="AA555" i="3"/>
  <c r="AB555" i="3"/>
  <c r="AI428" i="3"/>
  <c r="AA333" i="3"/>
  <c r="AB333" i="3"/>
  <c r="Y240" i="3"/>
  <c r="Z240" i="3" s="1"/>
  <c r="X240" i="3"/>
  <c r="AB240" i="3"/>
  <c r="D773" i="1"/>
  <c r="X1013" i="6"/>
  <c r="N948" i="6"/>
  <c r="N905" i="6"/>
  <c r="N875" i="6"/>
  <c r="N874" i="6"/>
  <c r="AA657" i="1"/>
  <c r="AA874" i="6" s="1"/>
  <c r="Y656" i="1"/>
  <c r="Z656" i="1" s="1"/>
  <c r="X656" i="1"/>
  <c r="AB656" i="1" s="1"/>
  <c r="AB873" i="6" s="1"/>
  <c r="Y652" i="1"/>
  <c r="Z652" i="1"/>
  <c r="X652" i="1"/>
  <c r="X867" i="6" s="1"/>
  <c r="N835" i="6"/>
  <c r="R832" i="6"/>
  <c r="Y626" i="1"/>
  <c r="Z626" i="1" s="1"/>
  <c r="X626" i="1"/>
  <c r="X832" i="6" s="1"/>
  <c r="D752" i="6"/>
  <c r="N738" i="6"/>
  <c r="D539" i="1"/>
  <c r="AD573" i="1"/>
  <c r="N702" i="6"/>
  <c r="E690" i="6"/>
  <c r="E530" i="1"/>
  <c r="AD559" i="1"/>
  <c r="N637" i="6"/>
  <c r="AB480" i="1"/>
  <c r="AB637" i="6" s="1"/>
  <c r="AD562" i="1"/>
  <c r="AG440" i="1"/>
  <c r="N574" i="6"/>
  <c r="Y403" i="1"/>
  <c r="X403" i="1"/>
  <c r="AB403" i="1" s="1"/>
  <c r="R407" i="1"/>
  <c r="O514" i="6"/>
  <c r="R379" i="1"/>
  <c r="Y375" i="1"/>
  <c r="R381" i="1"/>
  <c r="X375" i="1"/>
  <c r="AB375" i="1" s="1"/>
  <c r="Z366" i="1"/>
  <c r="H363" i="1"/>
  <c r="N357" i="1"/>
  <c r="Y325" i="1"/>
  <c r="Z325" i="1" s="1"/>
  <c r="X325" i="1"/>
  <c r="AA325" i="1" s="1"/>
  <c r="AA438" i="6" s="1"/>
  <c r="Y306" i="1"/>
  <c r="Z306" i="1" s="1"/>
  <c r="X306" i="1"/>
  <c r="AA306" i="1" s="1"/>
  <c r="AA413" i="6" s="1"/>
  <c r="N401" i="6"/>
  <c r="N378" i="6"/>
  <c r="Y273" i="1"/>
  <c r="Z273" i="1" s="1"/>
  <c r="X273" i="1"/>
  <c r="X361" i="6" s="1"/>
  <c r="Z264" i="1"/>
  <c r="AB254" i="1"/>
  <c r="AB336" i="6" s="1"/>
  <c r="N308" i="6"/>
  <c r="E282" i="6"/>
  <c r="AG434" i="6" s="1"/>
  <c r="AE324" i="1"/>
  <c r="E216" i="1"/>
  <c r="Y181" i="1"/>
  <c r="Z181" i="1" s="1"/>
  <c r="X181" i="1"/>
  <c r="X245" i="6"/>
  <c r="Y178" i="1"/>
  <c r="Z178" i="1" s="1"/>
  <c r="X178" i="1"/>
  <c r="AB143" i="1"/>
  <c r="D150" i="1"/>
  <c r="Z143" i="1"/>
  <c r="R115" i="1"/>
  <c r="Y113" i="1"/>
  <c r="Z113" i="1" s="1"/>
  <c r="X113" i="1"/>
  <c r="X140" i="6"/>
  <c r="Y104" i="1"/>
  <c r="Z104" i="1" s="1"/>
  <c r="X104" i="1"/>
  <c r="AB104" i="1" s="1"/>
  <c r="AB126" i="6" s="1"/>
  <c r="AD115" i="1"/>
  <c r="Z102" i="1"/>
  <c r="D99" i="1"/>
  <c r="AD117" i="1"/>
  <c r="Y54" i="1"/>
  <c r="Z54" i="1" s="1"/>
  <c r="X54" i="1"/>
  <c r="N45" i="1"/>
  <c r="Y45" i="1"/>
  <c r="Z45" i="1" s="1"/>
  <c r="AA42" i="1"/>
  <c r="N51" i="6"/>
  <c r="X23" i="6"/>
  <c r="AB25" i="1"/>
  <c r="AB23" i="6" s="1"/>
  <c r="AB13" i="1"/>
  <c r="AB11" i="6" s="1"/>
  <c r="N11" i="6"/>
  <c r="Y196" i="6"/>
  <c r="F1155" i="3"/>
  <c r="AG974" i="3"/>
  <c r="X963" i="3"/>
  <c r="R968" i="3"/>
  <c r="Y963" i="3"/>
  <c r="X908" i="3"/>
  <c r="Y908" i="3"/>
  <c r="Z908" i="3" s="1"/>
  <c r="X489" i="3"/>
  <c r="R496" i="3"/>
  <c r="N1093" i="6"/>
  <c r="N1043" i="6"/>
  <c r="N797" i="1"/>
  <c r="Y771" i="1"/>
  <c r="Z771" i="1" s="1"/>
  <c r="X771" i="1"/>
  <c r="N960" i="6"/>
  <c r="AB728" i="1"/>
  <c r="AB960" i="6" s="1"/>
  <c r="Y727" i="1"/>
  <c r="Z727" i="1" s="1"/>
  <c r="X727" i="1"/>
  <c r="AB727" i="1" s="1"/>
  <c r="AB959" i="6" s="1"/>
  <c r="Y717" i="1"/>
  <c r="Z717" i="1" s="1"/>
  <c r="X717" i="1"/>
  <c r="AB717" i="1" s="1"/>
  <c r="AB949" i="6" s="1"/>
  <c r="AD744" i="1"/>
  <c r="N934" i="6"/>
  <c r="N929" i="6"/>
  <c r="AA701" i="1"/>
  <c r="AA929" i="6" s="1"/>
  <c r="N918" i="6"/>
  <c r="AA692" i="1"/>
  <c r="AA918" i="6"/>
  <c r="N866" i="6"/>
  <c r="X857" i="6"/>
  <c r="N830" i="6"/>
  <c r="N808" i="6"/>
  <c r="AB609" i="1"/>
  <c r="AB808" i="6" s="1"/>
  <c r="Y561" i="1"/>
  <c r="Z561" i="1" s="1"/>
  <c r="X561" i="1"/>
  <c r="AL559" i="1"/>
  <c r="AN559" i="1" s="1"/>
  <c r="N735" i="6"/>
  <c r="N718" i="6"/>
  <c r="Y544" i="1"/>
  <c r="Z544" i="1" s="1"/>
  <c r="N712" i="6"/>
  <c r="Y537" i="1"/>
  <c r="Z537" i="1"/>
  <c r="X537" i="1"/>
  <c r="Y681" i="6"/>
  <c r="Z516" i="1"/>
  <c r="Z681" i="6"/>
  <c r="E676" i="6"/>
  <c r="H513" i="1"/>
  <c r="N658" i="6"/>
  <c r="D498" i="1"/>
  <c r="N645" i="6"/>
  <c r="AA484" i="1"/>
  <c r="AA645" i="6" s="1"/>
  <c r="Y481" i="1"/>
  <c r="Z481" i="1" s="1"/>
  <c r="X481" i="1"/>
  <c r="Y449" i="1"/>
  <c r="X449" i="1"/>
  <c r="AB449" i="1" s="1"/>
  <c r="N576" i="6"/>
  <c r="AB423" i="1"/>
  <c r="AB576" i="6" s="1"/>
  <c r="Y422" i="1"/>
  <c r="Z422" i="1" s="1"/>
  <c r="X422" i="1"/>
  <c r="N572" i="6"/>
  <c r="X418" i="1"/>
  <c r="R425" i="1"/>
  <c r="Y405" i="1"/>
  <c r="Z405" i="1" s="1"/>
  <c r="X405" i="1"/>
  <c r="N534" i="6"/>
  <c r="Y394" i="1"/>
  <c r="Z394" i="1" s="1"/>
  <c r="X394" i="1"/>
  <c r="N525" i="6"/>
  <c r="N513" i="6"/>
  <c r="AB378" i="1"/>
  <c r="AB513" i="6"/>
  <c r="Y377" i="1"/>
  <c r="Z377" i="1" s="1"/>
  <c r="X377" i="1"/>
  <c r="AB377" i="1" s="1"/>
  <c r="AB512" i="6" s="1"/>
  <c r="N493" i="6"/>
  <c r="N484" i="6"/>
  <c r="AD450" i="1"/>
  <c r="N448" i="6"/>
  <c r="N441" i="6"/>
  <c r="AA328" i="1"/>
  <c r="AA441" i="6" s="1"/>
  <c r="Y327" i="1"/>
  <c r="Z327" i="1" s="1"/>
  <c r="X327" i="1"/>
  <c r="AB327" i="1" s="1"/>
  <c r="AB440" i="6" s="1"/>
  <c r="E422" i="6"/>
  <c r="E318" i="1"/>
  <c r="H314" i="1"/>
  <c r="N314" i="1" s="1"/>
  <c r="N410" i="6"/>
  <c r="N399" i="6"/>
  <c r="N280" i="1"/>
  <c r="N360" i="6"/>
  <c r="S356" i="6"/>
  <c r="S276" i="1"/>
  <c r="S341" i="1" s="1"/>
  <c r="D276" i="1"/>
  <c r="H340" i="6"/>
  <c r="N258" i="1"/>
  <c r="Y255" i="1"/>
  <c r="Z255" i="1" s="1"/>
  <c r="X255" i="1"/>
  <c r="AB255" i="1" s="1"/>
  <c r="AB337" i="6" s="1"/>
  <c r="N333" i="6"/>
  <c r="AB252" i="1"/>
  <c r="AB333" i="6" s="1"/>
  <c r="O326" i="6"/>
  <c r="AJ337" i="1"/>
  <c r="AL337" i="1"/>
  <c r="AN337" i="1" s="1"/>
  <c r="H325" i="6"/>
  <c r="Y325" i="6" s="1"/>
  <c r="N244" i="1"/>
  <c r="N319" i="6"/>
  <c r="AB241" i="1"/>
  <c r="AB319" i="6" s="1"/>
  <c r="Y240" i="1"/>
  <c r="X240" i="1"/>
  <c r="D248" i="1"/>
  <c r="N310" i="6"/>
  <c r="AB234" i="1"/>
  <c r="AB310" i="6" s="1"/>
  <c r="Y233" i="1"/>
  <c r="Z233" i="1" s="1"/>
  <c r="X233" i="1"/>
  <c r="AB233" i="1" s="1"/>
  <c r="AB309" i="6" s="1"/>
  <c r="N304" i="6"/>
  <c r="AB230" i="1"/>
  <c r="AB304" i="6" s="1"/>
  <c r="Y229" i="1"/>
  <c r="R237" i="1"/>
  <c r="X229" i="1"/>
  <c r="R297" i="6"/>
  <c r="X224" i="1"/>
  <c r="X297" i="6" s="1"/>
  <c r="R293" i="6"/>
  <c r="Y220" i="1"/>
  <c r="X220" i="1"/>
  <c r="N285" i="6"/>
  <c r="N273" i="6"/>
  <c r="AB209" i="1"/>
  <c r="AB273" i="6"/>
  <c r="AD327" i="1"/>
  <c r="O243" i="6"/>
  <c r="O183" i="1"/>
  <c r="O202" i="1" s="1"/>
  <c r="O1249" i="1" s="1"/>
  <c r="R179" i="1"/>
  <c r="N200" i="6"/>
  <c r="E175" i="6"/>
  <c r="H135" i="1"/>
  <c r="N155" i="6"/>
  <c r="AB121" i="1"/>
  <c r="AB155" i="6" s="1"/>
  <c r="E124" i="6"/>
  <c r="AE114" i="1"/>
  <c r="H103" i="1"/>
  <c r="N113" i="6"/>
  <c r="AB93" i="1"/>
  <c r="AB113" i="6" s="1"/>
  <c r="AA93" i="1"/>
  <c r="AA113" i="6" s="1"/>
  <c r="O106" i="6"/>
  <c r="O89" i="1"/>
  <c r="O127" i="1"/>
  <c r="AJ118" i="1"/>
  <c r="N104" i="6"/>
  <c r="AB84" i="1"/>
  <c r="AB104" i="6"/>
  <c r="AA84" i="1"/>
  <c r="AA104" i="6" s="1"/>
  <c r="N88" i="6"/>
  <c r="R87" i="6"/>
  <c r="Y66" i="1"/>
  <c r="X66" i="1"/>
  <c r="AD64" i="1"/>
  <c r="AB65" i="1"/>
  <c r="AB86" i="6" s="1"/>
  <c r="R85" i="6"/>
  <c r="Y64" i="1"/>
  <c r="X64" i="1"/>
  <c r="R72" i="1"/>
  <c r="AF1274" i="6"/>
  <c r="Y174" i="6"/>
  <c r="Z174" i="6" s="1"/>
  <c r="Y1000" i="3"/>
  <c r="R1003" i="3"/>
  <c r="X1000" i="3"/>
  <c r="P1131" i="3"/>
  <c r="K1131" i="3"/>
  <c r="Y897" i="3"/>
  <c r="Z897" i="3"/>
  <c r="X897" i="3"/>
  <c r="AB897" i="3" s="1"/>
  <c r="AB893" i="3"/>
  <c r="AB870" i="3"/>
  <c r="AA870" i="3"/>
  <c r="N596" i="3"/>
  <c r="Y596" i="3"/>
  <c r="Z596" i="3"/>
  <c r="H600" i="3"/>
  <c r="N562" i="3"/>
  <c r="H566" i="3"/>
  <c r="Y562" i="3"/>
  <c r="AA963" i="3"/>
  <c r="Y1060" i="1"/>
  <c r="V754" i="1"/>
  <c r="V1259" i="1" s="1"/>
  <c r="AF754" i="1"/>
  <c r="P668" i="1"/>
  <c r="P1257" i="1" s="1"/>
  <c r="P576" i="1"/>
  <c r="P1255" i="1" s="1"/>
  <c r="J341" i="1"/>
  <c r="J1251" i="1" s="1"/>
  <c r="J202" i="1"/>
  <c r="J1249" i="1"/>
  <c r="AM75" i="1"/>
  <c r="U1213" i="1"/>
  <c r="E1209" i="1"/>
  <c r="O1210" i="1"/>
  <c r="O1583" i="6" s="1"/>
  <c r="J1210" i="1"/>
  <c r="J1583" i="6" s="1"/>
  <c r="E1210" i="1"/>
  <c r="P1209" i="1"/>
  <c r="P1582" i="6"/>
  <c r="O1200" i="1"/>
  <c r="O1573" i="6" s="1"/>
  <c r="J1200" i="1"/>
  <c r="J1573" i="6" s="1"/>
  <c r="E1200" i="1"/>
  <c r="L1198" i="1"/>
  <c r="L1570" i="6" s="1"/>
  <c r="E1196" i="1"/>
  <c r="J1184" i="1"/>
  <c r="J1554" i="6" s="1"/>
  <c r="O1182" i="1"/>
  <c r="O1552" i="6" s="1"/>
  <c r="P1181" i="1"/>
  <c r="P1550" i="6" s="1"/>
  <c r="AH1152" i="1"/>
  <c r="AI1152" i="1" s="1"/>
  <c r="AD1152" i="1"/>
  <c r="R1151" i="1"/>
  <c r="AD1147" i="1"/>
  <c r="AE1144" i="1"/>
  <c r="D1124" i="1"/>
  <c r="H1120" i="1"/>
  <c r="R1111" i="1"/>
  <c r="R1465" i="6" s="1"/>
  <c r="Y1465" i="6" s="1"/>
  <c r="D1109" i="1"/>
  <c r="D1112" i="1" s="1"/>
  <c r="D1271" i="1" s="1"/>
  <c r="H1104" i="1"/>
  <c r="Y1104" i="1" s="1"/>
  <c r="R1100" i="1"/>
  <c r="S1090" i="1"/>
  <c r="S1112" i="1"/>
  <c r="S1271" i="1" s="1"/>
  <c r="H1084" i="1"/>
  <c r="N1084" i="1" s="1"/>
  <c r="H1072" i="1"/>
  <c r="AE1068" i="1"/>
  <c r="R1064" i="1"/>
  <c r="H1061" i="1"/>
  <c r="Y1061" i="1" s="1"/>
  <c r="Z1061" i="1" s="1"/>
  <c r="N1061" i="1"/>
  <c r="AB1061" i="1" s="1"/>
  <c r="AB1407" i="6" s="1"/>
  <c r="R1057" i="1"/>
  <c r="R1043" i="1"/>
  <c r="H1032" i="1"/>
  <c r="N1032" i="1"/>
  <c r="AB1032" i="1" s="1"/>
  <c r="AB1370" i="6" s="1"/>
  <c r="AJ1020" i="1"/>
  <c r="X1018" i="1"/>
  <c r="X1355" i="6" s="1"/>
  <c r="D1015" i="1"/>
  <c r="R994" i="1"/>
  <c r="H992" i="1"/>
  <c r="Y992" i="1" s="1"/>
  <c r="R987" i="1"/>
  <c r="AJ965" i="1"/>
  <c r="AL965" i="1"/>
  <c r="R963" i="1"/>
  <c r="R939" i="1"/>
  <c r="X938" i="1"/>
  <c r="R922" i="1"/>
  <c r="H915" i="1"/>
  <c r="X913" i="1"/>
  <c r="X1191" i="6" s="1"/>
  <c r="AD892" i="1"/>
  <c r="AE890" i="1"/>
  <c r="R877" i="1"/>
  <c r="R862" i="1"/>
  <c r="R1125" i="6" s="1"/>
  <c r="Y1125" i="6" s="1"/>
  <c r="H855" i="1"/>
  <c r="AB853" i="1"/>
  <c r="AB1115" i="6" s="1"/>
  <c r="AD841" i="1"/>
  <c r="H844" i="1"/>
  <c r="AM846" i="1"/>
  <c r="AD838" i="1"/>
  <c r="R830" i="1"/>
  <c r="X824" i="1"/>
  <c r="AB824" i="1" s="1"/>
  <c r="R808" i="1"/>
  <c r="Y801" i="1"/>
  <c r="Z801" i="1" s="1"/>
  <c r="Y799" i="1"/>
  <c r="X795" i="1"/>
  <c r="AB795" i="1"/>
  <c r="AB1049" i="6" s="1"/>
  <c r="Y793" i="1"/>
  <c r="Z793" i="1" s="1"/>
  <c r="X792" i="1"/>
  <c r="X1045" i="6" s="1"/>
  <c r="Y777" i="1"/>
  <c r="Z777" i="1" s="1"/>
  <c r="Y775" i="1"/>
  <c r="U846" i="1"/>
  <c r="U1261" i="1"/>
  <c r="X760" i="1"/>
  <c r="S1259" i="1"/>
  <c r="N748" i="1"/>
  <c r="X733" i="1"/>
  <c r="O730" i="1"/>
  <c r="AB718" i="1"/>
  <c r="AB951" i="6"/>
  <c r="X709" i="1"/>
  <c r="N707" i="1"/>
  <c r="N712" i="1" s="1"/>
  <c r="R703" i="1"/>
  <c r="AB701" i="1"/>
  <c r="AB929" i="6" s="1"/>
  <c r="X698" i="1"/>
  <c r="X693" i="1"/>
  <c r="AB692" i="1"/>
  <c r="AB918" i="6" s="1"/>
  <c r="X684" i="1"/>
  <c r="AN664" i="1"/>
  <c r="AH668" i="1"/>
  <c r="AM668" i="1"/>
  <c r="R649" i="1"/>
  <c r="X647" i="1"/>
  <c r="AB647" i="1" s="1"/>
  <c r="AB860" i="6" s="1"/>
  <c r="X636" i="1"/>
  <c r="Z629" i="1"/>
  <c r="N628" i="1"/>
  <c r="X613" i="1"/>
  <c r="R608" i="1"/>
  <c r="J668" i="1"/>
  <c r="J1257" i="1"/>
  <c r="X592" i="1"/>
  <c r="Y587" i="1"/>
  <c r="Z587" i="1" s="1"/>
  <c r="Y571" i="1"/>
  <c r="Z571" i="1" s="1"/>
  <c r="AB570" i="1"/>
  <c r="AB752" i="6" s="1"/>
  <c r="AG568" i="1"/>
  <c r="R568" i="1"/>
  <c r="AN565" i="1"/>
  <c r="AH565" i="1"/>
  <c r="F576" i="1"/>
  <c r="F1255" i="1" s="1"/>
  <c r="AI564" i="1"/>
  <c r="AE563" i="1"/>
  <c r="AG563" i="1" s="1"/>
  <c r="AG561" i="1"/>
  <c r="X553" i="1"/>
  <c r="X526" i="1"/>
  <c r="E508" i="1"/>
  <c r="R495" i="1"/>
  <c r="H476" i="1"/>
  <c r="AG449" i="1"/>
  <c r="AN446" i="1"/>
  <c r="AL445" i="1"/>
  <c r="AO445" i="1" s="1"/>
  <c r="AP445" i="1" s="1"/>
  <c r="AL439" i="1"/>
  <c r="U454" i="1"/>
  <c r="U1253" i="1" s="1"/>
  <c r="P454" i="1"/>
  <c r="P1253" i="1"/>
  <c r="X370" i="1"/>
  <c r="T454" i="1"/>
  <c r="T1253" i="1" s="1"/>
  <c r="X347" i="1"/>
  <c r="AO339" i="1"/>
  <c r="AP339" i="1"/>
  <c r="AN335" i="1"/>
  <c r="AN331" i="1"/>
  <c r="AL330" i="1"/>
  <c r="AB328" i="1"/>
  <c r="AB441" i="6" s="1"/>
  <c r="AL324" i="1"/>
  <c r="P341" i="1"/>
  <c r="P1251" i="1" s="1"/>
  <c r="X315" i="1"/>
  <c r="N288" i="1"/>
  <c r="H284" i="1"/>
  <c r="R268" i="1"/>
  <c r="R208" i="1"/>
  <c r="AN198" i="1"/>
  <c r="AQ198" i="1"/>
  <c r="AM202" i="1"/>
  <c r="Y174" i="1"/>
  <c r="R159" i="1"/>
  <c r="T202" i="1"/>
  <c r="T1249" i="1" s="1"/>
  <c r="X136" i="1"/>
  <c r="AB136" i="1" s="1"/>
  <c r="AB179" i="6" s="1"/>
  <c r="X132" i="1"/>
  <c r="AB132" i="1" s="1"/>
  <c r="AG70" i="1"/>
  <c r="AN69" i="1"/>
  <c r="R965" i="6"/>
  <c r="Y965" i="6" s="1"/>
  <c r="O940" i="6"/>
  <c r="X903" i="6"/>
  <c r="N859" i="6"/>
  <c r="N824" i="6"/>
  <c r="O297" i="6"/>
  <c r="N180" i="6"/>
  <c r="H1042" i="3"/>
  <c r="K925" i="3"/>
  <c r="K1216" i="3" s="1"/>
  <c r="F925" i="3"/>
  <c r="F1216" i="3"/>
  <c r="T925" i="3"/>
  <c r="T1216" i="3" s="1"/>
  <c r="E159" i="6"/>
  <c r="AE117" i="1"/>
  <c r="E125" i="1"/>
  <c r="L107" i="1"/>
  <c r="L127" i="6"/>
  <c r="N102" i="1"/>
  <c r="H107" i="1"/>
  <c r="N116" i="6"/>
  <c r="Y87" i="1"/>
  <c r="Z87" i="1" s="1"/>
  <c r="X87" i="1"/>
  <c r="X89" i="1" s="1"/>
  <c r="E103" i="6"/>
  <c r="H83" i="1"/>
  <c r="N83" i="1" s="1"/>
  <c r="AB83" i="1" s="1"/>
  <c r="AB103" i="6" s="1"/>
  <c r="X102" i="6"/>
  <c r="D84" i="6"/>
  <c r="D72" i="1"/>
  <c r="AG61" i="1"/>
  <c r="AE75" i="1"/>
  <c r="N52" i="6"/>
  <c r="Y30" i="1"/>
  <c r="R39" i="1"/>
  <c r="X30" i="1"/>
  <c r="AB30" i="1" s="1"/>
  <c r="N22" i="6"/>
  <c r="N13" i="6"/>
  <c r="Y14" i="1"/>
  <c r="Z14" i="1" s="1"/>
  <c r="X14" i="1"/>
  <c r="AB14" i="1" s="1"/>
  <c r="AB12" i="6" s="1"/>
  <c r="Z1116" i="6"/>
  <c r="AA1072" i="3"/>
  <c r="AB1072" i="3"/>
  <c r="AA1069" i="3"/>
  <c r="AB1069" i="3"/>
  <c r="AN1060" i="3"/>
  <c r="AO1060" i="3"/>
  <c r="AP1060" i="3" s="1"/>
  <c r="AL1056" i="3"/>
  <c r="AN1056" i="3" s="1"/>
  <c r="AF1062" i="3"/>
  <c r="F1144" i="3"/>
  <c r="AG1053" i="3"/>
  <c r="Z1012" i="3"/>
  <c r="Y993" i="3"/>
  <c r="Z993" i="3" s="1"/>
  <c r="R997" i="3"/>
  <c r="L1156" i="3"/>
  <c r="Y954" i="3"/>
  <c r="Z954" i="3" s="1"/>
  <c r="X954" i="3"/>
  <c r="AB954" i="3" s="1"/>
  <c r="X905" i="3"/>
  <c r="AB905" i="3" s="1"/>
  <c r="Y905" i="3"/>
  <c r="Z905" i="3" s="1"/>
  <c r="Z820" i="3"/>
  <c r="AJ799" i="3"/>
  <c r="O734" i="3"/>
  <c r="R731" i="3"/>
  <c r="AL713" i="3"/>
  <c r="J1147" i="3"/>
  <c r="O1147" i="3"/>
  <c r="H701" i="3"/>
  <c r="N698" i="3"/>
  <c r="X658" i="3"/>
  <c r="AA658" i="3" s="1"/>
  <c r="Y658" i="3"/>
  <c r="Z658" i="3" s="1"/>
  <c r="X606" i="3"/>
  <c r="Y606" i="3"/>
  <c r="Z606" i="3" s="1"/>
  <c r="D400" i="1"/>
  <c r="E390" i="1"/>
  <c r="N268" i="1"/>
  <c r="AO119" i="1"/>
  <c r="AP119" i="1"/>
  <c r="AO72" i="1"/>
  <c r="AP72" i="1" s="1"/>
  <c r="J75" i="1"/>
  <c r="AO68" i="1"/>
  <c r="AP68" i="1" s="1"/>
  <c r="Y44" i="1"/>
  <c r="Z44" i="1" s="1"/>
  <c r="H39" i="1"/>
  <c r="Y25" i="1"/>
  <c r="Z25" i="1" s="1"/>
  <c r="O1007" i="6"/>
  <c r="AM1026" i="3"/>
  <c r="X120" i="1"/>
  <c r="Y118" i="1"/>
  <c r="X118" i="1"/>
  <c r="N126" i="6"/>
  <c r="N118" i="6"/>
  <c r="AB97" i="1"/>
  <c r="AB118" i="6" s="1"/>
  <c r="Y83" i="1"/>
  <c r="Z83" i="1" s="1"/>
  <c r="R89" i="1"/>
  <c r="H90" i="6"/>
  <c r="N69" i="1"/>
  <c r="R86" i="6"/>
  <c r="Y65" i="1"/>
  <c r="Z65" i="1" s="1"/>
  <c r="Z86" i="6" s="1"/>
  <c r="H84" i="6"/>
  <c r="Y84" i="6" s="1"/>
  <c r="N63" i="1"/>
  <c r="H72" i="1"/>
  <c r="N79" i="6"/>
  <c r="AB58" i="1"/>
  <c r="AB79" i="6" s="1"/>
  <c r="O59" i="6"/>
  <c r="AJ63" i="1"/>
  <c r="R50" i="1"/>
  <c r="N46" i="6"/>
  <c r="N44" i="6"/>
  <c r="N35" i="6"/>
  <c r="N32" i="6"/>
  <c r="N23" i="6"/>
  <c r="AA25" i="1"/>
  <c r="AA23" i="6"/>
  <c r="Y15" i="1"/>
  <c r="Z15" i="1" s="1"/>
  <c r="X15" i="1"/>
  <c r="N10" i="6"/>
  <c r="AB12" i="1"/>
  <c r="AD1057" i="3"/>
  <c r="AB1038" i="3"/>
  <c r="D1042" i="3"/>
  <c r="AD1054" i="3"/>
  <c r="Y971" i="3"/>
  <c r="Z971" i="3"/>
  <c r="R974" i="3"/>
  <c r="N970" i="3"/>
  <c r="H974" i="3"/>
  <c r="K1159" i="3"/>
  <c r="P1159" i="3"/>
  <c r="Z920" i="3"/>
  <c r="AE925" i="3"/>
  <c r="AG914" i="3"/>
  <c r="X904" i="3"/>
  <c r="R910" i="3"/>
  <c r="Y904" i="3"/>
  <c r="Y868" i="3"/>
  <c r="X868" i="3"/>
  <c r="AI852" i="3"/>
  <c r="AQ852" i="3" s="1"/>
  <c r="AO852" i="3"/>
  <c r="AP852" i="3" s="1"/>
  <c r="AN804" i="3"/>
  <c r="R1142" i="3"/>
  <c r="AG800" i="3"/>
  <c r="E1156" i="3"/>
  <c r="N770" i="3"/>
  <c r="Y770" i="3"/>
  <c r="H772" i="3"/>
  <c r="D765" i="1"/>
  <c r="R751" i="1"/>
  <c r="H742" i="1"/>
  <c r="H745" i="1" s="1"/>
  <c r="N742" i="1"/>
  <c r="H738" i="1"/>
  <c r="X736" i="1"/>
  <c r="X735" i="1"/>
  <c r="AB735" i="1" s="1"/>
  <c r="AB969" i="6" s="1"/>
  <c r="X969" i="6"/>
  <c r="X734" i="1"/>
  <c r="AB734" i="1" s="1"/>
  <c r="AB966" i="6" s="1"/>
  <c r="D712" i="1"/>
  <c r="R691" i="1"/>
  <c r="R677" i="1"/>
  <c r="R666" i="1"/>
  <c r="AJ659" i="1"/>
  <c r="AL659" i="1"/>
  <c r="H655" i="1"/>
  <c r="N655" i="1" s="1"/>
  <c r="H642" i="1"/>
  <c r="H158" i="1"/>
  <c r="Y158" i="1" s="1"/>
  <c r="Z158" i="1" s="1"/>
  <c r="R153" i="1"/>
  <c r="AG124" i="1"/>
  <c r="H122" i="1"/>
  <c r="N105" i="1"/>
  <c r="R96" i="1"/>
  <c r="H99" i="1"/>
  <c r="Z85" i="1"/>
  <c r="K75" i="1"/>
  <c r="E75" i="1"/>
  <c r="AI71" i="1"/>
  <c r="AI69" i="1"/>
  <c r="AG64" i="1"/>
  <c r="AI63" i="1"/>
  <c r="P75" i="1"/>
  <c r="S78" i="6"/>
  <c r="AQ1019" i="3"/>
  <c r="X993" i="3"/>
  <c r="AB993" i="3" s="1"/>
  <c r="Y1099" i="3"/>
  <c r="Z1099" i="3" s="1"/>
  <c r="X1099" i="3"/>
  <c r="AA1099" i="3" s="1"/>
  <c r="AA1097" i="3"/>
  <c r="AB1097" i="3"/>
  <c r="L1144" i="3"/>
  <c r="AB1090" i="3"/>
  <c r="AA1090" i="3"/>
  <c r="Y1067" i="3"/>
  <c r="X1067" i="3"/>
  <c r="X1074" i="3"/>
  <c r="R1074" i="3"/>
  <c r="AA1054" i="3"/>
  <c r="AB1054" i="3"/>
  <c r="Z1019" i="3"/>
  <c r="X1013" i="3"/>
  <c r="AA1013" i="3" s="1"/>
  <c r="X1016" i="3"/>
  <c r="Y1013" i="3"/>
  <c r="Y1016" i="3" s="1"/>
  <c r="R1016" i="3"/>
  <c r="N1012" i="3"/>
  <c r="H1016" i="3"/>
  <c r="H1009" i="3"/>
  <c r="Y1007" i="3"/>
  <c r="Y1001" i="3"/>
  <c r="Z1001" i="3" s="1"/>
  <c r="X1001" i="3"/>
  <c r="X984" i="3"/>
  <c r="AB984" i="3"/>
  <c r="R988" i="3"/>
  <c r="Y984" i="3"/>
  <c r="Z984" i="3" s="1"/>
  <c r="AF976" i="3"/>
  <c r="AG969" i="3"/>
  <c r="N939" i="3"/>
  <c r="Y939" i="3"/>
  <c r="Z939" i="3"/>
  <c r="N862" i="3"/>
  <c r="H866" i="3"/>
  <c r="Y862" i="3"/>
  <c r="Z862" i="3"/>
  <c r="AG803" i="3"/>
  <c r="F1147" i="3"/>
  <c r="AG798" i="3"/>
  <c r="AE805" i="3"/>
  <c r="Y792" i="3"/>
  <c r="Z792" i="3" s="1"/>
  <c r="X792" i="3"/>
  <c r="R795" i="3"/>
  <c r="H795" i="3"/>
  <c r="N790" i="3"/>
  <c r="N795" i="3" s="1"/>
  <c r="Y790" i="3"/>
  <c r="Z790" i="3"/>
  <c r="AB789" i="3"/>
  <c r="AA789" i="3"/>
  <c r="N761" i="3"/>
  <c r="Y761" i="3"/>
  <c r="Z761" i="3" s="1"/>
  <c r="AB760" i="3"/>
  <c r="AA760" i="3"/>
  <c r="AA754" i="3"/>
  <c r="D757" i="3"/>
  <c r="AD800" i="3"/>
  <c r="AB754" i="3"/>
  <c r="AD799" i="3"/>
  <c r="D734" i="3"/>
  <c r="D805" i="3" s="1"/>
  <c r="D1212" i="3" s="1"/>
  <c r="N730" i="3"/>
  <c r="Y730" i="3"/>
  <c r="N672" i="3"/>
  <c r="H677" i="3"/>
  <c r="AL629" i="3"/>
  <c r="K1152" i="3"/>
  <c r="X628" i="3"/>
  <c r="X631" i="3"/>
  <c r="Y628" i="3"/>
  <c r="Z628" i="3"/>
  <c r="R631" i="3"/>
  <c r="X603" i="3"/>
  <c r="Y603" i="3"/>
  <c r="Z603" i="3" s="1"/>
  <c r="AL544" i="3"/>
  <c r="K1143" i="3"/>
  <c r="P1143" i="3"/>
  <c r="K1144" i="3"/>
  <c r="AN539" i="3"/>
  <c r="AI539" i="3"/>
  <c r="AO539" i="3"/>
  <c r="AP539" i="3"/>
  <c r="AK432" i="3"/>
  <c r="AL417" i="3"/>
  <c r="X406" i="3"/>
  <c r="R409" i="3"/>
  <c r="Y406" i="3"/>
  <c r="H19" i="1"/>
  <c r="U1164" i="3"/>
  <c r="L1103" i="3"/>
  <c r="L1224" i="3" s="1"/>
  <c r="T805" i="3"/>
  <c r="T1212" i="3"/>
  <c r="AF143" i="6"/>
  <c r="R1167" i="3"/>
  <c r="O1230" i="3"/>
  <c r="R1230" i="3"/>
  <c r="AN1099" i="3"/>
  <c r="R1135" i="3"/>
  <c r="X1135" i="3" s="1"/>
  <c r="AI1099" i="3"/>
  <c r="N1135" i="3" s="1"/>
  <c r="AO1099" i="3"/>
  <c r="AP1099" i="3"/>
  <c r="H1135" i="3"/>
  <c r="K1146" i="3"/>
  <c r="P1146" i="3"/>
  <c r="AK1104" i="3"/>
  <c r="D1101" i="3"/>
  <c r="D1059" i="3"/>
  <c r="Z1057" i="3"/>
  <c r="Y1046" i="3"/>
  <c r="Z1046" i="3"/>
  <c r="X1046" i="3"/>
  <c r="AB1046" i="3" s="1"/>
  <c r="AA1020" i="3"/>
  <c r="AB1020" i="3"/>
  <c r="AK1026" i="3"/>
  <c r="AL1017" i="3"/>
  <c r="N983" i="3"/>
  <c r="H988" i="3"/>
  <c r="Y983" i="3"/>
  <c r="AA964" i="3"/>
  <c r="Z936" i="3"/>
  <c r="AL924" i="3"/>
  <c r="J1159" i="3"/>
  <c r="O1159" i="3"/>
  <c r="X921" i="3"/>
  <c r="AA921" i="3" s="1"/>
  <c r="R923" i="3"/>
  <c r="Y921" i="3"/>
  <c r="Z921" i="3"/>
  <c r="D1147" i="3"/>
  <c r="Y896" i="3"/>
  <c r="Z896" i="3"/>
  <c r="X896" i="3"/>
  <c r="AA896" i="3" s="1"/>
  <c r="H834" i="3"/>
  <c r="N828" i="3"/>
  <c r="Y828" i="3"/>
  <c r="AD851" i="3"/>
  <c r="Z822" i="3"/>
  <c r="AB822" i="3"/>
  <c r="Y785" i="3"/>
  <c r="Z785" i="3"/>
  <c r="X785" i="3"/>
  <c r="AA785" i="3" s="1"/>
  <c r="AB751" i="3"/>
  <c r="N757" i="3"/>
  <c r="AA751" i="3"/>
  <c r="Y682" i="3"/>
  <c r="Z682" i="3"/>
  <c r="X682" i="3"/>
  <c r="AB682" i="3" s="1"/>
  <c r="N625" i="3"/>
  <c r="AI543" i="3"/>
  <c r="AI541" i="3"/>
  <c r="AO541" i="3"/>
  <c r="AP541" i="3" s="1"/>
  <c r="AO535" i="3"/>
  <c r="AP535" i="3"/>
  <c r="AI535" i="3"/>
  <c r="R1101" i="3"/>
  <c r="AN1061" i="3"/>
  <c r="AQ1061" i="3" s="1"/>
  <c r="AK1062" i="3"/>
  <c r="K1153" i="3"/>
  <c r="N1007" i="3"/>
  <c r="AA1000" i="3"/>
  <c r="F805" i="3"/>
  <c r="F1212" i="3" s="1"/>
  <c r="D1144" i="3"/>
  <c r="Y1088" i="3"/>
  <c r="Z1088" i="3"/>
  <c r="X1088" i="3"/>
  <c r="AA1071" i="3"/>
  <c r="AB1071" i="3"/>
  <c r="Y1045" i="3"/>
  <c r="R1051" i="3"/>
  <c r="AI1023" i="3"/>
  <c r="AG1022" i="3"/>
  <c r="E1155" i="3"/>
  <c r="AL1018" i="3"/>
  <c r="AG1018" i="3"/>
  <c r="Y991" i="3"/>
  <c r="K1132" i="3"/>
  <c r="P1132" i="3"/>
  <c r="D1136" i="3"/>
  <c r="AK976" i="3"/>
  <c r="AL967" i="3"/>
  <c r="P1150" i="3"/>
  <c r="D956" i="3"/>
  <c r="AD969" i="3"/>
  <c r="N944" i="3"/>
  <c r="H951" i="3"/>
  <c r="Y944" i="3"/>
  <c r="N934" i="3"/>
  <c r="F1159" i="3"/>
  <c r="AG924" i="3"/>
  <c r="AI922" i="3"/>
  <c r="AG921" i="3"/>
  <c r="E1148" i="3"/>
  <c r="AI913" i="3"/>
  <c r="AL851" i="3"/>
  <c r="AN851" i="3" s="1"/>
  <c r="Y851" i="3"/>
  <c r="Z851" i="3" s="1"/>
  <c r="X851" i="3"/>
  <c r="AA851" i="3"/>
  <c r="AB813" i="3"/>
  <c r="AA813" i="3"/>
  <c r="L1142" i="3"/>
  <c r="AI804" i="3"/>
  <c r="AN802" i="3"/>
  <c r="V1149" i="3"/>
  <c r="K1147" i="3"/>
  <c r="P1147" i="3"/>
  <c r="Y706" i="3"/>
  <c r="Z706" i="3" s="1"/>
  <c r="X706" i="3"/>
  <c r="AB697" i="3"/>
  <c r="AA697" i="3"/>
  <c r="AG619" i="3"/>
  <c r="AE633" i="3"/>
  <c r="AD631" i="3"/>
  <c r="AI621" i="3"/>
  <c r="R469" i="3"/>
  <c r="O475" i="3"/>
  <c r="Z412" i="3"/>
  <c r="X392" i="3"/>
  <c r="AB392" i="3" s="1"/>
  <c r="Y392" i="3"/>
  <c r="R394" i="3"/>
  <c r="AO1102" i="3"/>
  <c r="AM1104" i="3"/>
  <c r="S1027" i="3"/>
  <c r="S1220" i="3" s="1"/>
  <c r="AM976" i="3"/>
  <c r="N942" i="3"/>
  <c r="AH925" i="3"/>
  <c r="Y814" i="3"/>
  <c r="Z814" i="3" s="1"/>
  <c r="AF717" i="3"/>
  <c r="AA1096" i="3"/>
  <c r="AB1096" i="3"/>
  <c r="D1092" i="3"/>
  <c r="AD1097" i="3"/>
  <c r="N1067" i="3"/>
  <c r="H1074" i="3"/>
  <c r="AL1059" i="3"/>
  <c r="AN1059" i="3" s="1"/>
  <c r="J1152" i="3"/>
  <c r="O1152" i="3"/>
  <c r="AG1059" i="3"/>
  <c r="E1152" i="3"/>
  <c r="AM1062" i="3"/>
  <c r="V1150" i="3"/>
  <c r="Y1054" i="3"/>
  <c r="H1059" i="3"/>
  <c r="N1048" i="3"/>
  <c r="H1051" i="3"/>
  <c r="AA1014" i="3"/>
  <c r="AB1014" i="3"/>
  <c r="Y995" i="3"/>
  <c r="Z995" i="3" s="1"/>
  <c r="X995" i="3"/>
  <c r="AB995" i="3" s="1"/>
  <c r="AG970" i="3"/>
  <c r="F1132" i="3"/>
  <c r="AG968" i="3"/>
  <c r="E1136" i="3"/>
  <c r="AE976" i="3"/>
  <c r="D968" i="3"/>
  <c r="X949" i="3"/>
  <c r="AA949" i="3" s="1"/>
  <c r="Y949" i="3"/>
  <c r="Z949" i="3"/>
  <c r="X930" i="3"/>
  <c r="AA930" i="3" s="1"/>
  <c r="R934" i="3"/>
  <c r="Y930" i="3"/>
  <c r="AG923" i="3"/>
  <c r="E1133" i="3"/>
  <c r="AI916" i="3"/>
  <c r="AA905" i="3"/>
  <c r="AB887" i="3"/>
  <c r="AA887" i="3"/>
  <c r="AD917" i="3"/>
  <c r="AB875" i="3"/>
  <c r="N850" i="3"/>
  <c r="Y850" i="3"/>
  <c r="Z850" i="3" s="1"/>
  <c r="Y849" i="3"/>
  <c r="Z849" i="3" s="1"/>
  <c r="X849" i="3"/>
  <c r="AA849" i="3" s="1"/>
  <c r="N847" i="3"/>
  <c r="AB847" i="3" s="1"/>
  <c r="H853" i="3"/>
  <c r="N832" i="3"/>
  <c r="Y832" i="3"/>
  <c r="Z832" i="3"/>
  <c r="AB814" i="3"/>
  <c r="AA814" i="3"/>
  <c r="H817" i="3"/>
  <c r="N811" i="3"/>
  <c r="N799" i="3"/>
  <c r="H803" i="3"/>
  <c r="Y799" i="3"/>
  <c r="AB759" i="3"/>
  <c r="AA759" i="3"/>
  <c r="Y747" i="3"/>
  <c r="Z747" i="3" s="1"/>
  <c r="X747" i="3"/>
  <c r="Y745" i="3"/>
  <c r="Z745" i="3" s="1"/>
  <c r="X745" i="3"/>
  <c r="AB725" i="3"/>
  <c r="AA725" i="3"/>
  <c r="Y723" i="3"/>
  <c r="Z723" i="3" s="1"/>
  <c r="X723" i="3"/>
  <c r="AB722" i="3"/>
  <c r="AB704" i="3"/>
  <c r="N692" i="3"/>
  <c r="Y692" i="3"/>
  <c r="Z692" i="3" s="1"/>
  <c r="D677" i="3"/>
  <c r="N520" i="3"/>
  <c r="X445" i="3"/>
  <c r="R448" i="3"/>
  <c r="Y445" i="3"/>
  <c r="X427" i="3"/>
  <c r="X430" i="3" s="1"/>
  <c r="Y427" i="3"/>
  <c r="R430" i="3"/>
  <c r="Y1151" i="3"/>
  <c r="Z1151" i="3" s="1"/>
  <c r="T1164" i="3"/>
  <c r="AN1100" i="3"/>
  <c r="AH1100" i="3"/>
  <c r="N1098" i="3"/>
  <c r="X1085" i="3"/>
  <c r="O1103" i="3"/>
  <c r="O1224" i="3"/>
  <c r="X1045" i="3"/>
  <c r="AA1045" i="3" s="1"/>
  <c r="AL1025" i="3"/>
  <c r="AN1025" i="3" s="1"/>
  <c r="AF1026" i="3"/>
  <c r="I1027" i="3"/>
  <c r="I1220" i="3" s="1"/>
  <c r="N991" i="3"/>
  <c r="AA984" i="3"/>
  <c r="AG973" i="3"/>
  <c r="U976" i="3"/>
  <c r="U1218" i="3" s="1"/>
  <c r="AM925" i="3"/>
  <c r="AA908" i="3"/>
  <c r="E925" i="3"/>
  <c r="E1216" i="3"/>
  <c r="AG1094" i="3"/>
  <c r="AE1104" i="3"/>
  <c r="X1034" i="3"/>
  <c r="AB1034" i="3" s="1"/>
  <c r="Y1034" i="3"/>
  <c r="N1019" i="3"/>
  <c r="H1024" i="3"/>
  <c r="H992" i="3"/>
  <c r="H997" i="3" s="1"/>
  <c r="E997" i="3"/>
  <c r="AE1020" i="3"/>
  <c r="AG1020" i="3" s="1"/>
  <c r="X985" i="3"/>
  <c r="AA985" i="3"/>
  <c r="Y985" i="3"/>
  <c r="Z985" i="3" s="1"/>
  <c r="D988" i="3"/>
  <c r="AI967" i="3"/>
  <c r="N966" i="3"/>
  <c r="H968" i="3"/>
  <c r="X947" i="3"/>
  <c r="AA947" i="3" s="1"/>
  <c r="R951" i="3"/>
  <c r="Y947" i="3"/>
  <c r="Z947" i="3"/>
  <c r="X931" i="3"/>
  <c r="Y931" i="3"/>
  <c r="Z931" i="3" s="1"/>
  <c r="AL913" i="3"/>
  <c r="AO913" i="3" s="1"/>
  <c r="X906" i="3"/>
  <c r="AA906" i="3"/>
  <c r="Y906" i="3"/>
  <c r="Z906" i="3" s="1"/>
  <c r="X888" i="3"/>
  <c r="AB888" i="3" s="1"/>
  <c r="AB891" i="3" s="1"/>
  <c r="AA888" i="3"/>
  <c r="Y888" i="3"/>
  <c r="Z888" i="3" s="1"/>
  <c r="D882" i="3"/>
  <c r="N877" i="3"/>
  <c r="Y877" i="3"/>
  <c r="Z877" i="3"/>
  <c r="E844" i="3"/>
  <c r="E856" i="3" s="1"/>
  <c r="E1214" i="3" s="1"/>
  <c r="AE850" i="3"/>
  <c r="H840" i="3"/>
  <c r="AB830" i="3"/>
  <c r="AA830" i="3"/>
  <c r="N820" i="3"/>
  <c r="H825" i="3"/>
  <c r="AB815" i="3"/>
  <c r="AA815" i="3"/>
  <c r="AN796" i="3"/>
  <c r="AM805" i="3"/>
  <c r="Y793" i="3"/>
  <c r="Z793" i="3" s="1"/>
  <c r="X793" i="3"/>
  <c r="N787" i="3"/>
  <c r="Y776" i="3"/>
  <c r="X776" i="3"/>
  <c r="AH717" i="3"/>
  <c r="AL707" i="3"/>
  <c r="AJ717" i="3"/>
  <c r="Z704" i="3"/>
  <c r="AB664" i="3"/>
  <c r="D668" i="3"/>
  <c r="AD709" i="3"/>
  <c r="X642" i="3"/>
  <c r="AB640" i="3"/>
  <c r="AA623" i="3"/>
  <c r="AB623" i="3"/>
  <c r="N612" i="3"/>
  <c r="Y612" i="3"/>
  <c r="Z612" i="3" s="1"/>
  <c r="X602" i="3"/>
  <c r="R608" i="3"/>
  <c r="Y602" i="3"/>
  <c r="Y595" i="3"/>
  <c r="N595" i="3"/>
  <c r="AB573" i="3"/>
  <c r="AA573" i="3"/>
  <c r="R571" i="3"/>
  <c r="O575" i="3"/>
  <c r="AJ624" i="3"/>
  <c r="AI546" i="3"/>
  <c r="H546" i="3"/>
  <c r="N544" i="3"/>
  <c r="Y544" i="3"/>
  <c r="Z544" i="3" s="1"/>
  <c r="AG533" i="3"/>
  <c r="AQ533" i="3"/>
  <c r="H505" i="3"/>
  <c r="N501" i="3"/>
  <c r="Y501" i="3"/>
  <c r="Z501" i="3" s="1"/>
  <c r="D496" i="3"/>
  <c r="AD538" i="3"/>
  <c r="X478" i="3"/>
  <c r="R484" i="3"/>
  <c r="Y478" i="3"/>
  <c r="Z478" i="3" s="1"/>
  <c r="Y440" i="3"/>
  <c r="Z440" i="3" s="1"/>
  <c r="X440" i="3"/>
  <c r="AA440" i="3" s="1"/>
  <c r="Y421" i="3"/>
  <c r="Z421" i="3" s="1"/>
  <c r="R425" i="3"/>
  <c r="X421" i="3"/>
  <c r="AA421" i="3" s="1"/>
  <c r="N425" i="3"/>
  <c r="AB358" i="3"/>
  <c r="AA358" i="3"/>
  <c r="Y352" i="3"/>
  <c r="Z352" i="3" s="1"/>
  <c r="X352" i="3"/>
  <c r="N280" i="3"/>
  <c r="Y280" i="3"/>
  <c r="Z280" i="3" s="1"/>
  <c r="AA229" i="3"/>
  <c r="AB229" i="3"/>
  <c r="Y209" i="3"/>
  <c r="Z209" i="3" s="1"/>
  <c r="X209" i="3"/>
  <c r="AA198" i="3"/>
  <c r="AB198" i="3"/>
  <c r="AL1101" i="3"/>
  <c r="AO1101" i="3" s="1"/>
  <c r="AP1101" i="3" s="1"/>
  <c r="AG1100" i="3"/>
  <c r="AO1061" i="3"/>
  <c r="AP1061" i="3" s="1"/>
  <c r="AN1055" i="3"/>
  <c r="AH1062" i="3"/>
  <c r="AA1049" i="3"/>
  <c r="Y1037" i="3"/>
  <c r="Z1037" i="3"/>
  <c r="AL1021" i="3"/>
  <c r="AN1021" i="3" s="1"/>
  <c r="X1024" i="3"/>
  <c r="AB1013" i="3"/>
  <c r="N956" i="3"/>
  <c r="AA946" i="3"/>
  <c r="I976" i="3"/>
  <c r="I1218" i="3" s="1"/>
  <c r="H942" i="3"/>
  <c r="AG919" i="3"/>
  <c r="AI918" i="3"/>
  <c r="Y914" i="3"/>
  <c r="Y894" i="3"/>
  <c r="Z894" i="3" s="1"/>
  <c r="U925" i="3"/>
  <c r="U1216" i="3" s="1"/>
  <c r="P925" i="3"/>
  <c r="P1216" i="3" s="1"/>
  <c r="Y879" i="3"/>
  <c r="AG851" i="3"/>
  <c r="AH856" i="3"/>
  <c r="Y812" i="3"/>
  <c r="Z812" i="3"/>
  <c r="AL803" i="3"/>
  <c r="AF805" i="3"/>
  <c r="Y769" i="3"/>
  <c r="Z769" i="3"/>
  <c r="L805" i="3"/>
  <c r="L1212" i="3" s="1"/>
  <c r="Y737" i="3"/>
  <c r="Z737" i="3"/>
  <c r="Y732" i="3"/>
  <c r="Z732" i="3" s="1"/>
  <c r="AI712" i="3"/>
  <c r="AB590" i="3"/>
  <c r="AA525" i="3"/>
  <c r="Y413" i="3"/>
  <c r="Z413" i="3" s="1"/>
  <c r="K432" i="3"/>
  <c r="K1204" i="3"/>
  <c r="F432" i="3"/>
  <c r="F1204" i="3" s="1"/>
  <c r="X994" i="3"/>
  <c r="Y994" i="3"/>
  <c r="Z994" i="3" s="1"/>
  <c r="X986" i="3"/>
  <c r="AB986" i="3" s="1"/>
  <c r="Y986" i="3"/>
  <c r="Z986" i="3" s="1"/>
  <c r="AD976" i="3"/>
  <c r="AB963" i="3"/>
  <c r="N968" i="3"/>
  <c r="X948" i="3"/>
  <c r="Y948" i="3"/>
  <c r="Z948" i="3" s="1"/>
  <c r="D951" i="3"/>
  <c r="AA940" i="3"/>
  <c r="AB940" i="3"/>
  <c r="AA936" i="3"/>
  <c r="AB936" i="3"/>
  <c r="X932" i="3"/>
  <c r="Y932" i="3"/>
  <c r="Z932" i="3" s="1"/>
  <c r="N920" i="3"/>
  <c r="H923" i="3"/>
  <c r="X907" i="3"/>
  <c r="AA907" i="3" s="1"/>
  <c r="Y907" i="3"/>
  <c r="Z907" i="3" s="1"/>
  <c r="N900" i="3"/>
  <c r="AA893" i="3"/>
  <c r="X889" i="3"/>
  <c r="AA889" i="3" s="1"/>
  <c r="Y889" i="3"/>
  <c r="Z889" i="3" s="1"/>
  <c r="N891" i="3"/>
  <c r="AB861" i="3"/>
  <c r="X866" i="3"/>
  <c r="Y848" i="3"/>
  <c r="Z848" i="3" s="1"/>
  <c r="X848" i="3"/>
  <c r="X853" i="3"/>
  <c r="AD849" i="3"/>
  <c r="D853" i="3"/>
  <c r="AA842" i="3"/>
  <c r="AB842" i="3"/>
  <c r="AB839" i="3"/>
  <c r="AA839" i="3"/>
  <c r="AB821" i="3"/>
  <c r="AA821" i="3"/>
  <c r="AB812" i="3"/>
  <c r="AA812" i="3"/>
  <c r="Y778" i="3"/>
  <c r="Z778" i="3" s="1"/>
  <c r="X778" i="3"/>
  <c r="AB769" i="3"/>
  <c r="AA769" i="3"/>
  <c r="Y766" i="3"/>
  <c r="Z766" i="3" s="1"/>
  <c r="X766" i="3"/>
  <c r="R772" i="3"/>
  <c r="Y754" i="3"/>
  <c r="Z754" i="3"/>
  <c r="R757" i="3"/>
  <c r="Y743" i="3"/>
  <c r="X743" i="3"/>
  <c r="R749" i="3"/>
  <c r="N736" i="3"/>
  <c r="Y736" i="3"/>
  <c r="H741" i="3"/>
  <c r="AB732" i="3"/>
  <c r="AA732" i="3"/>
  <c r="AI710" i="3"/>
  <c r="AG707" i="3"/>
  <c r="N663" i="3"/>
  <c r="H668" i="3"/>
  <c r="Y663" i="3"/>
  <c r="X649" i="3"/>
  <c r="AA649" i="3" s="1"/>
  <c r="Y649" i="3"/>
  <c r="Z649" i="3" s="1"/>
  <c r="Y611" i="3"/>
  <c r="H615" i="3"/>
  <c r="N611" i="3"/>
  <c r="D575" i="3"/>
  <c r="AD621" i="3"/>
  <c r="X511" i="3"/>
  <c r="AB511" i="3"/>
  <c r="Y511" i="3"/>
  <c r="Z511" i="3" s="1"/>
  <c r="D484" i="3"/>
  <c r="AD536" i="3"/>
  <c r="AB470" i="3"/>
  <c r="AD432" i="3"/>
  <c r="AA413" i="3"/>
  <c r="AB413" i="3"/>
  <c r="N412" i="3"/>
  <c r="H416" i="3"/>
  <c r="AA392" i="3"/>
  <c r="Y384" i="3"/>
  <c r="Z384" i="3" s="1"/>
  <c r="X384" i="3"/>
  <c r="Y383" i="3"/>
  <c r="Z383" i="3"/>
  <c r="X383" i="3"/>
  <c r="AA383" i="3" s="1"/>
  <c r="AB351" i="3"/>
  <c r="AA351" i="3"/>
  <c r="Y318" i="3"/>
  <c r="Z318" i="3" s="1"/>
  <c r="N318" i="3"/>
  <c r="N277" i="3"/>
  <c r="Y277" i="3"/>
  <c r="H282" i="3"/>
  <c r="Y227" i="3"/>
  <c r="Z227" i="3" s="1"/>
  <c r="X227" i="3"/>
  <c r="AB227" i="3"/>
  <c r="Y165" i="3"/>
  <c r="X165" i="3"/>
  <c r="Y127" i="3"/>
  <c r="Z127" i="3" s="1"/>
  <c r="X127" i="3"/>
  <c r="AG1098" i="3"/>
  <c r="AL1095" i="3"/>
  <c r="AA1080" i="3"/>
  <c r="S1103" i="3"/>
  <c r="S1224" i="3" s="1"/>
  <c r="I1103" i="3"/>
  <c r="I1224" i="3" s="1"/>
  <c r="D1103" i="3"/>
  <c r="D1224" i="3" s="1"/>
  <c r="Z1067" i="3"/>
  <c r="AQ1060" i="3"/>
  <c r="AL1053" i="3"/>
  <c r="AA1037" i="3"/>
  <c r="AN1024" i="3"/>
  <c r="AO1019" i="3"/>
  <c r="AP1019" i="3"/>
  <c r="N1003" i="3"/>
  <c r="Y992" i="3"/>
  <c r="Z992" i="3" s="1"/>
  <c r="T1027" i="3"/>
  <c r="T1220" i="3" s="1"/>
  <c r="Y970" i="3"/>
  <c r="AN968" i="3"/>
  <c r="AH976" i="3"/>
  <c r="J976" i="3"/>
  <c r="J1218" i="3" s="1"/>
  <c r="E976" i="3"/>
  <c r="E1218" i="3" s="1"/>
  <c r="AN914" i="3"/>
  <c r="AF925" i="3"/>
  <c r="AB908" i="3"/>
  <c r="Z879" i="3"/>
  <c r="V925" i="3"/>
  <c r="V1216" i="3" s="1"/>
  <c r="F856" i="3"/>
  <c r="F1214" i="3" s="1"/>
  <c r="AH805" i="3"/>
  <c r="H764" i="3"/>
  <c r="S805" i="3"/>
  <c r="S1212" i="3" s="1"/>
  <c r="I717" i="3"/>
  <c r="I1210" i="3" s="1"/>
  <c r="AM717" i="3"/>
  <c r="AA606" i="3"/>
  <c r="U549" i="3"/>
  <c r="U1206" i="3"/>
  <c r="U432" i="3"/>
  <c r="U1204" i="3" s="1"/>
  <c r="I189" i="3"/>
  <c r="Y847" i="3"/>
  <c r="R853" i="3"/>
  <c r="R817" i="3"/>
  <c r="Y811" i="3"/>
  <c r="Y784" i="3"/>
  <c r="Z784" i="3"/>
  <c r="X784" i="3"/>
  <c r="AA784" i="3" s="1"/>
  <c r="Y755" i="3"/>
  <c r="Z755" i="3"/>
  <c r="X755" i="3"/>
  <c r="AA755" i="3" s="1"/>
  <c r="H734" i="3"/>
  <c r="N729" i="3"/>
  <c r="R727" i="3"/>
  <c r="Y722" i="3"/>
  <c r="Y705" i="3"/>
  <c r="Y708" i="3" s="1"/>
  <c r="Z705" i="3"/>
  <c r="X705" i="3"/>
  <c r="AB705" i="3" s="1"/>
  <c r="AB708" i="3" s="1"/>
  <c r="R701" i="3"/>
  <c r="Y697" i="3"/>
  <c r="N673" i="3"/>
  <c r="Y673" i="3"/>
  <c r="Z673" i="3" s="1"/>
  <c r="AB671" i="3"/>
  <c r="X664" i="3"/>
  <c r="X668" i="3"/>
  <c r="Y664" i="3"/>
  <c r="Z664" i="3" s="1"/>
  <c r="R668" i="3"/>
  <c r="AB658" i="3"/>
  <c r="Y647" i="3"/>
  <c r="Z647" i="3" s="1"/>
  <c r="X647" i="3"/>
  <c r="AB628" i="3"/>
  <c r="AA628" i="3"/>
  <c r="AI618" i="3"/>
  <c r="Y617" i="3"/>
  <c r="R625" i="3"/>
  <c r="D592" i="3"/>
  <c r="AD622" i="3"/>
  <c r="AB588" i="3"/>
  <c r="Y582" i="3"/>
  <c r="Z582" i="3" s="1"/>
  <c r="X582" i="3"/>
  <c r="Y534" i="3"/>
  <c r="Z534" i="3" s="1"/>
  <c r="D522" i="3"/>
  <c r="N517" i="3"/>
  <c r="Y517" i="3"/>
  <c r="Z517" i="3" s="1"/>
  <c r="AA511" i="3"/>
  <c r="H479" i="3"/>
  <c r="N479" i="3"/>
  <c r="AB479" i="3" s="1"/>
  <c r="E484" i="3"/>
  <c r="AE537" i="3"/>
  <c r="AE549" i="3" s="1"/>
  <c r="N451" i="3"/>
  <c r="H454" i="3"/>
  <c r="AA397" i="3"/>
  <c r="AA391" i="3"/>
  <c r="AB391" i="3"/>
  <c r="N390" i="3"/>
  <c r="N394" i="3" s="1"/>
  <c r="H394" i="3"/>
  <c r="AK323" i="3"/>
  <c r="Y288" i="3"/>
  <c r="X288" i="3"/>
  <c r="Y220" i="3"/>
  <c r="Z220" i="3" s="1"/>
  <c r="X220" i="3"/>
  <c r="N145" i="3"/>
  <c r="H153" i="3"/>
  <c r="Y145" i="3"/>
  <c r="Z145" i="3" s="1"/>
  <c r="Y136" i="3"/>
  <c r="Z136" i="3" s="1"/>
  <c r="X136" i="3"/>
  <c r="AB136" i="3" s="1"/>
  <c r="N135" i="3"/>
  <c r="H141" i="3"/>
  <c r="Y135" i="3"/>
  <c r="Z135" i="3" s="1"/>
  <c r="Y65" i="3"/>
  <c r="Z65" i="3" s="1"/>
  <c r="X65" i="3"/>
  <c r="AN64" i="3"/>
  <c r="AA29" i="3"/>
  <c r="D37" i="3"/>
  <c r="AB29" i="3"/>
  <c r="AJ1023" i="3"/>
  <c r="AJ1026" i="3" s="1"/>
  <c r="R1009" i="3"/>
  <c r="R942" i="3"/>
  <c r="AJ918" i="3"/>
  <c r="AL918" i="3" s="1"/>
  <c r="R918" i="3"/>
  <c r="O900" i="3"/>
  <c r="AA876" i="3"/>
  <c r="AA861" i="3"/>
  <c r="AO853" i="3"/>
  <c r="AP853" i="3"/>
  <c r="J856" i="3"/>
  <c r="J1214" i="3" s="1"/>
  <c r="AL850" i="3"/>
  <c r="AN850" i="3"/>
  <c r="AG849" i="3"/>
  <c r="X841" i="3"/>
  <c r="Z841" i="3"/>
  <c r="AA823" i="3"/>
  <c r="AG802" i="3"/>
  <c r="AG796" i="3"/>
  <c r="AB785" i="3"/>
  <c r="Z770" i="3"/>
  <c r="H757" i="3"/>
  <c r="AA739" i="3"/>
  <c r="Y725" i="3"/>
  <c r="Z725" i="3"/>
  <c r="AI716" i="3"/>
  <c r="AG715" i="3"/>
  <c r="V717" i="3"/>
  <c r="V1210" i="3" s="1"/>
  <c r="L717" i="3"/>
  <c r="L1210" i="3" s="1"/>
  <c r="AN712" i="3"/>
  <c r="AQ712" i="3" s="1"/>
  <c r="AA682" i="3"/>
  <c r="N665" i="3"/>
  <c r="AA646" i="3"/>
  <c r="AA622" i="3"/>
  <c r="N556" i="3"/>
  <c r="N560" i="3" s="1"/>
  <c r="S549" i="3"/>
  <c r="S1206" i="3"/>
  <c r="I549" i="3"/>
  <c r="I1206" i="3" s="1"/>
  <c r="AG427" i="3"/>
  <c r="AL423" i="3"/>
  <c r="AB414" i="3"/>
  <c r="L432" i="3"/>
  <c r="L1204" i="3" s="1"/>
  <c r="S323" i="3"/>
  <c r="S1202" i="3" s="1"/>
  <c r="I323" i="3"/>
  <c r="I1202" i="3" s="1"/>
  <c r="T323" i="3"/>
  <c r="T1202" i="3" s="1"/>
  <c r="Z861" i="3"/>
  <c r="Z866" i="3"/>
  <c r="Y866" i="3"/>
  <c r="Y800" i="3"/>
  <c r="Z800" i="3" s="1"/>
  <c r="X800" i="3"/>
  <c r="Y783" i="3"/>
  <c r="X783" i="3"/>
  <c r="AB783" i="3" s="1"/>
  <c r="R787" i="3"/>
  <c r="R768" i="3"/>
  <c r="O772" i="3"/>
  <c r="N690" i="3"/>
  <c r="H694" i="3"/>
  <c r="AA666" i="3"/>
  <c r="AB666" i="3"/>
  <c r="Y656" i="3"/>
  <c r="R660" i="3"/>
  <c r="X656" i="3"/>
  <c r="AA654" i="3"/>
  <c r="N638" i="3"/>
  <c r="Y638" i="3"/>
  <c r="H642" i="3"/>
  <c r="Y618" i="3"/>
  <c r="Z618" i="3"/>
  <c r="X618" i="3"/>
  <c r="AA618" i="3" s="1"/>
  <c r="Z594" i="3"/>
  <c r="H572" i="3"/>
  <c r="Y572" i="3" s="1"/>
  <c r="Z572" i="3" s="1"/>
  <c r="E575" i="3"/>
  <c r="E633" i="3" s="1"/>
  <c r="E1208" i="3" s="1"/>
  <c r="Y569" i="3"/>
  <c r="X569" i="3"/>
  <c r="AB569" i="3" s="1"/>
  <c r="AA557" i="3"/>
  <c r="AB557" i="3"/>
  <c r="AQ539" i="3"/>
  <c r="AL534" i="3"/>
  <c r="AA533" i="3"/>
  <c r="AB533" i="3"/>
  <c r="N539" i="3"/>
  <c r="X519" i="3"/>
  <c r="AB519" i="3" s="1"/>
  <c r="AA519" i="3"/>
  <c r="Y519" i="3"/>
  <c r="Z519" i="3" s="1"/>
  <c r="X518" i="3"/>
  <c r="AA518" i="3"/>
  <c r="Y518" i="3"/>
  <c r="Z518" i="3" s="1"/>
  <c r="AB516" i="3"/>
  <c r="H513" i="3"/>
  <c r="N508" i="3"/>
  <c r="R472" i="3"/>
  <c r="AJ538" i="3"/>
  <c r="AL538" i="3" s="1"/>
  <c r="AN538" i="3" s="1"/>
  <c r="X458" i="3"/>
  <c r="AA458" i="3" s="1"/>
  <c r="Y458" i="3"/>
  <c r="Z458" i="3"/>
  <c r="X457" i="3"/>
  <c r="AB457" i="3" s="1"/>
  <c r="Y457" i="3"/>
  <c r="R465" i="3"/>
  <c r="X454" i="3"/>
  <c r="AB452" i="3"/>
  <c r="Z428" i="3"/>
  <c r="D430" i="3"/>
  <c r="AF432" i="3"/>
  <c r="AG417" i="3"/>
  <c r="AA389" i="3"/>
  <c r="Y377" i="3"/>
  <c r="X377" i="3"/>
  <c r="R379" i="3"/>
  <c r="Y350" i="3"/>
  <c r="Z350" i="3" s="1"/>
  <c r="X350" i="3"/>
  <c r="Y340" i="3"/>
  <c r="X340" i="3"/>
  <c r="AL305" i="3"/>
  <c r="N298" i="3"/>
  <c r="Y298" i="3"/>
  <c r="Z298" i="3" s="1"/>
  <c r="H301" i="3"/>
  <c r="N256" i="3"/>
  <c r="H260" i="3"/>
  <c r="Y256" i="3"/>
  <c r="Z256" i="3" s="1"/>
  <c r="Y237" i="3"/>
  <c r="X237" i="3"/>
  <c r="AA220" i="3"/>
  <c r="AB220" i="3"/>
  <c r="AB65" i="3"/>
  <c r="AA65" i="3"/>
  <c r="AA875" i="3"/>
  <c r="AA864" i="3"/>
  <c r="S856" i="3"/>
  <c r="S1214" i="3"/>
  <c r="I856" i="3"/>
  <c r="I1214" i="3" s="1"/>
  <c r="AA822" i="3"/>
  <c r="AO804" i="3"/>
  <c r="AP804" i="3" s="1"/>
  <c r="AA801" i="3"/>
  <c r="AK805" i="3"/>
  <c r="AA738" i="3"/>
  <c r="J805" i="3"/>
  <c r="J1212" i="3" s="1"/>
  <c r="E805" i="3"/>
  <c r="E1212" i="3"/>
  <c r="AK717" i="3"/>
  <c r="AA704" i="3"/>
  <c r="AA664" i="3"/>
  <c r="AO628" i="3"/>
  <c r="AP628" i="3" s="1"/>
  <c r="AI623" i="3"/>
  <c r="AA617" i="3"/>
  <c r="X592" i="3"/>
  <c r="AK549" i="3"/>
  <c r="AA534" i="3"/>
  <c r="P549" i="3"/>
  <c r="P1206" i="3" s="1"/>
  <c r="AM432" i="3"/>
  <c r="Y680" i="3"/>
  <c r="R685" i="3"/>
  <c r="X604" i="3"/>
  <c r="Y604" i="3"/>
  <c r="Z604" i="3" s="1"/>
  <c r="D600" i="3"/>
  <c r="AD626" i="3"/>
  <c r="N592" i="3"/>
  <c r="AA588" i="3"/>
  <c r="R537" i="3"/>
  <c r="AJ547" i="3"/>
  <c r="AL547" i="3" s="1"/>
  <c r="AN547" i="3" s="1"/>
  <c r="Y510" i="3"/>
  <c r="Y513" i="3" s="1"/>
  <c r="R513" i="3"/>
  <c r="D505" i="3"/>
  <c r="X470" i="3"/>
  <c r="AA470" i="3"/>
  <c r="Y470" i="3"/>
  <c r="Z470" i="3" s="1"/>
  <c r="X459" i="3"/>
  <c r="AA459" i="3" s="1"/>
  <c r="AB459" i="3"/>
  <c r="Y459" i="3"/>
  <c r="Z459" i="3" s="1"/>
  <c r="X420" i="3"/>
  <c r="Y420" i="3"/>
  <c r="Z420" i="3" s="1"/>
  <c r="AA419" i="3"/>
  <c r="AB407" i="3"/>
  <c r="AA407" i="3"/>
  <c r="Y400" i="3"/>
  <c r="Z400" i="3" s="1"/>
  <c r="X400" i="3"/>
  <c r="N379" i="3"/>
  <c r="AB349" i="3"/>
  <c r="AA349" i="3"/>
  <c r="Y348" i="3"/>
  <c r="X348" i="3"/>
  <c r="R342" i="3"/>
  <c r="R345" i="3" s="1"/>
  <c r="O345" i="3"/>
  <c r="AJ431" i="3"/>
  <c r="AL431" i="3"/>
  <c r="AB328" i="3"/>
  <c r="N336" i="3"/>
  <c r="AA309" i="3"/>
  <c r="AB309" i="3"/>
  <c r="AI307" i="3"/>
  <c r="Y289" i="3"/>
  <c r="Z289" i="3" s="1"/>
  <c r="X289" i="3"/>
  <c r="R255" i="3"/>
  <c r="O260" i="3"/>
  <c r="X226" i="3"/>
  <c r="X210" i="3"/>
  <c r="AA210" i="3" s="1"/>
  <c r="Y210" i="3"/>
  <c r="Z210" i="3" s="1"/>
  <c r="N199" i="3"/>
  <c r="Y199" i="3"/>
  <c r="Z199" i="3" s="1"/>
  <c r="AN117" i="3"/>
  <c r="AO117" i="3"/>
  <c r="Y89" i="3"/>
  <c r="Z89" i="3" s="1"/>
  <c r="X89" i="3"/>
  <c r="AB89" i="3" s="1"/>
  <c r="AA89" i="3"/>
  <c r="AB88" i="3"/>
  <c r="Y40" i="3"/>
  <c r="X40" i="3"/>
  <c r="R44" i="3"/>
  <c r="Y32" i="3"/>
  <c r="Z32" i="3" s="1"/>
  <c r="X32" i="3"/>
  <c r="D844" i="3"/>
  <c r="Y691" i="3"/>
  <c r="AA675" i="3"/>
  <c r="Y671" i="3"/>
  <c r="AA655" i="3"/>
  <c r="AA640" i="3"/>
  <c r="AI629" i="3"/>
  <c r="AA629" i="3"/>
  <c r="Y627" i="3"/>
  <c r="AG626" i="3"/>
  <c r="AI625" i="3"/>
  <c r="AL618" i="3"/>
  <c r="AO618" i="3" s="1"/>
  <c r="AP618" i="3" s="1"/>
  <c r="Y613" i="3"/>
  <c r="Z613" i="3" s="1"/>
  <c r="Y597" i="3"/>
  <c r="Z597" i="3"/>
  <c r="Y589" i="3"/>
  <c r="Y579" i="3"/>
  <c r="Z579" i="3" s="1"/>
  <c r="Y564" i="3"/>
  <c r="Z564" i="3" s="1"/>
  <c r="AA563" i="3"/>
  <c r="S633" i="3"/>
  <c r="S1208" i="3" s="1"/>
  <c r="I633" i="3"/>
  <c r="I1208" i="3" s="1"/>
  <c r="H560" i="3"/>
  <c r="AI544" i="3"/>
  <c r="AF549" i="3"/>
  <c r="H539" i="3"/>
  <c r="R529" i="3"/>
  <c r="K549" i="3"/>
  <c r="K1206" i="3"/>
  <c r="F549" i="3"/>
  <c r="F1206" i="3" s="1"/>
  <c r="H522" i="3"/>
  <c r="Y516" i="3"/>
  <c r="Y503" i="3"/>
  <c r="Z503" i="3" s="1"/>
  <c r="N502" i="3"/>
  <c r="AA452" i="3"/>
  <c r="R442" i="3"/>
  <c r="AI426" i="3"/>
  <c r="I1162" i="3" s="1"/>
  <c r="AG425" i="3"/>
  <c r="AN422" i="3"/>
  <c r="X394" i="3"/>
  <c r="AF323" i="3"/>
  <c r="F323" i="3"/>
  <c r="F1202" i="3" s="1"/>
  <c r="X683" i="3"/>
  <c r="AA683" i="3" s="1"/>
  <c r="Y683" i="3"/>
  <c r="Z683" i="3" s="1"/>
  <c r="X672" i="3"/>
  <c r="X677" i="3" s="1"/>
  <c r="Y672" i="3"/>
  <c r="Z672" i="3" s="1"/>
  <c r="X648" i="3"/>
  <c r="AB648" i="3" s="1"/>
  <c r="Y648" i="3"/>
  <c r="Z648" i="3"/>
  <c r="Y645" i="3"/>
  <c r="R651" i="3"/>
  <c r="X605" i="3"/>
  <c r="AA605" i="3" s="1"/>
  <c r="Y605" i="3"/>
  <c r="Z605" i="3"/>
  <c r="D584" i="3"/>
  <c r="AD624" i="3"/>
  <c r="R577" i="3"/>
  <c r="O584" i="3"/>
  <c r="R584" i="3"/>
  <c r="AA554" i="3"/>
  <c r="AB554" i="3"/>
  <c r="X542" i="3"/>
  <c r="Y542" i="3"/>
  <c r="AA532" i="3"/>
  <c r="AB532" i="3"/>
  <c r="AD546" i="3"/>
  <c r="D513" i="3"/>
  <c r="AA509" i="3"/>
  <c r="AB509" i="3"/>
  <c r="H489" i="3"/>
  <c r="E496" i="3"/>
  <c r="X471" i="3"/>
  <c r="AB471" i="3" s="1"/>
  <c r="Y471" i="3"/>
  <c r="Z471" i="3"/>
  <c r="X446" i="3"/>
  <c r="AB446" i="3" s="1"/>
  <c r="AA446" i="3"/>
  <c r="Y446" i="3"/>
  <c r="Z446" i="3" s="1"/>
  <c r="AA422" i="3"/>
  <c r="AB422" i="3"/>
  <c r="AL419" i="3"/>
  <c r="AN419" i="3" s="1"/>
  <c r="AB406" i="3"/>
  <c r="AB409" i="3" s="1"/>
  <c r="N409" i="3"/>
  <c r="Y397" i="3"/>
  <c r="R403" i="3"/>
  <c r="Y369" i="3"/>
  <c r="Z369" i="3"/>
  <c r="X369" i="3"/>
  <c r="X368" i="3"/>
  <c r="Y368" i="3"/>
  <c r="Z368" i="3"/>
  <c r="AA357" i="3"/>
  <c r="R330" i="3"/>
  <c r="O336" i="3"/>
  <c r="AI321" i="3"/>
  <c r="Y316" i="3"/>
  <c r="Z316" i="3" s="1"/>
  <c r="H321" i="3"/>
  <c r="N316" i="3"/>
  <c r="N299" i="3"/>
  <c r="Y299" i="3"/>
  <c r="Z299" i="3" s="1"/>
  <c r="R270" i="3"/>
  <c r="O274" i="3"/>
  <c r="AG178" i="3"/>
  <c r="AE189" i="3"/>
  <c r="H172" i="3"/>
  <c r="N167" i="3"/>
  <c r="Y167" i="3"/>
  <c r="Z167" i="3" s="1"/>
  <c r="AG58" i="3"/>
  <c r="AE69" i="3"/>
  <c r="Y31" i="3"/>
  <c r="Z31" i="3" s="1"/>
  <c r="X31" i="3"/>
  <c r="AA31" i="3" s="1"/>
  <c r="Z22" i="3"/>
  <c r="AA13" i="3"/>
  <c r="AB13" i="3"/>
  <c r="AA691" i="3"/>
  <c r="AA671" i="3"/>
  <c r="H660" i="3"/>
  <c r="AB649" i="3"/>
  <c r="AL631" i="3"/>
  <c r="AN631" i="3" s="1"/>
  <c r="AG630" i="3"/>
  <c r="AI627" i="3"/>
  <c r="AQ627" i="3"/>
  <c r="AA627" i="3"/>
  <c r="AA631" i="3" s="1"/>
  <c r="AL622" i="3"/>
  <c r="AN622" i="3" s="1"/>
  <c r="AN619" i="3"/>
  <c r="AH633" i="3"/>
  <c r="H625" i="3"/>
  <c r="AK633" i="3"/>
  <c r="AA613" i="3"/>
  <c r="AB606" i="3"/>
  <c r="AA597" i="3"/>
  <c r="AA589" i="3"/>
  <c r="N584" i="3"/>
  <c r="AA564" i="3"/>
  <c r="T633" i="3"/>
  <c r="T1208" i="3" s="1"/>
  <c r="J633" i="3"/>
  <c r="J1208" i="3" s="1"/>
  <c r="D633" i="3"/>
  <c r="D1208" i="3" s="1"/>
  <c r="AL548" i="3"/>
  <c r="V549" i="3"/>
  <c r="V1206" i="3" s="1"/>
  <c r="L549" i="3"/>
  <c r="L1206" i="3" s="1"/>
  <c r="AG545" i="3"/>
  <c r="AL543" i="3"/>
  <c r="AO543" i="3" s="1"/>
  <c r="AP543" i="3" s="1"/>
  <c r="AG542" i="3"/>
  <c r="AN535" i="3"/>
  <c r="AA516" i="3"/>
  <c r="X513" i="3"/>
  <c r="AJ536" i="3"/>
  <c r="AL536" i="3" s="1"/>
  <c r="AN536" i="3" s="1"/>
  <c r="AQ536" i="3" s="1"/>
  <c r="AB427" i="3"/>
  <c r="AN420" i="3"/>
  <c r="AA240" i="3"/>
  <c r="V189" i="3"/>
  <c r="V1200" i="3" s="1"/>
  <c r="Y382" i="3"/>
  <c r="X382" i="3"/>
  <c r="R386" i="3"/>
  <c r="Y375" i="3"/>
  <c r="Z375" i="3" s="1"/>
  <c r="X375" i="3"/>
  <c r="AA375" i="3" s="1"/>
  <c r="AA343" i="3"/>
  <c r="AB343" i="3"/>
  <c r="X341" i="3"/>
  <c r="Y341" i="3"/>
  <c r="Z341" i="3" s="1"/>
  <c r="AA332" i="3"/>
  <c r="AB332" i="3"/>
  <c r="Y329" i="3"/>
  <c r="X329" i="3"/>
  <c r="Y310" i="3"/>
  <c r="Z310" i="3"/>
  <c r="X310" i="3"/>
  <c r="Y306" i="3"/>
  <c r="X306" i="3"/>
  <c r="R312" i="3"/>
  <c r="Y285" i="3"/>
  <c r="R293" i="3"/>
  <c r="X285" i="3"/>
  <c r="AA230" i="3"/>
  <c r="AB230" i="3"/>
  <c r="Y215" i="3"/>
  <c r="R223" i="3"/>
  <c r="AI187" i="3"/>
  <c r="AI185" i="3"/>
  <c r="AI181" i="3"/>
  <c r="Y151" i="3"/>
  <c r="Z151" i="3" s="1"/>
  <c r="X151" i="3"/>
  <c r="AD179" i="3"/>
  <c r="D153" i="3"/>
  <c r="Z144" i="3"/>
  <c r="AO118" i="3"/>
  <c r="AP118" i="3" s="1"/>
  <c r="AI118" i="3"/>
  <c r="Y114" i="3"/>
  <c r="Z114" i="3" s="1"/>
  <c r="X114" i="3"/>
  <c r="AB114" i="3" s="1"/>
  <c r="AL109" i="3"/>
  <c r="H101" i="3"/>
  <c r="N97" i="3"/>
  <c r="Y97" i="3"/>
  <c r="Z97" i="3" s="1"/>
  <c r="AB91" i="3"/>
  <c r="AA91" i="3"/>
  <c r="D56" i="3"/>
  <c r="Z47" i="3"/>
  <c r="Y35" i="3"/>
  <c r="Z35" i="3" s="1"/>
  <c r="X35" i="3"/>
  <c r="N24" i="3"/>
  <c r="N26" i="3" s="1"/>
  <c r="Y24" i="3"/>
  <c r="E505" i="3"/>
  <c r="E549" i="3"/>
  <c r="E1206" i="3" s="1"/>
  <c r="H475" i="3"/>
  <c r="H465" i="3"/>
  <c r="AG418" i="3"/>
  <c r="H409" i="3"/>
  <c r="X399" i="3"/>
  <c r="N403" i="3"/>
  <c r="AB383" i="3"/>
  <c r="AA365" i="3"/>
  <c r="N354" i="3"/>
  <c r="AB334" i="3"/>
  <c r="AO319" i="3"/>
  <c r="AP319" i="3" s="1"/>
  <c r="AL306" i="3"/>
  <c r="N287" i="3"/>
  <c r="N244" i="3"/>
  <c r="AA227" i="3"/>
  <c r="X219" i="3"/>
  <c r="AB219" i="3" s="1"/>
  <c r="AA206" i="3"/>
  <c r="Y374" i="3"/>
  <c r="X374" i="3"/>
  <c r="AA374" i="3" s="1"/>
  <c r="Y367" i="3"/>
  <c r="Z367" i="3" s="1"/>
  <c r="X367" i="3"/>
  <c r="AA367" i="3" s="1"/>
  <c r="H366" i="3"/>
  <c r="E371" i="3"/>
  <c r="E432" i="3" s="1"/>
  <c r="E1204" i="3" s="1"/>
  <c r="AE419" i="3"/>
  <c r="Y360" i="3"/>
  <c r="Z360" i="3"/>
  <c r="X360" i="3"/>
  <c r="AB360" i="3" s="1"/>
  <c r="Y357" i="3"/>
  <c r="R363" i="3"/>
  <c r="AB339" i="3"/>
  <c r="AA339" i="3"/>
  <c r="AB319" i="3"/>
  <c r="AA319" i="3"/>
  <c r="AB317" i="3"/>
  <c r="AA317" i="3"/>
  <c r="AB315" i="3"/>
  <c r="AA315" i="3"/>
  <c r="X291" i="3"/>
  <c r="AB291" i="3" s="1"/>
  <c r="Y291" i="3"/>
  <c r="Z291" i="3"/>
  <c r="Z288" i="3"/>
  <c r="N267" i="3"/>
  <c r="H274" i="3"/>
  <c r="Y267" i="3"/>
  <c r="Z267" i="3" s="1"/>
  <c r="X264" i="3"/>
  <c r="AA264" i="3" s="1"/>
  <c r="Y264" i="3"/>
  <c r="R274" i="3"/>
  <c r="N248" i="3"/>
  <c r="Y248" i="3"/>
  <c r="H252" i="3"/>
  <c r="D244" i="3"/>
  <c r="X221" i="3"/>
  <c r="AB221" i="3" s="1"/>
  <c r="Y221" i="3"/>
  <c r="Z221" i="3" s="1"/>
  <c r="Y216" i="3"/>
  <c r="Z216" i="3" s="1"/>
  <c r="X216" i="3"/>
  <c r="N205" i="3"/>
  <c r="H212" i="3"/>
  <c r="AA197" i="3"/>
  <c r="AB197" i="3"/>
  <c r="AO188" i="3"/>
  <c r="AP188" i="3" s="1"/>
  <c r="AI188" i="3"/>
  <c r="AL186" i="3"/>
  <c r="Y159" i="3"/>
  <c r="Z159" i="3" s="1"/>
  <c r="N159" i="3"/>
  <c r="AB159" i="3" s="1"/>
  <c r="Y115" i="3"/>
  <c r="Z115" i="3" s="1"/>
  <c r="N115" i="3"/>
  <c r="AB115" i="3" s="1"/>
  <c r="AI111" i="3"/>
  <c r="N50" i="3"/>
  <c r="Y13" i="3"/>
  <c r="R18" i="3"/>
  <c r="AB382" i="3"/>
  <c r="Z377" i="3"/>
  <c r="AH323" i="3"/>
  <c r="AB228" i="3"/>
  <c r="AB151" i="3"/>
  <c r="J189" i="3"/>
  <c r="J1200" i="3" s="1"/>
  <c r="AM69" i="3"/>
  <c r="X296" i="3"/>
  <c r="X301" i="3" s="1"/>
  <c r="Y296" i="3"/>
  <c r="X265" i="3"/>
  <c r="AA265" i="3" s="1"/>
  <c r="Y265" i="3"/>
  <c r="Z265" i="3"/>
  <c r="D234" i="3"/>
  <c r="D223" i="3"/>
  <c r="Y205" i="3"/>
  <c r="R212" i="3"/>
  <c r="AL179" i="3"/>
  <c r="AK189" i="3"/>
  <c r="Y137" i="3"/>
  <c r="Z137" i="3"/>
  <c r="X137" i="3"/>
  <c r="AB137" i="3" s="1"/>
  <c r="H113" i="3"/>
  <c r="AE113" i="3"/>
  <c r="E117" i="3"/>
  <c r="AE119" i="3"/>
  <c r="AG109" i="3"/>
  <c r="Y99" i="3"/>
  <c r="Z99" i="3" s="1"/>
  <c r="X99" i="3"/>
  <c r="X96" i="3"/>
  <c r="R101" i="3"/>
  <c r="Y96" i="3"/>
  <c r="D101" i="3"/>
  <c r="R90" i="3"/>
  <c r="AJ111" i="3"/>
  <c r="H93" i="3"/>
  <c r="N86" i="3"/>
  <c r="AA86" i="3" s="1"/>
  <c r="Y86" i="3"/>
  <c r="AB81" i="3"/>
  <c r="AA81" i="3"/>
  <c r="R53" i="3"/>
  <c r="AJ62" i="3"/>
  <c r="X52" i="3"/>
  <c r="AB51" i="3"/>
  <c r="AA51" i="3"/>
  <c r="AB22" i="3"/>
  <c r="AA22" i="3"/>
  <c r="AD59" i="3"/>
  <c r="D18" i="3"/>
  <c r="D379" i="3"/>
  <c r="D371" i="3"/>
  <c r="D432" i="3" s="1"/>
  <c r="D1204" i="3" s="1"/>
  <c r="Y366" i="3"/>
  <c r="AL321" i="3"/>
  <c r="AL308" i="3"/>
  <c r="AN308" i="3" s="1"/>
  <c r="Y305" i="3"/>
  <c r="Z305" i="3" s="1"/>
  <c r="Y297" i="3"/>
  <c r="Z297" i="3" s="1"/>
  <c r="Y279" i="3"/>
  <c r="Z279" i="3" s="1"/>
  <c r="AA278" i="3"/>
  <c r="AA269" i="3"/>
  <c r="Y258" i="3"/>
  <c r="Z258" i="3" s="1"/>
  <c r="AA257" i="3"/>
  <c r="H244" i="3"/>
  <c r="H202" i="3"/>
  <c r="AN188" i="3"/>
  <c r="AL187" i="3"/>
  <c r="E189" i="3"/>
  <c r="E1200" i="3" s="1"/>
  <c r="AB112" i="3"/>
  <c r="Y78" i="3"/>
  <c r="Z78" i="3" s="1"/>
  <c r="Y48" i="3"/>
  <c r="Z48" i="3" s="1"/>
  <c r="AD308" i="3"/>
  <c r="D312" i="3"/>
  <c r="AA271" i="3"/>
  <c r="AB271" i="3"/>
  <c r="X266" i="3"/>
  <c r="Y266" i="3"/>
  <c r="Z266" i="3" s="1"/>
  <c r="AA242" i="3"/>
  <c r="AB242" i="3"/>
  <c r="R241" i="3"/>
  <c r="AJ311" i="3"/>
  <c r="AL311" i="3"/>
  <c r="AN311" i="3" s="1"/>
  <c r="H226" i="3"/>
  <c r="Y226" i="3" s="1"/>
  <c r="Z226" i="3" s="1"/>
  <c r="E234" i="3"/>
  <c r="AA208" i="3"/>
  <c r="AB208" i="3"/>
  <c r="AA200" i="3"/>
  <c r="AB200" i="3"/>
  <c r="AA196" i="3"/>
  <c r="AB196" i="3"/>
  <c r="R195" i="3"/>
  <c r="AJ309" i="3"/>
  <c r="X178" i="3"/>
  <c r="Y178" i="3"/>
  <c r="Z178" i="3" s="1"/>
  <c r="Y176" i="3"/>
  <c r="R181" i="3"/>
  <c r="AD183" i="3"/>
  <c r="D172" i="3"/>
  <c r="Y166" i="3"/>
  <c r="Z166" i="3" s="1"/>
  <c r="X166" i="3"/>
  <c r="AB166" i="3" s="1"/>
  <c r="Y150" i="3"/>
  <c r="Z150" i="3" s="1"/>
  <c r="X150" i="3"/>
  <c r="AB150" i="3" s="1"/>
  <c r="Y149" i="3"/>
  <c r="Z149" i="3" s="1"/>
  <c r="X149" i="3"/>
  <c r="AB149" i="3" s="1"/>
  <c r="R153" i="3"/>
  <c r="N138" i="3"/>
  <c r="AB138" i="3" s="1"/>
  <c r="Y138" i="3"/>
  <c r="Z138" i="3" s="1"/>
  <c r="Y134" i="3"/>
  <c r="R141" i="3"/>
  <c r="X134" i="3"/>
  <c r="AB134" i="3" s="1"/>
  <c r="AP117" i="3"/>
  <c r="AI110" i="3"/>
  <c r="AI108" i="3"/>
  <c r="AD119" i="3"/>
  <c r="N106" i="3"/>
  <c r="Y106" i="3"/>
  <c r="Z106" i="3" s="1"/>
  <c r="H83" i="3"/>
  <c r="N77" i="3"/>
  <c r="Y77" i="3"/>
  <c r="Z77" i="3" s="1"/>
  <c r="AI66" i="3"/>
  <c r="AO66" i="3"/>
  <c r="AP66" i="3" s="1"/>
  <c r="N61" i="3"/>
  <c r="Y61" i="3"/>
  <c r="Z61" i="3"/>
  <c r="AL57" i="3"/>
  <c r="AD58" i="3"/>
  <c r="AB48" i="3"/>
  <c r="AA48" i="3"/>
  <c r="X47" i="3"/>
  <c r="AB47" i="3" s="1"/>
  <c r="Y47" i="3"/>
  <c r="N44" i="3"/>
  <c r="AB40" i="3"/>
  <c r="Y29" i="3"/>
  <c r="R37" i="3"/>
  <c r="AB23" i="3"/>
  <c r="AA23" i="3"/>
  <c r="Y14" i="3"/>
  <c r="Z14" i="3" s="1"/>
  <c r="X14" i="3"/>
  <c r="N363" i="3"/>
  <c r="AA331" i="3"/>
  <c r="AI319" i="3"/>
  <c r="AQ319" i="3" s="1"/>
  <c r="AG318" i="3"/>
  <c r="AI317" i="3"/>
  <c r="AG316" i="3"/>
  <c r="AI315" i="3"/>
  <c r="AG314" i="3"/>
  <c r="AG312" i="3"/>
  <c r="AL310" i="3"/>
  <c r="AN310" i="3" s="1"/>
  <c r="AA307" i="3"/>
  <c r="AE305" i="3"/>
  <c r="AA297" i="3"/>
  <c r="H293" i="3"/>
  <c r="AA279" i="3"/>
  <c r="AA258" i="3"/>
  <c r="AB146" i="3"/>
  <c r="AB127" i="3"/>
  <c r="Y160" i="3"/>
  <c r="Z160" i="3" s="1"/>
  <c r="X160" i="3"/>
  <c r="D141" i="3"/>
  <c r="Y126" i="3"/>
  <c r="R131" i="3"/>
  <c r="X126" i="3"/>
  <c r="H131" i="3"/>
  <c r="N124" i="3"/>
  <c r="AB124" i="3" s="1"/>
  <c r="AH109" i="3"/>
  <c r="L101" i="3"/>
  <c r="Y76" i="3"/>
  <c r="R83" i="3"/>
  <c r="X76" i="3"/>
  <c r="AB76" i="3" s="1"/>
  <c r="N60" i="3"/>
  <c r="H67" i="3"/>
  <c r="Y59" i="3"/>
  <c r="X59" i="3"/>
  <c r="AB59" i="3" s="1"/>
  <c r="O56" i="3"/>
  <c r="AJ58" i="3"/>
  <c r="Y42" i="3"/>
  <c r="Z42" i="3" s="1"/>
  <c r="X42" i="3"/>
  <c r="AA42" i="3" s="1"/>
  <c r="Y34" i="3"/>
  <c r="Z34" i="3" s="1"/>
  <c r="X34" i="3"/>
  <c r="AA34" i="3" s="1"/>
  <c r="Y30" i="3"/>
  <c r="Z30" i="3" s="1"/>
  <c r="X30" i="3"/>
  <c r="X37" i="3" s="1"/>
  <c r="AD310" i="3"/>
  <c r="AD323" i="3" s="1"/>
  <c r="D293" i="3"/>
  <c r="D212" i="3"/>
  <c r="AG184" i="3"/>
  <c r="AN182" i="3"/>
  <c r="AL181" i="3"/>
  <c r="AG180" i="3"/>
  <c r="AB177" i="3"/>
  <c r="AB170" i="3"/>
  <c r="X148" i="3"/>
  <c r="AB148" i="3"/>
  <c r="X128" i="3"/>
  <c r="AK119" i="3"/>
  <c r="AI117" i="3"/>
  <c r="AL114" i="3"/>
  <c r="H108" i="3"/>
  <c r="U119" i="3"/>
  <c r="U1198" i="3" s="1"/>
  <c r="K119" i="3"/>
  <c r="O119" i="3"/>
  <c r="O1198" i="3" s="1"/>
  <c r="J119" i="3"/>
  <c r="D83" i="3"/>
  <c r="AO67" i="3"/>
  <c r="AP67" i="3" s="1"/>
  <c r="U69" i="3"/>
  <c r="AB31" i="3"/>
  <c r="H26" i="3"/>
  <c r="X15" i="3"/>
  <c r="AB15" i="3" s="1"/>
  <c r="Y147" i="3"/>
  <c r="Z147" i="3" s="1"/>
  <c r="X147" i="3"/>
  <c r="AB147" i="3" s="1"/>
  <c r="AD181" i="3"/>
  <c r="Y111" i="3"/>
  <c r="X111" i="3"/>
  <c r="R117" i="3"/>
  <c r="N98" i="3"/>
  <c r="Y98" i="3"/>
  <c r="Z98" i="3" s="1"/>
  <c r="Z101" i="3" s="1"/>
  <c r="AB80" i="3"/>
  <c r="AA80" i="3"/>
  <c r="Y62" i="3"/>
  <c r="Z62" i="3" s="1"/>
  <c r="X62" i="3"/>
  <c r="AA62" i="3" s="1"/>
  <c r="H52" i="3"/>
  <c r="H56" i="3" s="1"/>
  <c r="E56" i="3"/>
  <c r="E69" i="3" s="1"/>
  <c r="E1196" i="3" s="1"/>
  <c r="Y41" i="3"/>
  <c r="Z41" i="3"/>
  <c r="X41" i="3"/>
  <c r="AA41" i="3" s="1"/>
  <c r="Y33" i="3"/>
  <c r="Z33" i="3"/>
  <c r="X33" i="3"/>
  <c r="AB33" i="3" s="1"/>
  <c r="Z176" i="3"/>
  <c r="AO115" i="3"/>
  <c r="AP115" i="3" s="1"/>
  <c r="AM119" i="3"/>
  <c r="AA88" i="3"/>
  <c r="T119" i="3"/>
  <c r="F69" i="3"/>
  <c r="V69" i="3"/>
  <c r="AF69" i="3"/>
  <c r="AB42" i="3"/>
  <c r="P69" i="3"/>
  <c r="AB167" i="3"/>
  <c r="N172" i="3"/>
  <c r="AB237" i="3"/>
  <c r="AA237" i="3"/>
  <c r="X571" i="3"/>
  <c r="Y571" i="3"/>
  <c r="Z571" i="3" s="1"/>
  <c r="R575" i="3"/>
  <c r="Z595" i="3"/>
  <c r="AI970" i="3"/>
  <c r="AQ970" i="3" s="1"/>
  <c r="AO970" i="3"/>
  <c r="AP970" i="3" s="1"/>
  <c r="Z1054" i="3"/>
  <c r="AA706" i="3"/>
  <c r="AB706" i="3"/>
  <c r="AP913" i="3"/>
  <c r="AB761" i="3"/>
  <c r="AA761" i="3"/>
  <c r="N764" i="3"/>
  <c r="AA862" i="3"/>
  <c r="N866" i="3"/>
  <c r="AB862" i="3"/>
  <c r="AQ69" i="1"/>
  <c r="X972" i="6"/>
  <c r="AA736" i="1"/>
  <c r="AA972" i="6" s="1"/>
  <c r="AB736" i="1"/>
  <c r="AB972" i="6" s="1"/>
  <c r="AA770" i="3"/>
  <c r="AB770" i="3"/>
  <c r="N772" i="3"/>
  <c r="X146" i="6"/>
  <c r="AB118" i="1"/>
  <c r="Y159" i="1"/>
  <c r="Z159" i="1" s="1"/>
  <c r="X159" i="1"/>
  <c r="X909" i="6"/>
  <c r="AB684" i="1"/>
  <c r="AB909" i="6" s="1"/>
  <c r="AA684" i="1"/>
  <c r="AA909" i="6" s="1"/>
  <c r="Z992" i="1"/>
  <c r="X242" i="6"/>
  <c r="AB178" i="1"/>
  <c r="AB242" i="6" s="1"/>
  <c r="AB1081" i="6"/>
  <c r="Z918" i="1"/>
  <c r="P1196" i="3"/>
  <c r="P1226" i="3" s="1"/>
  <c r="AB374" i="3"/>
  <c r="Z215" i="3"/>
  <c r="X386" i="3"/>
  <c r="AA382" i="3"/>
  <c r="AA451" i="3"/>
  <c r="AA454" i="3" s="1"/>
  <c r="N454" i="3"/>
  <c r="AB451" i="3"/>
  <c r="AB454" i="3" s="1"/>
  <c r="R1146" i="3"/>
  <c r="AN1095" i="3"/>
  <c r="AA478" i="3"/>
  <c r="AB478" i="3"/>
  <c r="Z392" i="3"/>
  <c r="N1142" i="3"/>
  <c r="I1142" i="3"/>
  <c r="AQ804" i="3"/>
  <c r="AN967" i="3"/>
  <c r="AO967" i="3"/>
  <c r="AP967" i="3" s="1"/>
  <c r="Z406" i="3"/>
  <c r="AA672" i="3"/>
  <c r="AB672" i="3"/>
  <c r="N677" i="3"/>
  <c r="AA1012" i="3"/>
  <c r="AA1016" i="3" s="1"/>
  <c r="N1016" i="3"/>
  <c r="AB1012" i="3"/>
  <c r="AB1016" i="3" s="1"/>
  <c r="AM324" i="1"/>
  <c r="X694" i="6"/>
  <c r="AB526" i="1"/>
  <c r="AB694" i="6" s="1"/>
  <c r="AA526" i="1"/>
  <c r="AA694" i="6" s="1"/>
  <c r="Y568" i="1"/>
  <c r="X568" i="1"/>
  <c r="R573" i="1"/>
  <c r="X939" i="6"/>
  <c r="AB709" i="1"/>
  <c r="AB939" i="6" s="1"/>
  <c r="AA709" i="1"/>
  <c r="AA939" i="6" s="1"/>
  <c r="N855" i="1"/>
  <c r="H860" i="1"/>
  <c r="Y855" i="1"/>
  <c r="Z855" i="1" s="1"/>
  <c r="AG890" i="1"/>
  <c r="AE899" i="1"/>
  <c r="X1220" i="6"/>
  <c r="AB938" i="1"/>
  <c r="AB1220" i="6" s="1"/>
  <c r="AA938" i="1"/>
  <c r="AA1220" i="6" s="1"/>
  <c r="Y1043" i="1"/>
  <c r="Z1043" i="1" s="1"/>
  <c r="X1043" i="1"/>
  <c r="R1045" i="1"/>
  <c r="N1120" i="1"/>
  <c r="H1124" i="1"/>
  <c r="Y1120" i="1"/>
  <c r="Z1120" i="1" s="1"/>
  <c r="X302" i="6"/>
  <c r="AA229" i="1"/>
  <c r="X237" i="1"/>
  <c r="AB229" i="1"/>
  <c r="X638" i="6"/>
  <c r="X739" i="6"/>
  <c r="AA561" i="1"/>
  <c r="AA739" i="6" s="1"/>
  <c r="AB561" i="1"/>
  <c r="AB739" i="6" s="1"/>
  <c r="Z854" i="1"/>
  <c r="AQ117" i="3"/>
  <c r="AB14" i="3"/>
  <c r="AA14" i="3"/>
  <c r="Z134" i="3"/>
  <c r="X181" i="3"/>
  <c r="AB178" i="3"/>
  <c r="X241" i="3"/>
  <c r="Y241" i="3"/>
  <c r="Z241" i="3" s="1"/>
  <c r="R244" i="3"/>
  <c r="AA266" i="3"/>
  <c r="AB266" i="3"/>
  <c r="N93" i="3"/>
  <c r="AB86" i="3"/>
  <c r="AA216" i="3"/>
  <c r="Z264" i="3"/>
  <c r="AA267" i="3"/>
  <c r="AB267" i="3"/>
  <c r="N274" i="3"/>
  <c r="AA32" i="3"/>
  <c r="AB32" i="3"/>
  <c r="Z40" i="3"/>
  <c r="Y44" i="3"/>
  <c r="AA638" i="3"/>
  <c r="AA642" i="3"/>
  <c r="N642" i="3"/>
  <c r="AB638" i="3"/>
  <c r="AB841" i="3"/>
  <c r="AA841" i="3"/>
  <c r="AA743" i="3"/>
  <c r="AB743" i="3"/>
  <c r="AA948" i="3"/>
  <c r="AB948" i="3"/>
  <c r="X951" i="3"/>
  <c r="AA994" i="3"/>
  <c r="AB994" i="3"/>
  <c r="AN803" i="3"/>
  <c r="AA931" i="3"/>
  <c r="AB931" i="3"/>
  <c r="Z930" i="3"/>
  <c r="Z934" i="3" s="1"/>
  <c r="Y934" i="3"/>
  <c r="AO968" i="3"/>
  <c r="AP968" i="3" s="1"/>
  <c r="AI968" i="3"/>
  <c r="AQ968" i="3" s="1"/>
  <c r="AB1088" i="3"/>
  <c r="AA1088" i="3"/>
  <c r="Y96" i="1"/>
  <c r="Z96" i="1" s="1"/>
  <c r="X96" i="1"/>
  <c r="R99" i="1"/>
  <c r="AO124" i="1"/>
  <c r="AP124" i="1" s="1"/>
  <c r="H1199" i="1"/>
  <c r="Z904" i="3"/>
  <c r="Y910" i="3"/>
  <c r="X152" i="6"/>
  <c r="N123" i="6"/>
  <c r="AA102" i="1"/>
  <c r="AB102" i="1"/>
  <c r="AN330" i="1"/>
  <c r="X965" i="6"/>
  <c r="X738" i="1"/>
  <c r="AB733" i="1"/>
  <c r="AA733" i="1"/>
  <c r="X318" i="6"/>
  <c r="AA240" i="1"/>
  <c r="AB240" i="1"/>
  <c r="N325" i="6"/>
  <c r="N513" i="1"/>
  <c r="Y513" i="1"/>
  <c r="X706" i="6"/>
  <c r="AA537" i="1"/>
  <c r="AA706" i="6" s="1"/>
  <c r="AB537" i="1"/>
  <c r="AB706" i="6"/>
  <c r="AA51" i="6"/>
  <c r="X812" i="6"/>
  <c r="AB612" i="1"/>
  <c r="AB812" i="6"/>
  <c r="AA612" i="1"/>
  <c r="AA812" i="6" s="1"/>
  <c r="AB1148" i="6"/>
  <c r="X1213" i="6"/>
  <c r="AA932" i="1"/>
  <c r="AA1213" i="6" s="1"/>
  <c r="AB932" i="1"/>
  <c r="AB1213" i="6"/>
  <c r="AI622" i="3"/>
  <c r="AO622" i="3"/>
  <c r="AL916" i="3"/>
  <c r="AB830" i="6"/>
  <c r="AQ535" i="3"/>
  <c r="AE1026" i="3"/>
  <c r="R1075" i="1"/>
  <c r="R1269" i="1" s="1"/>
  <c r="AB889" i="3"/>
  <c r="X997" i="3"/>
  <c r="K1198" i="3"/>
  <c r="AA542" i="3"/>
  <c r="X546" i="3"/>
  <c r="AB542" i="3"/>
  <c r="AI425" i="3"/>
  <c r="H1161" i="3"/>
  <c r="AA502" i="3"/>
  <c r="AB502" i="3"/>
  <c r="AB209" i="3"/>
  <c r="AA209" i="3"/>
  <c r="X212" i="3"/>
  <c r="Z799" i="3"/>
  <c r="Z803" i="3" s="1"/>
  <c r="Y803" i="3"/>
  <c r="AB832" i="3"/>
  <c r="AA832" i="3"/>
  <c r="AN924" i="3"/>
  <c r="R1159" i="3"/>
  <c r="X1159" i="3" s="1"/>
  <c r="AA792" i="3"/>
  <c r="AB792" i="3"/>
  <c r="AB1001" i="3"/>
  <c r="AA1001" i="3"/>
  <c r="AN659" i="1"/>
  <c r="AA596" i="3"/>
  <c r="AB596" i="3"/>
  <c r="X533" i="6"/>
  <c r="AA394" i="1"/>
  <c r="AA533" i="6" s="1"/>
  <c r="AB394" i="1"/>
  <c r="AB533" i="6" s="1"/>
  <c r="H310" i="1"/>
  <c r="N303" i="1"/>
  <c r="Y303" i="1"/>
  <c r="Z303" i="1" s="1"/>
  <c r="AL327" i="1"/>
  <c r="AN327" i="1" s="1"/>
  <c r="N446" i="6"/>
  <c r="N339" i="1"/>
  <c r="Y763" i="1"/>
  <c r="Z763" i="1"/>
  <c r="X763" i="1"/>
  <c r="R765" i="1"/>
  <c r="X1489" i="6"/>
  <c r="AA1130" i="1"/>
  <c r="AA1489" i="6" s="1"/>
  <c r="AB1130" i="1"/>
  <c r="AB1489" i="6" s="1"/>
  <c r="X1513" i="6"/>
  <c r="AA1147" i="1"/>
  <c r="AA1513" i="6"/>
  <c r="AB1147" i="1"/>
  <c r="AB1513" i="6" s="1"/>
  <c r="AA98" i="3"/>
  <c r="AB98" i="3"/>
  <c r="L1132" i="3"/>
  <c r="AH119" i="3"/>
  <c r="AN57" i="3"/>
  <c r="R1144" i="3"/>
  <c r="Y371" i="3"/>
  <c r="Z366" i="3"/>
  <c r="Z371" i="3" s="1"/>
  <c r="Z357" i="3"/>
  <c r="Z24" i="3"/>
  <c r="Z306" i="3"/>
  <c r="AN543" i="3"/>
  <c r="R1139" i="3"/>
  <c r="X1139" i="3" s="1"/>
  <c r="AO626" i="3"/>
  <c r="AI626" i="3"/>
  <c r="Y342" i="3"/>
  <c r="Z342" i="3" s="1"/>
  <c r="X342" i="3"/>
  <c r="AA298" i="3"/>
  <c r="AB298" i="3"/>
  <c r="N301" i="3"/>
  <c r="AN1053" i="3"/>
  <c r="AB165" i="3"/>
  <c r="AB318" i="3"/>
  <c r="AA318" i="3"/>
  <c r="AA932" i="3"/>
  <c r="AA934" i="3"/>
  <c r="AB932" i="3"/>
  <c r="AA1034" i="3"/>
  <c r="Z944" i="3"/>
  <c r="AD805" i="3"/>
  <c r="X784" i="6"/>
  <c r="X924" i="6"/>
  <c r="AB698" i="1"/>
  <c r="AA698" i="1"/>
  <c r="X703" i="1"/>
  <c r="AG1068" i="1"/>
  <c r="AE1074" i="1"/>
  <c r="X550" i="6"/>
  <c r="AA405" i="1"/>
  <c r="AA550" i="6" s="1"/>
  <c r="AB405" i="1"/>
  <c r="AB550" i="6"/>
  <c r="N1173" i="6"/>
  <c r="AA904" i="1"/>
  <c r="N909" i="1"/>
  <c r="AB904" i="1"/>
  <c r="N1402" i="6"/>
  <c r="AA1060" i="1"/>
  <c r="AB1060" i="1"/>
  <c r="N1064" i="1"/>
  <c r="AA1455" i="6"/>
  <c r="AA10" i="6"/>
  <c r="J1198" i="3"/>
  <c r="Z76" i="3"/>
  <c r="AA106" i="3"/>
  <c r="AB106" i="3"/>
  <c r="N108" i="3"/>
  <c r="X101" i="3"/>
  <c r="Z13" i="3"/>
  <c r="AA35" i="3"/>
  <c r="AB35" i="3"/>
  <c r="I1144" i="3"/>
  <c r="I1143" i="3"/>
  <c r="N1143" i="3"/>
  <c r="Z589" i="3"/>
  <c r="AB135" i="3"/>
  <c r="N141" i="3"/>
  <c r="AA288" i="3"/>
  <c r="AB288" i="3"/>
  <c r="AB647" i="3"/>
  <c r="AA647" i="3"/>
  <c r="X651" i="3"/>
  <c r="Z611" i="3"/>
  <c r="AA544" i="3"/>
  <c r="AB544" i="3"/>
  <c r="AA991" i="3"/>
  <c r="AB991" i="3"/>
  <c r="AA1007" i="3"/>
  <c r="AB1007" i="3"/>
  <c r="N1009" i="3"/>
  <c r="Z983" i="3"/>
  <c r="Y988" i="3"/>
  <c r="AA603" i="3"/>
  <c r="AB603" i="3"/>
  <c r="P1245" i="1"/>
  <c r="AD1062" i="3"/>
  <c r="N84" i="6"/>
  <c r="Z1060" i="1"/>
  <c r="Y1064" i="1"/>
  <c r="X85" i="6"/>
  <c r="O1247" i="1"/>
  <c r="N135" i="1"/>
  <c r="H140" i="1"/>
  <c r="Y135" i="1"/>
  <c r="Z135" i="1" s="1"/>
  <c r="S1251" i="1"/>
  <c r="N369" i="6"/>
  <c r="Z963" i="3"/>
  <c r="AD127" i="1"/>
  <c r="AN798" i="3"/>
  <c r="AI194" i="1"/>
  <c r="AO194" i="1"/>
  <c r="X604" i="6"/>
  <c r="AA443" i="1"/>
  <c r="AA604" i="6" s="1"/>
  <c r="AB443" i="1"/>
  <c r="AB604" i="6" s="1"/>
  <c r="AA843" i="6"/>
  <c r="X1006" i="1"/>
  <c r="Y1006" i="1"/>
  <c r="Z1006" i="1" s="1"/>
  <c r="X1479" i="6"/>
  <c r="AB1122" i="1"/>
  <c r="AB1479" i="6"/>
  <c r="AA1122" i="1"/>
  <c r="AA1479" i="6" s="1"/>
  <c r="AB356" i="6"/>
  <c r="Y52" i="3"/>
  <c r="Z52" i="3" s="1"/>
  <c r="AA427" i="3"/>
  <c r="AA430" i="3"/>
  <c r="D323" i="3"/>
  <c r="D1202" i="3" s="1"/>
  <c r="AD189" i="3"/>
  <c r="AB216" i="3"/>
  <c r="AB906" i="3"/>
  <c r="AA891" i="3"/>
  <c r="X308" i="6"/>
  <c r="AA232" i="1"/>
  <c r="AA308" i="6"/>
  <c r="X574" i="6"/>
  <c r="AA421" i="1"/>
  <c r="AA574" i="6" s="1"/>
  <c r="Z733" i="1"/>
  <c r="AN317" i="3"/>
  <c r="U1249" i="1"/>
  <c r="O1279" i="1"/>
  <c r="R1279" i="1" s="1"/>
  <c r="R1216" i="1"/>
  <c r="Y479" i="1"/>
  <c r="X479" i="1"/>
  <c r="Y631" i="1"/>
  <c r="Z625" i="1"/>
  <c r="Z680" i="1"/>
  <c r="AB1013" i="6"/>
  <c r="AA1080" i="6"/>
  <c r="AA1148" i="6"/>
  <c r="AB1159" i="6"/>
  <c r="X1204" i="6"/>
  <c r="AA923" i="1"/>
  <c r="AA1204" i="6" s="1"/>
  <c r="Z1048" i="1"/>
  <c r="Z1051" i="1"/>
  <c r="Y1051" i="1"/>
  <c r="AL1107" i="1"/>
  <c r="X424" i="6"/>
  <c r="AB316" i="1"/>
  <c r="AB424" i="6" s="1"/>
  <c r="AA316" i="1"/>
  <c r="AA424" i="6"/>
  <c r="X360" i="1"/>
  <c r="Y360" i="1"/>
  <c r="Z360" i="1" s="1"/>
  <c r="AB548" i="6"/>
  <c r="AB407" i="1"/>
  <c r="AI654" i="1"/>
  <c r="AG744" i="1"/>
  <c r="E1182" i="1"/>
  <c r="Z334" i="1"/>
  <c r="Y1083" i="1"/>
  <c r="N1083" i="1"/>
  <c r="N102" i="6"/>
  <c r="AB82" i="1"/>
  <c r="N89" i="1"/>
  <c r="AA82" i="1"/>
  <c r="AB468" i="1"/>
  <c r="AA468" i="1"/>
  <c r="AB51" i="6"/>
  <c r="AB505" i="6"/>
  <c r="R1181" i="1"/>
  <c r="X1181" i="1" s="1"/>
  <c r="X1550" i="6" s="1"/>
  <c r="AN967" i="1"/>
  <c r="AB980" i="1"/>
  <c r="AA980" i="1"/>
  <c r="N1298" i="6"/>
  <c r="N1328" i="6"/>
  <c r="AB999" i="1"/>
  <c r="AB1328" i="6" s="1"/>
  <c r="AA999" i="1"/>
  <c r="AA1328" i="6" s="1"/>
  <c r="N1002" i="1"/>
  <c r="AI1104" i="1"/>
  <c r="AO201" i="1"/>
  <c r="AP201" i="1"/>
  <c r="AI201" i="1"/>
  <c r="AB999" i="6"/>
  <c r="X180" i="1"/>
  <c r="Y180" i="1"/>
  <c r="Z180" i="1" s="1"/>
  <c r="N1191" i="6"/>
  <c r="AB913" i="1"/>
  <c r="AB1191" i="6" s="1"/>
  <c r="AA913" i="1"/>
  <c r="AA1191" i="6" s="1"/>
  <c r="N1227" i="6"/>
  <c r="Y964" i="1"/>
  <c r="Z964" i="1"/>
  <c r="N964" i="1"/>
  <c r="H967" i="1"/>
  <c r="AL58" i="3"/>
  <c r="O1145" i="3"/>
  <c r="Z59" i="3"/>
  <c r="AH114" i="3"/>
  <c r="L119" i="3"/>
  <c r="AG305" i="3"/>
  <c r="E1144" i="3"/>
  <c r="H1144" i="3" s="1"/>
  <c r="AO318" i="3"/>
  <c r="AP318" i="3" s="1"/>
  <c r="AI318" i="3"/>
  <c r="AQ318" i="3" s="1"/>
  <c r="H1152" i="3"/>
  <c r="AA61" i="3"/>
  <c r="AB61" i="3"/>
  <c r="AN187" i="3"/>
  <c r="R1157" i="3"/>
  <c r="Z86" i="3"/>
  <c r="N113" i="3"/>
  <c r="Y113" i="3"/>
  <c r="Z113" i="3" s="1"/>
  <c r="Z205" i="3"/>
  <c r="AA287" i="3"/>
  <c r="AB287" i="3"/>
  <c r="AO418" i="3"/>
  <c r="AP418" i="3" s="1"/>
  <c r="AI418" i="3"/>
  <c r="AQ418" i="3"/>
  <c r="Z397" i="3"/>
  <c r="N489" i="3"/>
  <c r="H496" i="3"/>
  <c r="Z542" i="3"/>
  <c r="Z645" i="3"/>
  <c r="AA199" i="3"/>
  <c r="AB199" i="3"/>
  <c r="AP626" i="3"/>
  <c r="D1148" i="3"/>
  <c r="X472" i="3"/>
  <c r="Y472" i="3"/>
  <c r="Z472" i="3"/>
  <c r="Z569" i="3"/>
  <c r="AA656" i="3"/>
  <c r="AB656" i="3"/>
  <c r="AA479" i="3"/>
  <c r="N484" i="3"/>
  <c r="Z697" i="3"/>
  <c r="Z811" i="3"/>
  <c r="N416" i="3"/>
  <c r="D1150" i="3"/>
  <c r="AO851" i="3"/>
  <c r="AP851" i="3" s="1"/>
  <c r="AI851" i="3"/>
  <c r="Z914" i="3"/>
  <c r="Z1034" i="3"/>
  <c r="Y430" i="3"/>
  <c r="Z427" i="3"/>
  <c r="Z430" i="3" s="1"/>
  <c r="AA692" i="3"/>
  <c r="AB692" i="3"/>
  <c r="AA723" i="3"/>
  <c r="AB723" i="3"/>
  <c r="AI921" i="3"/>
  <c r="AN417" i="3"/>
  <c r="AN544" i="3"/>
  <c r="AQ544" i="3"/>
  <c r="AO544" i="3"/>
  <c r="AP544" i="3" s="1"/>
  <c r="R1143" i="3"/>
  <c r="AO798" i="3"/>
  <c r="AP798" i="3" s="1"/>
  <c r="AI798" i="3"/>
  <c r="AQ798" i="3" s="1"/>
  <c r="AI969" i="3"/>
  <c r="K1245" i="1"/>
  <c r="AO914" i="3"/>
  <c r="AP914" i="3" s="1"/>
  <c r="AI914" i="3"/>
  <c r="AQ914" i="3"/>
  <c r="N974" i="3"/>
  <c r="AA970" i="3"/>
  <c r="AL63" i="1"/>
  <c r="AL799" i="3"/>
  <c r="Y495" i="1"/>
  <c r="Z495" i="1" s="1"/>
  <c r="X495" i="1"/>
  <c r="AB628" i="1"/>
  <c r="AB836" i="6" s="1"/>
  <c r="AA628" i="1"/>
  <c r="AA836" i="6" s="1"/>
  <c r="N836" i="6"/>
  <c r="X919" i="6"/>
  <c r="AB693" i="1"/>
  <c r="AB919" i="6" s="1"/>
  <c r="AA693" i="1"/>
  <c r="AA919" i="6" s="1"/>
  <c r="N985" i="6"/>
  <c r="Z66" i="1"/>
  <c r="Z87" i="6" s="1"/>
  <c r="Y87" i="6"/>
  <c r="AL118" i="1"/>
  <c r="AJ127" i="1"/>
  <c r="X567" i="6"/>
  <c r="X425" i="1"/>
  <c r="X575" i="6"/>
  <c r="AA422" i="1"/>
  <c r="AA575" i="6" s="1"/>
  <c r="Y452" i="1"/>
  <c r="Z449" i="1"/>
  <c r="Z452" i="1"/>
  <c r="AB186" i="6"/>
  <c r="X505" i="6"/>
  <c r="AI199" i="1"/>
  <c r="AO199" i="1"/>
  <c r="AP199" i="1" s="1"/>
  <c r="X602" i="6"/>
  <c r="AA441" i="1"/>
  <c r="AB441" i="1"/>
  <c r="X882" i="6"/>
  <c r="AB663" i="1"/>
  <c r="AB882" i="6"/>
  <c r="N1092" i="6"/>
  <c r="AA853" i="1"/>
  <c r="AA1115" i="6" s="1"/>
  <c r="N860" i="1"/>
  <c r="N1115" i="6"/>
  <c r="X998" i="1"/>
  <c r="R1002" i="1"/>
  <c r="Y998" i="1"/>
  <c r="X1508" i="6"/>
  <c r="X1151" i="1"/>
  <c r="N186" i="6"/>
  <c r="N150" i="1"/>
  <c r="X375" i="6"/>
  <c r="AB610" i="6"/>
  <c r="AB452" i="1"/>
  <c r="X835" i="6"/>
  <c r="AA627" i="1"/>
  <c r="AA835" i="6" s="1"/>
  <c r="N868" i="6"/>
  <c r="X1022" i="6"/>
  <c r="X780" i="1"/>
  <c r="AB31" i="6"/>
  <c r="AO191" i="1"/>
  <c r="AP191" i="1" s="1"/>
  <c r="AI191" i="1"/>
  <c r="N664" i="6"/>
  <c r="AA502" i="1"/>
  <c r="AA664" i="6" s="1"/>
  <c r="X689" i="1"/>
  <c r="R695" i="1"/>
  <c r="Y689" i="1"/>
  <c r="X1100" i="6"/>
  <c r="Z839" i="3"/>
  <c r="AG328" i="1"/>
  <c r="Z651" i="1"/>
  <c r="X1072" i="6"/>
  <c r="AA817" i="1"/>
  <c r="AA1072" i="6"/>
  <c r="AB817" i="1"/>
  <c r="AB1072" i="6" s="1"/>
  <c r="AA1126" i="6"/>
  <c r="Y1107" i="1"/>
  <c r="Z1107" i="1" s="1"/>
  <c r="X1107" i="1"/>
  <c r="Y91" i="6"/>
  <c r="Z70" i="1"/>
  <c r="Z91" i="6" s="1"/>
  <c r="X209" i="6"/>
  <c r="AB156" i="1"/>
  <c r="AB209" i="6" s="1"/>
  <c r="Y715" i="1"/>
  <c r="X715" i="1"/>
  <c r="X1074" i="6"/>
  <c r="AA819" i="1"/>
  <c r="AA1074" i="6" s="1"/>
  <c r="AB819" i="1"/>
  <c r="AB1074" i="6" s="1"/>
  <c r="AB1184" i="6"/>
  <c r="Z1104" i="1"/>
  <c r="N227" i="6"/>
  <c r="AB166" i="1"/>
  <c r="AB227" i="6"/>
  <c r="Y273" i="6"/>
  <c r="Z209" i="1"/>
  <c r="Z273" i="6" s="1"/>
  <c r="X447" i="6"/>
  <c r="AB334" i="1"/>
  <c r="AB447" i="6"/>
  <c r="AA334" i="1"/>
  <c r="AA447" i="6" s="1"/>
  <c r="Z346" i="1"/>
  <c r="N526" i="6"/>
  <c r="AA388" i="1"/>
  <c r="AA526" i="6" s="1"/>
  <c r="AB388" i="1"/>
  <c r="AB526" i="6" s="1"/>
  <c r="N652" i="6"/>
  <c r="AA492" i="1"/>
  <c r="AA652" i="6"/>
  <c r="AB492" i="1"/>
  <c r="AB652" i="6" s="1"/>
  <c r="N548" i="1"/>
  <c r="N711" i="6"/>
  <c r="X735" i="6"/>
  <c r="AA559" i="1"/>
  <c r="AA735" i="6"/>
  <c r="Z706" i="1"/>
  <c r="X1043" i="6"/>
  <c r="AA790" i="1"/>
  <c r="AB790" i="1"/>
  <c r="Y825" i="1"/>
  <c r="N825" i="1"/>
  <c r="H828" i="1"/>
  <c r="X1159" i="6"/>
  <c r="AN890" i="1"/>
  <c r="R1190" i="6"/>
  <c r="Y1190" i="6" s="1"/>
  <c r="Y912" i="1"/>
  <c r="Z912" i="1" s="1"/>
  <c r="X912" i="1"/>
  <c r="N231" i="6"/>
  <c r="AB167" i="1"/>
  <c r="AB231" i="6" s="1"/>
  <c r="O1570" i="6"/>
  <c r="R1198" i="1"/>
  <c r="X1198" i="1"/>
  <c r="X1570" i="6" s="1"/>
  <c r="Z980" i="1"/>
  <c r="AB983" i="1"/>
  <c r="AB1307" i="6" s="1"/>
  <c r="N1307" i="6"/>
  <c r="AA983" i="1"/>
  <c r="AA1307" i="6"/>
  <c r="AN339" i="1"/>
  <c r="K1548" i="6"/>
  <c r="X1282" i="6"/>
  <c r="X978" i="1"/>
  <c r="AA974" i="1"/>
  <c r="N1379" i="6"/>
  <c r="AB1039" i="1"/>
  <c r="AA1039" i="1"/>
  <c r="F1196" i="3"/>
  <c r="AB111" i="3"/>
  <c r="X117" i="3"/>
  <c r="AN114" i="3"/>
  <c r="R1160" i="3"/>
  <c r="AN181" i="3"/>
  <c r="AQ181" i="3" s="1"/>
  <c r="AA59" i="3"/>
  <c r="AA76" i="3"/>
  <c r="AI312" i="3"/>
  <c r="AD69" i="3"/>
  <c r="D1145" i="3"/>
  <c r="X195" i="3"/>
  <c r="R202" i="3"/>
  <c r="Y195" i="3"/>
  <c r="N226" i="3"/>
  <c r="H234" i="3"/>
  <c r="X53" i="3"/>
  <c r="Y53" i="3"/>
  <c r="Z53" i="3" s="1"/>
  <c r="R56" i="3"/>
  <c r="AL111" i="3"/>
  <c r="Y101" i="3"/>
  <c r="Z96" i="3"/>
  <c r="AG113" i="3"/>
  <c r="Z296" i="3"/>
  <c r="Y301" i="3"/>
  <c r="AB50" i="3"/>
  <c r="AA50" i="3"/>
  <c r="AA248" i="3"/>
  <c r="N252" i="3"/>
  <c r="AB248" i="3"/>
  <c r="AB97" i="3"/>
  <c r="AA97" i="3"/>
  <c r="AQ118" i="3"/>
  <c r="I1157" i="3"/>
  <c r="N1157" i="3"/>
  <c r="Z329" i="3"/>
  <c r="AO545" i="3"/>
  <c r="AP545" i="3" s="1"/>
  <c r="AI545" i="3"/>
  <c r="AI58" i="3"/>
  <c r="N1145" i="3"/>
  <c r="H1145" i="3"/>
  <c r="AA369" i="3"/>
  <c r="AB369" i="3"/>
  <c r="X577" i="3"/>
  <c r="Y577" i="3"/>
  <c r="Z577" i="3" s="1"/>
  <c r="Z516" i="3"/>
  <c r="Z691" i="3"/>
  <c r="Y255" i="3"/>
  <c r="X255" i="3"/>
  <c r="R260" i="3"/>
  <c r="AN431" i="3"/>
  <c r="AO431" i="3"/>
  <c r="AP431" i="3" s="1"/>
  <c r="Z348" i="3"/>
  <c r="X537" i="3"/>
  <c r="Y537" i="3"/>
  <c r="Z537" i="3" s="1"/>
  <c r="AB350" i="3"/>
  <c r="AA350" i="3"/>
  <c r="Z457" i="3"/>
  <c r="AA508" i="3"/>
  <c r="AB508" i="3"/>
  <c r="N513" i="3"/>
  <c r="AN534" i="3"/>
  <c r="Z783" i="3"/>
  <c r="Z787" i="3" s="1"/>
  <c r="Y787" i="3"/>
  <c r="AI715" i="3"/>
  <c r="AI849" i="3"/>
  <c r="AA390" i="3"/>
  <c r="AA394" i="3" s="1"/>
  <c r="AB390" i="3"/>
  <c r="Z617" i="3"/>
  <c r="AA673" i="3"/>
  <c r="AB673" i="3"/>
  <c r="Z165" i="3"/>
  <c r="Z277" i="3"/>
  <c r="Y282" i="3"/>
  <c r="N615" i="3"/>
  <c r="AA736" i="3"/>
  <c r="N741" i="3"/>
  <c r="AB736" i="3"/>
  <c r="N923" i="3"/>
  <c r="AB352" i="3"/>
  <c r="AA352" i="3"/>
  <c r="AA501" i="3"/>
  <c r="AB501" i="3"/>
  <c r="AL624" i="3"/>
  <c r="AJ633" i="3"/>
  <c r="AN707" i="3"/>
  <c r="R1134" i="3"/>
  <c r="X1134" i="3" s="1"/>
  <c r="Z776" i="3"/>
  <c r="AB820" i="3"/>
  <c r="AB825" i="3" s="1"/>
  <c r="AA820" i="3"/>
  <c r="AA825" i="3" s="1"/>
  <c r="N825" i="3"/>
  <c r="AG850" i="3"/>
  <c r="AE856" i="3"/>
  <c r="AN913" i="3"/>
  <c r="AA1019" i="3"/>
  <c r="AB1019" i="3"/>
  <c r="AI1094" i="3"/>
  <c r="AO973" i="3"/>
  <c r="AP973" i="3" s="1"/>
  <c r="AI973" i="3"/>
  <c r="AQ973" i="3" s="1"/>
  <c r="AB1045" i="3"/>
  <c r="AA799" i="3"/>
  <c r="AB799" i="3"/>
  <c r="N803" i="3"/>
  <c r="N853" i="3"/>
  <c r="AA847" i="3"/>
  <c r="AA850" i="3"/>
  <c r="AB850" i="3"/>
  <c r="AO1059" i="3"/>
  <c r="AP1059" i="3" s="1"/>
  <c r="AI1059" i="3"/>
  <c r="AO619" i="3"/>
  <c r="AP619" i="3"/>
  <c r="AI619" i="3"/>
  <c r="AQ619" i="3" s="1"/>
  <c r="AA944" i="3"/>
  <c r="N951" i="3"/>
  <c r="N976" i="3" s="1"/>
  <c r="N1218" i="3" s="1"/>
  <c r="AB944" i="3"/>
  <c r="AN1018" i="3"/>
  <c r="R1162" i="3"/>
  <c r="X1162" i="3"/>
  <c r="AB1162" i="3" s="1"/>
  <c r="AB828" i="3"/>
  <c r="AA828" i="3"/>
  <c r="N834" i="3"/>
  <c r="AA983" i="3"/>
  <c r="N988" i="3"/>
  <c r="AB983" i="3"/>
  <c r="X409" i="3"/>
  <c r="AA406" i="3"/>
  <c r="AA409" i="3" s="1"/>
  <c r="AA730" i="3"/>
  <c r="AB730" i="3"/>
  <c r="AA939" i="3"/>
  <c r="AB939" i="3"/>
  <c r="E1245" i="1"/>
  <c r="N122" i="1"/>
  <c r="Y122" i="1"/>
  <c r="Z122" i="1" s="1"/>
  <c r="N158" i="1"/>
  <c r="H162" i="1"/>
  <c r="N978" i="6"/>
  <c r="AO800" i="3"/>
  <c r="AP800" i="3" s="1"/>
  <c r="AI800" i="3"/>
  <c r="AQ800" i="3" s="1"/>
  <c r="Z868" i="3"/>
  <c r="X13" i="6"/>
  <c r="AA15" i="1"/>
  <c r="AA13" i="6" s="1"/>
  <c r="Z50" i="1"/>
  <c r="Y50" i="1"/>
  <c r="X50" i="1"/>
  <c r="N90" i="6"/>
  <c r="AA69" i="1"/>
  <c r="AA90" i="6" s="1"/>
  <c r="AB69" i="1"/>
  <c r="AB90" i="6" s="1"/>
  <c r="J1245" i="1"/>
  <c r="AB698" i="3"/>
  <c r="AA698" i="3"/>
  <c r="N701" i="3"/>
  <c r="AN713" i="3"/>
  <c r="AQ713" i="3" s="1"/>
  <c r="AO713" i="3"/>
  <c r="AP713" i="3"/>
  <c r="AH122" i="1"/>
  <c r="L127" i="1"/>
  <c r="AG117" i="1"/>
  <c r="AO70" i="1"/>
  <c r="AP70" i="1" s="1"/>
  <c r="AI70" i="1"/>
  <c r="X423" i="6"/>
  <c r="AB315" i="1"/>
  <c r="AB423" i="6"/>
  <c r="AA315" i="1"/>
  <c r="AA423" i="6" s="1"/>
  <c r="X463" i="6"/>
  <c r="AB347" i="1"/>
  <c r="AB463" i="6" s="1"/>
  <c r="AA347" i="1"/>
  <c r="AA463" i="6" s="1"/>
  <c r="X500" i="6"/>
  <c r="AB370" i="1"/>
  <c r="AB500" i="6" s="1"/>
  <c r="AA370" i="1"/>
  <c r="AA500" i="6" s="1"/>
  <c r="AN439" i="1"/>
  <c r="AN445" i="1"/>
  <c r="X813" i="6"/>
  <c r="AB613" i="1"/>
  <c r="AB813" i="6"/>
  <c r="AA613" i="1"/>
  <c r="AA813" i="6" s="1"/>
  <c r="Y804" i="1"/>
  <c r="Z799" i="1"/>
  <c r="Z804" i="1"/>
  <c r="AA824" i="1"/>
  <c r="AA1081" i="6" s="1"/>
  <c r="X1081" i="6"/>
  <c r="Y963" i="1"/>
  <c r="R967" i="1"/>
  <c r="X963" i="1"/>
  <c r="Y994" i="1"/>
  <c r="Z994" i="1" s="1"/>
  <c r="X994" i="1"/>
  <c r="R996" i="1"/>
  <c r="AL1020" i="1"/>
  <c r="N1407" i="6"/>
  <c r="AA1061" i="1"/>
  <c r="AA1407" i="6" s="1"/>
  <c r="N1432" i="6"/>
  <c r="AA1084" i="1"/>
  <c r="AA1432" i="6" s="1"/>
  <c r="AE1154" i="1"/>
  <c r="AG1144" i="1"/>
  <c r="X87" i="6"/>
  <c r="AA66" i="1"/>
  <c r="AA87" i="6" s="1"/>
  <c r="AB66" i="1"/>
  <c r="AB87" i="6"/>
  <c r="AG114" i="1"/>
  <c r="X179" i="1"/>
  <c r="Y179" i="1"/>
  <c r="Z179" i="1"/>
  <c r="Y293" i="6"/>
  <c r="Z220" i="1"/>
  <c r="Z293" i="6" s="1"/>
  <c r="Z229" i="1"/>
  <c r="X337" i="6"/>
  <c r="AA255" i="1"/>
  <c r="AA337" i="6" s="1"/>
  <c r="N340" i="6"/>
  <c r="AA258" i="1"/>
  <c r="AA340" i="6"/>
  <c r="AB258" i="1"/>
  <c r="AB340" i="6" s="1"/>
  <c r="N422" i="6"/>
  <c r="AA314" i="1"/>
  <c r="AA422" i="6" s="1"/>
  <c r="X512" i="6"/>
  <c r="AA377" i="1"/>
  <c r="AA512" i="6" s="1"/>
  <c r="X610" i="6"/>
  <c r="X452" i="1"/>
  <c r="AA449" i="1"/>
  <c r="AB866" i="6"/>
  <c r="AA45" i="1"/>
  <c r="AA54" i="6" s="1"/>
  <c r="N54" i="6"/>
  <c r="AB45" i="1"/>
  <c r="AB54" i="6" s="1"/>
  <c r="X126" i="6"/>
  <c r="AA104" i="1"/>
  <c r="AA126" i="6" s="1"/>
  <c r="X141" i="6"/>
  <c r="AA113" i="1"/>
  <c r="AA141" i="6" s="1"/>
  <c r="AB113" i="1"/>
  <c r="AB141" i="6"/>
  <c r="X379" i="1"/>
  <c r="X381" i="1"/>
  <c r="Y379" i="1"/>
  <c r="Z379" i="1" s="1"/>
  <c r="Y407" i="1"/>
  <c r="Z403" i="1"/>
  <c r="Z407" i="1" s="1"/>
  <c r="AI440" i="1"/>
  <c r="AD576" i="1"/>
  <c r="Z93" i="1"/>
  <c r="X171" i="1"/>
  <c r="X226" i="6"/>
  <c r="X351" i="6"/>
  <c r="AA266" i="1"/>
  <c r="AA351" i="6" s="1"/>
  <c r="AB266" i="1"/>
  <c r="AB351" i="6" s="1"/>
  <c r="Y287" i="1"/>
  <c r="Z287" i="1" s="1"/>
  <c r="X287" i="1"/>
  <c r="AI329" i="1"/>
  <c r="X451" i="6"/>
  <c r="AA336" i="1"/>
  <c r="AA451" i="6" s="1"/>
  <c r="AB336" i="1"/>
  <c r="AB451" i="6" s="1"/>
  <c r="X717" i="6"/>
  <c r="AA545" i="1"/>
  <c r="AA717" i="6" s="1"/>
  <c r="AB545" i="1"/>
  <c r="AB717" i="6" s="1"/>
  <c r="AN558" i="1"/>
  <c r="AA602" i="1"/>
  <c r="AA798" i="6" s="1"/>
  <c r="X798" i="6"/>
  <c r="AB602" i="1"/>
  <c r="AB798" i="6" s="1"/>
  <c r="Y726" i="1"/>
  <c r="X726" i="1"/>
  <c r="R730" i="1"/>
  <c r="X999" i="6"/>
  <c r="X857" i="1"/>
  <c r="Y857" i="1"/>
  <c r="Z857" i="1" s="1"/>
  <c r="X937" i="1"/>
  <c r="Y937" i="1"/>
  <c r="Z937" i="1" s="1"/>
  <c r="N1314" i="6"/>
  <c r="AA1031" i="1"/>
  <c r="N1036" i="1"/>
  <c r="N1369" i="6"/>
  <c r="AB1031" i="1"/>
  <c r="N1506" i="6"/>
  <c r="AA1145" i="1"/>
  <c r="N1151" i="1"/>
  <c r="Y878" i="3"/>
  <c r="Z878" i="3" s="1"/>
  <c r="X878" i="3"/>
  <c r="R882" i="3"/>
  <c r="Z893" i="3"/>
  <c r="Z900" i="3" s="1"/>
  <c r="Y900" i="3"/>
  <c r="X10" i="6"/>
  <c r="X19" i="1"/>
  <c r="N77" i="6"/>
  <c r="AA56" i="1"/>
  <c r="AA77" i="6" s="1"/>
  <c r="AB56" i="1"/>
  <c r="AB77" i="6" s="1"/>
  <c r="X79" i="6"/>
  <c r="AA58" i="1"/>
  <c r="AA79" i="6"/>
  <c r="R89" i="6"/>
  <c r="Y68" i="1"/>
  <c r="X68" i="1"/>
  <c r="N132" i="6"/>
  <c r="AA110" i="1"/>
  <c r="AB110" i="1"/>
  <c r="X336" i="6"/>
  <c r="AA254" i="1"/>
  <c r="AA336" i="6" s="1"/>
  <c r="AG326" i="1"/>
  <c r="Y400" i="1"/>
  <c r="Z393" i="1"/>
  <c r="Z400" i="1" s="1"/>
  <c r="Y615" i="1"/>
  <c r="Z615" i="1" s="1"/>
  <c r="X615" i="1"/>
  <c r="AA615" i="1" s="1"/>
  <c r="AB615" i="1" s="1"/>
  <c r="AA700" i="1"/>
  <c r="AA928" i="6" s="1"/>
  <c r="N928" i="6"/>
  <c r="X948" i="6"/>
  <c r="AA716" i="1"/>
  <c r="AA948" i="6" s="1"/>
  <c r="X499" i="3"/>
  <c r="Y499" i="3"/>
  <c r="R505" i="3"/>
  <c r="AO1025" i="3"/>
  <c r="AP1025" i="3" s="1"/>
  <c r="N173" i="6"/>
  <c r="AB133" i="1"/>
  <c r="AB173" i="6" s="1"/>
  <c r="N295" i="6"/>
  <c r="X348" i="1"/>
  <c r="Y348" i="1"/>
  <c r="Z348" i="1" s="1"/>
  <c r="X527" i="1"/>
  <c r="Y527" i="1"/>
  <c r="Z527" i="1" s="1"/>
  <c r="Z635" i="1"/>
  <c r="AI652" i="1"/>
  <c r="AA340" i="3"/>
  <c r="N345" i="3"/>
  <c r="AB340" i="3"/>
  <c r="AQ194" i="1"/>
  <c r="AP194" i="1"/>
  <c r="X199" i="6"/>
  <c r="AB146" i="1"/>
  <c r="AB190" i="6" s="1"/>
  <c r="H323" i="6"/>
  <c r="Y323" i="6" s="1"/>
  <c r="N242" i="1"/>
  <c r="H248" i="1"/>
  <c r="Y242" i="1"/>
  <c r="Z242" i="1"/>
  <c r="N465" i="6"/>
  <c r="Y467" i="1"/>
  <c r="X467" i="1"/>
  <c r="R470" i="1"/>
  <c r="X866" i="6"/>
  <c r="AA651" i="1"/>
  <c r="AA1013" i="6"/>
  <c r="AB1126" i="6"/>
  <c r="X1184" i="6"/>
  <c r="AA911" i="1"/>
  <c r="X91" i="6"/>
  <c r="F1249" i="1"/>
  <c r="Z145" i="1"/>
  <c r="Y302" i="1"/>
  <c r="R310" i="1"/>
  <c r="X302" i="1"/>
  <c r="AI330" i="1"/>
  <c r="AO330" i="1"/>
  <c r="AP330" i="1" s="1"/>
  <c r="AO660" i="1"/>
  <c r="AP660" i="1" s="1"/>
  <c r="AI660" i="1"/>
  <c r="AQ660" i="1" s="1"/>
  <c r="N938" i="6"/>
  <c r="AA708" i="1"/>
  <c r="AA938" i="6"/>
  <c r="AB708" i="1"/>
  <c r="AB938" i="6" s="1"/>
  <c r="AO844" i="1"/>
  <c r="AP844" i="1"/>
  <c r="AI844" i="1"/>
  <c r="L1245" i="1"/>
  <c r="N105" i="6"/>
  <c r="AA85" i="1"/>
  <c r="AA105" i="6" s="1"/>
  <c r="AB85" i="1"/>
  <c r="AB105" i="6" s="1"/>
  <c r="N263" i="6"/>
  <c r="AB198" i="1"/>
  <c r="AB263" i="6"/>
  <c r="X273" i="6"/>
  <c r="AA209" i="1"/>
  <c r="AA273" i="6" s="1"/>
  <c r="N286" i="6"/>
  <c r="X411" i="6"/>
  <c r="AA305" i="1"/>
  <c r="AA411" i="6" s="1"/>
  <c r="X461" i="6"/>
  <c r="AB346" i="1"/>
  <c r="AA346" i="1"/>
  <c r="N498" i="6"/>
  <c r="AP574" i="1"/>
  <c r="X752" i="6"/>
  <c r="AA570" i="1"/>
  <c r="AA752" i="6"/>
  <c r="N794" i="6"/>
  <c r="AB599" i="1"/>
  <c r="AB794" i="6" s="1"/>
  <c r="AA599" i="1"/>
  <c r="N1047" i="6"/>
  <c r="AB793" i="1"/>
  <c r="AB1047" i="6" s="1"/>
  <c r="AA793" i="1"/>
  <c r="AA1047" i="6"/>
  <c r="R1202" i="6"/>
  <c r="Y1202" i="6" s="1"/>
  <c r="Y921" i="1"/>
  <c r="Z921" i="1"/>
  <c r="R925" i="1"/>
  <c r="X921" i="1"/>
  <c r="I1186" i="1"/>
  <c r="I1556" i="6"/>
  <c r="N1186" i="1"/>
  <c r="X808" i="6"/>
  <c r="AA609" i="1"/>
  <c r="AA808" i="6"/>
  <c r="AI333" i="1"/>
  <c r="H1188" i="1"/>
  <c r="AB662" i="1"/>
  <c r="AA662" i="1"/>
  <c r="N881" i="6"/>
  <c r="N666" i="1"/>
  <c r="N1138" i="6"/>
  <c r="AB872" i="1"/>
  <c r="AB1138" i="6"/>
  <c r="AA872" i="1"/>
  <c r="AA1138" i="6" s="1"/>
  <c r="N1396" i="6"/>
  <c r="AB1054" i="1"/>
  <c r="AA1054" i="1"/>
  <c r="N1057" i="1"/>
  <c r="AN117" i="1"/>
  <c r="X240" i="6"/>
  <c r="AB176" i="1"/>
  <c r="AB240" i="6"/>
  <c r="N592" i="6"/>
  <c r="N438" i="1"/>
  <c r="N723" i="6"/>
  <c r="X951" i="6"/>
  <c r="AA718" i="1"/>
  <c r="AA951" i="6"/>
  <c r="N1037" i="6"/>
  <c r="AA784" i="1"/>
  <c r="AA1037" i="6"/>
  <c r="AB784" i="1"/>
  <c r="AB1037" i="6" s="1"/>
  <c r="N1203" i="6"/>
  <c r="Z974" i="1"/>
  <c r="Z978" i="1"/>
  <c r="Y978" i="1"/>
  <c r="Z1039" i="1"/>
  <c r="N1002" i="6"/>
  <c r="AA761" i="1"/>
  <c r="AA1002" i="6"/>
  <c r="AQ445" i="1"/>
  <c r="AB253" i="1"/>
  <c r="AB334" i="6" s="1"/>
  <c r="AA776" i="1"/>
  <c r="AA1026" i="6" s="1"/>
  <c r="AA884" i="1"/>
  <c r="AA1153" i="6" s="1"/>
  <c r="AO317" i="3"/>
  <c r="AP317" i="3"/>
  <c r="AA221" i="3"/>
  <c r="X345" i="3"/>
  <c r="X608" i="3"/>
  <c r="AB985" i="3"/>
  <c r="AB988" i="3" s="1"/>
  <c r="AA1003" i="3"/>
  <c r="AA1046" i="3"/>
  <c r="AH454" i="1"/>
  <c r="AB421" i="1"/>
  <c r="AB574" i="6"/>
  <c r="AJ805" i="3"/>
  <c r="AA395" i="1"/>
  <c r="AA534" i="6" s="1"/>
  <c r="AA840" i="1"/>
  <c r="AA735" i="1"/>
  <c r="AA969" i="6" s="1"/>
  <c r="AA253" i="1"/>
  <c r="AA334" i="6" s="1"/>
  <c r="AA931" i="1"/>
  <c r="AA1212" i="6" s="1"/>
  <c r="AB231" i="1"/>
  <c r="AB307" i="6" s="1"/>
  <c r="AA375" i="1"/>
  <c r="AA976" i="1"/>
  <c r="AA1291" i="6" s="1"/>
  <c r="AB1088" i="1"/>
  <c r="AB1440" i="6"/>
  <c r="AA656" i="1"/>
  <c r="AA873" i="6" s="1"/>
  <c r="N67" i="3"/>
  <c r="AA40" i="3"/>
  <c r="AB41" i="3"/>
  <c r="N202" i="3"/>
  <c r="AO114" i="3"/>
  <c r="AP114" i="3" s="1"/>
  <c r="AQ188" i="3"/>
  <c r="AA15" i="3"/>
  <c r="H484" i="3"/>
  <c r="AJ119" i="3"/>
  <c r="J1150" i="3" s="1"/>
  <c r="X660" i="3"/>
  <c r="Y479" i="3"/>
  <c r="Z479" i="3" s="1"/>
  <c r="AB605" i="3"/>
  <c r="AA296" i="3"/>
  <c r="Y853" i="3"/>
  <c r="X988" i="3"/>
  <c r="AD633" i="3"/>
  <c r="Z847" i="3"/>
  <c r="AB886" i="3"/>
  <c r="AB947" i="3"/>
  <c r="AB907" i="3"/>
  <c r="AB458" i="3"/>
  <c r="X934" i="3"/>
  <c r="Z970" i="3"/>
  <c r="AB618" i="3"/>
  <c r="AA602" i="3"/>
  <c r="R1027" i="3"/>
  <c r="R1220" i="3" s="1"/>
  <c r="N1051" i="3"/>
  <c r="AB851" i="3"/>
  <c r="X910" i="3"/>
  <c r="Z923" i="3"/>
  <c r="Z558" i="1"/>
  <c r="X666" i="1"/>
  <c r="AB395" i="1"/>
  <c r="AB534" i="6" s="1"/>
  <c r="AB559" i="1"/>
  <c r="AB735" i="6"/>
  <c r="AA13" i="1"/>
  <c r="AA11" i="6" s="1"/>
  <c r="Y502" i="1"/>
  <c r="Z502" i="1"/>
  <c r="AB422" i="1"/>
  <c r="AB575" i="6" s="1"/>
  <c r="H660" i="1"/>
  <c r="AB265" i="3"/>
  <c r="AB17" i="1"/>
  <c r="AB15" i="6"/>
  <c r="X844" i="3"/>
  <c r="N915" i="1"/>
  <c r="AB778" i="1"/>
  <c r="AB1028" i="6" s="1"/>
  <c r="AA420" i="1"/>
  <c r="AA573" i="6"/>
  <c r="AA894" i="1"/>
  <c r="AA1163" i="6"/>
  <c r="Z211" i="1"/>
  <c r="Z282" i="6" s="1"/>
  <c r="AB396" i="1"/>
  <c r="AB537" i="6" s="1"/>
  <c r="Y655" i="1"/>
  <c r="Z655" i="1"/>
  <c r="AB931" i="1"/>
  <c r="AB1212" i="6" s="1"/>
  <c r="AB1013" i="1"/>
  <c r="AB1349" i="6"/>
  <c r="AA1106" i="1"/>
  <c r="AA1460" i="6" s="1"/>
  <c r="H89" i="1"/>
  <c r="AA231" i="1"/>
  <c r="AA307" i="6" s="1"/>
  <c r="AB652" i="1"/>
  <c r="AB867" i="6" s="1"/>
  <c r="AA802" i="1"/>
  <c r="AA1057" i="6"/>
  <c r="H1064" i="1"/>
  <c r="AA517" i="1"/>
  <c r="AA682" i="6"/>
  <c r="Z1017" i="1"/>
  <c r="AB1034" i="1"/>
  <c r="AB1374" i="6" s="1"/>
  <c r="AA1042" i="1"/>
  <c r="AA1384" i="6" s="1"/>
  <c r="AH576" i="1"/>
  <c r="AA1088" i="1"/>
  <c r="AA1440" i="6" s="1"/>
  <c r="H318" i="1"/>
  <c r="Y742" i="1"/>
  <c r="Z742" i="1" s="1"/>
  <c r="AA892" i="1"/>
  <c r="AA1161" i="6"/>
  <c r="AB949" i="1"/>
  <c r="AB1240" i="6" s="1"/>
  <c r="AA1049" i="1"/>
  <c r="AA1391" i="6"/>
  <c r="AB800" i="1"/>
  <c r="AB1055" i="6" s="1"/>
  <c r="AA1033" i="1"/>
  <c r="AA1373" i="6" s="1"/>
  <c r="AD1074" i="1"/>
  <c r="AA1128" i="1"/>
  <c r="AA1485" i="6" s="1"/>
  <c r="N20" i="6"/>
  <c r="AA22" i="1"/>
  <c r="AA20" i="6" s="1"/>
  <c r="N27" i="1"/>
  <c r="AB22" i="1"/>
  <c r="N324" i="6"/>
  <c r="Y276" i="1"/>
  <c r="Z271" i="1"/>
  <c r="Z276" i="1"/>
  <c r="X414" i="6"/>
  <c r="AA307" i="1"/>
  <c r="AA414" i="6" s="1"/>
  <c r="X875" i="6"/>
  <c r="AA658" i="1"/>
  <c r="AA875" i="6"/>
  <c r="AA52" i="1"/>
  <c r="AB52" i="1"/>
  <c r="N311" i="6"/>
  <c r="AB235" i="1"/>
  <c r="AB311" i="6" s="1"/>
  <c r="AA235" i="1"/>
  <c r="AA311" i="6" s="1"/>
  <c r="N400" i="6"/>
  <c r="AA295" i="1"/>
  <c r="AA400" i="6"/>
  <c r="N299" i="1"/>
  <c r="AB295" i="1"/>
  <c r="AB400" i="6" s="1"/>
  <c r="N845" i="6"/>
  <c r="AA637" i="1"/>
  <c r="AA845" i="6" s="1"/>
  <c r="X869" i="6"/>
  <c r="AA654" i="1"/>
  <c r="AA869" i="6"/>
  <c r="AI893" i="1"/>
  <c r="AO893" i="1"/>
  <c r="AI1019" i="1"/>
  <c r="AQ1019" i="1"/>
  <c r="AO1019" i="1"/>
  <c r="AP1019" i="1" s="1"/>
  <c r="AA819" i="6"/>
  <c r="Z673" i="1"/>
  <c r="N1137" i="6"/>
  <c r="AB871" i="1"/>
  <c r="AA871" i="1"/>
  <c r="N877" i="1"/>
  <c r="N294" i="6"/>
  <c r="AA221" i="1"/>
  <c r="AA294" i="6" s="1"/>
  <c r="AB221" i="1"/>
  <c r="AB294" i="6" s="1"/>
  <c r="X658" i="6"/>
  <c r="AA496" i="1"/>
  <c r="AA658" i="6" s="1"/>
  <c r="N733" i="6"/>
  <c r="AA558" i="1"/>
  <c r="N565" i="1"/>
  <c r="AB558" i="1"/>
  <c r="AO742" i="1"/>
  <c r="AI742" i="1"/>
  <c r="AE846" i="1"/>
  <c r="AG837" i="1"/>
  <c r="V1245" i="1"/>
  <c r="I1189" i="1"/>
  <c r="I1559" i="6"/>
  <c r="N1189" i="1"/>
  <c r="N1054" i="6"/>
  <c r="AB799" i="1"/>
  <c r="N804" i="1"/>
  <c r="AA799" i="1"/>
  <c r="Y966" i="6"/>
  <c r="Z734" i="1"/>
  <c r="Z966" i="6"/>
  <c r="AI962" i="1"/>
  <c r="AQ962" i="1" s="1"/>
  <c r="AO962" i="1"/>
  <c r="AP962" i="1"/>
  <c r="AB226" i="6"/>
  <c r="Z281" i="1"/>
  <c r="N562" i="6"/>
  <c r="AA413" i="1"/>
  <c r="AA562" i="6" s="1"/>
  <c r="AB413" i="1"/>
  <c r="AB562" i="6" s="1"/>
  <c r="X1154" i="6"/>
  <c r="AA885" i="1"/>
  <c r="AA1154" i="6" s="1"/>
  <c r="N1449" i="6"/>
  <c r="AB1097" i="1"/>
  <c r="AB1449" i="6" s="1"/>
  <c r="AA1097" i="1"/>
  <c r="AA1449" i="6" s="1"/>
  <c r="X499" i="6"/>
  <c r="AB369" i="1"/>
  <c r="AB499" i="6"/>
  <c r="AA369" i="1"/>
  <c r="AA499" i="6" s="1"/>
  <c r="AA1159" i="6"/>
  <c r="V1196" i="3"/>
  <c r="Z111" i="3"/>
  <c r="AI314" i="3"/>
  <c r="H1138" i="3"/>
  <c r="I1152" i="3"/>
  <c r="N1152" i="3"/>
  <c r="X90" i="3"/>
  <c r="X93" i="3"/>
  <c r="Y90" i="3"/>
  <c r="Z90" i="3" s="1"/>
  <c r="AO109" i="3"/>
  <c r="AP109" i="3"/>
  <c r="AI109" i="3"/>
  <c r="AA205" i="3"/>
  <c r="AB205" i="3"/>
  <c r="AG419" i="3"/>
  <c r="AE432" i="3"/>
  <c r="E1131" i="3"/>
  <c r="AN109" i="3"/>
  <c r="AB285" i="3"/>
  <c r="AB306" i="3"/>
  <c r="AA306" i="3"/>
  <c r="AO542" i="3"/>
  <c r="AP542" i="3" s="1"/>
  <c r="AI542" i="3"/>
  <c r="AQ542" i="3" s="1"/>
  <c r="H1140" i="3"/>
  <c r="Z671" i="3"/>
  <c r="AA457" i="3"/>
  <c r="Z638" i="3"/>
  <c r="X768" i="3"/>
  <c r="Y768" i="3"/>
  <c r="Z768" i="3" s="1"/>
  <c r="AN423" i="3"/>
  <c r="AA665" i="3"/>
  <c r="AB665" i="3"/>
  <c r="AA517" i="3"/>
  <c r="N522" i="3"/>
  <c r="AB517" i="3"/>
  <c r="Z722" i="3"/>
  <c r="Z727" i="3" s="1"/>
  <c r="Y727" i="3"/>
  <c r="I1200" i="3"/>
  <c r="AA277" i="3"/>
  <c r="AB277" i="3"/>
  <c r="N282" i="3"/>
  <c r="Z663" i="3"/>
  <c r="AA848" i="3"/>
  <c r="AA853" i="3" s="1"/>
  <c r="AB848" i="3"/>
  <c r="AA595" i="3"/>
  <c r="AB595" i="3"/>
  <c r="X448" i="3"/>
  <c r="AA745" i="3"/>
  <c r="AB745" i="3"/>
  <c r="AB811" i="3"/>
  <c r="AB817" i="3" s="1"/>
  <c r="N817" i="3"/>
  <c r="AA811" i="3"/>
  <c r="AA817" i="3" s="1"/>
  <c r="AI923" i="3"/>
  <c r="AB1067" i="3"/>
  <c r="AA1067" i="3"/>
  <c r="X469" i="3"/>
  <c r="Y469" i="3"/>
  <c r="R475" i="3"/>
  <c r="AN629" i="3"/>
  <c r="AQ629" i="3"/>
  <c r="AO629" i="3"/>
  <c r="AP629" i="3" s="1"/>
  <c r="AO64" i="1"/>
  <c r="AP64" i="1" s="1"/>
  <c r="AI64" i="1"/>
  <c r="Y691" i="1"/>
  <c r="Z691" i="1" s="1"/>
  <c r="X691" i="1"/>
  <c r="Y1142" i="3"/>
  <c r="Z1142" i="3" s="1"/>
  <c r="X1142" i="3"/>
  <c r="AB1142" i="3" s="1"/>
  <c r="AB10" i="6"/>
  <c r="Z30" i="1"/>
  <c r="X107" i="6"/>
  <c r="AA87" i="1"/>
  <c r="AA107" i="6" s="1"/>
  <c r="N284" i="1"/>
  <c r="Y284" i="1"/>
  <c r="Z284" i="1" s="1"/>
  <c r="Y608" i="1"/>
  <c r="Z608" i="1" s="1"/>
  <c r="X608" i="1"/>
  <c r="N935" i="6"/>
  <c r="AN965" i="1"/>
  <c r="N1370" i="6"/>
  <c r="AA1032" i="1"/>
  <c r="AA1370" i="6"/>
  <c r="Z562" i="3"/>
  <c r="X1003" i="3"/>
  <c r="AB1000" i="3"/>
  <c r="X949" i="6"/>
  <c r="AA717" i="1"/>
  <c r="AA949" i="6" s="1"/>
  <c r="AI974" i="3"/>
  <c r="X75" i="6"/>
  <c r="AA54" i="1"/>
  <c r="AA75" i="6" s="1"/>
  <c r="AB54" i="1"/>
  <c r="AB75" i="6" s="1"/>
  <c r="N478" i="6"/>
  <c r="AA357" i="1"/>
  <c r="AB357" i="1"/>
  <c r="N363" i="1"/>
  <c r="X843" i="6"/>
  <c r="AB635" i="1"/>
  <c r="X1148" i="6"/>
  <c r="X887" i="1"/>
  <c r="N1317" i="6"/>
  <c r="AA991" i="1"/>
  <c r="AA1317" i="6" s="1"/>
  <c r="AB991" i="1"/>
  <c r="AB1317" i="6" s="1"/>
  <c r="X1455" i="6"/>
  <c r="X1109" i="1"/>
  <c r="AL1097" i="3"/>
  <c r="AJ1104" i="3"/>
  <c r="Z12" i="1"/>
  <c r="Y19" i="1"/>
  <c r="AL67" i="1"/>
  <c r="X118" i="6"/>
  <c r="AA97" i="1"/>
  <c r="AA118" i="6" s="1"/>
  <c r="X276" i="1"/>
  <c r="X356" i="6"/>
  <c r="N501" i="1"/>
  <c r="H508" i="1"/>
  <c r="N1193" i="1"/>
  <c r="X210" i="6"/>
  <c r="AB157" i="1"/>
  <c r="AB210" i="6" s="1"/>
  <c r="AN201" i="1"/>
  <c r="R1199" i="1"/>
  <c r="X1199" i="1" s="1"/>
  <c r="X1572" i="6" s="1"/>
  <c r="X830" i="6"/>
  <c r="AA625" i="1"/>
  <c r="N915" i="6"/>
  <c r="AB690" i="1"/>
  <c r="AB915" i="6" s="1"/>
  <c r="AA690" i="1"/>
  <c r="AA915" i="6" s="1"/>
  <c r="X1290" i="6"/>
  <c r="AA975" i="1"/>
  <c r="AA1290" i="6" s="1"/>
  <c r="X1390" i="6"/>
  <c r="X1051" i="1"/>
  <c r="AA1048" i="1"/>
  <c r="N894" i="6"/>
  <c r="AB673" i="1"/>
  <c r="AA673" i="1"/>
  <c r="N677" i="1"/>
  <c r="AN742" i="1"/>
  <c r="N1419" i="6"/>
  <c r="AA1069" i="1"/>
  <c r="AA1419" i="6" s="1"/>
  <c r="AB1069" i="1"/>
  <c r="AB1419" i="6" s="1"/>
  <c r="N1484" i="6"/>
  <c r="N1132" i="1"/>
  <c r="X106" i="6"/>
  <c r="AA86" i="1"/>
  <c r="AA106" i="6" s="1"/>
  <c r="X833" i="1"/>
  <c r="Y833" i="1"/>
  <c r="Z833" i="1" s="1"/>
  <c r="D1179" i="1"/>
  <c r="AB169" i="6"/>
  <c r="N966" i="6"/>
  <c r="AA734" i="1"/>
  <c r="AA966" i="6" s="1"/>
  <c r="Z662" i="1"/>
  <c r="AN956" i="1"/>
  <c r="X665" i="6"/>
  <c r="AB503" i="1"/>
  <c r="AB665" i="6" s="1"/>
  <c r="AA503" i="1"/>
  <c r="AA665" i="6" s="1"/>
  <c r="X546" i="1"/>
  <c r="Y546" i="1"/>
  <c r="O1554" i="6"/>
  <c r="N1320" i="6"/>
  <c r="AB993" i="1"/>
  <c r="AB1320" i="6" s="1"/>
  <c r="AA993" i="1"/>
  <c r="AA1320" i="6" s="1"/>
  <c r="N356" i="6"/>
  <c r="N276" i="1"/>
  <c r="AA271" i="1"/>
  <c r="X1235" i="6"/>
  <c r="AA947" i="1"/>
  <c r="AE969" i="1"/>
  <c r="AG956" i="1"/>
  <c r="T1198" i="3"/>
  <c r="U1196" i="3"/>
  <c r="K1150" i="3"/>
  <c r="AO180" i="3"/>
  <c r="AP180" i="3" s="1"/>
  <c r="AI180" i="3"/>
  <c r="AO184" i="3"/>
  <c r="AP184" i="3" s="1"/>
  <c r="AI184" i="3"/>
  <c r="AA60" i="3"/>
  <c r="AB60" i="3"/>
  <c r="Z126" i="3"/>
  <c r="AO316" i="3"/>
  <c r="AP316" i="3" s="1"/>
  <c r="AI316" i="3"/>
  <c r="H1139" i="3"/>
  <c r="Y1139" i="3" s="1"/>
  <c r="Z1139" i="3" s="1"/>
  <c r="AA77" i="3"/>
  <c r="N83" i="3"/>
  <c r="AB77" i="3"/>
  <c r="AL309" i="3"/>
  <c r="D1131" i="3"/>
  <c r="AL62" i="3"/>
  <c r="AN179" i="3"/>
  <c r="AO179" i="3"/>
  <c r="AP179" i="3"/>
  <c r="Z248" i="3"/>
  <c r="H371" i="3"/>
  <c r="N366" i="3"/>
  <c r="N371" i="3" s="1"/>
  <c r="Z374" i="3"/>
  <c r="AB24" i="3"/>
  <c r="AA24" i="3"/>
  <c r="Z285" i="3"/>
  <c r="AB310" i="3"/>
  <c r="AA310" i="3"/>
  <c r="AB329" i="3"/>
  <c r="AA329" i="3"/>
  <c r="Y386" i="3"/>
  <c r="Z382" i="3"/>
  <c r="Z386" i="3"/>
  <c r="AO630" i="3"/>
  <c r="AP630" i="3" s="1"/>
  <c r="AI630" i="3"/>
  <c r="AQ630" i="3"/>
  <c r="AI178" i="3"/>
  <c r="X270" i="3"/>
  <c r="Y270" i="3"/>
  <c r="Z270" i="3" s="1"/>
  <c r="AA299" i="3"/>
  <c r="AB299" i="3"/>
  <c r="AB316" i="3"/>
  <c r="AB321" i="3" s="1"/>
  <c r="AA316" i="3"/>
  <c r="AA321" i="3" s="1"/>
  <c r="N321" i="3"/>
  <c r="Y330" i="3"/>
  <c r="X330" i="3"/>
  <c r="R336" i="3"/>
  <c r="AB368" i="3"/>
  <c r="AA368" i="3"/>
  <c r="X584" i="3"/>
  <c r="AA584" i="3" s="1"/>
  <c r="AB584" i="3" s="1"/>
  <c r="Y584" i="3"/>
  <c r="Z584" i="3"/>
  <c r="AN618" i="3"/>
  <c r="Z627" i="3"/>
  <c r="X354" i="3"/>
  <c r="AB348" i="3"/>
  <c r="AB354" i="3" s="1"/>
  <c r="AA348" i="3"/>
  <c r="AA354" i="3" s="1"/>
  <c r="Z680" i="3"/>
  <c r="Z685" i="3" s="1"/>
  <c r="Y685" i="3"/>
  <c r="Z237" i="3"/>
  <c r="AA256" i="3"/>
  <c r="N260" i="3"/>
  <c r="AB256" i="3"/>
  <c r="Z340" i="3"/>
  <c r="AA377" i="3"/>
  <c r="AB377" i="3"/>
  <c r="AI417" i="3"/>
  <c r="AO417" i="3"/>
  <c r="N572" i="3"/>
  <c r="H575" i="3"/>
  <c r="Z656" i="3"/>
  <c r="N694" i="3"/>
  <c r="X787" i="3"/>
  <c r="AA783" i="3"/>
  <c r="AA787" i="3"/>
  <c r="AO427" i="3"/>
  <c r="AP427" i="3" s="1"/>
  <c r="AI427" i="3"/>
  <c r="AQ427" i="3"/>
  <c r="H1137" i="3"/>
  <c r="AO796" i="3"/>
  <c r="AI796" i="3"/>
  <c r="AO802" i="3"/>
  <c r="AP802" i="3" s="1"/>
  <c r="AI802" i="3"/>
  <c r="J1136" i="3"/>
  <c r="AL1023" i="3"/>
  <c r="AL1026" i="3" s="1"/>
  <c r="AB145" i="3"/>
  <c r="N153" i="3"/>
  <c r="AG537" i="3"/>
  <c r="AP622" i="3"/>
  <c r="AQ622" i="3"/>
  <c r="AA729" i="3"/>
  <c r="AA734" i="3" s="1"/>
  <c r="N734" i="3"/>
  <c r="AB729" i="3"/>
  <c r="AI1098" i="3"/>
  <c r="AA663" i="3"/>
  <c r="AB663" i="3"/>
  <c r="N668" i="3"/>
  <c r="AO707" i="3"/>
  <c r="AI707" i="3"/>
  <c r="H1134" i="3"/>
  <c r="Z736" i="3"/>
  <c r="Z743" i="3"/>
  <c r="AA766" i="3"/>
  <c r="AB766" i="3"/>
  <c r="AA778" i="3"/>
  <c r="AB778" i="3"/>
  <c r="AD856" i="3"/>
  <c r="AO919" i="3"/>
  <c r="AI919" i="3"/>
  <c r="AO1100" i="3"/>
  <c r="AP1100" i="3" s="1"/>
  <c r="AI1100" i="3"/>
  <c r="AQ1100" i="3"/>
  <c r="AA280" i="3"/>
  <c r="AB280" i="3"/>
  <c r="AO533" i="3"/>
  <c r="AI533" i="3"/>
  <c r="Z602" i="3"/>
  <c r="Y608" i="3"/>
  <c r="AA612" i="3"/>
  <c r="AB612" i="3"/>
  <c r="AA776" i="3"/>
  <c r="AB776" i="3"/>
  <c r="AA793" i="3"/>
  <c r="AB793" i="3"/>
  <c r="N840" i="3"/>
  <c r="Y840" i="3"/>
  <c r="Z840" i="3"/>
  <c r="H844" i="3"/>
  <c r="AA877" i="3"/>
  <c r="N882" i="3"/>
  <c r="AB877" i="3"/>
  <c r="AA1085" i="3"/>
  <c r="AB1085" i="3"/>
  <c r="Z445" i="3"/>
  <c r="Z448" i="3" s="1"/>
  <c r="Y448" i="3"/>
  <c r="AA747" i="3"/>
  <c r="AB747" i="3"/>
  <c r="AQ917" i="3"/>
  <c r="D1154" i="3"/>
  <c r="AI924" i="3"/>
  <c r="I1159" i="3" s="1"/>
  <c r="AO924" i="3"/>
  <c r="AP924" i="3" s="1"/>
  <c r="H1159" i="3"/>
  <c r="Y1159" i="3" s="1"/>
  <c r="Z1159" i="3" s="1"/>
  <c r="Y997" i="3"/>
  <c r="Z991" i="3"/>
  <c r="Z997" i="3" s="1"/>
  <c r="AO1018" i="3"/>
  <c r="H1162" i="3"/>
  <c r="AO1022" i="3"/>
  <c r="AP1022" i="3" s="1"/>
  <c r="AI1022" i="3"/>
  <c r="AQ1022" i="3"/>
  <c r="Z1045" i="3"/>
  <c r="Z828" i="3"/>
  <c r="Z730" i="3"/>
  <c r="AB790" i="3"/>
  <c r="AA790" i="3"/>
  <c r="AI803" i="3"/>
  <c r="AQ803" i="3" s="1"/>
  <c r="AO803" i="3"/>
  <c r="AP803" i="3" s="1"/>
  <c r="Z1007" i="3"/>
  <c r="AP1017" i="3" s="1"/>
  <c r="N127" i="6"/>
  <c r="X153" i="1"/>
  <c r="Y153" i="1"/>
  <c r="R162" i="1"/>
  <c r="Z118" i="1"/>
  <c r="Y731" i="3"/>
  <c r="Z731" i="3" s="1"/>
  <c r="R734" i="3"/>
  <c r="X731" i="3"/>
  <c r="AI1053" i="3"/>
  <c r="AO1053" i="3"/>
  <c r="X31" i="6"/>
  <c r="AO61" i="1"/>
  <c r="AI61" i="1"/>
  <c r="N103" i="6"/>
  <c r="AA83" i="1"/>
  <c r="AA103" i="6" s="1"/>
  <c r="X169" i="6"/>
  <c r="Z174" i="1"/>
  <c r="Y208" i="1"/>
  <c r="X208" i="1"/>
  <c r="R216" i="1"/>
  <c r="N380" i="6"/>
  <c r="AB288" i="1"/>
  <c r="AB380" i="6" s="1"/>
  <c r="AA288" i="1"/>
  <c r="AA380" i="6" s="1"/>
  <c r="AO449" i="1"/>
  <c r="AP449" i="1" s="1"/>
  <c r="AI449" i="1"/>
  <c r="AQ449" i="1" s="1"/>
  <c r="X728" i="6"/>
  <c r="AO561" i="1"/>
  <c r="AP561" i="1" s="1"/>
  <c r="AI561" i="1"/>
  <c r="AQ561" i="1"/>
  <c r="AO568" i="1"/>
  <c r="AP568" i="1" s="1"/>
  <c r="AI568" i="1"/>
  <c r="X844" i="6"/>
  <c r="AB636" i="1"/>
  <c r="AB844" i="6" s="1"/>
  <c r="AA636" i="1"/>
  <c r="AA844" i="6" s="1"/>
  <c r="X860" i="6"/>
  <c r="AA647" i="1"/>
  <c r="AA860" i="6"/>
  <c r="X1000" i="6"/>
  <c r="AB760" i="1"/>
  <c r="AB1000" i="6" s="1"/>
  <c r="AA760" i="1"/>
  <c r="AA1000" i="6" s="1"/>
  <c r="Y780" i="1"/>
  <c r="Z775" i="1"/>
  <c r="Z780" i="1"/>
  <c r="X1049" i="6"/>
  <c r="AA795" i="1"/>
  <c r="AA1049" i="6" s="1"/>
  <c r="X808" i="1"/>
  <c r="R812" i="1"/>
  <c r="Y808" i="1"/>
  <c r="Z808" i="1"/>
  <c r="X830" i="1"/>
  <c r="R836" i="1"/>
  <c r="Y830" i="1"/>
  <c r="Y922" i="1"/>
  <c r="Z922" i="1" s="1"/>
  <c r="X922" i="1"/>
  <c r="X1203" i="6"/>
  <c r="Y939" i="1"/>
  <c r="Z939" i="1"/>
  <c r="X939" i="1"/>
  <c r="X1227" i="6"/>
  <c r="H996" i="1"/>
  <c r="N992" i="1"/>
  <c r="N996" i="1" s="1"/>
  <c r="H1109" i="1"/>
  <c r="N1104" i="1"/>
  <c r="AA562" i="3"/>
  <c r="AA566" i="3" s="1"/>
  <c r="N566" i="3"/>
  <c r="AB562" i="3"/>
  <c r="Z1000" i="3"/>
  <c r="Z1003" i="3" s="1"/>
  <c r="Y1003" i="3"/>
  <c r="Y85" i="6"/>
  <c r="Z64" i="1"/>
  <c r="Z85" i="6" s="1"/>
  <c r="N103" i="1"/>
  <c r="Y103" i="1"/>
  <c r="Z103" i="1"/>
  <c r="X293" i="6"/>
  <c r="X309" i="6"/>
  <c r="AA233" i="1"/>
  <c r="AA309" i="6"/>
  <c r="Z240" i="1"/>
  <c r="X440" i="6"/>
  <c r="AA327" i="1"/>
  <c r="AA440" i="6"/>
  <c r="D1182" i="1"/>
  <c r="AD754" i="1"/>
  <c r="X959" i="6"/>
  <c r="AA727" i="1"/>
  <c r="AA959" i="6" s="1"/>
  <c r="X1016" i="6"/>
  <c r="AB771" i="1"/>
  <c r="AB1016" i="6" s="1"/>
  <c r="AA771" i="1"/>
  <c r="AA1016" i="6" s="1"/>
  <c r="AG324" i="1"/>
  <c r="E1205" i="1"/>
  <c r="Z375" i="1"/>
  <c r="Z381" i="1" s="1"/>
  <c r="Y381" i="1"/>
  <c r="X548" i="6"/>
  <c r="X407" i="1"/>
  <c r="Y189" i="1"/>
  <c r="X189" i="1"/>
  <c r="N259" i="6"/>
  <c r="N200" i="1"/>
  <c r="Y219" i="1"/>
  <c r="X219" i="1"/>
  <c r="X346" i="6"/>
  <c r="X268" i="1"/>
  <c r="AA264" i="1"/>
  <c r="AB264" i="1"/>
  <c r="AL443" i="1"/>
  <c r="AB474" i="1"/>
  <c r="AA474" i="1"/>
  <c r="N703" i="6"/>
  <c r="AI575" i="1"/>
  <c r="AO575" i="1"/>
  <c r="AP575" i="1" s="1"/>
  <c r="H1195" i="1"/>
  <c r="Z840" i="1"/>
  <c r="N1174" i="6"/>
  <c r="X1210" i="6"/>
  <c r="X934" i="1"/>
  <c r="X1248" i="6"/>
  <c r="N1273" i="6"/>
  <c r="N1342" i="6"/>
  <c r="N1040" i="1"/>
  <c r="N1045" i="1" s="1"/>
  <c r="H1045" i="1"/>
  <c r="X1407" i="6"/>
  <c r="X1064" i="1"/>
  <c r="N1445" i="6"/>
  <c r="AA1093" i="1"/>
  <c r="AB1093" i="1"/>
  <c r="N1100" i="1"/>
  <c r="AD1154" i="1"/>
  <c r="Z886" i="3"/>
  <c r="Y891" i="3"/>
  <c r="Y15" i="6"/>
  <c r="Z15" i="6" s="1"/>
  <c r="Z17" i="1"/>
  <c r="Z19" i="1" s="1"/>
  <c r="Z110" i="1"/>
  <c r="N296" i="6"/>
  <c r="AA274" i="1"/>
  <c r="AA362" i="6" s="1"/>
  <c r="X362" i="6"/>
  <c r="X506" i="6"/>
  <c r="AA376" i="1"/>
  <c r="AA506" i="6" s="1"/>
  <c r="X531" i="6"/>
  <c r="X549" i="6"/>
  <c r="AA404" i="1"/>
  <c r="X637" i="6"/>
  <c r="AA480" i="1"/>
  <c r="AA637" i="6" s="1"/>
  <c r="AN564" i="1"/>
  <c r="AQ564" i="1" s="1"/>
  <c r="AO564" i="1"/>
  <c r="AP564" i="1" s="1"/>
  <c r="X533" i="1"/>
  <c r="Y533" i="1"/>
  <c r="X1054" i="6"/>
  <c r="X804" i="1"/>
  <c r="X505" i="1"/>
  <c r="X508" i="1" s="1"/>
  <c r="Y505" i="1"/>
  <c r="Z505" i="1" s="1"/>
  <c r="Z759" i="1"/>
  <c r="AA1035" i="3"/>
  <c r="AB1035" i="3"/>
  <c r="Z871" i="1"/>
  <c r="AO195" i="1"/>
  <c r="AP195" i="1"/>
  <c r="AI195" i="1"/>
  <c r="AQ195" i="1"/>
  <c r="N282" i="6"/>
  <c r="AQ337" i="1"/>
  <c r="N377" i="6"/>
  <c r="AA285" i="1"/>
  <c r="AA377" i="6" s="1"/>
  <c r="AB285" i="1"/>
  <c r="AB377" i="6" s="1"/>
  <c r="AN332" i="1"/>
  <c r="R1186" i="1"/>
  <c r="X1186" i="1" s="1"/>
  <c r="X663" i="6"/>
  <c r="X676" i="6"/>
  <c r="N751" i="6"/>
  <c r="N573" i="1"/>
  <c r="X767" i="6"/>
  <c r="AB583" i="1"/>
  <c r="AB767" i="6" s="1"/>
  <c r="AA583" i="1"/>
  <c r="AA767" i="6" s="1"/>
  <c r="N903" i="6"/>
  <c r="AA680" i="1"/>
  <c r="N686" i="1"/>
  <c r="AB680" i="1"/>
  <c r="X960" i="6"/>
  <c r="AA728" i="1"/>
  <c r="AA960" i="6"/>
  <c r="N1022" i="6"/>
  <c r="AB775" i="1"/>
  <c r="N780" i="1"/>
  <c r="AA775" i="1"/>
  <c r="AA1022" i="6" s="1"/>
  <c r="X1061" i="6"/>
  <c r="Y883" i="1"/>
  <c r="H887" i="1"/>
  <c r="N883" i="1"/>
  <c r="N887" i="1" s="1"/>
  <c r="Z911" i="1"/>
  <c r="Y915" i="1"/>
  <c r="X1236" i="6"/>
  <c r="AA948" i="1"/>
  <c r="AA1236" i="6" s="1"/>
  <c r="AI967" i="1"/>
  <c r="N1181" i="1" s="1"/>
  <c r="AO967" i="1"/>
  <c r="AP967" i="1" s="1"/>
  <c r="H1181" i="1"/>
  <c r="Y1181" i="1" s="1"/>
  <c r="Z1181" i="1" s="1"/>
  <c r="X1354" i="6"/>
  <c r="AA1017" i="1"/>
  <c r="N1397" i="6"/>
  <c r="AB1055" i="1"/>
  <c r="AB1397" i="6" s="1"/>
  <c r="AA1055" i="1"/>
  <c r="AA1397" i="6" s="1"/>
  <c r="X1514" i="6"/>
  <c r="AA1148" i="1"/>
  <c r="AA1514" i="6" s="1"/>
  <c r="X198" i="6"/>
  <c r="AB145" i="1"/>
  <c r="AB189" i="6" s="1"/>
  <c r="AI439" i="1"/>
  <c r="AO439" i="1"/>
  <c r="AB819" i="6"/>
  <c r="AB238" i="6"/>
  <c r="AN199" i="1"/>
  <c r="N646" i="6"/>
  <c r="AA485" i="1"/>
  <c r="AA646" i="6" s="1"/>
  <c r="AB485" i="1"/>
  <c r="AB646" i="6" s="1"/>
  <c r="X726" i="6"/>
  <c r="AB552" i="1"/>
  <c r="AB726" i="6" s="1"/>
  <c r="AA552" i="1"/>
  <c r="AA726" i="6" s="1"/>
  <c r="X934" i="6"/>
  <c r="AB706" i="1"/>
  <c r="AA706" i="1"/>
  <c r="N952" i="6"/>
  <c r="N1014" i="6"/>
  <c r="V1560" i="6"/>
  <c r="X1190" i="1"/>
  <c r="X1560" i="6" s="1"/>
  <c r="AL959" i="1"/>
  <c r="AI1016" i="1"/>
  <c r="Z1069" i="1"/>
  <c r="X1471" i="6"/>
  <c r="X1124" i="1"/>
  <c r="AN1145" i="1"/>
  <c r="AO1145" i="1"/>
  <c r="AP1145" i="1" s="1"/>
  <c r="Z82" i="1"/>
  <c r="Z89" i="1" s="1"/>
  <c r="Y89" i="1"/>
  <c r="X123" i="6"/>
  <c r="X252" i="6"/>
  <c r="AB188" i="1"/>
  <c r="AB252" i="6" s="1"/>
  <c r="X319" i="6"/>
  <c r="AA241" i="1"/>
  <c r="AA319" i="6" s="1"/>
  <c r="AB594" i="1"/>
  <c r="AB788" i="6" s="1"/>
  <c r="X788" i="6"/>
  <c r="AA594" i="1"/>
  <c r="AA788" i="6" s="1"/>
  <c r="X1381" i="6"/>
  <c r="AA1041" i="1"/>
  <c r="AA1381" i="6" s="1"/>
  <c r="AN1102" i="1"/>
  <c r="N370" i="6"/>
  <c r="AA281" i="1"/>
  <c r="AA370" i="6" s="1"/>
  <c r="AB281" i="1"/>
  <c r="AB370" i="6"/>
  <c r="N626" i="6"/>
  <c r="AA461" i="1"/>
  <c r="AA626" i="6"/>
  <c r="AB461" i="1"/>
  <c r="AB626" i="6" s="1"/>
  <c r="X1242" i="6"/>
  <c r="AA951" i="1"/>
  <c r="AA1242" i="6" s="1"/>
  <c r="AN115" i="1"/>
  <c r="AO115" i="1"/>
  <c r="AP115" i="1" s="1"/>
  <c r="Z313" i="1"/>
  <c r="X513" i="6"/>
  <c r="AA378" i="1"/>
  <c r="AA513" i="6" s="1"/>
  <c r="Z434" i="1"/>
  <c r="AB1035" i="6"/>
  <c r="N1308" i="6"/>
  <c r="AB984" i="1"/>
  <c r="AB1308" i="6" s="1"/>
  <c r="AA984" i="1"/>
  <c r="AA1308" i="6" s="1"/>
  <c r="N1329" i="6"/>
  <c r="AB1000" i="1"/>
  <c r="AB1329" i="6" s="1"/>
  <c r="AA1000" i="1"/>
  <c r="AA1329" i="6" s="1"/>
  <c r="N837" i="6"/>
  <c r="Z947" i="1"/>
  <c r="AB307" i="1"/>
  <c r="AB414" i="6" s="1"/>
  <c r="AH1074" i="1"/>
  <c r="AB1087" i="1"/>
  <c r="AB1439" i="6" s="1"/>
  <c r="AB44" i="3"/>
  <c r="D69" i="3"/>
  <c r="H1062" i="3"/>
  <c r="H1222" i="3" s="1"/>
  <c r="AB232" i="1"/>
  <c r="AB308" i="6" s="1"/>
  <c r="AB658" i="1"/>
  <c r="AB875" i="6" s="1"/>
  <c r="Z790" i="1"/>
  <c r="H1036" i="1"/>
  <c r="X891" i="3"/>
  <c r="Y501" i="1"/>
  <c r="AB502" i="1"/>
  <c r="AB664" i="6" s="1"/>
  <c r="AB1048" i="1"/>
  <c r="X821" i="1"/>
  <c r="AA14" i="1"/>
  <c r="AA12" i="6" s="1"/>
  <c r="AI1073" i="1"/>
  <c r="AA1087" i="1"/>
  <c r="AA1439" i="6" s="1"/>
  <c r="AQ66" i="3"/>
  <c r="H117" i="3"/>
  <c r="H119" i="3" s="1"/>
  <c r="H1198" i="3" s="1"/>
  <c r="Y37" i="3"/>
  <c r="AJ69" i="3"/>
  <c r="AA285" i="3"/>
  <c r="AO181" i="3"/>
  <c r="AP181" i="3" s="1"/>
  <c r="AO187" i="3"/>
  <c r="AP187" i="3" s="1"/>
  <c r="AQ317" i="3"/>
  <c r="AB602" i="3"/>
  <c r="AM306" i="3"/>
  <c r="AN306" i="3" s="1"/>
  <c r="AO536" i="3"/>
  <c r="AP536" i="3" s="1"/>
  <c r="AB683" i="3"/>
  <c r="R93" i="3"/>
  <c r="AB264" i="3"/>
  <c r="AA592" i="3"/>
  <c r="AB755" i="3"/>
  <c r="AJ323" i="3"/>
  <c r="AB849" i="3"/>
  <c r="AB853" i="3"/>
  <c r="Z29" i="3"/>
  <c r="Z37" i="3" s="1"/>
  <c r="AM305" i="3"/>
  <c r="AN305" i="3" s="1"/>
  <c r="AB518" i="3"/>
  <c r="N600" i="3"/>
  <c r="AQ187" i="3"/>
  <c r="H549" i="3"/>
  <c r="H1206" i="3" s="1"/>
  <c r="AA897" i="3"/>
  <c r="AA993" i="3"/>
  <c r="H856" i="3"/>
  <c r="H1214" i="3"/>
  <c r="AB970" i="3"/>
  <c r="AQ1059" i="3"/>
  <c r="AB800" i="3"/>
  <c r="AB930" i="3"/>
  <c r="AQ543" i="3"/>
  <c r="H1027" i="3"/>
  <c r="H1220" i="3" s="1"/>
  <c r="Y1135" i="3"/>
  <c r="Z1135" i="3" s="1"/>
  <c r="AA569" i="3"/>
  <c r="Y923" i="3"/>
  <c r="Z221" i="1"/>
  <c r="Z294" i="6" s="1"/>
  <c r="AB15" i="1"/>
  <c r="AB13" i="6"/>
  <c r="AA30" i="1"/>
  <c r="AB314" i="1"/>
  <c r="AB422" i="6" s="1"/>
  <c r="AB654" i="1"/>
  <c r="AB869" i="6"/>
  <c r="Y489" i="3"/>
  <c r="AB517" i="1"/>
  <c r="AB682" i="6" s="1"/>
  <c r="AB627" i="1"/>
  <c r="AB835" i="6" s="1"/>
  <c r="N738" i="1"/>
  <c r="AB1084" i="1"/>
  <c r="AB1432" i="6" s="1"/>
  <c r="AB87" i="1"/>
  <c r="AB107" i="6" s="1"/>
  <c r="AA17" i="1"/>
  <c r="AA15" i="6" s="1"/>
  <c r="AD75" i="1"/>
  <c r="AA252" i="1"/>
  <c r="AA333" i="6" s="1"/>
  <c r="AB885" i="1"/>
  <c r="AB1154" i="6" s="1"/>
  <c r="AB1145" i="1"/>
  <c r="AB1506" i="6" s="1"/>
  <c r="AB325" i="1"/>
  <c r="AB438" i="6" s="1"/>
  <c r="AA778" i="1"/>
  <c r="AA1028" i="6" s="1"/>
  <c r="D899" i="1"/>
  <c r="D1263" i="1" s="1"/>
  <c r="AB947" i="1"/>
  <c r="AB1235" i="6" s="1"/>
  <c r="AB246" i="1"/>
  <c r="AB327" i="6" s="1"/>
  <c r="AB894" i="1"/>
  <c r="AB1163" i="6" s="1"/>
  <c r="N192" i="1"/>
  <c r="AD1112" i="1"/>
  <c r="Y314" i="1"/>
  <c r="Z314" i="1" s="1"/>
  <c r="AA396" i="1"/>
  <c r="AA537" i="6" s="1"/>
  <c r="AB776" i="1"/>
  <c r="AB1026" i="6" s="1"/>
  <c r="AB923" i="1"/>
  <c r="AB1204" i="6" s="1"/>
  <c r="AA1013" i="1"/>
  <c r="AA1349" i="6" s="1"/>
  <c r="AB1146" i="1"/>
  <c r="AB1508" i="6" s="1"/>
  <c r="AB169" i="1"/>
  <c r="AB233" i="6" s="1"/>
  <c r="N237" i="1"/>
  <c r="Y1186" i="1"/>
  <c r="Z1186" i="1" s="1"/>
  <c r="AA652" i="1"/>
  <c r="AA867" i="6" s="1"/>
  <c r="N695" i="1"/>
  <c r="AB840" i="1"/>
  <c r="Y1032" i="1"/>
  <c r="Y1084" i="1"/>
  <c r="Z1084" i="1" s="1"/>
  <c r="Z1117" i="1"/>
  <c r="AB210" i="1"/>
  <c r="AB276" i="6" s="1"/>
  <c r="AB884" i="1"/>
  <c r="AB1153" i="6" s="1"/>
  <c r="AA1034" i="1"/>
  <c r="AA1374" i="6" s="1"/>
  <c r="N171" i="1"/>
  <c r="AA759" i="1"/>
  <c r="AB1103" i="1"/>
  <c r="R183" i="1"/>
  <c r="AB892" i="1"/>
  <c r="AB1161" i="6" s="1"/>
  <c r="AA957" i="1"/>
  <c r="AA1248" i="6" s="1"/>
  <c r="Y1040" i="1"/>
  <c r="Z1040" i="1" s="1"/>
  <c r="Z1045" i="1" s="1"/>
  <c r="AB306" i="1"/>
  <c r="AB413" i="6" s="1"/>
  <c r="AA584" i="1"/>
  <c r="AA770" i="6" s="1"/>
  <c r="AA800" i="1"/>
  <c r="AA1055" i="6" s="1"/>
  <c r="N943" i="1"/>
  <c r="AB1033" i="1"/>
  <c r="AB1373" i="6" s="1"/>
  <c r="AB1085" i="1"/>
  <c r="AB1433" i="6" s="1"/>
  <c r="AO1102" i="1"/>
  <c r="AP1102" i="1" s="1"/>
  <c r="AB1128" i="1"/>
  <c r="AB1485" i="6" s="1"/>
  <c r="Z1135" i="1"/>
  <c r="Z489" i="3"/>
  <c r="AB1390" i="6"/>
  <c r="Z883" i="1"/>
  <c r="AB992" i="1"/>
  <c r="AB1318" i="6" s="1"/>
  <c r="AA731" i="3"/>
  <c r="AB731" i="3"/>
  <c r="X734" i="3"/>
  <c r="AQ417" i="3"/>
  <c r="AA270" i="3"/>
  <c r="AB270" i="3"/>
  <c r="AN62" i="3"/>
  <c r="AQ62" i="3" s="1"/>
  <c r="AO62" i="3"/>
  <c r="AP62" i="3" s="1"/>
  <c r="AB894" i="6"/>
  <c r="AB677" i="1"/>
  <c r="AA830" i="6"/>
  <c r="AB478" i="6"/>
  <c r="N376" i="6"/>
  <c r="AA284" i="1"/>
  <c r="AA376" i="6" s="1"/>
  <c r="AB284" i="1"/>
  <c r="AB376" i="6"/>
  <c r="AA505" i="6"/>
  <c r="AB1396" i="6"/>
  <c r="AB1057" i="1"/>
  <c r="I1188" i="1"/>
  <c r="I1558" i="6" s="1"/>
  <c r="N1188" i="1"/>
  <c r="N1556" i="6"/>
  <c r="AB461" i="6"/>
  <c r="X407" i="6"/>
  <c r="AA302" i="1"/>
  <c r="AA407" i="6" s="1"/>
  <c r="AB302" i="1"/>
  <c r="X696" i="6"/>
  <c r="AB527" i="1"/>
  <c r="AA527" i="1"/>
  <c r="AA696" i="6" s="1"/>
  <c r="AB1369" i="6"/>
  <c r="Z963" i="1"/>
  <c r="Z195" i="3"/>
  <c r="Z715" i="1"/>
  <c r="AA602" i="6"/>
  <c r="X244" i="6"/>
  <c r="AB1298" i="6"/>
  <c r="X1008" i="6"/>
  <c r="AA763" i="1"/>
  <c r="AA1008" i="6"/>
  <c r="AB763" i="1"/>
  <c r="AB1008" i="6" s="1"/>
  <c r="AB965" i="6"/>
  <c r="AB738" i="1"/>
  <c r="D1196" i="3"/>
  <c r="Z533" i="1"/>
  <c r="AQ575" i="1"/>
  <c r="X292" i="6"/>
  <c r="AA219" i="1"/>
  <c r="AB219" i="1"/>
  <c r="N124" i="6"/>
  <c r="AA103" i="1"/>
  <c r="AA124" i="6" s="1"/>
  <c r="AB103" i="1"/>
  <c r="AB124" i="6" s="1"/>
  <c r="AP61" i="1"/>
  <c r="AA840" i="3"/>
  <c r="AA844" i="3"/>
  <c r="AB840" i="3"/>
  <c r="AB844" i="3" s="1"/>
  <c r="N844" i="3"/>
  <c r="N1134" i="3"/>
  <c r="AB1134" i="3" s="1"/>
  <c r="AQ707" i="3"/>
  <c r="AI419" i="3"/>
  <c r="AO419" i="3"/>
  <c r="AP419" i="3"/>
  <c r="AI837" i="1"/>
  <c r="AA1137" i="6"/>
  <c r="AA877" i="1"/>
  <c r="AQ330" i="1"/>
  <c r="AA866" i="6"/>
  <c r="AI326" i="1"/>
  <c r="AO326" i="1"/>
  <c r="AP326" i="1" s="1"/>
  <c r="AA132" i="6"/>
  <c r="AI114" i="1"/>
  <c r="AO114" i="1"/>
  <c r="N234" i="3"/>
  <c r="AB226" i="3"/>
  <c r="AA226" i="3"/>
  <c r="X1190" i="6"/>
  <c r="AB912" i="1"/>
  <c r="AA912" i="1"/>
  <c r="AA1190" i="6" s="1"/>
  <c r="AI328" i="1"/>
  <c r="AO328" i="1"/>
  <c r="X695" i="1"/>
  <c r="X914" i="6"/>
  <c r="AA689" i="1"/>
  <c r="AB689" i="1"/>
  <c r="L1160" i="3"/>
  <c r="AI114" i="3"/>
  <c r="N1270" i="6"/>
  <c r="AA964" i="1"/>
  <c r="AA1270" i="6"/>
  <c r="AB964" i="1"/>
  <c r="AB1270" i="6" s="1"/>
  <c r="N967" i="1"/>
  <c r="AA1298" i="6"/>
  <c r="N1431" i="6"/>
  <c r="AA1083" i="1"/>
  <c r="AB1083" i="1"/>
  <c r="N1090" i="1"/>
  <c r="N1112" i="1" s="1"/>
  <c r="N1271" i="1" s="1"/>
  <c r="AO744" i="1"/>
  <c r="AP744" i="1" s="1"/>
  <c r="H1182" i="1"/>
  <c r="AI744" i="1"/>
  <c r="X484" i="6"/>
  <c r="AA360" i="1"/>
  <c r="AA484" i="6" s="1"/>
  <c r="AB360" i="1"/>
  <c r="AB484" i="6" s="1"/>
  <c r="AA1402" i="6"/>
  <c r="AA924" i="6"/>
  <c r="AN916" i="3"/>
  <c r="AQ916" i="3" s="1"/>
  <c r="AO916" i="3"/>
  <c r="AP916" i="3" s="1"/>
  <c r="AB302" i="6"/>
  <c r="AB237" i="1"/>
  <c r="N1117" i="6"/>
  <c r="AA855" i="1"/>
  <c r="AA1117" i="6" s="1"/>
  <c r="AB855" i="1"/>
  <c r="AA571" i="3"/>
  <c r="AB571" i="3"/>
  <c r="Z1032" i="1"/>
  <c r="Z1036" i="1" s="1"/>
  <c r="Y1036" i="1"/>
  <c r="AA31" i="6"/>
  <c r="J1134" i="3"/>
  <c r="Z501" i="1"/>
  <c r="AA934" i="6"/>
  <c r="AQ439" i="1"/>
  <c r="AA1354" i="6"/>
  <c r="AB883" i="1"/>
  <c r="AB1150" i="6" s="1"/>
  <c r="AA1445" i="6"/>
  <c r="AN443" i="1"/>
  <c r="AO443" i="1"/>
  <c r="Z189" i="1"/>
  <c r="AI324" i="1"/>
  <c r="AO324" i="1"/>
  <c r="AP324" i="1" s="1"/>
  <c r="N1456" i="6"/>
  <c r="AA1104" i="1"/>
  <c r="AB1104" i="1"/>
  <c r="AB1456" i="6" s="1"/>
  <c r="N1109" i="1"/>
  <c r="X1090" i="6"/>
  <c r="AP1053" i="3"/>
  <c r="X206" i="6"/>
  <c r="AB153" i="1"/>
  <c r="AP417" i="3"/>
  <c r="AN309" i="3"/>
  <c r="AQ180" i="3"/>
  <c r="AA1235" i="6"/>
  <c r="X718" i="6"/>
  <c r="AA546" i="1"/>
  <c r="AA718" i="6" s="1"/>
  <c r="AB546" i="1"/>
  <c r="AB718" i="6" s="1"/>
  <c r="AA1390" i="6"/>
  <c r="AA1051" i="1"/>
  <c r="AN67" i="1"/>
  <c r="AN1097" i="3"/>
  <c r="AO1097" i="3"/>
  <c r="AP1097" i="3" s="1"/>
  <c r="AA469" i="3"/>
  <c r="X475" i="3"/>
  <c r="AB469" i="3"/>
  <c r="AP742" i="1"/>
  <c r="AB733" i="6"/>
  <c r="Z302" i="1"/>
  <c r="Z467" i="1"/>
  <c r="Z470" i="1"/>
  <c r="Y470" i="1"/>
  <c r="X464" i="6"/>
  <c r="AB348" i="1"/>
  <c r="AB464" i="6" s="1"/>
  <c r="AA348" i="1"/>
  <c r="AA464" i="6" s="1"/>
  <c r="X505" i="3"/>
  <c r="AB499" i="3"/>
  <c r="AA499" i="3"/>
  <c r="Y89" i="6"/>
  <c r="Z68" i="1"/>
  <c r="Z89" i="6" s="1"/>
  <c r="AA610" i="6"/>
  <c r="AA452" i="1"/>
  <c r="AI1144" i="1"/>
  <c r="AN1020" i="1"/>
  <c r="X1267" i="6"/>
  <c r="AB963" i="1"/>
  <c r="AA963" i="1"/>
  <c r="N215" i="6"/>
  <c r="AB158" i="1"/>
  <c r="AB215" i="6" s="1"/>
  <c r="N162" i="1"/>
  <c r="AN624" i="3"/>
  <c r="AA537" i="3"/>
  <c r="AB537" i="3"/>
  <c r="I1145" i="3"/>
  <c r="AN111" i="3"/>
  <c r="AO111" i="3"/>
  <c r="AP111" i="3" s="1"/>
  <c r="X202" i="3"/>
  <c r="AA195" i="3"/>
  <c r="AA202" i="3"/>
  <c r="AB195" i="3"/>
  <c r="AB202" i="3" s="1"/>
  <c r="X1160" i="3"/>
  <c r="Y1160" i="3"/>
  <c r="Z1160" i="3" s="1"/>
  <c r="AB1379" i="6"/>
  <c r="Z825" i="1"/>
  <c r="X1325" i="6"/>
  <c r="X1002" i="1"/>
  <c r="AB998" i="1"/>
  <c r="AB1002" i="1" s="1"/>
  <c r="AA998" i="1"/>
  <c r="AN118" i="1"/>
  <c r="AN799" i="3"/>
  <c r="AN63" i="1"/>
  <c r="AO63" i="1"/>
  <c r="AP63" i="1" s="1"/>
  <c r="X1143" i="3"/>
  <c r="AB1143" i="3" s="1"/>
  <c r="Y1143" i="3"/>
  <c r="Z1143" i="3" s="1"/>
  <c r="AH116" i="3"/>
  <c r="L1198" i="3"/>
  <c r="AN1107" i="1"/>
  <c r="AO1107" i="1"/>
  <c r="AP1107" i="1" s="1"/>
  <c r="N175" i="6"/>
  <c r="AB135" i="1"/>
  <c r="AB175" i="6" s="1"/>
  <c r="N140" i="1"/>
  <c r="AB1402" i="6"/>
  <c r="Z513" i="1"/>
  <c r="AB318" i="6"/>
  <c r="AA123" i="6"/>
  <c r="X117" i="6"/>
  <c r="AA96" i="1"/>
  <c r="AA117" i="6" s="1"/>
  <c r="AB96" i="1"/>
  <c r="AA241" i="3"/>
  <c r="AB241" i="3"/>
  <c r="X1385" i="6"/>
  <c r="AA1043" i="1"/>
  <c r="AA1385" i="6" s="1"/>
  <c r="AB1043" i="1"/>
  <c r="AB1385" i="6" s="1"/>
  <c r="X1045" i="1"/>
  <c r="V1205" i="1"/>
  <c r="V1578" i="6" s="1"/>
  <c r="AQ967" i="3"/>
  <c r="AB146" i="6"/>
  <c r="AQ109" i="3"/>
  <c r="AB734" i="3"/>
  <c r="Y1045" i="1"/>
  <c r="AQ626" i="3"/>
  <c r="AB934" i="3"/>
  <c r="Y1162" i="3"/>
  <c r="Z1162" i="3" s="1"/>
  <c r="Y1134" i="3"/>
  <c r="Z1134" i="3" s="1"/>
  <c r="AB1003" i="3"/>
  <c r="Y117" i="3"/>
  <c r="AA301" i="3"/>
  <c r="AB922" i="1"/>
  <c r="AB1203" i="6" s="1"/>
  <c r="AQ332" i="1"/>
  <c r="Y844" i="3"/>
  <c r="AA939" i="1"/>
  <c r="AA1227" i="6" s="1"/>
  <c r="AQ851" i="3"/>
  <c r="I1140" i="3"/>
  <c r="Y1199" i="1"/>
  <c r="Z1199" i="1" s="1"/>
  <c r="AB1455" i="6"/>
  <c r="X669" i="6"/>
  <c r="AB505" i="1"/>
  <c r="AB669" i="6" s="1"/>
  <c r="AA505" i="1"/>
  <c r="AA669" i="6" s="1"/>
  <c r="AA346" i="6"/>
  <c r="Z830" i="1"/>
  <c r="Z208" i="1"/>
  <c r="AP707" i="3"/>
  <c r="AN1023" i="3"/>
  <c r="AQ1023" i="3" s="1"/>
  <c r="AO1023" i="3"/>
  <c r="AP1023" i="3" s="1"/>
  <c r="AA330" i="3"/>
  <c r="AB330" i="3"/>
  <c r="AB336" i="3" s="1"/>
  <c r="X336" i="3"/>
  <c r="AI956" i="1"/>
  <c r="AO956" i="1"/>
  <c r="X1093" i="6"/>
  <c r="AA833" i="1"/>
  <c r="AA1093" i="6" s="1"/>
  <c r="AB833" i="1"/>
  <c r="AB1093" i="6" s="1"/>
  <c r="N1564" i="6"/>
  <c r="AB843" i="6"/>
  <c r="X807" i="6"/>
  <c r="AB608" i="1"/>
  <c r="AB807" i="6" s="1"/>
  <c r="AA608" i="1"/>
  <c r="AA807" i="6" s="1"/>
  <c r="I1138" i="3"/>
  <c r="N1138" i="3"/>
  <c r="AA733" i="6"/>
  <c r="AB1137" i="6"/>
  <c r="AB877" i="1"/>
  <c r="AB881" i="6"/>
  <c r="AA1184" i="6"/>
  <c r="N323" i="6"/>
  <c r="AA242" i="1"/>
  <c r="AA323" i="6" s="1"/>
  <c r="AB242" i="1"/>
  <c r="AB323" i="6"/>
  <c r="AA1506" i="6"/>
  <c r="Z726" i="1"/>
  <c r="Y730" i="1"/>
  <c r="X1321" i="6"/>
  <c r="AA994" i="1"/>
  <c r="AA1321" i="6" s="1"/>
  <c r="AB994" i="1"/>
  <c r="AB1321" i="6" s="1"/>
  <c r="L1209" i="1"/>
  <c r="L1582" i="6" s="1"/>
  <c r="X260" i="3"/>
  <c r="AB255" i="3"/>
  <c r="AA255" i="3"/>
  <c r="AA260" i="3" s="1"/>
  <c r="AA1282" i="6"/>
  <c r="AA978" i="1"/>
  <c r="AA1043" i="6"/>
  <c r="Z998" i="1"/>
  <c r="X657" i="6"/>
  <c r="AA495" i="1"/>
  <c r="AA657" i="6" s="1"/>
  <c r="AB495" i="1"/>
  <c r="AB657" i="6" s="1"/>
  <c r="X1157" i="3"/>
  <c r="AB1157" i="3" s="1"/>
  <c r="Y1157" i="3"/>
  <c r="Z1157" i="3" s="1"/>
  <c r="Z1083" i="1"/>
  <c r="X636" i="6"/>
  <c r="AA479" i="1"/>
  <c r="AB479" i="1"/>
  <c r="AB924" i="6"/>
  <c r="AQ1053" i="3"/>
  <c r="I1161" i="3"/>
  <c r="N1161" i="3"/>
  <c r="N676" i="6"/>
  <c r="AB513" i="1"/>
  <c r="AA513" i="1"/>
  <c r="AB123" i="6"/>
  <c r="AA1120" i="1"/>
  <c r="N1475" i="6"/>
  <c r="AB1120" i="1"/>
  <c r="AB1475" i="6" s="1"/>
  <c r="AI890" i="1"/>
  <c r="AO890" i="1"/>
  <c r="X750" i="6"/>
  <c r="AA568" i="1"/>
  <c r="AB568" i="1"/>
  <c r="AA999" i="6"/>
  <c r="AB1100" i="6"/>
  <c r="AM323" i="3"/>
  <c r="V1144" i="3"/>
  <c r="X1144" i="3" s="1"/>
  <c r="AB934" i="6"/>
  <c r="AA903" i="6"/>
  <c r="AB1040" i="1"/>
  <c r="AB1380" i="6" s="1"/>
  <c r="AB346" i="6"/>
  <c r="X272" i="6"/>
  <c r="AP796" i="3"/>
  <c r="AA677" i="1"/>
  <c r="AA894" i="6"/>
  <c r="N663" i="6"/>
  <c r="AA501" i="1"/>
  <c r="N508" i="1"/>
  <c r="AB501" i="1"/>
  <c r="AB663" i="6" s="1"/>
  <c r="AA90" i="3"/>
  <c r="AB90" i="3"/>
  <c r="AB93" i="3" s="1"/>
  <c r="AB1054" i="6"/>
  <c r="AB20" i="6"/>
  <c r="AA1100" i="6"/>
  <c r="AA1396" i="6"/>
  <c r="AA1399" i="6" s="1"/>
  <c r="AA881" i="6"/>
  <c r="AA794" i="6"/>
  <c r="AA461" i="6"/>
  <c r="AA878" i="3"/>
  <c r="AB878" i="3"/>
  <c r="AA1369" i="6"/>
  <c r="X1120" i="6"/>
  <c r="AA857" i="1"/>
  <c r="AA1120" i="6" s="1"/>
  <c r="AB857" i="1"/>
  <c r="AB1120" i="6" s="1"/>
  <c r="X958" i="6"/>
  <c r="X730" i="1"/>
  <c r="X379" i="6"/>
  <c r="AA287" i="1"/>
  <c r="AA379" i="6" s="1"/>
  <c r="AB287" i="1"/>
  <c r="AB379" i="6" s="1"/>
  <c r="X514" i="6"/>
  <c r="AB379" i="1"/>
  <c r="AA379" i="1"/>
  <c r="AA514" i="6" s="1"/>
  <c r="AH124" i="1"/>
  <c r="L1247" i="1"/>
  <c r="X59" i="6"/>
  <c r="AA50" i="1"/>
  <c r="AB50" i="1"/>
  <c r="AQ913" i="3"/>
  <c r="AB1043" i="6"/>
  <c r="X945" i="6"/>
  <c r="AA715" i="1"/>
  <c r="AA945" i="6" s="1"/>
  <c r="AB715" i="1"/>
  <c r="X1461" i="6"/>
  <c r="AA1107" i="1"/>
  <c r="AA1461" i="6"/>
  <c r="AB1107" i="1"/>
  <c r="AB1461" i="6"/>
  <c r="AB602" i="6"/>
  <c r="AB489" i="3"/>
  <c r="AA489" i="3"/>
  <c r="Y1144" i="3"/>
  <c r="Z1144" i="3" s="1"/>
  <c r="N1144" i="3"/>
  <c r="AN58" i="3"/>
  <c r="AQ58" i="3" s="1"/>
  <c r="R1145" i="3"/>
  <c r="Y1145" i="3" s="1"/>
  <c r="Z1145" i="3" s="1"/>
  <c r="AA102" i="6"/>
  <c r="AA89" i="1"/>
  <c r="AA1173" i="6"/>
  <c r="AA318" i="6"/>
  <c r="AA738" i="1"/>
  <c r="AA965" i="6"/>
  <c r="X1146" i="3"/>
  <c r="AQ1102" i="1"/>
  <c r="AN959" i="1"/>
  <c r="AP439" i="1"/>
  <c r="AB1022" i="6"/>
  <c r="AB780" i="1"/>
  <c r="AB903" i="6"/>
  <c r="X702" i="6"/>
  <c r="AA533" i="1"/>
  <c r="AB533" i="1"/>
  <c r="AB702" i="6" s="1"/>
  <c r="AB1445" i="6"/>
  <c r="Z219" i="1"/>
  <c r="X253" i="6"/>
  <c r="AB189" i="1"/>
  <c r="AB253" i="6" s="1"/>
  <c r="X1064" i="6"/>
  <c r="AA808" i="1"/>
  <c r="AA1064" i="6" s="1"/>
  <c r="AB808" i="1"/>
  <c r="AB1064" i="6" s="1"/>
  <c r="AQ61" i="1"/>
  <c r="Z153" i="1"/>
  <c r="AO537" i="3"/>
  <c r="AP537" i="3"/>
  <c r="AI537" i="3"/>
  <c r="AQ796" i="3"/>
  <c r="AA572" i="3"/>
  <c r="N575" i="3"/>
  <c r="AB572" i="3"/>
  <c r="AQ316" i="3"/>
  <c r="AA356" i="6"/>
  <c r="Z546" i="1"/>
  <c r="AA478" i="6"/>
  <c r="X917" i="6"/>
  <c r="AB691" i="1"/>
  <c r="AB917" i="6" s="1"/>
  <c r="AA691" i="1"/>
  <c r="AA917" i="6" s="1"/>
  <c r="Z469" i="3"/>
  <c r="AA768" i="3"/>
  <c r="AB768" i="3"/>
  <c r="AA1054" i="6"/>
  <c r="AA804" i="1"/>
  <c r="N1559" i="6"/>
  <c r="AQ742" i="1"/>
  <c r="X1202" i="6"/>
  <c r="AB921" i="1"/>
  <c r="AA921" i="1"/>
  <c r="X470" i="1"/>
  <c r="AB467" i="1"/>
  <c r="AB470" i="1" s="1"/>
  <c r="AA467" i="1"/>
  <c r="AA470" i="1" s="1"/>
  <c r="Z499" i="3"/>
  <c r="AB132" i="6"/>
  <c r="X89" i="6"/>
  <c r="AA68" i="1"/>
  <c r="AA89" i="6" s="1"/>
  <c r="AB68" i="1"/>
  <c r="AB89" i="6" s="1"/>
  <c r="X1218" i="6"/>
  <c r="AA937" i="1"/>
  <c r="AA1218" i="6" s="1"/>
  <c r="AB937" i="1"/>
  <c r="X243" i="6"/>
  <c r="AB179" i="1"/>
  <c r="AB243" i="6" s="1"/>
  <c r="AI117" i="1"/>
  <c r="AO117" i="1"/>
  <c r="AP117" i="1" s="1"/>
  <c r="N159" i="6"/>
  <c r="AB122" i="1"/>
  <c r="AB159" i="6" s="1"/>
  <c r="AQ1018" i="3"/>
  <c r="AI850" i="3"/>
  <c r="AQ850" i="3"/>
  <c r="AO850" i="3"/>
  <c r="AP850" i="3"/>
  <c r="Z255" i="3"/>
  <c r="Z260" i="3"/>
  <c r="Y260" i="3"/>
  <c r="AB577" i="3"/>
  <c r="AA577" i="3"/>
  <c r="AO113" i="3"/>
  <c r="AP113" i="3" s="1"/>
  <c r="AI113" i="3"/>
  <c r="AB53" i="3"/>
  <c r="AA53" i="3"/>
  <c r="AA1379" i="6"/>
  <c r="AA825" i="1"/>
  <c r="AA1082" i="6" s="1"/>
  <c r="N1082" i="6"/>
  <c r="AB825" i="1"/>
  <c r="N828" i="1"/>
  <c r="Y695" i="1"/>
  <c r="Z689" i="1"/>
  <c r="Z695" i="1" s="1"/>
  <c r="AA472" i="3"/>
  <c r="AB472" i="3"/>
  <c r="AB113" i="3"/>
  <c r="N117" i="3"/>
  <c r="AI305" i="3"/>
  <c r="AO305" i="3"/>
  <c r="AP305" i="3" s="1"/>
  <c r="AB102" i="6"/>
  <c r="AB89" i="1"/>
  <c r="Z479" i="1"/>
  <c r="X1335" i="6"/>
  <c r="AA1006" i="1"/>
  <c r="AB1173" i="6"/>
  <c r="AI1068" i="1"/>
  <c r="AB342" i="3"/>
  <c r="AA342" i="3"/>
  <c r="N409" i="6"/>
  <c r="AA303" i="1"/>
  <c r="AA409" i="6"/>
  <c r="N310" i="1"/>
  <c r="AB303" i="1"/>
  <c r="AB409" i="6" s="1"/>
  <c r="AA302" i="6"/>
  <c r="Y573" i="1"/>
  <c r="Z568" i="1"/>
  <c r="Z573" i="1" s="1"/>
  <c r="X217" i="6"/>
  <c r="AB159" i="1"/>
  <c r="AB217" i="6"/>
  <c r="N856" i="3"/>
  <c r="N1214" i="3" s="1"/>
  <c r="AB668" i="3"/>
  <c r="AA922" i="1"/>
  <c r="AA1203" i="6" s="1"/>
  <c r="AL69" i="3"/>
  <c r="Z915" i="1"/>
  <c r="I1181" i="1"/>
  <c r="I1550" i="6" s="1"/>
  <c r="X915" i="1"/>
  <c r="AO58" i="3"/>
  <c r="AP58" i="3" s="1"/>
  <c r="AB117" i="3"/>
  <c r="Z844" i="3"/>
  <c r="AQ199" i="1"/>
  <c r="AB939" i="1"/>
  <c r="AB1227" i="6" s="1"/>
  <c r="AQ201" i="1"/>
  <c r="N1140" i="3"/>
  <c r="N107" i="1"/>
  <c r="AQ618" i="3"/>
  <c r="AA1202" i="6"/>
  <c r="AB59" i="6"/>
  <c r="AA663" i="6"/>
  <c r="AQ890" i="1"/>
  <c r="AB1431" i="6"/>
  <c r="AQ419" i="3"/>
  <c r="AA292" i="6"/>
  <c r="AA750" i="6"/>
  <c r="AB1267" i="6"/>
  <c r="AA1456" i="6"/>
  <c r="AP114" i="1"/>
  <c r="AB1082" i="6"/>
  <c r="AQ117" i="1"/>
  <c r="AA702" i="6"/>
  <c r="AB945" i="6"/>
  <c r="AB750" i="6"/>
  <c r="AP890" i="1"/>
  <c r="AA1267" i="6"/>
  <c r="AQ1097" i="3"/>
  <c r="AB206" i="6"/>
  <c r="AB1117" i="6"/>
  <c r="AB292" i="6"/>
  <c r="AA381" i="1"/>
  <c r="AQ305" i="3"/>
  <c r="AA1475" i="6"/>
  <c r="AB676" i="6"/>
  <c r="AA1325" i="6"/>
  <c r="N1182" i="1"/>
  <c r="AA914" i="6"/>
  <c r="AA695" i="1"/>
  <c r="AA1335" i="6"/>
  <c r="AB1006" i="1"/>
  <c r="AB1335" i="6" s="1"/>
  <c r="AB514" i="6"/>
  <c r="AB381" i="1"/>
  <c r="AA676" i="6"/>
  <c r="AB636" i="6"/>
  <c r="AQ63" i="1"/>
  <c r="AQ324" i="1"/>
  <c r="AB914" i="6"/>
  <c r="AB695" i="1"/>
  <c r="AB1202" i="6"/>
  <c r="AA59" i="6"/>
  <c r="AA636" i="6"/>
  <c r="AB117" i="6"/>
  <c r="L1151" i="3"/>
  <c r="AI116" i="3"/>
  <c r="AB1325" i="6"/>
  <c r="AQ111" i="3"/>
  <c r="AB887" i="1"/>
  <c r="AA1431" i="6"/>
  <c r="AQ114" i="3"/>
  <c r="AB1190" i="6"/>
  <c r="AB915" i="1"/>
  <c r="AB696" i="6"/>
  <c r="AB407" i="6"/>
  <c r="N1558" i="6"/>
  <c r="N1552" i="6"/>
  <c r="I1151" i="3"/>
  <c r="N1151" i="3"/>
  <c r="AB1151" i="3"/>
  <c r="Y692" i="6"/>
  <c r="Z1434" i="6"/>
  <c r="AF1515" i="6"/>
  <c r="Z147" i="6"/>
  <c r="Z73" i="6"/>
  <c r="Z482" i="6"/>
  <c r="Z469" i="6"/>
  <c r="Z27" i="6"/>
  <c r="AF162" i="6"/>
  <c r="AF141" i="6"/>
  <c r="Z74" i="6"/>
  <c r="Z193" i="6"/>
  <c r="Z36" i="6"/>
  <c r="AF1357" i="6"/>
  <c r="Y558" i="6"/>
  <c r="Z1450" i="6"/>
  <c r="R1333" i="6"/>
  <c r="Y1333" i="6" s="1"/>
  <c r="Z1333" i="6" s="1"/>
  <c r="Y157" i="6"/>
  <c r="Z157" i="6" s="1"/>
  <c r="Z1343" i="6"/>
  <c r="Z66" i="6"/>
  <c r="D790" i="6"/>
  <c r="Y412" i="6"/>
  <c r="Y643" i="6"/>
  <c r="Z643" i="6" s="1"/>
  <c r="Y1024" i="6"/>
  <c r="R853" i="6"/>
  <c r="Y115" i="6"/>
  <c r="Z115" i="6" s="1"/>
  <c r="Y712" i="6"/>
  <c r="Z712" i="6" s="1"/>
  <c r="AF977" i="6"/>
  <c r="Y1342" i="6"/>
  <c r="Y509" i="6"/>
  <c r="Y1418" i="6"/>
  <c r="Z1418" i="6" s="1"/>
  <c r="Y1456" i="6"/>
  <c r="Z1456" i="6" s="1"/>
  <c r="Y438" i="6"/>
  <c r="Z438" i="6" s="1"/>
  <c r="R1096" i="6"/>
  <c r="Y1461" i="6"/>
  <c r="Z1461" i="6" s="1"/>
  <c r="Y1236" i="6"/>
  <c r="Y1433" i="6"/>
  <c r="Z1433" i="6" s="1"/>
  <c r="AO1020" i="3" l="1"/>
  <c r="AI1020" i="3"/>
  <c r="AA915" i="1"/>
  <c r="N1159" i="3"/>
  <c r="AB1159" i="3" s="1"/>
  <c r="X1145" i="3"/>
  <c r="AB1145" i="3" s="1"/>
  <c r="AA1057" i="1"/>
  <c r="AA780" i="1"/>
  <c r="AB366" i="3"/>
  <c r="AA883" i="1"/>
  <c r="AA992" i="1"/>
  <c r="AA1318" i="6" s="1"/>
  <c r="Z910" i="3"/>
  <c r="AO918" i="3"/>
  <c r="AP918" i="3" s="1"/>
  <c r="AN918" i="3"/>
  <c r="AQ918" i="3" s="1"/>
  <c r="AI124" i="1"/>
  <c r="AA1002" i="1"/>
  <c r="AA1036" i="1"/>
  <c r="AA1040" i="1"/>
  <c r="Z730" i="1"/>
  <c r="AB171" i="1"/>
  <c r="AA366" i="3"/>
  <c r="N1150" i="6"/>
  <c r="AB1036" i="1"/>
  <c r="N1318" i="6"/>
  <c r="AB1144" i="3"/>
  <c r="AB655" i="1"/>
  <c r="AB871" i="6" s="1"/>
  <c r="AA655" i="1"/>
  <c r="AA871" i="6" s="1"/>
  <c r="N871" i="6"/>
  <c r="AI563" i="1"/>
  <c r="AO563" i="1"/>
  <c r="AP563" i="1" s="1"/>
  <c r="L1199" i="1"/>
  <c r="L1572" i="6" s="1"/>
  <c r="AN1026" i="3"/>
  <c r="N1380" i="6"/>
  <c r="N660" i="1"/>
  <c r="AA549" i="6"/>
  <c r="Z891" i="3"/>
  <c r="Z853" i="3"/>
  <c r="Z282" i="3"/>
  <c r="Z608" i="3"/>
  <c r="AA668" i="3"/>
  <c r="Z44" i="3"/>
  <c r="AB34" i="3"/>
  <c r="AA33" i="3"/>
  <c r="X131" i="3"/>
  <c r="AB210" i="3"/>
  <c r="AB375" i="3"/>
  <c r="AA291" i="3"/>
  <c r="AA360" i="3"/>
  <c r="AA371" i="3"/>
  <c r="AQ426" i="3"/>
  <c r="Z510" i="3"/>
  <c r="Z513" i="3" s="1"/>
  <c r="AA648" i="3"/>
  <c r="AB784" i="3"/>
  <c r="AB787" i="3" s="1"/>
  <c r="D856" i="3"/>
  <c r="D1214" i="3" s="1"/>
  <c r="N992" i="3"/>
  <c r="X708" i="3"/>
  <c r="AB921" i="3"/>
  <c r="AB949" i="3"/>
  <c r="AB896" i="3"/>
  <c r="AB1135" i="3"/>
  <c r="AA234" i="1"/>
  <c r="X310" i="6"/>
  <c r="Z117" i="3"/>
  <c r="X44" i="3"/>
  <c r="AA471" i="3"/>
  <c r="AA705" i="3"/>
  <c r="AA708" i="3" s="1"/>
  <c r="O633" i="3"/>
  <c r="O1208" i="3" s="1"/>
  <c r="D717" i="3"/>
  <c r="D1210" i="3" s="1"/>
  <c r="Z1013" i="3"/>
  <c r="X966" i="6"/>
  <c r="AA246" i="1"/>
  <c r="AA327" i="6" s="1"/>
  <c r="X327" i="6"/>
  <c r="AA44" i="3"/>
  <c r="Z301" i="3"/>
  <c r="Z988" i="3"/>
  <c r="F1184" i="1"/>
  <c r="AG1065" i="1"/>
  <c r="X1408" i="6"/>
  <c r="AB1062" i="1"/>
  <c r="AA1062" i="1"/>
  <c r="N1018" i="1"/>
  <c r="Y1018" i="1"/>
  <c r="Z1018" i="1" s="1"/>
  <c r="AH1024" i="1"/>
  <c r="L1180" i="1"/>
  <c r="L1549" i="6" s="1"/>
  <c r="Y1009" i="1"/>
  <c r="X1009" i="1"/>
  <c r="R1015" i="1"/>
  <c r="X1229" i="6"/>
  <c r="AB941" i="1"/>
  <c r="AB1229" i="6" s="1"/>
  <c r="X1196" i="6"/>
  <c r="AA918" i="1"/>
  <c r="AB918" i="1"/>
  <c r="AL895" i="1"/>
  <c r="AN895" i="1" s="1"/>
  <c r="K1202" i="1"/>
  <c r="K1575" i="6" s="1"/>
  <c r="P1202" i="1"/>
  <c r="P1575" i="6" s="1"/>
  <c r="AK899" i="1"/>
  <c r="N1160" i="6"/>
  <c r="AB891" i="1"/>
  <c r="AB1160" i="6" s="1"/>
  <c r="AA891" i="1"/>
  <c r="AA1160" i="6" s="1"/>
  <c r="AI750" i="1"/>
  <c r="AL749" i="1"/>
  <c r="AN749" i="1" s="1"/>
  <c r="K1196" i="1"/>
  <c r="K1568" i="6" s="1"/>
  <c r="AK754" i="1"/>
  <c r="K1198" i="1" s="1"/>
  <c r="K1570" i="6" s="1"/>
  <c r="R745" i="1"/>
  <c r="X742" i="1"/>
  <c r="Y741" i="1"/>
  <c r="Z741" i="1" s="1"/>
  <c r="N741" i="1"/>
  <c r="AA282" i="3"/>
  <c r="N52" i="3"/>
  <c r="AA47" i="3"/>
  <c r="AB62" i="3"/>
  <c r="AB126" i="3"/>
  <c r="Z708" i="3"/>
  <c r="D976" i="3"/>
  <c r="D1218" i="3" s="1"/>
  <c r="D1062" i="3"/>
  <c r="D1222" i="3" s="1"/>
  <c r="AB742" i="1"/>
  <c r="AB978" i="6" s="1"/>
  <c r="AH75" i="1"/>
  <c r="L1182" i="1" s="1"/>
  <c r="L1552" i="6" s="1"/>
  <c r="L1196" i="1"/>
  <c r="L1568" i="6" s="1"/>
  <c r="V1194" i="1"/>
  <c r="V1566" i="6" s="1"/>
  <c r="AM1154" i="1"/>
  <c r="Y1129" i="1"/>
  <c r="Z1129" i="1" s="1"/>
  <c r="X1129" i="1"/>
  <c r="X1458" i="6"/>
  <c r="AA1105" i="1"/>
  <c r="AB1105" i="1"/>
  <c r="AB1458" i="6" s="1"/>
  <c r="AF1112" i="1"/>
  <c r="N1448" i="6"/>
  <c r="E1075" i="1"/>
  <c r="E1269" i="1" s="1"/>
  <c r="AA645" i="1"/>
  <c r="AA858" i="6" s="1"/>
  <c r="O1199" i="1"/>
  <c r="O1572" i="6" s="1"/>
  <c r="E1184" i="1"/>
  <c r="H1184" i="1" s="1"/>
  <c r="L1204" i="1"/>
  <c r="L1577" i="6" s="1"/>
  <c r="AB598" i="1"/>
  <c r="AB793" i="6" s="1"/>
  <c r="D668" i="1"/>
  <c r="D1257" i="1" s="1"/>
  <c r="N313" i="1"/>
  <c r="AA1213" i="1"/>
  <c r="AP1150" i="1"/>
  <c r="E1183" i="1"/>
  <c r="AG1149" i="1"/>
  <c r="N1508" i="6"/>
  <c r="AA1146" i="1"/>
  <c r="AA1508" i="6" s="1"/>
  <c r="Y1121" i="1"/>
  <c r="Z1121" i="1" s="1"/>
  <c r="N1121" i="1"/>
  <c r="O1438" i="6"/>
  <c r="R1086" i="1"/>
  <c r="U1075" i="1"/>
  <c r="U1269" i="1" s="1"/>
  <c r="Y990" i="1"/>
  <c r="Z990" i="1" s="1"/>
  <c r="X990" i="1"/>
  <c r="N981" i="1"/>
  <c r="N987" i="1" s="1"/>
  <c r="H987" i="1"/>
  <c r="AH899" i="1"/>
  <c r="AJ748" i="1"/>
  <c r="R710" i="1"/>
  <c r="O712" i="1"/>
  <c r="AQ566" i="1"/>
  <c r="AG565" i="1"/>
  <c r="AO565" i="1" s="1"/>
  <c r="AP565" i="1" s="1"/>
  <c r="E1202" i="1"/>
  <c r="X885" i="6"/>
  <c r="AB664" i="1"/>
  <c r="K1189" i="1"/>
  <c r="K1559" i="6" s="1"/>
  <c r="P1189" i="1"/>
  <c r="P1559" i="6" s="1"/>
  <c r="AK668" i="1"/>
  <c r="AL654" i="1"/>
  <c r="Y592" i="1"/>
  <c r="Z592" i="1" s="1"/>
  <c r="R596" i="1"/>
  <c r="N777" i="6"/>
  <c r="Y428" i="1"/>
  <c r="Z428" i="1" s="1"/>
  <c r="N428" i="1"/>
  <c r="Y361" i="1"/>
  <c r="Z361" i="1" s="1"/>
  <c r="X361" i="1"/>
  <c r="O483" i="6"/>
  <c r="AJ450" i="1"/>
  <c r="AJ454" i="1" s="1"/>
  <c r="R359" i="1"/>
  <c r="X323" i="1"/>
  <c r="X434" i="6" s="1"/>
  <c r="AM326" i="1"/>
  <c r="AN326" i="1" s="1"/>
  <c r="AQ326" i="1" s="1"/>
  <c r="AL322" i="1"/>
  <c r="O432" i="6"/>
  <c r="R321" i="1"/>
  <c r="O330" i="1"/>
  <c r="Y289" i="1"/>
  <c r="Z289" i="1" s="1"/>
  <c r="N289" i="1"/>
  <c r="H339" i="6"/>
  <c r="H260" i="1"/>
  <c r="O332" i="6"/>
  <c r="R251" i="1"/>
  <c r="D294" i="6"/>
  <c r="D226" i="1"/>
  <c r="AD335" i="1"/>
  <c r="H245" i="6"/>
  <c r="Y245" i="6" s="1"/>
  <c r="Z245" i="6" s="1"/>
  <c r="N181" i="1"/>
  <c r="Z155" i="1"/>
  <c r="AB155" i="1"/>
  <c r="AB208" i="6" s="1"/>
  <c r="D140" i="1"/>
  <c r="P1201" i="1"/>
  <c r="P1574" i="6" s="1"/>
  <c r="O19" i="6"/>
  <c r="R21" i="1"/>
  <c r="R19" i="6" s="1"/>
  <c r="Y19" i="6" s="1"/>
  <c r="X873" i="6"/>
  <c r="H27" i="1"/>
  <c r="AA297" i="1"/>
  <c r="AA402" i="6" s="1"/>
  <c r="N858" i="6"/>
  <c r="J1199" i="1"/>
  <c r="J1572" i="6" s="1"/>
  <c r="X304" i="6"/>
  <c r="AB358" i="1"/>
  <c r="Z224" i="1"/>
  <c r="Z297" i="6" s="1"/>
  <c r="AA403" i="1"/>
  <c r="AA548" i="6" s="1"/>
  <c r="Y198" i="1"/>
  <c r="Z198" i="1" s="1"/>
  <c r="AA265" i="1"/>
  <c r="AA930" i="1"/>
  <c r="AA1211" i="6" s="1"/>
  <c r="AA587" i="1"/>
  <c r="AA779" i="6" s="1"/>
  <c r="T1213" i="1"/>
  <c r="AQ1149" i="1"/>
  <c r="Y1118" i="1"/>
  <c r="AL1110" i="1"/>
  <c r="AN1110" i="1" s="1"/>
  <c r="J1185" i="1"/>
  <c r="J1555" i="6" s="1"/>
  <c r="AB1095" i="1"/>
  <c r="AB1447" i="6" s="1"/>
  <c r="E1185" i="1"/>
  <c r="X1420" i="6"/>
  <c r="AA1070" i="1"/>
  <c r="AA1420" i="6" s="1"/>
  <c r="X958" i="1"/>
  <c r="Y958" i="1"/>
  <c r="Z958" i="1" s="1"/>
  <c r="AA809" i="1"/>
  <c r="AA1065" i="6" s="1"/>
  <c r="N1065" i="6"/>
  <c r="AD840" i="1"/>
  <c r="AD846" i="1" s="1"/>
  <c r="Y782" i="1"/>
  <c r="Z782" i="1" s="1"/>
  <c r="X782" i="1"/>
  <c r="R788" i="1"/>
  <c r="X769" i="1"/>
  <c r="Y769" i="1"/>
  <c r="Z769" i="1" s="1"/>
  <c r="N765" i="1"/>
  <c r="N1008" i="6"/>
  <c r="I754" i="1"/>
  <c r="I1259" i="1" s="1"/>
  <c r="N535" i="1"/>
  <c r="Y535" i="1"/>
  <c r="Z535" i="1" s="1"/>
  <c r="O689" i="6"/>
  <c r="R524" i="1"/>
  <c r="R400" i="1"/>
  <c r="X397" i="1"/>
  <c r="X385" i="1"/>
  <c r="Y385" i="1"/>
  <c r="Z385" i="1" s="1"/>
  <c r="H431" i="1"/>
  <c r="N539" i="1"/>
  <c r="X1036" i="1"/>
  <c r="X1075" i="1" s="1"/>
  <c r="X1269" i="1" s="1"/>
  <c r="AA358" i="1"/>
  <c r="X276" i="6"/>
  <c r="AA282" i="1"/>
  <c r="AA373" i="6" s="1"/>
  <c r="O754" i="1"/>
  <c r="O1259" i="1" s="1"/>
  <c r="O1260" i="1" s="1"/>
  <c r="AB265" i="1"/>
  <c r="AB297" i="1"/>
  <c r="AB402" i="6" s="1"/>
  <c r="AA598" i="1"/>
  <c r="AA793" i="6" s="1"/>
  <c r="K1201" i="1"/>
  <c r="K1574" i="6" s="1"/>
  <c r="N257" i="1"/>
  <c r="N339" i="6" s="1"/>
  <c r="AA664" i="1"/>
  <c r="S1213" i="1"/>
  <c r="S1549" i="6"/>
  <c r="AI1153" i="1"/>
  <c r="X1139" i="1"/>
  <c r="X1500" i="6" s="1"/>
  <c r="Y1139" i="1"/>
  <c r="Z1139" i="1" s="1"/>
  <c r="Y1137" i="1"/>
  <c r="Z1137" i="1" s="1"/>
  <c r="X1137" i="1"/>
  <c r="AA1137" i="1" s="1"/>
  <c r="AA1498" i="6" s="1"/>
  <c r="S1153" i="1"/>
  <c r="S1273" i="1" s="1"/>
  <c r="R1082" i="1"/>
  <c r="O1090" i="1"/>
  <c r="O1112" i="1" s="1"/>
  <c r="O1271" i="1" s="1"/>
  <c r="AJ1104" i="1"/>
  <c r="O1430" i="6"/>
  <c r="Y1011" i="1"/>
  <c r="Z1011" i="1" s="1"/>
  <c r="X1011" i="1"/>
  <c r="AG891" i="1"/>
  <c r="F1192" i="1"/>
  <c r="R852" i="1"/>
  <c r="O860" i="1"/>
  <c r="O1114" i="6"/>
  <c r="AG841" i="1"/>
  <c r="F1204" i="1"/>
  <c r="X604" i="1"/>
  <c r="Y604" i="1"/>
  <c r="Z604" i="1" s="1"/>
  <c r="R802" i="6"/>
  <c r="Y802" i="6" s="1"/>
  <c r="Z802" i="6" s="1"/>
  <c r="E567" i="6"/>
  <c r="AE450" i="1"/>
  <c r="H418" i="1"/>
  <c r="AQ839" i="1"/>
  <c r="AL1153" i="1"/>
  <c r="P1153" i="1"/>
  <c r="P1273" i="1" s="1"/>
  <c r="J1153" i="1"/>
  <c r="J1273" i="1" s="1"/>
  <c r="Y1122" i="1"/>
  <c r="Z1122" i="1" s="1"/>
  <c r="R1124" i="1"/>
  <c r="J1112" i="1"/>
  <c r="J1271" i="1" s="1"/>
  <c r="AG1108" i="1"/>
  <c r="K1185" i="1"/>
  <c r="K1555" i="6" s="1"/>
  <c r="N1067" i="1"/>
  <c r="N1072" i="1" s="1"/>
  <c r="Y1067" i="1"/>
  <c r="P1075" i="1"/>
  <c r="P1269" i="1" s="1"/>
  <c r="D996" i="1"/>
  <c r="AD1014" i="1"/>
  <c r="AQ895" i="1"/>
  <c r="X762" i="1"/>
  <c r="X765" i="1" s="1"/>
  <c r="Y762" i="1"/>
  <c r="Z762" i="1" s="1"/>
  <c r="AG749" i="1"/>
  <c r="Y969" i="6"/>
  <c r="Z735" i="1"/>
  <c r="Z969" i="6" s="1"/>
  <c r="H699" i="1"/>
  <c r="E703" i="1"/>
  <c r="Y586" i="1"/>
  <c r="Z586" i="1" s="1"/>
  <c r="X586" i="1"/>
  <c r="X777" i="6" s="1"/>
  <c r="H1187" i="1"/>
  <c r="X668" i="6"/>
  <c r="AB504" i="1"/>
  <c r="N473" i="1"/>
  <c r="Y473" i="1"/>
  <c r="N350" i="1"/>
  <c r="N354" i="1" s="1"/>
  <c r="Y350" i="1"/>
  <c r="Z350" i="1" s="1"/>
  <c r="T341" i="1"/>
  <c r="T1251" i="1" s="1"/>
  <c r="F341" i="1"/>
  <c r="F1251" i="1" s="1"/>
  <c r="AL1152" i="1"/>
  <c r="AI1145" i="1"/>
  <c r="I1194" i="1" s="1"/>
  <c r="I1566" i="6" s="1"/>
  <c r="H1151" i="1"/>
  <c r="F1153" i="1"/>
  <c r="F1273" i="1" s="1"/>
  <c r="Y1119" i="1"/>
  <c r="Z1119" i="1" s="1"/>
  <c r="AN1111" i="1"/>
  <c r="Y1103" i="1"/>
  <c r="Y1097" i="1"/>
  <c r="Z1097" i="1" s="1"/>
  <c r="Y1093" i="1"/>
  <c r="Z1093" i="1" s="1"/>
  <c r="AA1085" i="1"/>
  <c r="AA1433" i="6" s="1"/>
  <c r="AN1070" i="1"/>
  <c r="AL1069" i="1"/>
  <c r="AN1069" i="1" s="1"/>
  <c r="AL1068" i="1"/>
  <c r="T1075" i="1"/>
  <c r="T1269" i="1" s="1"/>
  <c r="H1022" i="1"/>
  <c r="D1202" i="1"/>
  <c r="AK1024" i="1"/>
  <c r="AB1010" i="1"/>
  <c r="AB1341" i="6" s="1"/>
  <c r="Y965" i="1"/>
  <c r="X965" i="1"/>
  <c r="AD956" i="1"/>
  <c r="D967" i="1"/>
  <c r="D969" i="1" s="1"/>
  <c r="D1265" i="1" s="1"/>
  <c r="AB958" i="1"/>
  <c r="AB1252" i="6" s="1"/>
  <c r="R1174" i="6"/>
  <c r="X905" i="1"/>
  <c r="L899" i="1"/>
  <c r="L1263" i="1" s="1"/>
  <c r="F899" i="1"/>
  <c r="F1263" i="1" s="1"/>
  <c r="AB782" i="1"/>
  <c r="AB1034" i="6" s="1"/>
  <c r="P846" i="1"/>
  <c r="P1261" i="1" s="1"/>
  <c r="AG743" i="1"/>
  <c r="AO664" i="1"/>
  <c r="AP664" i="1" s="1"/>
  <c r="H603" i="1"/>
  <c r="E801" i="6"/>
  <c r="E606" i="1"/>
  <c r="X571" i="1"/>
  <c r="R753" i="6"/>
  <c r="Y753" i="6" s="1"/>
  <c r="R751" i="6"/>
  <c r="X569" i="1"/>
  <c r="N553" i="1"/>
  <c r="Y553" i="1"/>
  <c r="Z553" i="1" s="1"/>
  <c r="N681" i="6"/>
  <c r="AB516" i="1"/>
  <c r="AB681" i="6" s="1"/>
  <c r="X493" i="1"/>
  <c r="Y493" i="1"/>
  <c r="Z493" i="1" s="1"/>
  <c r="AE322" i="1"/>
  <c r="E330" i="1"/>
  <c r="E434" i="6"/>
  <c r="H323" i="1"/>
  <c r="AO839" i="1"/>
  <c r="AP839" i="1" s="1"/>
  <c r="O969" i="1"/>
  <c r="O1265" i="1" s="1"/>
  <c r="AB1041" i="1"/>
  <c r="AB1381" i="6" s="1"/>
  <c r="X1210" i="1"/>
  <c r="X1583" i="6" s="1"/>
  <c r="AJ1147" i="1"/>
  <c r="Y1147" i="1"/>
  <c r="Z1147" i="1" s="1"/>
  <c r="L1192" i="1"/>
  <c r="L1562" i="6" s="1"/>
  <c r="I1153" i="1"/>
  <c r="I1273" i="1" s="1"/>
  <c r="Y1138" i="1"/>
  <c r="Z1138" i="1" s="1"/>
  <c r="U1153" i="1"/>
  <c r="U1273" i="1" s="1"/>
  <c r="E1124" i="1"/>
  <c r="E1153" i="1" s="1"/>
  <c r="E1273" i="1" s="1"/>
  <c r="AI1107" i="1"/>
  <c r="AQ1107" i="1" s="1"/>
  <c r="AN1106" i="1"/>
  <c r="AH1112" i="1"/>
  <c r="V1179" i="1"/>
  <c r="V1548" i="6" s="1"/>
  <c r="X1096" i="1"/>
  <c r="X1448" i="6" s="1"/>
  <c r="AG1072" i="1"/>
  <c r="S1075" i="1"/>
  <c r="S1269" i="1" s="1"/>
  <c r="K1075" i="1"/>
  <c r="K1269" i="1" s="1"/>
  <c r="AD1023" i="1"/>
  <c r="AL1021" i="1"/>
  <c r="P1179" i="1"/>
  <c r="P1548" i="6" s="1"/>
  <c r="AG1014" i="1"/>
  <c r="AL1013" i="1"/>
  <c r="AE1024" i="1"/>
  <c r="X989" i="1"/>
  <c r="Y989" i="1"/>
  <c r="Z989" i="1" s="1"/>
  <c r="T1024" i="1"/>
  <c r="T1267" i="1" s="1"/>
  <c r="H978" i="1"/>
  <c r="H1024" i="1" s="1"/>
  <c r="H1267" i="1" s="1"/>
  <c r="AG968" i="1"/>
  <c r="R1220" i="6"/>
  <c r="Y938" i="1"/>
  <c r="Z938" i="1" s="1"/>
  <c r="R1201" i="6"/>
  <c r="Y1201" i="6" s="1"/>
  <c r="Z1201" i="6" s="1"/>
  <c r="X920" i="1"/>
  <c r="Y920" i="1"/>
  <c r="N896" i="1"/>
  <c r="U899" i="1"/>
  <c r="U1263" i="1" s="1"/>
  <c r="AN844" i="1"/>
  <c r="AQ844" i="1" s="1"/>
  <c r="D1195" i="1"/>
  <c r="X841" i="1"/>
  <c r="Y841" i="1"/>
  <c r="N844" i="1"/>
  <c r="R828" i="1"/>
  <c r="N785" i="1"/>
  <c r="Y785" i="1"/>
  <c r="Z785" i="1" s="1"/>
  <c r="E925" i="6"/>
  <c r="N639" i="1"/>
  <c r="Y560" i="1"/>
  <c r="Z560" i="1" s="1"/>
  <c r="X560" i="1"/>
  <c r="AL442" i="1"/>
  <c r="AN442" i="1" s="1"/>
  <c r="U341" i="1"/>
  <c r="U1251" i="1" s="1"/>
  <c r="AG1109" i="1"/>
  <c r="Y1106" i="1"/>
  <c r="Z1106" i="1" s="1"/>
  <c r="O1192" i="1"/>
  <c r="O1562" i="6" s="1"/>
  <c r="D1185" i="1"/>
  <c r="AL1065" i="1"/>
  <c r="F1075" i="1"/>
  <c r="F1269" i="1" s="1"/>
  <c r="Z1062" i="1"/>
  <c r="Z1064" i="1" s="1"/>
  <c r="AG1020" i="1"/>
  <c r="R1019" i="1"/>
  <c r="AG1017" i="1"/>
  <c r="D1022" i="1"/>
  <c r="Y991" i="1"/>
  <c r="Z991" i="1" s="1"/>
  <c r="P1024" i="1"/>
  <c r="P1267" i="1" s="1"/>
  <c r="D1200" i="1"/>
  <c r="AG965" i="1"/>
  <c r="AJ957" i="1"/>
  <c r="AG959" i="1"/>
  <c r="AM969" i="1"/>
  <c r="AG957" i="1"/>
  <c r="AK969" i="1"/>
  <c r="R1228" i="6"/>
  <c r="R936" i="1"/>
  <c r="U969" i="1"/>
  <c r="U1265" i="1" s="1"/>
  <c r="F969" i="1"/>
  <c r="F1265" i="1" s="1"/>
  <c r="V899" i="1"/>
  <c r="V1263" i="1" s="1"/>
  <c r="S899" i="1"/>
  <c r="S1263" i="1" s="1"/>
  <c r="J899" i="1"/>
  <c r="J1263" i="1" s="1"/>
  <c r="AF899" i="1"/>
  <c r="AN891" i="1"/>
  <c r="Y858" i="1"/>
  <c r="Z858" i="1" s="1"/>
  <c r="O1120" i="6"/>
  <c r="AJ894" i="1"/>
  <c r="AL894" i="1" s="1"/>
  <c r="AN894" i="1" s="1"/>
  <c r="Y853" i="1"/>
  <c r="AL837" i="1"/>
  <c r="J846" i="1"/>
  <c r="J1261" i="1" s="1"/>
  <c r="AG751" i="1"/>
  <c r="L754" i="1"/>
  <c r="L1259" i="1" s="1"/>
  <c r="X748" i="1"/>
  <c r="Y748" i="1"/>
  <c r="Z748" i="1" s="1"/>
  <c r="AG745" i="1"/>
  <c r="X682" i="1"/>
  <c r="AG665" i="1"/>
  <c r="AG658" i="1"/>
  <c r="AO658" i="1" s="1"/>
  <c r="AP658" i="1" s="1"/>
  <c r="AG657" i="1"/>
  <c r="AI657" i="1" s="1"/>
  <c r="AQ657" i="1" s="1"/>
  <c r="X638" i="1"/>
  <c r="Y638" i="1"/>
  <c r="Z638" i="1" s="1"/>
  <c r="Z849" i="6" s="1"/>
  <c r="AG567" i="1"/>
  <c r="AN560" i="1"/>
  <c r="N525" i="1"/>
  <c r="R482" i="1"/>
  <c r="R487" i="1" s="1"/>
  <c r="O625" i="6"/>
  <c r="R460" i="1"/>
  <c r="AG446" i="1"/>
  <c r="Y441" i="1"/>
  <c r="Z441" i="1" s="1"/>
  <c r="X435" i="1"/>
  <c r="X412" i="1"/>
  <c r="Y412" i="1"/>
  <c r="Z412" i="1" s="1"/>
  <c r="X366" i="1"/>
  <c r="D354" i="1"/>
  <c r="D454" i="1" s="1"/>
  <c r="D1253" i="1" s="1"/>
  <c r="AD443" i="1"/>
  <c r="AD454" i="1" s="1"/>
  <c r="AL340" i="1"/>
  <c r="AG336" i="1"/>
  <c r="X308" i="1"/>
  <c r="Y308" i="1"/>
  <c r="Z308" i="1" s="1"/>
  <c r="X280" i="1"/>
  <c r="Y280" i="1"/>
  <c r="Z280" i="1" s="1"/>
  <c r="AL196" i="1"/>
  <c r="Y187" i="1"/>
  <c r="Z187" i="1" s="1"/>
  <c r="X187" i="1"/>
  <c r="R241" i="6"/>
  <c r="X177" i="1"/>
  <c r="V202" i="1"/>
  <c r="V1249" i="1" s="1"/>
  <c r="I202" i="1"/>
  <c r="I1249" i="1" s="1"/>
  <c r="N36" i="1"/>
  <c r="Y36" i="1"/>
  <c r="Z36" i="1" s="1"/>
  <c r="AG1067" i="1"/>
  <c r="X1072" i="1"/>
  <c r="AL1066" i="1"/>
  <c r="V1075" i="1"/>
  <c r="V1269" i="1" s="1"/>
  <c r="J1075" i="1"/>
  <c r="J1269" i="1" s="1"/>
  <c r="K1203" i="1"/>
  <c r="K1576" i="6" s="1"/>
  <c r="L1201" i="1"/>
  <c r="L1574" i="6" s="1"/>
  <c r="I1024" i="1"/>
  <c r="I1267" i="1" s="1"/>
  <c r="AO961" i="1"/>
  <c r="AP961" i="1" s="1"/>
  <c r="Y959" i="1"/>
  <c r="Z959" i="1" s="1"/>
  <c r="AG958" i="1"/>
  <c r="AA949" i="1"/>
  <c r="AA1240" i="6" s="1"/>
  <c r="AA941" i="1"/>
  <c r="AA1229" i="6" s="1"/>
  <c r="R1173" i="6"/>
  <c r="R909" i="1"/>
  <c r="P899" i="1"/>
  <c r="P1263" i="1" s="1"/>
  <c r="K899" i="1"/>
  <c r="K1263" i="1" s="1"/>
  <c r="O1008" i="6"/>
  <c r="AJ841" i="1"/>
  <c r="Y663" i="1"/>
  <c r="AL653" i="1"/>
  <c r="R611" i="1"/>
  <c r="AJ661" i="1"/>
  <c r="O763" i="6"/>
  <c r="R581" i="1"/>
  <c r="H380" i="6"/>
  <c r="Y288" i="1"/>
  <c r="Z288" i="1" s="1"/>
  <c r="E375" i="6"/>
  <c r="H283" i="1"/>
  <c r="AB282" i="1"/>
  <c r="AB373" i="6" s="1"/>
  <c r="O248" i="1"/>
  <c r="R245" i="1"/>
  <c r="H297" i="6"/>
  <c r="N224" i="1"/>
  <c r="N297" i="6" s="1"/>
  <c r="R285" i="6"/>
  <c r="Y212" i="1"/>
  <c r="D1205" i="1"/>
  <c r="AF202" i="1"/>
  <c r="Y175" i="1"/>
  <c r="Z175" i="1" s="1"/>
  <c r="N175" i="1"/>
  <c r="N44" i="1"/>
  <c r="H47" i="1"/>
  <c r="H75" i="1" s="1"/>
  <c r="H1245" i="1" s="1"/>
  <c r="AL966" i="1"/>
  <c r="AG960" i="1"/>
  <c r="Y950" i="1"/>
  <c r="AG898" i="1"/>
  <c r="AO898" i="1" s="1"/>
  <c r="AP898" i="1" s="1"/>
  <c r="AL897" i="1"/>
  <c r="AO897" i="1" s="1"/>
  <c r="AG892" i="1"/>
  <c r="AI892" i="1" s="1"/>
  <c r="Y882" i="1"/>
  <c r="AL843" i="1"/>
  <c r="AL842" i="1"/>
  <c r="AN842" i="1" s="1"/>
  <c r="AG842" i="1"/>
  <c r="Y791" i="1"/>
  <c r="Z791" i="1" s="1"/>
  <c r="Y768" i="1"/>
  <c r="Z768" i="1" s="1"/>
  <c r="AL753" i="1"/>
  <c r="AL750" i="1"/>
  <c r="R1195" i="1" s="1"/>
  <c r="X1195" i="1" s="1"/>
  <c r="X1567" i="6" s="1"/>
  <c r="J754" i="1"/>
  <c r="J1259" i="1" s="1"/>
  <c r="R697" i="1"/>
  <c r="AG666" i="1"/>
  <c r="Y657" i="1"/>
  <c r="Z657" i="1" s="1"/>
  <c r="Y645" i="1"/>
  <c r="Z645" i="1" s="1"/>
  <c r="Y613" i="1"/>
  <c r="Z613" i="1" s="1"/>
  <c r="S573" i="1"/>
  <c r="J576" i="1"/>
  <c r="J1255" i="1" s="1"/>
  <c r="AG571" i="1"/>
  <c r="AL570" i="1"/>
  <c r="E1187" i="1"/>
  <c r="L1188" i="1"/>
  <c r="L1558" i="6" s="1"/>
  <c r="AL567" i="1"/>
  <c r="AN567" i="1" s="1"/>
  <c r="P1196" i="1"/>
  <c r="P1568" i="6" s="1"/>
  <c r="R562" i="1"/>
  <c r="AK576" i="1"/>
  <c r="AE559" i="1"/>
  <c r="AG559" i="1" s="1"/>
  <c r="H539" i="1"/>
  <c r="I576" i="1"/>
  <c r="I1255" i="1" s="1"/>
  <c r="AG453" i="1"/>
  <c r="AI453" i="1" s="1"/>
  <c r="AQ453" i="1" s="1"/>
  <c r="AL450" i="1"/>
  <c r="O400" i="1"/>
  <c r="O454" i="1" s="1"/>
  <c r="O1253" i="1" s="1"/>
  <c r="J454" i="1"/>
  <c r="J1253" i="1" s="1"/>
  <c r="S454" i="1"/>
  <c r="S1253" i="1" s="1"/>
  <c r="AJ338" i="1"/>
  <c r="AL338" i="1" s="1"/>
  <c r="AG335" i="1"/>
  <c r="E291" i="1"/>
  <c r="Y258" i="1"/>
  <c r="Z258" i="1" s="1"/>
  <c r="X214" i="1"/>
  <c r="X211" i="1"/>
  <c r="N180" i="1"/>
  <c r="O238" i="6"/>
  <c r="E162" i="1"/>
  <c r="E202" i="1" s="1"/>
  <c r="E1249" i="1" s="1"/>
  <c r="X111" i="1"/>
  <c r="Y111" i="1"/>
  <c r="AA1164" i="3"/>
  <c r="N1070" i="3"/>
  <c r="Y1070" i="3"/>
  <c r="Z1070" i="3" s="1"/>
  <c r="V1062" i="3"/>
  <c r="V1222" i="3" s="1"/>
  <c r="P1062" i="3"/>
  <c r="P1222" i="3" s="1"/>
  <c r="AL1058" i="3"/>
  <c r="K1154" i="3"/>
  <c r="P1154" i="3"/>
  <c r="O1150" i="3"/>
  <c r="R1150" i="3" s="1"/>
  <c r="X1150" i="3" s="1"/>
  <c r="AL1054" i="3"/>
  <c r="X1048" i="3"/>
  <c r="Y1048" i="3"/>
  <c r="Z1048" i="3" s="1"/>
  <c r="F1027" i="3"/>
  <c r="F1220" i="3" s="1"/>
  <c r="K1156" i="3"/>
  <c r="K1136" i="3"/>
  <c r="X1006" i="3"/>
  <c r="Y1006" i="3"/>
  <c r="AI971" i="3"/>
  <c r="AB946" i="3"/>
  <c r="AN920" i="3"/>
  <c r="Y824" i="1"/>
  <c r="Z824" i="1" s="1"/>
  <c r="D797" i="1"/>
  <c r="D846" i="1" s="1"/>
  <c r="D1261" i="1" s="1"/>
  <c r="N788" i="1"/>
  <c r="E1197" i="1"/>
  <c r="AN744" i="1"/>
  <c r="AQ744" i="1" s="1"/>
  <c r="Y698" i="1"/>
  <c r="Z698" i="1" s="1"/>
  <c r="AI667" i="1"/>
  <c r="F1208" i="1"/>
  <c r="AG659" i="1"/>
  <c r="AN658" i="1"/>
  <c r="L1184" i="1"/>
  <c r="L1554" i="6" s="1"/>
  <c r="V668" i="1"/>
  <c r="V1257" i="1" s="1"/>
  <c r="AL571" i="1"/>
  <c r="AN571" i="1" s="1"/>
  <c r="AG560" i="1"/>
  <c r="AG448" i="1"/>
  <c r="AL440" i="1"/>
  <c r="AL333" i="1"/>
  <c r="AG323" i="1"/>
  <c r="O276" i="1"/>
  <c r="Y266" i="1"/>
  <c r="Y265" i="1"/>
  <c r="AG200" i="1"/>
  <c r="AE197" i="1"/>
  <c r="AG189" i="1"/>
  <c r="AB111" i="1"/>
  <c r="N32" i="1"/>
  <c r="Y32" i="1"/>
  <c r="Z32" i="1" s="1"/>
  <c r="X1098" i="3"/>
  <c r="Y1098" i="3"/>
  <c r="Y1090" i="3"/>
  <c r="Z1090" i="3" s="1"/>
  <c r="V1132" i="3"/>
  <c r="X965" i="3"/>
  <c r="Y965" i="3"/>
  <c r="V976" i="3"/>
  <c r="V1218" i="3" s="1"/>
  <c r="P976" i="3"/>
  <c r="P1218" i="3" s="1"/>
  <c r="AO917" i="3"/>
  <c r="AP917" i="3" s="1"/>
  <c r="AB744" i="3"/>
  <c r="AA744" i="3"/>
  <c r="X699" i="3"/>
  <c r="Y699" i="3"/>
  <c r="Z699" i="3" s="1"/>
  <c r="H685" i="3"/>
  <c r="N680" i="3"/>
  <c r="D1068" i="6"/>
  <c r="H1146" i="3"/>
  <c r="Y1085" i="3"/>
  <c r="R1092" i="3"/>
  <c r="R1103" i="3" s="1"/>
  <c r="R1224" i="3" s="1"/>
  <c r="N1078" i="3"/>
  <c r="Y1078" i="3"/>
  <c r="Z1078" i="3" s="1"/>
  <c r="E1103" i="3"/>
  <c r="E1224" i="3" s="1"/>
  <c r="L1062" i="3"/>
  <c r="L1222" i="3" s="1"/>
  <c r="E988" i="3"/>
  <c r="E1027" i="3" s="1"/>
  <c r="E1220" i="3" s="1"/>
  <c r="AG975" i="3"/>
  <c r="AI975" i="3" s="1"/>
  <c r="AG972" i="3"/>
  <c r="F1154" i="3"/>
  <c r="X966" i="3"/>
  <c r="AB966" i="3" s="1"/>
  <c r="Y966" i="3"/>
  <c r="Z966" i="3" s="1"/>
  <c r="X937" i="3"/>
  <c r="Y937" i="3"/>
  <c r="Y791" i="3"/>
  <c r="Z791" i="3" s="1"/>
  <c r="X791" i="3"/>
  <c r="X767" i="3"/>
  <c r="X772" i="3" s="1"/>
  <c r="Y767" i="3"/>
  <c r="AG331" i="1"/>
  <c r="AI331" i="1" s="1"/>
  <c r="AQ331" i="1" s="1"/>
  <c r="K341" i="1"/>
  <c r="K1251" i="1" s="1"/>
  <c r="D291" i="1"/>
  <c r="D341" i="1" s="1"/>
  <c r="D1251" i="1" s="1"/>
  <c r="F1199" i="1"/>
  <c r="N112" i="1"/>
  <c r="Y112" i="1"/>
  <c r="Z112" i="1" s="1"/>
  <c r="H91" i="6"/>
  <c r="N70" i="1"/>
  <c r="R88" i="6"/>
  <c r="X67" i="1"/>
  <c r="AL66" i="1"/>
  <c r="AK75" i="1"/>
  <c r="K1182" i="1" s="1"/>
  <c r="K1552" i="6" s="1"/>
  <c r="X43" i="1"/>
  <c r="Y43" i="1"/>
  <c r="X24" i="1"/>
  <c r="Y24" i="1"/>
  <c r="Z24" i="1" s="1"/>
  <c r="N1095" i="3"/>
  <c r="H1101" i="3"/>
  <c r="N1087" i="3"/>
  <c r="N1092" i="3" s="1"/>
  <c r="Y1087" i="3"/>
  <c r="Z1087" i="3" s="1"/>
  <c r="X1079" i="3"/>
  <c r="Y1079" i="3"/>
  <c r="Z1079" i="3" s="1"/>
  <c r="AG1054" i="3"/>
  <c r="AE1062" i="3"/>
  <c r="X1036" i="3"/>
  <c r="Y1036" i="3"/>
  <c r="Z1036" i="3" s="1"/>
  <c r="D1016" i="3"/>
  <c r="Z1014" i="3"/>
  <c r="R953" i="3"/>
  <c r="O956" i="3"/>
  <c r="AJ969" i="3"/>
  <c r="AL969" i="3" s="1"/>
  <c r="Y916" i="3"/>
  <c r="Z916" i="3" s="1"/>
  <c r="X916" i="3"/>
  <c r="Y160" i="1"/>
  <c r="Y133" i="1"/>
  <c r="Z133" i="1" s="1"/>
  <c r="K127" i="1"/>
  <c r="H120" i="1"/>
  <c r="AG118" i="1"/>
  <c r="AG116" i="1"/>
  <c r="AH115" i="1"/>
  <c r="L1179" i="1" s="1"/>
  <c r="L1548" i="6" s="1"/>
  <c r="P127" i="1"/>
  <c r="R57" i="1"/>
  <c r="N16" i="1"/>
  <c r="Z1582" i="6"/>
  <c r="Z1501" i="6"/>
  <c r="H1422" i="6"/>
  <c r="Z1385" i="6"/>
  <c r="Z1046" i="6"/>
  <c r="Z800" i="6"/>
  <c r="Z680" i="6"/>
  <c r="Z498" i="6"/>
  <c r="Z433" i="6"/>
  <c r="Z302" i="6"/>
  <c r="Z231" i="6"/>
  <c r="AF252" i="6"/>
  <c r="Z196" i="6"/>
  <c r="Z152" i="6"/>
  <c r="Z134" i="6"/>
  <c r="Z106" i="6"/>
  <c r="Z103" i="6"/>
  <c r="AL1103" i="3"/>
  <c r="V1154" i="3"/>
  <c r="AL1098" i="3"/>
  <c r="X1086" i="3"/>
  <c r="T1103" i="3"/>
  <c r="T1224" i="3" s="1"/>
  <c r="Y1069" i="3"/>
  <c r="Z1069" i="3" s="1"/>
  <c r="S1062" i="3"/>
  <c r="S1222" i="3" s="1"/>
  <c r="J1154" i="3"/>
  <c r="X1057" i="3"/>
  <c r="AB1057" i="3" s="1"/>
  <c r="AE1056" i="3"/>
  <c r="AG1056" i="3" s="1"/>
  <c r="L1150" i="3"/>
  <c r="E1042" i="3"/>
  <c r="S1042" i="3"/>
  <c r="AH1025" i="3"/>
  <c r="L1153" i="3" s="1"/>
  <c r="N1021" i="3"/>
  <c r="AA1021" i="3" s="1"/>
  <c r="E1016" i="3"/>
  <c r="L1027" i="3"/>
  <c r="L1220" i="3" s="1"/>
  <c r="J1027" i="3"/>
  <c r="J1220" i="3" s="1"/>
  <c r="AD1020" i="3"/>
  <c r="AL972" i="3"/>
  <c r="AN972" i="3" s="1"/>
  <c r="V1136" i="3"/>
  <c r="S976" i="3"/>
  <c r="S1218" i="3" s="1"/>
  <c r="K976" i="3"/>
  <c r="K1218" i="3" s="1"/>
  <c r="Y945" i="3"/>
  <c r="Y940" i="3"/>
  <c r="Z940" i="3" s="1"/>
  <c r="H934" i="3"/>
  <c r="AL923" i="3"/>
  <c r="AL922" i="3"/>
  <c r="AJ921" i="3"/>
  <c r="AG920" i="3"/>
  <c r="V1155" i="3"/>
  <c r="H872" i="3"/>
  <c r="N868" i="3"/>
  <c r="L925" i="3"/>
  <c r="L1216" i="3" s="1"/>
  <c r="AG855" i="3"/>
  <c r="AN854" i="3"/>
  <c r="Y831" i="3"/>
  <c r="Z831" i="3" s="1"/>
  <c r="X831" i="3"/>
  <c r="AB801" i="3"/>
  <c r="AB803" i="3" s="1"/>
  <c r="R781" i="3"/>
  <c r="AB767" i="3"/>
  <c r="AB772" i="3" s="1"/>
  <c r="AA767" i="3"/>
  <c r="AA772" i="3" s="1"/>
  <c r="X752" i="3"/>
  <c r="Y752" i="3"/>
  <c r="Z752" i="3" s="1"/>
  <c r="AB739" i="3"/>
  <c r="S717" i="3"/>
  <c r="S1210" i="3" s="1"/>
  <c r="Z665" i="3"/>
  <c r="AD710" i="3"/>
  <c r="Y646" i="3"/>
  <c r="AM633" i="3"/>
  <c r="X611" i="3"/>
  <c r="R615" i="3"/>
  <c r="AB137" i="1"/>
  <c r="AB180" i="6" s="1"/>
  <c r="AI119" i="1"/>
  <c r="D107" i="1"/>
  <c r="D127" i="1" s="1"/>
  <c r="D1247" i="1" s="1"/>
  <c r="U127" i="1"/>
  <c r="U1247" i="1" s="1"/>
  <c r="AN73" i="1"/>
  <c r="AQ73" i="1" s="1"/>
  <c r="I75" i="1"/>
  <c r="I1245" i="1" s="1"/>
  <c r="D1586" i="6"/>
  <c r="Z238" i="6"/>
  <c r="Z175" i="6"/>
  <c r="AF155" i="6"/>
  <c r="AH1101" i="3"/>
  <c r="L1154" i="3" s="1"/>
  <c r="V1152" i="3"/>
  <c r="F1152" i="3"/>
  <c r="R1042" i="3"/>
  <c r="L1148" i="3"/>
  <c r="D997" i="3"/>
  <c r="D1027" i="3" s="1"/>
  <c r="D1220" i="3" s="1"/>
  <c r="U1027" i="3"/>
  <c r="U1220" i="3" s="1"/>
  <c r="O1027" i="3"/>
  <c r="O1220" i="3" s="1"/>
  <c r="AB945" i="3"/>
  <c r="AB951" i="3" s="1"/>
  <c r="T976" i="3"/>
  <c r="T1218" i="3" s="1"/>
  <c r="X915" i="3"/>
  <c r="Y915" i="3"/>
  <c r="N904" i="3"/>
  <c r="H910" i="3"/>
  <c r="AA898" i="3"/>
  <c r="AB898" i="3"/>
  <c r="S925" i="3"/>
  <c r="S1216" i="3" s="1"/>
  <c r="R869" i="3"/>
  <c r="O872" i="3"/>
  <c r="O925" i="3" s="1"/>
  <c r="O1216" i="3" s="1"/>
  <c r="Y829" i="3"/>
  <c r="X829" i="3"/>
  <c r="AN801" i="3"/>
  <c r="N781" i="3"/>
  <c r="X762" i="3"/>
  <c r="Y762" i="3"/>
  <c r="Z762" i="3" s="1"/>
  <c r="AE709" i="3"/>
  <c r="E714" i="3"/>
  <c r="N657" i="3"/>
  <c r="N660" i="3" s="1"/>
  <c r="Y657" i="3"/>
  <c r="Z657" i="3" s="1"/>
  <c r="Y640" i="3"/>
  <c r="Z640" i="3" s="1"/>
  <c r="R536" i="3"/>
  <c r="AJ546" i="3"/>
  <c r="O539" i="3"/>
  <c r="Y490" i="3"/>
  <c r="N490" i="3"/>
  <c r="X481" i="3"/>
  <c r="AB481" i="3" s="1"/>
  <c r="Y481" i="3"/>
  <c r="Z481" i="3" s="1"/>
  <c r="AL126" i="1"/>
  <c r="AN126" i="1" s="1"/>
  <c r="I127" i="1"/>
  <c r="I1247" i="1" s="1"/>
  <c r="AE120" i="1"/>
  <c r="T127" i="1"/>
  <c r="T1247" i="1" s="1"/>
  <c r="AG67" i="1"/>
  <c r="D60" i="1"/>
  <c r="D75" i="1" s="1"/>
  <c r="D1245" i="1" s="1"/>
  <c r="Z1094" i="6"/>
  <c r="Z978" i="6"/>
  <c r="Z908" i="6"/>
  <c r="D887" i="6"/>
  <c r="Z639" i="6"/>
  <c r="Z630" i="6"/>
  <c r="Z628" i="6"/>
  <c r="Z613" i="6"/>
  <c r="Z511" i="6"/>
  <c r="Z495" i="6"/>
  <c r="Z468" i="6"/>
  <c r="Z428" i="6"/>
  <c r="Z171" i="6"/>
  <c r="Z154" i="6"/>
  <c r="Z150" i="6"/>
  <c r="Z136" i="6"/>
  <c r="Z64" i="6"/>
  <c r="S1164" i="3"/>
  <c r="R1109" i="3"/>
  <c r="Z1098" i="3"/>
  <c r="AG1095" i="3"/>
  <c r="Y1095" i="3"/>
  <c r="Z1095" i="3" s="1"/>
  <c r="Z1101" i="3" s="1"/>
  <c r="AL1094" i="3"/>
  <c r="K1137" i="3"/>
  <c r="U1062" i="3"/>
  <c r="U1222" i="3" s="1"/>
  <c r="J1062" i="3"/>
  <c r="J1222" i="3" s="1"/>
  <c r="Y1056" i="3"/>
  <c r="Z1056" i="3" s="1"/>
  <c r="AG1055" i="3"/>
  <c r="O1144" i="3"/>
  <c r="AB1040" i="3"/>
  <c r="Y1039" i="3"/>
  <c r="Z1039" i="3" s="1"/>
  <c r="AJ1057" i="3"/>
  <c r="E1153" i="3"/>
  <c r="AG1021" i="3"/>
  <c r="AG1017" i="3"/>
  <c r="V1027" i="3"/>
  <c r="V1220" i="3" s="1"/>
  <c r="P1027" i="3"/>
  <c r="P1220" i="3" s="1"/>
  <c r="Y880" i="3"/>
  <c r="Z880" i="3" s="1"/>
  <c r="X880" i="3"/>
  <c r="AB876" i="3"/>
  <c r="X777" i="3"/>
  <c r="AB777" i="3" s="1"/>
  <c r="Y777" i="3"/>
  <c r="Y753" i="3"/>
  <c r="Z753" i="3" s="1"/>
  <c r="X753" i="3"/>
  <c r="Y744" i="3"/>
  <c r="Y711" i="3"/>
  <c r="Z711" i="3" s="1"/>
  <c r="R714" i="3"/>
  <c r="X711" i="3"/>
  <c r="Y568" i="3"/>
  <c r="Z568" i="3" s="1"/>
  <c r="X568" i="3"/>
  <c r="N543" i="3"/>
  <c r="Y543" i="3"/>
  <c r="N645" i="3"/>
  <c r="H651" i="3"/>
  <c r="X620" i="3"/>
  <c r="Y620" i="3"/>
  <c r="N604" i="3"/>
  <c r="H608" i="3"/>
  <c r="AG915" i="3"/>
  <c r="AG925" i="3" s="1"/>
  <c r="T856" i="3"/>
  <c r="T1214" i="3" s="1"/>
  <c r="L856" i="3"/>
  <c r="L1214" i="3" s="1"/>
  <c r="X834" i="3"/>
  <c r="AL797" i="3"/>
  <c r="AN797" i="3" s="1"/>
  <c r="AN805" i="3" s="1"/>
  <c r="U805" i="3"/>
  <c r="U1212" i="3" s="1"/>
  <c r="AB738" i="3"/>
  <c r="X741" i="3"/>
  <c r="K805" i="3"/>
  <c r="K1212" i="3" s="1"/>
  <c r="AG714" i="3"/>
  <c r="AO714" i="3" s="1"/>
  <c r="O717" i="3"/>
  <c r="O1210" i="3" s="1"/>
  <c r="AL711" i="3"/>
  <c r="AN711" i="3" s="1"/>
  <c r="AG711" i="3"/>
  <c r="H708" i="3"/>
  <c r="Y698" i="3"/>
  <c r="AG631" i="3"/>
  <c r="AB629" i="3"/>
  <c r="AL625" i="3"/>
  <c r="AA598" i="3"/>
  <c r="Y581" i="3"/>
  <c r="Z581" i="3" s="1"/>
  <c r="X581" i="3"/>
  <c r="D539" i="3"/>
  <c r="D549" i="3" s="1"/>
  <c r="D1206" i="3" s="1"/>
  <c r="AD547" i="3"/>
  <c r="X461" i="3"/>
  <c r="Y461" i="3"/>
  <c r="Z461" i="3" s="1"/>
  <c r="AL915" i="3"/>
  <c r="I925" i="3"/>
  <c r="I1216" i="3" s="1"/>
  <c r="AA880" i="3"/>
  <c r="Y876" i="3"/>
  <c r="Z876" i="3" s="1"/>
  <c r="D872" i="3"/>
  <c r="D925" i="3" s="1"/>
  <c r="D1216" i="3" s="1"/>
  <c r="AB863" i="3"/>
  <c r="AB866" i="3" s="1"/>
  <c r="AL855" i="3"/>
  <c r="AN855" i="3" s="1"/>
  <c r="AG854" i="3"/>
  <c r="AF856" i="3"/>
  <c r="AG856" i="3" s="1"/>
  <c r="AI856" i="3" s="1"/>
  <c r="Y821" i="3"/>
  <c r="Z821" i="3" s="1"/>
  <c r="Y815" i="3"/>
  <c r="Z815" i="3" s="1"/>
  <c r="AG801" i="3"/>
  <c r="Y760" i="3"/>
  <c r="Y739" i="3"/>
  <c r="Z739" i="3" s="1"/>
  <c r="Y729" i="3"/>
  <c r="Z729" i="3" s="1"/>
  <c r="Z734" i="3" s="1"/>
  <c r="O727" i="3"/>
  <c r="I805" i="3"/>
  <c r="I1212" i="3" s="1"/>
  <c r="AL716" i="3"/>
  <c r="AL715" i="3"/>
  <c r="AP714" i="3"/>
  <c r="K717" i="3"/>
  <c r="K1210" i="3" s="1"/>
  <c r="AL710" i="3"/>
  <c r="AG708" i="3"/>
  <c r="E701" i="3"/>
  <c r="AB691" i="3"/>
  <c r="R677" i="3"/>
  <c r="Y666" i="3"/>
  <c r="Y654" i="3"/>
  <c r="R642" i="3"/>
  <c r="Y639" i="3"/>
  <c r="AL632" i="3"/>
  <c r="AN632" i="3" s="1"/>
  <c r="Y622" i="3"/>
  <c r="Z622" i="3" s="1"/>
  <c r="X621" i="3"/>
  <c r="N580" i="3"/>
  <c r="Y580" i="3"/>
  <c r="Z580" i="3" s="1"/>
  <c r="X558" i="3"/>
  <c r="Y558" i="3"/>
  <c r="Z558" i="3" s="1"/>
  <c r="AN541" i="3"/>
  <c r="AQ541" i="3" s="1"/>
  <c r="Y494" i="3"/>
  <c r="Z494" i="3" s="1"/>
  <c r="X494" i="3"/>
  <c r="X918" i="3"/>
  <c r="H900" i="3"/>
  <c r="Y875" i="3"/>
  <c r="Y870" i="3"/>
  <c r="Z870" i="3" s="1"/>
  <c r="Y813" i="3"/>
  <c r="AG799" i="3"/>
  <c r="AG797" i="3"/>
  <c r="Y789" i="3"/>
  <c r="Y751" i="3"/>
  <c r="J717" i="3"/>
  <c r="J1210" i="3" s="1"/>
  <c r="N708" i="3"/>
  <c r="AA680" i="3"/>
  <c r="AB639" i="3"/>
  <c r="AB642" i="3" s="1"/>
  <c r="AN628" i="3"/>
  <c r="AI628" i="3"/>
  <c r="X619" i="3"/>
  <c r="K633" i="3"/>
  <c r="K1208" i="3" s="1"/>
  <c r="Y610" i="3"/>
  <c r="X610" i="3"/>
  <c r="Y598" i="3"/>
  <c r="X598" i="3"/>
  <c r="AB598" i="3" s="1"/>
  <c r="AB597" i="3"/>
  <c r="X578" i="3"/>
  <c r="Y578" i="3"/>
  <c r="Z578" i="3" s="1"/>
  <c r="T549" i="3"/>
  <c r="T1206" i="3" s="1"/>
  <c r="AN537" i="3"/>
  <c r="AQ537" i="3" s="1"/>
  <c r="N493" i="3"/>
  <c r="Y493" i="3"/>
  <c r="Z493" i="3" s="1"/>
  <c r="X482" i="3"/>
  <c r="Y482" i="3"/>
  <c r="Z482" i="3" s="1"/>
  <c r="Y473" i="3"/>
  <c r="N473" i="3"/>
  <c r="Y462" i="3"/>
  <c r="Z462" i="3" s="1"/>
  <c r="N462" i="3"/>
  <c r="AA361" i="3"/>
  <c r="AB361" i="3"/>
  <c r="AL623" i="3"/>
  <c r="AL621" i="3"/>
  <c r="AL620" i="3"/>
  <c r="F633" i="3"/>
  <c r="F1208" i="3" s="1"/>
  <c r="R600" i="3"/>
  <c r="Y588" i="3"/>
  <c r="Y570" i="3"/>
  <c r="AB564" i="3"/>
  <c r="R560" i="3"/>
  <c r="R633" i="3" s="1"/>
  <c r="R1208" i="3" s="1"/>
  <c r="Y554" i="3"/>
  <c r="AG547" i="3"/>
  <c r="AN545" i="3"/>
  <c r="AQ545" i="3" s="1"/>
  <c r="AQ534" i="3"/>
  <c r="Y525" i="3"/>
  <c r="AB494" i="3"/>
  <c r="AA492" i="3"/>
  <c r="O465" i="3"/>
  <c r="Y463" i="3"/>
  <c r="Z463" i="3" s="1"/>
  <c r="Y452" i="3"/>
  <c r="Z452" i="3" s="1"/>
  <c r="Y438" i="3"/>
  <c r="Z438" i="3" s="1"/>
  <c r="Z442" i="3" s="1"/>
  <c r="AI431" i="3"/>
  <c r="AQ431" i="3" s="1"/>
  <c r="I432" i="3"/>
  <c r="I1204" i="3" s="1"/>
  <c r="AB428" i="3"/>
  <c r="AB430" i="3" s="1"/>
  <c r="AN424" i="3"/>
  <c r="AG424" i="3"/>
  <c r="Y422" i="3"/>
  <c r="Z422" i="3" s="1"/>
  <c r="Y419" i="3"/>
  <c r="AH432" i="3"/>
  <c r="Y414" i="3"/>
  <c r="Y407" i="3"/>
  <c r="X398" i="3"/>
  <c r="Y391" i="3"/>
  <c r="Z391" i="3" s="1"/>
  <c r="AB389" i="3"/>
  <c r="AB394" i="3" s="1"/>
  <c r="H386" i="3"/>
  <c r="H379" i="3"/>
  <c r="Y361" i="3"/>
  <c r="Z361" i="3" s="1"/>
  <c r="Y359" i="3"/>
  <c r="AB357" i="3"/>
  <c r="Y351" i="3"/>
  <c r="Y333" i="3"/>
  <c r="Z333" i="3" s="1"/>
  <c r="V323" i="3"/>
  <c r="R321" i="3"/>
  <c r="AG320" i="3"/>
  <c r="AL315" i="3"/>
  <c r="AG309" i="3"/>
  <c r="X250" i="3"/>
  <c r="AA250" i="3" s="1"/>
  <c r="Y250" i="3"/>
  <c r="Z250" i="3" s="1"/>
  <c r="N185" i="3"/>
  <c r="AB185" i="3" s="1"/>
  <c r="Y185" i="3"/>
  <c r="Z185" i="3" s="1"/>
  <c r="X157" i="3"/>
  <c r="Y157" i="3"/>
  <c r="Z157" i="3" s="1"/>
  <c r="N128" i="3"/>
  <c r="AB128" i="3" s="1"/>
  <c r="Y128" i="3"/>
  <c r="Z128" i="3" s="1"/>
  <c r="AN116" i="3"/>
  <c r="AQ116" i="3" s="1"/>
  <c r="X104" i="3"/>
  <c r="Y104" i="3"/>
  <c r="Z104" i="3" s="1"/>
  <c r="Y81" i="3"/>
  <c r="Z81" i="3" s="1"/>
  <c r="Y79" i="3"/>
  <c r="Z79" i="3" s="1"/>
  <c r="X79" i="3"/>
  <c r="AB78" i="3"/>
  <c r="AB83" i="3" s="1"/>
  <c r="AG624" i="3"/>
  <c r="X594" i="3"/>
  <c r="H592" i="3"/>
  <c r="H633" i="3" s="1"/>
  <c r="H1208" i="3" s="1"/>
  <c r="Y590" i="3"/>
  <c r="Z590" i="3" s="1"/>
  <c r="AB589" i="3"/>
  <c r="AB592" i="3" s="1"/>
  <c r="P633" i="3"/>
  <c r="P1208" i="3" s="1"/>
  <c r="U633" i="3"/>
  <c r="U1208" i="3" s="1"/>
  <c r="Y555" i="3"/>
  <c r="Z555" i="3" s="1"/>
  <c r="AG548" i="3"/>
  <c r="AG540" i="3"/>
  <c r="AG538" i="3"/>
  <c r="AG534" i="3"/>
  <c r="AG549" i="3" s="1"/>
  <c r="AM549" i="3"/>
  <c r="Y532" i="3"/>
  <c r="Y526" i="3"/>
  <c r="Z526" i="3" s="1"/>
  <c r="AH549" i="3"/>
  <c r="AB490" i="3"/>
  <c r="O484" i="3"/>
  <c r="Y451" i="3"/>
  <c r="X439" i="3"/>
  <c r="AA439" i="3" s="1"/>
  <c r="AL425" i="3"/>
  <c r="Y423" i="3"/>
  <c r="Z423" i="3" s="1"/>
  <c r="AG422" i="3"/>
  <c r="AG432" i="3" s="1"/>
  <c r="Y399" i="3"/>
  <c r="Y389" i="3"/>
  <c r="V432" i="3"/>
  <c r="V1204" i="3" s="1"/>
  <c r="Y343" i="3"/>
  <c r="Z343" i="3" s="1"/>
  <c r="H336" i="3"/>
  <c r="AG322" i="3"/>
  <c r="H1158" i="3" s="1"/>
  <c r="U323" i="3"/>
  <c r="U1202" i="3" s="1"/>
  <c r="J323" i="3"/>
  <c r="J1202" i="3" s="1"/>
  <c r="E312" i="3"/>
  <c r="AG311" i="3"/>
  <c r="AE308" i="3"/>
  <c r="AL307" i="3"/>
  <c r="R301" i="3"/>
  <c r="AA228" i="3"/>
  <c r="Y196" i="3"/>
  <c r="Z196" i="3" s="1"/>
  <c r="N156" i="3"/>
  <c r="AB156" i="3" s="1"/>
  <c r="Y156" i="3"/>
  <c r="Z156" i="3" s="1"/>
  <c r="AK69" i="3"/>
  <c r="K1134" i="3" s="1"/>
  <c r="K1164" i="3" s="1"/>
  <c r="AG64" i="3"/>
  <c r="V633" i="3"/>
  <c r="V1208" i="3" s="1"/>
  <c r="L633" i="3"/>
  <c r="L1208" i="3" s="1"/>
  <c r="Y556" i="3"/>
  <c r="Z556" i="3" s="1"/>
  <c r="J549" i="3"/>
  <c r="J1206" i="3" s="1"/>
  <c r="Y535" i="3"/>
  <c r="Z535" i="3" s="1"/>
  <c r="AL533" i="3"/>
  <c r="Y480" i="3"/>
  <c r="N445" i="3"/>
  <c r="AJ428" i="3"/>
  <c r="AG423" i="3"/>
  <c r="AI423" i="3" s="1"/>
  <c r="AQ423" i="3" s="1"/>
  <c r="J432" i="3"/>
  <c r="J1204" i="3" s="1"/>
  <c r="H363" i="3"/>
  <c r="Y339" i="3"/>
  <c r="AL322" i="3"/>
  <c r="Y315" i="3"/>
  <c r="AL314" i="3"/>
  <c r="AG306" i="3"/>
  <c r="AO306" i="3" s="1"/>
  <c r="AP306" i="3" s="1"/>
  <c r="Y287" i="3"/>
  <c r="Z287" i="3" s="1"/>
  <c r="N179" i="3"/>
  <c r="Y179" i="3"/>
  <c r="Z179" i="3" s="1"/>
  <c r="N175" i="3"/>
  <c r="H181" i="3"/>
  <c r="R63" i="3"/>
  <c r="O67" i="3"/>
  <c r="O69" i="3" s="1"/>
  <c r="O1196" i="3" s="1"/>
  <c r="X49" i="3"/>
  <c r="Y49" i="3"/>
  <c r="Z49" i="3" s="1"/>
  <c r="X21" i="3"/>
  <c r="Y21" i="3"/>
  <c r="Y26" i="3" s="1"/>
  <c r="R26" i="3"/>
  <c r="Y12" i="3"/>
  <c r="Z12" i="3" s="1"/>
  <c r="X12" i="3"/>
  <c r="AO426" i="3"/>
  <c r="AP426" i="3" s="1"/>
  <c r="S432" i="3"/>
  <c r="S1204" i="3" s="1"/>
  <c r="AA334" i="3"/>
  <c r="AA336" i="3" s="1"/>
  <c r="X249" i="3"/>
  <c r="AB249" i="3" s="1"/>
  <c r="AB252" i="3" s="1"/>
  <c r="Y249" i="3"/>
  <c r="X54" i="3"/>
  <c r="AA54" i="3" s="1"/>
  <c r="Y54" i="3"/>
  <c r="Z54" i="3" s="1"/>
  <c r="AB250" i="3"/>
  <c r="AA249" i="3"/>
  <c r="AA252" i="3" s="1"/>
  <c r="AM189" i="3"/>
  <c r="AM1106" i="3" s="1"/>
  <c r="AN113" i="3"/>
  <c r="AQ113" i="3" s="1"/>
  <c r="S101" i="3"/>
  <c r="S119" i="3" s="1"/>
  <c r="S1198" i="3" s="1"/>
  <c r="AB79" i="3"/>
  <c r="K69" i="3"/>
  <c r="K1196" i="3" s="1"/>
  <c r="Y23" i="3"/>
  <c r="Z23" i="3" s="1"/>
  <c r="X16" i="3"/>
  <c r="AA16" i="3" s="1"/>
  <c r="Z1186" i="6"/>
  <c r="Z192" i="6"/>
  <c r="Z125" i="6"/>
  <c r="AG313" i="3"/>
  <c r="AL312" i="3"/>
  <c r="AG310" i="3"/>
  <c r="AI310" i="3" s="1"/>
  <c r="AQ310" i="3" s="1"/>
  <c r="Y290" i="3"/>
  <c r="Z290" i="3" s="1"/>
  <c r="AB279" i="3"/>
  <c r="AB282" i="3" s="1"/>
  <c r="Y272" i="3"/>
  <c r="Z272" i="3" s="1"/>
  <c r="Y242" i="3"/>
  <c r="Z242" i="3" s="1"/>
  <c r="E212" i="3"/>
  <c r="AL185" i="3"/>
  <c r="AL178" i="3"/>
  <c r="AB176" i="3"/>
  <c r="Y169" i="3"/>
  <c r="Z169" i="3" s="1"/>
  <c r="Y146" i="3"/>
  <c r="AL110" i="3"/>
  <c r="AL108" i="3"/>
  <c r="N99" i="3"/>
  <c r="AB99" i="3" s="1"/>
  <c r="N96" i="3"/>
  <c r="I119" i="3"/>
  <c r="E83" i="3"/>
  <c r="E119" i="3" s="1"/>
  <c r="E1198" i="3" s="1"/>
  <c r="J69" i="3"/>
  <c r="Y50" i="3"/>
  <c r="Z50" i="3" s="1"/>
  <c r="F189" i="3"/>
  <c r="F1200" i="3" s="1"/>
  <c r="AI186" i="3"/>
  <c r="AG183" i="3"/>
  <c r="H1155" i="3" s="1"/>
  <c r="AI182" i="3"/>
  <c r="AQ182" i="3" s="1"/>
  <c r="D131" i="3"/>
  <c r="AL107" i="3"/>
  <c r="AG68" i="3"/>
  <c r="AL65" i="3"/>
  <c r="AI65" i="3"/>
  <c r="AG61" i="3"/>
  <c r="AG57" i="3"/>
  <c r="S56" i="3"/>
  <c r="R1410" i="6"/>
  <c r="Z520" i="6"/>
  <c r="R109" i="6"/>
  <c r="Y77" i="6"/>
  <c r="Z77" i="6" s="1"/>
  <c r="H1463" i="6"/>
  <c r="Z412" i="6"/>
  <c r="Z1190" i="6"/>
  <c r="Y1417" i="6"/>
  <c r="Z1369" i="6"/>
  <c r="D1323" i="6"/>
  <c r="Z1188" i="6"/>
  <c r="Z1149" i="6"/>
  <c r="Z1140" i="6"/>
  <c r="Z714" i="6"/>
  <c r="Z583" i="6"/>
  <c r="Z569" i="6"/>
  <c r="Z510" i="6"/>
  <c r="Z1225" i="6"/>
  <c r="Y723" i="6"/>
  <c r="Z723" i="6" s="1"/>
  <c r="R426" i="6"/>
  <c r="R1076" i="6"/>
  <c r="Z1024" i="6"/>
  <c r="Z692" i="6"/>
  <c r="Z1511" i="6"/>
  <c r="Z1489" i="6"/>
  <c r="Z1487" i="6"/>
  <c r="AF1513" i="6"/>
  <c r="AF1458" i="6"/>
  <c r="D1018" i="6"/>
  <c r="Z1007" i="6"/>
  <c r="Z1003" i="6"/>
  <c r="Z716" i="6"/>
  <c r="Y491" i="6"/>
  <c r="Z491" i="6" s="1"/>
  <c r="Z409" i="6"/>
  <c r="Z280" i="6"/>
  <c r="Z278" i="6"/>
  <c r="Z117" i="6"/>
  <c r="Y105" i="6"/>
  <c r="Z105" i="6" s="1"/>
  <c r="Z907" i="6"/>
  <c r="Z1403" i="6"/>
  <c r="Z1178" i="6"/>
  <c r="Z1071" i="6"/>
  <c r="Z1049" i="6"/>
  <c r="Z1036" i="6"/>
  <c r="Z1005" i="6"/>
  <c r="Z799" i="6"/>
  <c r="Z768" i="6"/>
  <c r="Z497" i="6"/>
  <c r="Z67" i="6"/>
  <c r="Z138" i="6"/>
  <c r="Z1285" i="6"/>
  <c r="Y752" i="6"/>
  <c r="Z1560" i="6"/>
  <c r="Z1552" i="6"/>
  <c r="AF1460" i="6"/>
  <c r="D1393" i="6"/>
  <c r="Z1303" i="6"/>
  <c r="Z734" i="6"/>
  <c r="Z728" i="6"/>
  <c r="Z570" i="6"/>
  <c r="Z538" i="6"/>
  <c r="Y415" i="6"/>
  <c r="Z415" i="6" s="1"/>
  <c r="Z392" i="6"/>
  <c r="D129" i="6"/>
  <c r="Z170" i="6"/>
  <c r="R877" i="6"/>
  <c r="Z948" i="6"/>
  <c r="Z22" i="6"/>
  <c r="R183" i="6"/>
  <c r="H81" i="6"/>
  <c r="Y1549" i="6"/>
  <c r="Z1549" i="6" s="1"/>
  <c r="Y860" i="6"/>
  <c r="Z860" i="6" s="1"/>
  <c r="R120" i="6"/>
  <c r="H1018" i="6"/>
  <c r="Z379" i="6"/>
  <c r="R744" i="6"/>
  <c r="Z965" i="6"/>
  <c r="H1255" i="6"/>
  <c r="Y1576" i="6"/>
  <c r="Z1576" i="6" s="1"/>
  <c r="Y945" i="6"/>
  <c r="Z945" i="6" s="1"/>
  <c r="Y1219" i="6"/>
  <c r="Z1219" i="6" s="1"/>
  <c r="D599" i="6"/>
  <c r="H129" i="6"/>
  <c r="H1393" i="6"/>
  <c r="Y126" i="6"/>
  <c r="Z126" i="6" s="1"/>
  <c r="Z338" i="6"/>
  <c r="Y239" i="6"/>
  <c r="Z239" i="6" s="1"/>
  <c r="Y1550" i="6"/>
  <c r="Z1550" i="6" s="1"/>
  <c r="R1215" i="6"/>
  <c r="Z1507" i="6"/>
  <c r="R417" i="6"/>
  <c r="Z381" i="6"/>
  <c r="Y1213" i="6"/>
  <c r="Z1213" i="6" s="1"/>
  <c r="Y1198" i="6"/>
  <c r="Z1198" i="6" s="1"/>
  <c r="Y751" i="6"/>
  <c r="Y1573" i="6"/>
  <c r="H730" i="6"/>
  <c r="Z536" i="6"/>
  <c r="Z968" i="6"/>
  <c r="Z1371" i="6"/>
  <c r="Z1344" i="6"/>
  <c r="Z1327" i="6"/>
  <c r="D1331" i="6"/>
  <c r="Z1319" i="6"/>
  <c r="Z1163" i="6"/>
  <c r="D1123" i="6"/>
  <c r="D1030" i="6"/>
  <c r="Z807" i="6"/>
  <c r="Z776" i="6"/>
  <c r="Z742" i="6"/>
  <c r="AA518" i="6"/>
  <c r="Z508" i="6"/>
  <c r="Z489" i="6"/>
  <c r="AF144" i="6"/>
  <c r="Y1568" i="6"/>
  <c r="Z1568" i="6" s="1"/>
  <c r="Z1510" i="6"/>
  <c r="AF1504" i="6"/>
  <c r="R1463" i="6"/>
  <c r="Z1238" i="6"/>
  <c r="AF1252" i="6"/>
  <c r="AF1255" i="6"/>
  <c r="Z1117" i="6"/>
  <c r="Z895" i="6"/>
  <c r="Y689" i="6"/>
  <c r="Z689" i="6" s="1"/>
  <c r="Z519" i="6"/>
  <c r="Z480" i="6"/>
  <c r="Z477" i="6"/>
  <c r="Z467" i="6"/>
  <c r="Z411" i="6"/>
  <c r="Z305" i="6"/>
  <c r="Z104" i="6"/>
  <c r="AF87" i="6"/>
  <c r="Z78" i="6"/>
  <c r="Z71" i="6"/>
  <c r="Z68" i="6"/>
  <c r="Z51" i="6"/>
  <c r="D1463" i="6"/>
  <c r="Z215" i="6"/>
  <c r="Z1287" i="6"/>
  <c r="H1491" i="6"/>
  <c r="Y1484" i="6"/>
  <c r="Z1484" i="6" s="1"/>
  <c r="Z1488" i="6"/>
  <c r="D1165" i="6"/>
  <c r="Z927" i="6"/>
  <c r="Z847" i="6"/>
  <c r="Z774" i="6"/>
  <c r="Y733" i="6"/>
  <c r="Z733" i="6" s="1"/>
  <c r="Z186" i="6"/>
  <c r="Z1472" i="6"/>
  <c r="D395" i="6"/>
  <c r="D1422" i="6"/>
  <c r="Z1299" i="6"/>
  <c r="Z1251" i="6"/>
  <c r="Z584" i="6"/>
  <c r="AF605" i="6"/>
  <c r="Z539" i="6"/>
  <c r="Z523" i="6"/>
  <c r="Z390" i="6"/>
  <c r="Z374" i="6"/>
  <c r="Z320" i="6"/>
  <c r="D256" i="6"/>
  <c r="Z228" i="6"/>
  <c r="Z176" i="6"/>
  <c r="Z137" i="6"/>
  <c r="Z135" i="6"/>
  <c r="Z41" i="6"/>
  <c r="Z37" i="6"/>
  <c r="AM867" i="6"/>
  <c r="Y349" i="6"/>
  <c r="Z349" i="6" s="1"/>
  <c r="D353" i="6"/>
  <c r="Z1185" i="6"/>
  <c r="Z509" i="6"/>
  <c r="Z281" i="6"/>
  <c r="Y549" i="6"/>
  <c r="Z549" i="6" s="1"/>
  <c r="R1442" i="6"/>
  <c r="Y1430" i="6"/>
  <c r="Z1430" i="6" s="1"/>
  <c r="AN1422" i="6"/>
  <c r="AP1422" i="6" s="1"/>
  <c r="T1193" i="6"/>
  <c r="Z896" i="6"/>
  <c r="H900" i="6"/>
  <c r="Y843" i="6"/>
  <c r="Z843" i="6" s="1"/>
  <c r="R220" i="6"/>
  <c r="Z53" i="6"/>
  <c r="Y1267" i="6"/>
  <c r="Z1267" i="6" s="1"/>
  <c r="Z526" i="6"/>
  <c r="Z333" i="6"/>
  <c r="R720" i="6"/>
  <c r="H911" i="6"/>
  <c r="Y327" i="6"/>
  <c r="Z327" i="6" s="1"/>
  <c r="Z1057" i="6"/>
  <c r="R672" i="6"/>
  <c r="Y461" i="6"/>
  <c r="Z461" i="6" s="1"/>
  <c r="H744" i="6"/>
  <c r="AJ756" i="6"/>
  <c r="AL738" i="6"/>
  <c r="AH738" i="6"/>
  <c r="Y340" i="6"/>
  <c r="Z340" i="6" s="1"/>
  <c r="AO615" i="6"/>
  <c r="AJ615" i="6"/>
  <c r="K589" i="6"/>
  <c r="AM451" i="6"/>
  <c r="K265" i="6"/>
  <c r="AM1255" i="6"/>
  <c r="AM738" i="6"/>
  <c r="AM754" i="6"/>
  <c r="I17" i="6"/>
  <c r="AG735" i="6"/>
  <c r="Z1342" i="6"/>
  <c r="AG987" i="6"/>
  <c r="AO738" i="6"/>
  <c r="AJ738" i="6"/>
  <c r="AM735" i="6"/>
  <c r="Y276" i="6"/>
  <c r="Z276" i="6" s="1"/>
  <c r="Y663" i="6"/>
  <c r="Z663" i="6" s="1"/>
  <c r="H443" i="6"/>
  <c r="Y243" i="6"/>
  <c r="Z243" i="6" s="1"/>
  <c r="S962" i="6"/>
  <c r="H1244" i="6"/>
  <c r="Y1399" i="6"/>
  <c r="H543" i="6"/>
  <c r="R1165" i="6"/>
  <c r="Y21" i="6"/>
  <c r="Y25" i="6" s="1"/>
  <c r="H1165" i="6"/>
  <c r="H487" i="6"/>
  <c r="Z1496" i="6"/>
  <c r="Y1393" i="6"/>
  <c r="R1351" i="6"/>
  <c r="Y1340" i="6"/>
  <c r="Z1340" i="6" s="1"/>
  <c r="Z535" i="6"/>
  <c r="R475" i="6"/>
  <c r="Z401" i="6"/>
  <c r="Z375" i="6"/>
  <c r="K17" i="6"/>
  <c r="Z335" i="6"/>
  <c r="H887" i="6"/>
  <c r="R528" i="6"/>
  <c r="Z1349" i="6"/>
  <c r="Y380" i="6"/>
  <c r="Z380" i="6" s="1"/>
  <c r="Y1156" i="6"/>
  <c r="H1106" i="6"/>
  <c r="Z370" i="6"/>
  <c r="H162" i="6"/>
  <c r="H1331" i="6"/>
  <c r="Z1399" i="6"/>
  <c r="H109" i="6"/>
  <c r="H256" i="6"/>
  <c r="Z1348" i="6"/>
  <c r="H1123" i="6"/>
  <c r="Y448" i="6"/>
  <c r="Z448" i="6" s="1"/>
  <c r="Y86" i="6"/>
  <c r="Y240" i="6"/>
  <c r="Z240" i="6" s="1"/>
  <c r="Y1228" i="6"/>
  <c r="Z1228" i="6" s="1"/>
  <c r="Y1184" i="6"/>
  <c r="Z1184" i="6" s="1"/>
  <c r="L1076" i="6"/>
  <c r="V931" i="6"/>
  <c r="Z717" i="6"/>
  <c r="P617" i="6"/>
  <c r="Z567" i="6"/>
  <c r="H454" i="6"/>
  <c r="AJ1246" i="6"/>
  <c r="J982" i="6"/>
  <c r="T578" i="6"/>
  <c r="O25" i="6"/>
  <c r="N1106" i="6"/>
  <c r="AG1453" i="6"/>
  <c r="AM1461" i="6"/>
  <c r="J1399" i="6"/>
  <c r="E1399" i="6"/>
  <c r="U1393" i="6"/>
  <c r="AM1412" i="6"/>
  <c r="I1231" i="6"/>
  <c r="AO1253" i="6"/>
  <c r="T1182" i="6"/>
  <c r="AM1166" i="6"/>
  <c r="P1156" i="6"/>
  <c r="K1156" i="6"/>
  <c r="O1010" i="6"/>
  <c r="J826" i="6"/>
  <c r="S617" i="6"/>
  <c r="I617" i="6"/>
  <c r="U589" i="6"/>
  <c r="AM615" i="6"/>
  <c r="AG603" i="6"/>
  <c r="AN162" i="6"/>
  <c r="AP162" i="6" s="1"/>
  <c r="F109" i="6"/>
  <c r="F56" i="6"/>
  <c r="AG88" i="6"/>
  <c r="E17" i="6"/>
  <c r="E1156" i="6"/>
  <c r="E1481" i="6"/>
  <c r="J1311" i="6"/>
  <c r="AO754" i="6"/>
  <c r="Z1420" i="6"/>
  <c r="Y1422" i="6"/>
  <c r="N404" i="6"/>
  <c r="AI434" i="6"/>
  <c r="AK434" i="6" s="1"/>
  <c r="AS433" i="6" s="1"/>
  <c r="N617" i="6"/>
  <c r="AG1246" i="6"/>
  <c r="E1491" i="6"/>
  <c r="AO1515" i="6"/>
  <c r="AM1504" i="6"/>
  <c r="AM1509" i="6"/>
  <c r="AH1461" i="6"/>
  <c r="AL1453" i="6"/>
  <c r="AH1453" i="6"/>
  <c r="AG1418" i="6"/>
  <c r="U1399" i="6"/>
  <c r="P1399" i="6"/>
  <c r="F1399" i="6"/>
  <c r="F1387" i="6"/>
  <c r="E1360" i="6"/>
  <c r="J1360" i="6"/>
  <c r="AM1359" i="6"/>
  <c r="S1351" i="6"/>
  <c r="AL1356" i="6"/>
  <c r="AG1356" i="6"/>
  <c r="V1244" i="6"/>
  <c r="F1193" i="6"/>
  <c r="AJ1247" i="6"/>
  <c r="L1156" i="6"/>
  <c r="AI1106" i="6"/>
  <c r="AK1106" i="6" s="1"/>
  <c r="T1088" i="6"/>
  <c r="P988" i="6"/>
  <c r="P982" i="6"/>
  <c r="J962" i="6"/>
  <c r="J954" i="6"/>
  <c r="U862" i="6"/>
  <c r="AL876" i="6"/>
  <c r="P730" i="6"/>
  <c r="F730" i="6"/>
  <c r="AG754" i="6"/>
  <c r="AI753" i="6"/>
  <c r="AK753" i="6" s="1"/>
  <c r="AH599" i="6"/>
  <c r="U578" i="6"/>
  <c r="AN606" i="6"/>
  <c r="AP606" i="6" s="1"/>
  <c r="AI606" i="6"/>
  <c r="P552" i="6"/>
  <c r="K552" i="6"/>
  <c r="AN600" i="6"/>
  <c r="AP600" i="6" s="1"/>
  <c r="S353" i="6"/>
  <c r="AM446" i="6"/>
  <c r="AH439" i="6"/>
  <c r="F329" i="6"/>
  <c r="E313" i="6"/>
  <c r="V299" i="6"/>
  <c r="L265" i="6"/>
  <c r="AM252" i="6"/>
  <c r="AA183" i="6"/>
  <c r="V81" i="6"/>
  <c r="T25" i="6"/>
  <c r="F17" i="6"/>
  <c r="S17" i="6"/>
  <c r="R1422" i="6"/>
  <c r="X962" i="6"/>
  <c r="R974" i="6"/>
  <c r="E183" i="6"/>
  <c r="O1193" i="6"/>
  <c r="R1182" i="6"/>
  <c r="O1123" i="6"/>
  <c r="O299" i="6"/>
  <c r="I1491" i="6"/>
  <c r="AG1505" i="6"/>
  <c r="AN1456" i="6"/>
  <c r="AP1456" i="6" s="1"/>
  <c r="AM1455" i="6"/>
  <c r="AO1453" i="6"/>
  <c r="AJ1453" i="6"/>
  <c r="T1422" i="6"/>
  <c r="F1393" i="6"/>
  <c r="AM1360" i="6"/>
  <c r="AL1348" i="6"/>
  <c r="AO1348" i="6"/>
  <c r="AI1273" i="6"/>
  <c r="AK1273" i="6" s="1"/>
  <c r="I1193" i="6"/>
  <c r="E1193" i="6"/>
  <c r="P1165" i="6"/>
  <c r="F1156" i="6"/>
  <c r="AL1163" i="6"/>
  <c r="AJ1163" i="6"/>
  <c r="S1106" i="6"/>
  <c r="S988" i="6"/>
  <c r="I988" i="6"/>
  <c r="S982" i="6"/>
  <c r="U942" i="6"/>
  <c r="O931" i="6"/>
  <c r="AM877" i="6"/>
  <c r="AH877" i="6"/>
  <c r="L826" i="6"/>
  <c r="L790" i="6"/>
  <c r="S744" i="6"/>
  <c r="J648" i="6"/>
  <c r="V633" i="6"/>
  <c r="L633" i="6"/>
  <c r="S608" i="6"/>
  <c r="AO604" i="6"/>
  <c r="AJ604" i="6"/>
  <c r="E564" i="6"/>
  <c r="E552" i="6"/>
  <c r="AM609" i="6"/>
  <c r="AG604" i="6"/>
  <c r="F353" i="6"/>
  <c r="AL447" i="6"/>
  <c r="T265" i="6"/>
  <c r="V235" i="6"/>
  <c r="AL252" i="6"/>
  <c r="AO257" i="6"/>
  <c r="AL260" i="6"/>
  <c r="AJ255" i="6"/>
  <c r="T143" i="6"/>
  <c r="AM143" i="6"/>
  <c r="T17" i="6"/>
  <c r="O17" i="6"/>
  <c r="J17" i="6"/>
  <c r="AG733" i="6"/>
  <c r="AN1165" i="6"/>
  <c r="AI1165" i="6"/>
  <c r="AK1165" i="6" s="1"/>
  <c r="V1076" i="6"/>
  <c r="T988" i="6"/>
  <c r="AN978" i="6"/>
  <c r="AP978" i="6" s="1"/>
  <c r="AN980" i="6"/>
  <c r="AO756" i="6"/>
  <c r="AL733" i="6"/>
  <c r="E617" i="6"/>
  <c r="AN607" i="6"/>
  <c r="AP607" i="6" s="1"/>
  <c r="AI607" i="6"/>
  <c r="AK607" i="6" s="1"/>
  <c r="AH600" i="6"/>
  <c r="J552" i="6"/>
  <c r="AI608" i="6"/>
  <c r="AK608" i="6" s="1"/>
  <c r="AI453" i="6"/>
  <c r="AK453" i="6" s="1"/>
  <c r="AJ438" i="6"/>
  <c r="P1589" i="6"/>
  <c r="P1641" i="6" s="1"/>
  <c r="U265" i="6"/>
  <c r="AM1410" i="6"/>
  <c r="AN1410" i="6" s="1"/>
  <c r="AL439" i="6"/>
  <c r="F183" i="6"/>
  <c r="X1293" i="6"/>
  <c r="O502" i="6"/>
  <c r="AI82" i="6"/>
  <c r="AK82" i="6" s="1"/>
  <c r="U1517" i="6"/>
  <c r="S1517" i="6"/>
  <c r="AH1516" i="6"/>
  <c r="AM1458" i="6"/>
  <c r="AH1455" i="6"/>
  <c r="AM1418" i="6"/>
  <c r="U1376" i="6"/>
  <c r="S1360" i="6"/>
  <c r="U1360" i="6"/>
  <c r="AM1356" i="6"/>
  <c r="O1311" i="6"/>
  <c r="P1293" i="6"/>
  <c r="F1275" i="6"/>
  <c r="E1244" i="6"/>
  <c r="L1231" i="6"/>
  <c r="K1215" i="6"/>
  <c r="V1215" i="6"/>
  <c r="AJ1270" i="6"/>
  <c r="L1193" i="6"/>
  <c r="V1193" i="6"/>
  <c r="AM1253" i="6"/>
  <c r="AO1248" i="6"/>
  <c r="AJ1248" i="6"/>
  <c r="V1165" i="6"/>
  <c r="K1106" i="6"/>
  <c r="U1051" i="6"/>
  <c r="T1018" i="6"/>
  <c r="S954" i="6"/>
  <c r="T900" i="6"/>
  <c r="J900" i="6"/>
  <c r="J877" i="6"/>
  <c r="AM876" i="6"/>
  <c r="F826" i="6"/>
  <c r="F790" i="6"/>
  <c r="K730" i="6"/>
  <c r="AJ755" i="6"/>
  <c r="V708" i="6"/>
  <c r="P708" i="6"/>
  <c r="AI751" i="6"/>
  <c r="AK751" i="6" s="1"/>
  <c r="P672" i="6"/>
  <c r="AO733" i="6"/>
  <c r="I564" i="6"/>
  <c r="L552" i="6"/>
  <c r="O543" i="6"/>
  <c r="T528" i="6"/>
  <c r="F528" i="6"/>
  <c r="AJ610" i="6"/>
  <c r="E516" i="6"/>
  <c r="U487" i="6"/>
  <c r="U475" i="6"/>
  <c r="U454" i="6"/>
  <c r="U417" i="6"/>
  <c r="J404" i="6"/>
  <c r="J353" i="6"/>
  <c r="U342" i="6"/>
  <c r="S299" i="6"/>
  <c r="T247" i="6"/>
  <c r="AA235" i="6"/>
  <c r="E220" i="6"/>
  <c r="J183" i="6"/>
  <c r="AJ254" i="6"/>
  <c r="T162" i="6"/>
  <c r="K143" i="6"/>
  <c r="AJ81" i="6"/>
  <c r="AJ95" i="6" s="1"/>
  <c r="AG84" i="6"/>
  <c r="AH81" i="6"/>
  <c r="AH95" i="6" s="1"/>
  <c r="AJ86" i="6"/>
  <c r="P56" i="6"/>
  <c r="AL89" i="6"/>
  <c r="L17" i="6"/>
  <c r="AJ91" i="6" s="1"/>
  <c r="AA617" i="6"/>
  <c r="X1193" i="6"/>
  <c r="AL1516" i="6"/>
  <c r="AG1516" i="6"/>
  <c r="L1393" i="6"/>
  <c r="AH1255" i="6"/>
  <c r="AO1254" i="6"/>
  <c r="AN434" i="6"/>
  <c r="AO434" i="6" s="1"/>
  <c r="AL256" i="6"/>
  <c r="AH256" i="6"/>
  <c r="AI161" i="6"/>
  <c r="D1351" i="6"/>
  <c r="X1215" i="6"/>
  <c r="K1517" i="6"/>
  <c r="P1503" i="6"/>
  <c r="AM1516" i="6"/>
  <c r="AM1513" i="6"/>
  <c r="AO1504" i="6"/>
  <c r="AM1453" i="6"/>
  <c r="E1452" i="6"/>
  <c r="V1442" i="6"/>
  <c r="AH1418" i="6"/>
  <c r="I1393" i="6"/>
  <c r="K1387" i="6"/>
  <c r="P1360" i="6"/>
  <c r="AH1359" i="6"/>
  <c r="U1293" i="6"/>
  <c r="K1293" i="6"/>
  <c r="AG1351" i="6"/>
  <c r="T1275" i="6"/>
  <c r="J1275" i="6"/>
  <c r="L1244" i="6"/>
  <c r="F1231" i="6"/>
  <c r="P1215" i="6"/>
  <c r="AH1254" i="6"/>
  <c r="L1215" i="6"/>
  <c r="I1215" i="6"/>
  <c r="AH1247" i="6"/>
  <c r="AG1162" i="6"/>
  <c r="AO1163" i="6"/>
  <c r="E1059" i="6"/>
  <c r="AH981" i="6"/>
  <c r="AM987" i="6"/>
  <c r="K942" i="6"/>
  <c r="AG984" i="6"/>
  <c r="AG983" i="6"/>
  <c r="O900" i="6"/>
  <c r="AN881" i="6"/>
  <c r="AP881" i="6" s="1"/>
  <c r="V853" i="6"/>
  <c r="AM875" i="6"/>
  <c r="T826" i="6"/>
  <c r="O826" i="6"/>
  <c r="J815" i="6"/>
  <c r="V790" i="6"/>
  <c r="AJ735" i="6"/>
  <c r="AR735" i="6" s="1"/>
  <c r="U730" i="6"/>
  <c r="E720" i="6"/>
  <c r="P720" i="6"/>
  <c r="U672" i="6"/>
  <c r="AH732" i="6"/>
  <c r="AJ733" i="6"/>
  <c r="AR733" i="6" s="1"/>
  <c r="AL756" i="6"/>
  <c r="T633" i="6"/>
  <c r="AM599" i="6"/>
  <c r="P564" i="6"/>
  <c r="S564" i="6"/>
  <c r="U552" i="6"/>
  <c r="P543" i="6"/>
  <c r="J528" i="6"/>
  <c r="J502" i="6"/>
  <c r="AG609" i="6"/>
  <c r="F443" i="6"/>
  <c r="V426" i="6"/>
  <c r="AI435" i="6"/>
  <c r="T342" i="6"/>
  <c r="K342" i="6"/>
  <c r="AO445" i="6"/>
  <c r="AH440" i="6"/>
  <c r="V256" i="6"/>
  <c r="K235" i="6"/>
  <c r="AG260" i="6"/>
  <c r="AJ162" i="6"/>
  <c r="AG87" i="6"/>
  <c r="AH90" i="6"/>
  <c r="T56" i="6"/>
  <c r="U56" i="6"/>
  <c r="K56" i="6"/>
  <c r="AG89" i="6"/>
  <c r="AH88" i="6"/>
  <c r="S25" i="6"/>
  <c r="AO83" i="6"/>
  <c r="AA1193" i="6"/>
  <c r="X1156" i="6"/>
  <c r="N1143" i="6"/>
  <c r="N129" i="6"/>
  <c r="AL452" i="6"/>
  <c r="N256" i="6"/>
  <c r="AG1458" i="6"/>
  <c r="AJ1505" i="6"/>
  <c r="AO1509" i="6"/>
  <c r="AO1516" i="6"/>
  <c r="L1491" i="6"/>
  <c r="J1491" i="6"/>
  <c r="AH1458" i="6"/>
  <c r="AJ1455" i="6"/>
  <c r="T1410" i="6"/>
  <c r="T1399" i="6"/>
  <c r="O1399" i="6"/>
  <c r="I1399" i="6"/>
  <c r="E1393" i="6"/>
  <c r="AL1412" i="6"/>
  <c r="AL1423" i="6" s="1"/>
  <c r="AM1348" i="6"/>
  <c r="S1311" i="6"/>
  <c r="AO1357" i="6"/>
  <c r="V1275" i="6"/>
  <c r="L1275" i="6"/>
  <c r="J1255" i="6"/>
  <c r="L1255" i="6"/>
  <c r="J1244" i="6"/>
  <c r="AO1246" i="6"/>
  <c r="U1215" i="6"/>
  <c r="S1215" i="6"/>
  <c r="E1182" i="6"/>
  <c r="AM1162" i="6"/>
  <c r="O1131" i="6"/>
  <c r="O988" i="6"/>
  <c r="L954" i="6"/>
  <c r="E900" i="6"/>
  <c r="V887" i="6"/>
  <c r="E862" i="6"/>
  <c r="AL868" i="6"/>
  <c r="AG876" i="6"/>
  <c r="E815" i="6"/>
  <c r="P804" i="6"/>
  <c r="AJ754" i="6"/>
  <c r="AO743" i="6"/>
  <c r="O578" i="6"/>
  <c r="AM605" i="6"/>
  <c r="AH605" i="6"/>
  <c r="T552" i="6"/>
  <c r="AG599" i="6"/>
  <c r="AO609" i="6"/>
  <c r="AJ609" i="6"/>
  <c r="AM604" i="6"/>
  <c r="AL609" i="6"/>
  <c r="AF617" i="6"/>
  <c r="P475" i="6"/>
  <c r="K475" i="6"/>
  <c r="F426" i="6"/>
  <c r="F404" i="6"/>
  <c r="S364" i="6"/>
  <c r="I364" i="6"/>
  <c r="E364" i="6"/>
  <c r="AM445" i="6"/>
  <c r="I353" i="6"/>
  <c r="AM433" i="6"/>
  <c r="Z334" i="6"/>
  <c r="J289" i="6"/>
  <c r="F265" i="6"/>
  <c r="H247" i="6"/>
  <c r="AM263" i="6"/>
  <c r="S162" i="6"/>
  <c r="J143" i="6"/>
  <c r="AO155" i="6"/>
  <c r="S143" i="6"/>
  <c r="AO143" i="6"/>
  <c r="AG145" i="6"/>
  <c r="O120" i="6"/>
  <c r="AO145" i="6"/>
  <c r="AL144" i="6"/>
  <c r="AM141" i="6"/>
  <c r="AL142" i="6"/>
  <c r="AM87" i="6"/>
  <c r="AL88" i="6"/>
  <c r="F48" i="6"/>
  <c r="V25" i="6"/>
  <c r="AO90" i="6" s="1"/>
  <c r="L25" i="6"/>
  <c r="AJ90" i="6" s="1"/>
  <c r="U17" i="6"/>
  <c r="P17" i="6"/>
  <c r="AM91" i="6" s="1"/>
  <c r="AN91" i="6" s="1"/>
  <c r="Y522" i="6"/>
  <c r="Z522" i="6" s="1"/>
  <c r="AG1275" i="6"/>
  <c r="E1255" i="6"/>
  <c r="O1517" i="6"/>
  <c r="AJ1509" i="6"/>
  <c r="L1463" i="6"/>
  <c r="AO1461" i="6"/>
  <c r="P1442" i="6"/>
  <c r="AJ1352" i="6"/>
  <c r="AL1357" i="6"/>
  <c r="AM1246" i="6"/>
  <c r="P1231" i="6"/>
  <c r="T1165" i="6"/>
  <c r="U1106" i="6"/>
  <c r="I1096" i="6"/>
  <c r="U974" i="6"/>
  <c r="K974" i="6"/>
  <c r="I954" i="6"/>
  <c r="K954" i="6"/>
  <c r="T931" i="6"/>
  <c r="J931" i="6"/>
  <c r="P755" i="6"/>
  <c r="I744" i="6"/>
  <c r="U617" i="6"/>
  <c r="U543" i="6"/>
  <c r="V528" i="6"/>
  <c r="L475" i="6"/>
  <c r="P426" i="6"/>
  <c r="I426" i="6"/>
  <c r="AJ263" i="6"/>
  <c r="I220" i="6"/>
  <c r="AM255" i="6"/>
  <c r="AJ257" i="6"/>
  <c r="P183" i="6"/>
  <c r="E129" i="6"/>
  <c r="AG143" i="6"/>
  <c r="AM83" i="6"/>
  <c r="AM739" i="6"/>
  <c r="F162" i="6"/>
  <c r="F1491" i="6"/>
  <c r="AM256" i="6"/>
  <c r="AB235" i="6"/>
  <c r="N942" i="6"/>
  <c r="I1503" i="6"/>
  <c r="V1491" i="6"/>
  <c r="O1481" i="6"/>
  <c r="S1323" i="6"/>
  <c r="AL1351" i="6"/>
  <c r="P1182" i="6"/>
  <c r="AL1166" i="6"/>
  <c r="AN1166" i="6" s="1"/>
  <c r="I1051" i="6"/>
  <c r="J887" i="6"/>
  <c r="U877" i="6"/>
  <c r="I839" i="6"/>
  <c r="L730" i="6"/>
  <c r="AO755" i="6"/>
  <c r="I708" i="6"/>
  <c r="AJ599" i="6"/>
  <c r="V543" i="6"/>
  <c r="T516" i="6"/>
  <c r="E256" i="6"/>
  <c r="V109" i="6"/>
  <c r="P81" i="6"/>
  <c r="V1481" i="6"/>
  <c r="AM1254" i="6"/>
  <c r="AL603" i="6"/>
  <c r="O1387" i="6"/>
  <c r="AI444" i="6"/>
  <c r="AK444" i="6" s="1"/>
  <c r="V781" i="6"/>
  <c r="V17" i="6"/>
  <c r="AO91" i="6" s="1"/>
  <c r="AJ1254" i="6"/>
  <c r="AB1030" i="6"/>
  <c r="AG977" i="6"/>
  <c r="AI977" i="6" s="1"/>
  <c r="AK977" i="6" s="1"/>
  <c r="E954" i="6"/>
  <c r="AG1509" i="6"/>
  <c r="E1503" i="6"/>
  <c r="J1517" i="6"/>
  <c r="L1503" i="6"/>
  <c r="V1422" i="6"/>
  <c r="K1351" i="6"/>
  <c r="O1323" i="6"/>
  <c r="F1165" i="6"/>
  <c r="J1076" i="6"/>
  <c r="P962" i="6"/>
  <c r="U954" i="6"/>
  <c r="O877" i="6"/>
  <c r="AH876" i="6"/>
  <c r="K699" i="6"/>
  <c r="AL732" i="6"/>
  <c r="AG756" i="6"/>
  <c r="J633" i="6"/>
  <c r="AM602" i="6"/>
  <c r="V502" i="6"/>
  <c r="J443" i="6"/>
  <c r="U426" i="6"/>
  <c r="K426" i="6"/>
  <c r="O404" i="6"/>
  <c r="L404" i="6"/>
  <c r="AJ447" i="6"/>
  <c r="O329" i="6"/>
  <c r="U329" i="6"/>
  <c r="E265" i="6"/>
  <c r="U256" i="6"/>
  <c r="AO263" i="6"/>
  <c r="P235" i="6"/>
  <c r="J220" i="6"/>
  <c r="AO254" i="6"/>
  <c r="V183" i="6"/>
  <c r="I25" i="6"/>
  <c r="R1206" i="6"/>
  <c r="AL86" i="6"/>
  <c r="Z718" i="6"/>
  <c r="F1481" i="6"/>
  <c r="S1481" i="6"/>
  <c r="T1463" i="6"/>
  <c r="I1410" i="6"/>
  <c r="L1351" i="6"/>
  <c r="P1323" i="6"/>
  <c r="AJ1252" i="6"/>
  <c r="U1182" i="6"/>
  <c r="AG1166" i="6"/>
  <c r="AI1166" i="6" s="1"/>
  <c r="J1156" i="6"/>
  <c r="AO985" i="6"/>
  <c r="P877" i="6"/>
  <c r="U755" i="6"/>
  <c r="I672" i="6"/>
  <c r="O516" i="6"/>
  <c r="AG441" i="6"/>
  <c r="L247" i="6"/>
  <c r="AA203" i="6"/>
  <c r="AG254" i="6"/>
  <c r="AH87" i="6"/>
  <c r="P25" i="6"/>
  <c r="AM90" i="6" s="1"/>
  <c r="K25" i="6"/>
  <c r="AL83" i="6"/>
  <c r="J25" i="6"/>
  <c r="V120" i="6"/>
  <c r="F1422" i="6"/>
  <c r="L120" i="6"/>
  <c r="AJ161" i="6" s="1"/>
  <c r="O1376" i="6"/>
  <c r="F974" i="6"/>
  <c r="AN1454" i="6"/>
  <c r="AP1454" i="6" s="1"/>
  <c r="Q1422" i="6"/>
  <c r="O1393" i="6"/>
  <c r="AO1418" i="6"/>
  <c r="K1376" i="6"/>
  <c r="AO1351" i="6"/>
  <c r="V1351" i="6"/>
  <c r="E1323" i="6"/>
  <c r="AI1105" i="6"/>
  <c r="AK1105" i="6" s="1"/>
  <c r="T660" i="6"/>
  <c r="AG745" i="6"/>
  <c r="L648" i="6"/>
  <c r="I599" i="6"/>
  <c r="U564" i="6"/>
  <c r="V552" i="6"/>
  <c r="K543" i="6"/>
  <c r="I543" i="6"/>
  <c r="J543" i="6"/>
  <c r="AG615" i="6"/>
  <c r="AM601" i="6"/>
  <c r="S516" i="6"/>
  <c r="U516" i="6"/>
  <c r="L516" i="6"/>
  <c r="U502" i="6"/>
  <c r="K502" i="6"/>
  <c r="S487" i="6"/>
  <c r="V487" i="6"/>
  <c r="AH609" i="6"/>
  <c r="S454" i="6"/>
  <c r="S426" i="6"/>
  <c r="O417" i="6"/>
  <c r="K417" i="6"/>
  <c r="F417" i="6"/>
  <c r="P364" i="6"/>
  <c r="U353" i="6"/>
  <c r="K353" i="6"/>
  <c r="L342" i="6"/>
  <c r="S329" i="6"/>
  <c r="AF445" i="6"/>
  <c r="U313" i="6"/>
  <c r="S289" i="6"/>
  <c r="AA220" i="6"/>
  <c r="T220" i="6"/>
  <c r="AN149" i="6"/>
  <c r="AP149" i="6" s="1"/>
  <c r="I129" i="6"/>
  <c r="I120" i="6"/>
  <c r="AH89" i="6"/>
  <c r="AN1462" i="6"/>
  <c r="AP1462" i="6" s="1"/>
  <c r="AN886" i="6"/>
  <c r="AP886" i="6" s="1"/>
  <c r="AH1505" i="6"/>
  <c r="L617" i="6"/>
  <c r="N564" i="6"/>
  <c r="N1206" i="6"/>
  <c r="N1231" i="6"/>
  <c r="AG1504" i="6"/>
  <c r="X1422" i="6"/>
  <c r="X1410" i="6"/>
  <c r="N1331" i="6"/>
  <c r="E931" i="6"/>
  <c r="R804" i="6"/>
  <c r="X235" i="6"/>
  <c r="P1491" i="6"/>
  <c r="AJ1255" i="6"/>
  <c r="AL1164" i="6"/>
  <c r="J1165" i="6"/>
  <c r="AG1164" i="6"/>
  <c r="I1165" i="6"/>
  <c r="F1143" i="6"/>
  <c r="T1143" i="6"/>
  <c r="O1143" i="6"/>
  <c r="J1143" i="6"/>
  <c r="AO1161" i="6"/>
  <c r="AJ1161" i="6"/>
  <c r="AN1158" i="6"/>
  <c r="AP1158" i="6" s="1"/>
  <c r="K1123" i="6"/>
  <c r="E1106" i="6"/>
  <c r="V1106" i="6"/>
  <c r="L1106" i="6"/>
  <c r="V1096" i="6"/>
  <c r="O1096" i="6"/>
  <c r="F1096" i="6"/>
  <c r="F1088" i="6"/>
  <c r="U1088" i="6"/>
  <c r="I1068" i="6"/>
  <c r="S1059" i="6"/>
  <c r="V1059" i="6"/>
  <c r="P1051" i="6"/>
  <c r="I1041" i="6"/>
  <c r="AM1104" i="6"/>
  <c r="AH1104" i="6"/>
  <c r="AJ1101" i="6"/>
  <c r="J1010" i="6"/>
  <c r="AH1096" i="6"/>
  <c r="V988" i="6"/>
  <c r="L988" i="6"/>
  <c r="V982" i="6"/>
  <c r="AL985" i="6"/>
  <c r="I974" i="6"/>
  <c r="J974" i="6"/>
  <c r="E962" i="6"/>
  <c r="AG877" i="6"/>
  <c r="U826" i="6"/>
  <c r="U815" i="6"/>
  <c r="AO877" i="6"/>
  <c r="U804" i="6"/>
  <c r="K804" i="6"/>
  <c r="I790" i="6"/>
  <c r="J617" i="6"/>
  <c r="F617" i="6"/>
  <c r="E81" i="6"/>
  <c r="V56" i="6"/>
  <c r="AO89" i="6" s="1"/>
  <c r="AJ87" i="6"/>
  <c r="S56" i="6"/>
  <c r="I56" i="6"/>
  <c r="O56" i="6"/>
  <c r="J56" i="6"/>
  <c r="E56" i="6"/>
  <c r="AL1515" i="6"/>
  <c r="AG1515" i="6"/>
  <c r="V1452" i="6"/>
  <c r="L1422" i="6"/>
  <c r="S1410" i="6"/>
  <c r="U1351" i="6"/>
  <c r="AJ1359" i="6"/>
  <c r="AO1270" i="6"/>
  <c r="AJ984" i="6"/>
  <c r="AM732" i="6"/>
  <c r="V648" i="6"/>
  <c r="I608" i="6"/>
  <c r="S599" i="6"/>
  <c r="K564" i="6"/>
  <c r="L564" i="6"/>
  <c r="L528" i="6"/>
  <c r="O528" i="6"/>
  <c r="I516" i="6"/>
  <c r="K516" i="6"/>
  <c r="V516" i="6"/>
  <c r="AO603" i="6"/>
  <c r="F487" i="6"/>
  <c r="E426" i="6"/>
  <c r="AM442" i="6"/>
  <c r="K364" i="6"/>
  <c r="V342" i="6"/>
  <c r="AJ451" i="6"/>
  <c r="AH451" i="6"/>
  <c r="I299" i="6"/>
  <c r="AH445" i="6"/>
  <c r="AJ442" i="6"/>
  <c r="O289" i="6"/>
  <c r="E289" i="6"/>
  <c r="I289" i="6"/>
  <c r="L256" i="6"/>
  <c r="AG252" i="6"/>
  <c r="AO144" i="6"/>
  <c r="U162" i="6"/>
  <c r="K162" i="6"/>
  <c r="P129" i="6"/>
  <c r="T120" i="6"/>
  <c r="AG86" i="6"/>
  <c r="P162" i="6"/>
  <c r="X921" i="6"/>
  <c r="X1331" i="6"/>
  <c r="N1156" i="6"/>
  <c r="N633" i="6"/>
  <c r="N1399" i="6"/>
  <c r="AB1193" i="6"/>
  <c r="AB1331" i="6"/>
  <c r="AB516" i="6"/>
  <c r="K1491" i="6"/>
  <c r="AH1352" i="6"/>
  <c r="O1331" i="6"/>
  <c r="V1331" i="6"/>
  <c r="AJ1348" i="6"/>
  <c r="AL1352" i="6"/>
  <c r="V1255" i="6"/>
  <c r="I1255" i="6"/>
  <c r="AG1247" i="6"/>
  <c r="T1244" i="6"/>
  <c r="O1244" i="6"/>
  <c r="U1231" i="6"/>
  <c r="AN1273" i="6"/>
  <c r="V1206" i="6"/>
  <c r="J1182" i="6"/>
  <c r="L1182" i="6"/>
  <c r="Y1173" i="6"/>
  <c r="Z1173" i="6" s="1"/>
  <c r="S1131" i="6"/>
  <c r="J988" i="6"/>
  <c r="F988" i="6"/>
  <c r="AJ988" i="6"/>
  <c r="P911" i="6"/>
  <c r="S900" i="6"/>
  <c r="U900" i="6"/>
  <c r="K900" i="6"/>
  <c r="F900" i="6"/>
  <c r="V900" i="6"/>
  <c r="L900" i="6"/>
  <c r="U887" i="6"/>
  <c r="K887" i="6"/>
  <c r="S887" i="6"/>
  <c r="E887" i="6"/>
  <c r="AJ887" i="6"/>
  <c r="P862" i="6"/>
  <c r="AH875" i="6"/>
  <c r="O862" i="6"/>
  <c r="J862" i="6"/>
  <c r="F862" i="6"/>
  <c r="S862" i="6"/>
  <c r="I853" i="6"/>
  <c r="AM868" i="6"/>
  <c r="AH868" i="6"/>
  <c r="S730" i="6"/>
  <c r="I730" i="6"/>
  <c r="J364" i="6"/>
  <c r="V364" i="6"/>
  <c r="T364" i="6"/>
  <c r="T353" i="6"/>
  <c r="O353" i="6"/>
  <c r="AG451" i="6"/>
  <c r="AI451" i="6" s="1"/>
  <c r="S313" i="6"/>
  <c r="L299" i="6"/>
  <c r="U289" i="6"/>
  <c r="P289" i="6"/>
  <c r="P256" i="6"/>
  <c r="AM254" i="6"/>
  <c r="F235" i="6"/>
  <c r="AM257" i="6"/>
  <c r="AH265" i="6"/>
  <c r="O183" i="6"/>
  <c r="O162" i="6"/>
  <c r="AH141" i="6"/>
  <c r="T129" i="6"/>
  <c r="K120" i="6"/>
  <c r="AM144" i="6"/>
  <c r="AH144" i="6"/>
  <c r="AO141" i="6"/>
  <c r="S109" i="6"/>
  <c r="P109" i="6"/>
  <c r="K109" i="6"/>
  <c r="AM86" i="6"/>
  <c r="J93" i="6"/>
  <c r="AG81" i="6"/>
  <c r="AG95" i="6" s="1"/>
  <c r="Z1141" i="6"/>
  <c r="AF1163" i="6"/>
  <c r="AM1164" i="6"/>
  <c r="P1143" i="6"/>
  <c r="H1059" i="6"/>
  <c r="Y1055" i="6"/>
  <c r="Z1055" i="6" s="1"/>
  <c r="Z450" i="6"/>
  <c r="D1452" i="6"/>
  <c r="AF1455" i="6"/>
  <c r="AH1462" i="6"/>
  <c r="AI1462" i="6" s="1"/>
  <c r="AK1462" i="6" s="1"/>
  <c r="F1442" i="6"/>
  <c r="L1442" i="6"/>
  <c r="AJ1458" i="6"/>
  <c r="Y1431" i="6"/>
  <c r="Z1431" i="6" s="1"/>
  <c r="H1442" i="6"/>
  <c r="AO1421" i="6"/>
  <c r="V1410" i="6"/>
  <c r="Z1402" i="6"/>
  <c r="D1410" i="6"/>
  <c r="Y1384" i="6"/>
  <c r="Z1384" i="6" s="1"/>
  <c r="R1387" i="6"/>
  <c r="AF1418" i="6"/>
  <c r="Z1374" i="6"/>
  <c r="AO1412" i="6"/>
  <c r="AO1423" i="6" s="1"/>
  <c r="V1376" i="6"/>
  <c r="L1376" i="6"/>
  <c r="AJ1412" i="6"/>
  <c r="AF1359" i="6"/>
  <c r="Z1357" i="6"/>
  <c r="H660" i="6"/>
  <c r="Y658" i="6"/>
  <c r="Z658" i="6" s="1"/>
  <c r="AF753" i="6"/>
  <c r="AF739" i="6"/>
  <c r="D633" i="6"/>
  <c r="V617" i="6"/>
  <c r="AO599" i="6"/>
  <c r="Y540" i="6"/>
  <c r="Z540" i="6" s="1"/>
  <c r="R543" i="6"/>
  <c r="AM603" i="6"/>
  <c r="P516" i="6"/>
  <c r="F502" i="6"/>
  <c r="AH604" i="6"/>
  <c r="Y478" i="6"/>
  <c r="Y487" i="6" s="1"/>
  <c r="R487" i="6"/>
  <c r="AO608" i="6"/>
  <c r="V475" i="6"/>
  <c r="Y422" i="6"/>
  <c r="Z422" i="6" s="1"/>
  <c r="H426" i="6"/>
  <c r="Z399" i="6"/>
  <c r="D404" i="6"/>
  <c r="Y369" i="6"/>
  <c r="Z369" i="6" s="1"/>
  <c r="R383" i="6"/>
  <c r="AO439" i="6"/>
  <c r="V353" i="6"/>
  <c r="AJ439" i="6"/>
  <c r="L353" i="6"/>
  <c r="Y310" i="6"/>
  <c r="Z310" i="6" s="1"/>
  <c r="R313" i="6"/>
  <c r="H313" i="6"/>
  <c r="Y304" i="6"/>
  <c r="Z304" i="6" s="1"/>
  <c r="F289" i="6"/>
  <c r="AH441" i="6"/>
  <c r="Y250" i="6"/>
  <c r="R256" i="6"/>
  <c r="R203" i="6"/>
  <c r="Y198" i="6"/>
  <c r="Z198" i="6" s="1"/>
  <c r="H183" i="6"/>
  <c r="Y173" i="6"/>
  <c r="Z173" i="6" s="1"/>
  <c r="Y112" i="6"/>
  <c r="Z112" i="6" s="1"/>
  <c r="H120" i="6"/>
  <c r="AJ143" i="6"/>
  <c r="L109" i="6"/>
  <c r="Z102" i="6"/>
  <c r="U1165" i="6"/>
  <c r="V1156" i="6"/>
  <c r="K1131" i="6"/>
  <c r="AH1163" i="6"/>
  <c r="T1106" i="6"/>
  <c r="D1106" i="6"/>
  <c r="Z1092" i="6"/>
  <c r="E1076" i="6"/>
  <c r="AL1101" i="6"/>
  <c r="L1068" i="6"/>
  <c r="K1051" i="6"/>
  <c r="AL1096" i="6"/>
  <c r="U982" i="6"/>
  <c r="Z977" i="6"/>
  <c r="F1010" i="6"/>
  <c r="AH1164" i="6"/>
  <c r="U1442" i="6"/>
  <c r="K1442" i="6"/>
  <c r="V1387" i="6"/>
  <c r="L1360" i="6"/>
  <c r="D1360" i="6"/>
  <c r="I648" i="6"/>
  <c r="P633" i="6"/>
  <c r="O608" i="6"/>
  <c r="Z602" i="6"/>
  <c r="O589" i="6"/>
  <c r="J589" i="6"/>
  <c r="AG605" i="6"/>
  <c r="J578" i="6"/>
  <c r="F564" i="6"/>
  <c r="AO610" i="6"/>
  <c r="AL615" i="6"/>
  <c r="AH615" i="6"/>
  <c r="I528" i="6"/>
  <c r="F516" i="6"/>
  <c r="AG602" i="6"/>
  <c r="I502" i="6"/>
  <c r="O487" i="6"/>
  <c r="I487" i="6"/>
  <c r="E475" i="6"/>
  <c r="AH602" i="6"/>
  <c r="D475" i="6"/>
  <c r="O454" i="6"/>
  <c r="S443" i="6"/>
  <c r="I443" i="6"/>
  <c r="J426" i="6"/>
  <c r="I417" i="6"/>
  <c r="E417" i="6"/>
  <c r="K404" i="6"/>
  <c r="S404" i="6"/>
  <c r="I404" i="6"/>
  <c r="T383" i="6"/>
  <c r="O383" i="6"/>
  <c r="V383" i="6"/>
  <c r="I383" i="6"/>
  <c r="AJ452" i="6"/>
  <c r="L364" i="6"/>
  <c r="AF442" i="6"/>
  <c r="E342" i="6"/>
  <c r="F342" i="6"/>
  <c r="Y332" i="6"/>
  <c r="Z332" i="6" s="1"/>
  <c r="T329" i="6"/>
  <c r="AL446" i="6"/>
  <c r="K329" i="6"/>
  <c r="V329" i="6"/>
  <c r="R329" i="6"/>
  <c r="I329" i="6"/>
  <c r="AO446" i="6"/>
  <c r="AJ446" i="6"/>
  <c r="AF446" i="6"/>
  <c r="T313" i="6"/>
  <c r="O313" i="6"/>
  <c r="J313" i="6"/>
  <c r="P313" i="6"/>
  <c r="K313" i="6"/>
  <c r="AM452" i="6"/>
  <c r="T299" i="6"/>
  <c r="J299" i="6"/>
  <c r="AG440" i="6"/>
  <c r="K299" i="6"/>
  <c r="AO442" i="6"/>
  <c r="V289" i="6"/>
  <c r="AJ443" i="6"/>
  <c r="AF443" i="6"/>
  <c r="AL440" i="6"/>
  <c r="AH252" i="6"/>
  <c r="I247" i="6"/>
  <c r="AG263" i="6"/>
  <c r="D235" i="6"/>
  <c r="AO255" i="6"/>
  <c r="K220" i="6"/>
  <c r="F220" i="6"/>
  <c r="U220" i="6"/>
  <c r="AJ258" i="6"/>
  <c r="T203" i="6"/>
  <c r="J203" i="6"/>
  <c r="E203" i="6"/>
  <c r="AM260" i="6"/>
  <c r="AH260" i="6"/>
  <c r="AF257" i="6"/>
  <c r="L183" i="6"/>
  <c r="S183" i="6"/>
  <c r="I183" i="6"/>
  <c r="Z160" i="6"/>
  <c r="I162" i="6"/>
  <c r="F129" i="6"/>
  <c r="J120" i="6"/>
  <c r="AH143" i="6"/>
  <c r="J109" i="6"/>
  <c r="AO1162" i="6"/>
  <c r="V1123" i="6"/>
  <c r="Y1222" i="6"/>
  <c r="Z1222" i="6" s="1"/>
  <c r="H1231" i="6"/>
  <c r="AG1252" i="6"/>
  <c r="E1206" i="6"/>
  <c r="F1182" i="6"/>
  <c r="AH1248" i="6"/>
  <c r="V1182" i="6"/>
  <c r="AO1247" i="6"/>
  <c r="Y496" i="6"/>
  <c r="H502" i="6"/>
  <c r="S1165" i="6"/>
  <c r="E1165" i="6"/>
  <c r="I1143" i="6"/>
  <c r="F1123" i="6"/>
  <c r="U1123" i="6"/>
  <c r="O1106" i="6"/>
  <c r="O1088" i="6"/>
  <c r="I1076" i="6"/>
  <c r="AG1101" i="6"/>
  <c r="AG1099" i="6"/>
  <c r="O974" i="6"/>
  <c r="O962" i="6"/>
  <c r="Z1100" i="6"/>
  <c r="T962" i="6"/>
  <c r="AL1161" i="6"/>
  <c r="AL982" i="6"/>
  <c r="AB109" i="6"/>
  <c r="AA1059" i="6"/>
  <c r="N974" i="6"/>
  <c r="I1351" i="6"/>
  <c r="AO1349" i="6"/>
  <c r="AJ1349" i="6"/>
  <c r="AG1248" i="6"/>
  <c r="AI1248" i="6" s="1"/>
  <c r="T1215" i="6"/>
  <c r="F1215" i="6"/>
  <c r="AM1270" i="6"/>
  <c r="AG1270" i="6"/>
  <c r="AM1252" i="6"/>
  <c r="P1206" i="6"/>
  <c r="J1193" i="6"/>
  <c r="P1193" i="6"/>
  <c r="S1182" i="6"/>
  <c r="AL1248" i="6"/>
  <c r="K383" i="6"/>
  <c r="AL442" i="6"/>
  <c r="AH447" i="6"/>
  <c r="AF439" i="6"/>
  <c r="P265" i="6"/>
  <c r="T256" i="6"/>
  <c r="S256" i="6"/>
  <c r="U247" i="6"/>
  <c r="J247" i="6"/>
  <c r="S220" i="6"/>
  <c r="V220" i="6"/>
  <c r="AL258" i="6"/>
  <c r="AG258" i="6"/>
  <c r="AL257" i="6"/>
  <c r="AG257" i="6"/>
  <c r="AH254" i="6"/>
  <c r="AG256" i="6"/>
  <c r="AH255" i="6"/>
  <c r="I143" i="6"/>
  <c r="Y1212" i="6"/>
  <c r="Z1212" i="6" s="1"/>
  <c r="K962" i="6"/>
  <c r="Z277" i="6"/>
  <c r="AL265" i="6"/>
  <c r="AH257" i="6"/>
  <c r="L220" i="6"/>
  <c r="J162" i="6"/>
  <c r="Y116" i="6"/>
  <c r="Z116" i="6" s="1"/>
  <c r="P120" i="6"/>
  <c r="I109" i="6"/>
  <c r="AO84" i="6"/>
  <c r="D954" i="6"/>
  <c r="Z883" i="6"/>
  <c r="D528" i="6"/>
  <c r="AM142" i="6"/>
  <c r="AL433" i="6"/>
  <c r="R1168" i="6"/>
  <c r="R1625" i="6" s="1"/>
  <c r="P220" i="6"/>
  <c r="AG873" i="6"/>
  <c r="Z1320" i="6"/>
  <c r="Z325" i="6"/>
  <c r="AG438" i="6"/>
  <c r="E578" i="6"/>
  <c r="L129" i="6"/>
  <c r="S1503" i="6"/>
  <c r="K1503" i="6"/>
  <c r="AO1505" i="6"/>
  <c r="U1491" i="6"/>
  <c r="F1463" i="6"/>
  <c r="S1463" i="6"/>
  <c r="P1463" i="6"/>
  <c r="V1463" i="6"/>
  <c r="I1463" i="6"/>
  <c r="AO1460" i="6"/>
  <c r="L1452" i="6"/>
  <c r="AN1464" i="6"/>
  <c r="AP1464" i="6" s="1"/>
  <c r="U962" i="6"/>
  <c r="V954" i="6"/>
  <c r="Z936" i="6"/>
  <c r="P942" i="6"/>
  <c r="Z916" i="6"/>
  <c r="Z906" i="6"/>
  <c r="Z904" i="6"/>
  <c r="K862" i="6"/>
  <c r="D853" i="6"/>
  <c r="P853" i="6"/>
  <c r="K853" i="6"/>
  <c r="S826" i="6"/>
  <c r="E826" i="6"/>
  <c r="P826" i="6"/>
  <c r="K826" i="6"/>
  <c r="AI882" i="6"/>
  <c r="AJ877" i="6"/>
  <c r="AO871" i="6"/>
  <c r="AJ871" i="6"/>
  <c r="Y801" i="6"/>
  <c r="Z801" i="6" s="1"/>
  <c r="AG867" i="6"/>
  <c r="F804" i="6"/>
  <c r="E804" i="6"/>
  <c r="K790" i="6"/>
  <c r="D781" i="6"/>
  <c r="K755" i="6"/>
  <c r="V48" i="6"/>
  <c r="AJ88" i="6"/>
  <c r="Z20" i="6"/>
  <c r="AF988" i="6"/>
  <c r="Z952" i="6"/>
  <c r="Y914" i="6"/>
  <c r="Z914" i="6" s="1"/>
  <c r="R921" i="6"/>
  <c r="Y859" i="6"/>
  <c r="H862" i="6"/>
  <c r="AF1509" i="6"/>
  <c r="D1481" i="6"/>
  <c r="AH1275" i="6"/>
  <c r="F1255" i="6"/>
  <c r="D1244" i="6"/>
  <c r="AF1248" i="6"/>
  <c r="AO752" i="6"/>
  <c r="V730" i="6"/>
  <c r="R699" i="6"/>
  <c r="Y696" i="6"/>
  <c r="Z696" i="6" s="1"/>
  <c r="R660" i="6"/>
  <c r="Y651" i="6"/>
  <c r="R633" i="6"/>
  <c r="Y625" i="6"/>
  <c r="Y410" i="6"/>
  <c r="Z410" i="6" s="1"/>
  <c r="H417" i="6"/>
  <c r="Y262" i="6"/>
  <c r="Y265" i="6" s="1"/>
  <c r="H265" i="6"/>
  <c r="AG875" i="6"/>
  <c r="AL432" i="6"/>
  <c r="AO438" i="6" s="1"/>
  <c r="P329" i="6"/>
  <c r="I256" i="6"/>
  <c r="AG265" i="6"/>
  <c r="U203" i="6"/>
  <c r="P203" i="6"/>
  <c r="K203" i="6"/>
  <c r="S203" i="6"/>
  <c r="I203" i="6"/>
  <c r="AG144" i="6"/>
  <c r="U120" i="6"/>
  <c r="AF145" i="6"/>
  <c r="F93" i="6"/>
  <c r="AJ84" i="6"/>
  <c r="Y1565" i="6"/>
  <c r="Z1565" i="6" s="1"/>
  <c r="L162" i="6"/>
  <c r="AN1350" i="6"/>
  <c r="AP1350" i="6" s="1"/>
  <c r="F877" i="6"/>
  <c r="N313" i="6"/>
  <c r="T1491" i="6"/>
  <c r="AH1513" i="6"/>
  <c r="AF1453" i="6"/>
  <c r="S1399" i="6"/>
  <c r="J1393" i="6"/>
  <c r="T1387" i="6"/>
  <c r="U1387" i="6"/>
  <c r="L1387" i="6"/>
  <c r="AI1419" i="6"/>
  <c r="AK1419" i="6" s="1"/>
  <c r="I1387" i="6"/>
  <c r="Z1224" i="6"/>
  <c r="Z1217" i="6"/>
  <c r="U1156" i="6"/>
  <c r="Z1137" i="6"/>
  <c r="Z793" i="6"/>
  <c r="AJ743" i="6"/>
  <c r="D660" i="6"/>
  <c r="R648" i="6"/>
  <c r="U608" i="6"/>
  <c r="S589" i="6"/>
  <c r="I589" i="6"/>
  <c r="I578" i="6"/>
  <c r="AL605" i="6"/>
  <c r="J564" i="6"/>
  <c r="S552" i="6"/>
  <c r="AH603" i="6"/>
  <c r="Z470" i="6"/>
  <c r="S475" i="6"/>
  <c r="O475" i="6"/>
  <c r="J475" i="6"/>
  <c r="F475" i="6"/>
  <c r="Z452" i="6"/>
  <c r="P454" i="6"/>
  <c r="K454" i="6"/>
  <c r="J454" i="6"/>
  <c r="V454" i="6"/>
  <c r="E454" i="6"/>
  <c r="AL443" i="6"/>
  <c r="E443" i="6"/>
  <c r="AH443" i="6"/>
  <c r="AF440" i="6"/>
  <c r="AJ433" i="6"/>
  <c r="V404" i="6"/>
  <c r="Z65" i="6"/>
  <c r="Z1054" i="6"/>
  <c r="Z1316" i="6"/>
  <c r="Z1447" i="6"/>
  <c r="AL984" i="6"/>
  <c r="N1088" i="6"/>
  <c r="Z752" i="6"/>
  <c r="E1088" i="6"/>
  <c r="Z1559" i="6"/>
  <c r="H1452" i="6"/>
  <c r="Z1382" i="6"/>
  <c r="U1331" i="6"/>
  <c r="P1331" i="6"/>
  <c r="S1331" i="6"/>
  <c r="Z1326" i="6"/>
  <c r="AF1352" i="6"/>
  <c r="AH1357" i="6"/>
  <c r="S1293" i="6"/>
  <c r="I1293" i="6"/>
  <c r="Z1283" i="6"/>
  <c r="S1255" i="6"/>
  <c r="AL1246" i="6"/>
  <c r="AH1246" i="6"/>
  <c r="E1231" i="6"/>
  <c r="E1215" i="6"/>
  <c r="AL1253" i="6"/>
  <c r="AG1253" i="6"/>
  <c r="Z1200" i="6"/>
  <c r="I1156" i="6"/>
  <c r="AG1163" i="6"/>
  <c r="H1143" i="6"/>
  <c r="I1106" i="6"/>
  <c r="Z1093" i="6"/>
  <c r="AM1096" i="6"/>
  <c r="D1051" i="6"/>
  <c r="V1041" i="6"/>
  <c r="E1030" i="6"/>
  <c r="Z1023" i="6"/>
  <c r="Z991" i="6"/>
  <c r="AG985" i="6"/>
  <c r="AJ985" i="6"/>
  <c r="D974" i="6"/>
  <c r="T974" i="6"/>
  <c r="AI978" i="6"/>
  <c r="AK978" i="6" s="1"/>
  <c r="Z967" i="6"/>
  <c r="P974" i="6"/>
  <c r="AJ986" i="6"/>
  <c r="F962" i="6"/>
  <c r="D815" i="6"/>
  <c r="P589" i="6"/>
  <c r="Z447" i="6"/>
  <c r="Z348" i="6"/>
  <c r="Z346" i="6"/>
  <c r="Z229" i="6"/>
  <c r="Z190" i="6"/>
  <c r="Z187" i="6"/>
  <c r="Y63" i="6"/>
  <c r="Z63" i="6" s="1"/>
  <c r="Z54" i="6"/>
  <c r="Z23" i="6"/>
  <c r="D17" i="6"/>
  <c r="Z197" i="6"/>
  <c r="Z303" i="6"/>
  <c r="Z715" i="6"/>
  <c r="D1275" i="6"/>
  <c r="Z558" i="6"/>
  <c r="AB900" i="6"/>
  <c r="N1491" i="6"/>
  <c r="Z1202" i="6"/>
  <c r="X887" i="6"/>
  <c r="AF83" i="6"/>
  <c r="AA900" i="6"/>
  <c r="N1165" i="6"/>
  <c r="N417" i="6"/>
  <c r="X1452" i="6"/>
  <c r="AL1455" i="6"/>
  <c r="E1387" i="6"/>
  <c r="X1376" i="6"/>
  <c r="AL1252" i="6"/>
  <c r="AL1270" i="6"/>
  <c r="X1143" i="6"/>
  <c r="N1010" i="6"/>
  <c r="E942" i="6"/>
  <c r="X931" i="6"/>
  <c r="O648" i="6"/>
  <c r="N487" i="6"/>
  <c r="AF452" i="6"/>
  <c r="Y292" i="6"/>
  <c r="Z292" i="6" s="1"/>
  <c r="Y286" i="6"/>
  <c r="Z286" i="6" s="1"/>
  <c r="O247" i="6"/>
  <c r="O220" i="6"/>
  <c r="N183" i="6"/>
  <c r="O143" i="6"/>
  <c r="H17" i="6"/>
  <c r="Z1581" i="6"/>
  <c r="Z1572" i="6"/>
  <c r="Z1509" i="6"/>
  <c r="Z1500" i="6"/>
  <c r="Y1494" i="6"/>
  <c r="Z1494" i="6" s="1"/>
  <c r="Z1239" i="6"/>
  <c r="Z1237" i="6"/>
  <c r="AO1255" i="6"/>
  <c r="Z1176" i="6"/>
  <c r="D1096" i="6"/>
  <c r="E1096" i="6"/>
  <c r="P1076" i="6"/>
  <c r="S1068" i="6"/>
  <c r="AO1101" i="6"/>
  <c r="U1068" i="6"/>
  <c r="P1068" i="6"/>
  <c r="P1059" i="6"/>
  <c r="T1059" i="6"/>
  <c r="L1059" i="6"/>
  <c r="AL1104" i="6"/>
  <c r="AG1104" i="6"/>
  <c r="AO1100" i="6"/>
  <c r="Z1048" i="6"/>
  <c r="AJ1100" i="6"/>
  <c r="AO1098" i="6"/>
  <c r="I1018" i="6"/>
  <c r="AG1098" i="6"/>
  <c r="AF1100" i="6"/>
  <c r="T1010" i="6"/>
  <c r="Z1004" i="6"/>
  <c r="V1010" i="6"/>
  <c r="AJ1096" i="6"/>
  <c r="Z1002" i="6"/>
  <c r="U1010" i="6"/>
  <c r="K1010" i="6"/>
  <c r="AG1097" i="6"/>
  <c r="AO984" i="6"/>
  <c r="AJ983" i="6"/>
  <c r="Z938" i="6"/>
  <c r="S942" i="6"/>
  <c r="I942" i="6"/>
  <c r="AM982" i="6"/>
  <c r="K931" i="6"/>
  <c r="V1529" i="6"/>
  <c r="AN989" i="6"/>
  <c r="AP989" i="6" s="1"/>
  <c r="AM984" i="6"/>
  <c r="AH983" i="6"/>
  <c r="K921" i="6"/>
  <c r="AG988" i="6"/>
  <c r="D911" i="6"/>
  <c r="AF871" i="6"/>
  <c r="U839" i="6"/>
  <c r="P839" i="6"/>
  <c r="K839" i="6"/>
  <c r="V826" i="6"/>
  <c r="AL885" i="6"/>
  <c r="AG885" i="6"/>
  <c r="AL887" i="6"/>
  <c r="AG887" i="6"/>
  <c r="Z773" i="6"/>
  <c r="AL867" i="6"/>
  <c r="S755" i="6"/>
  <c r="I755" i="6"/>
  <c r="J755" i="6"/>
  <c r="F755" i="6"/>
  <c r="Z750" i="6"/>
  <c r="V744" i="6"/>
  <c r="L744" i="6"/>
  <c r="AL744" i="6"/>
  <c r="T730" i="6"/>
  <c r="AI752" i="6"/>
  <c r="U720" i="6"/>
  <c r="K720" i="6"/>
  <c r="AH755" i="6"/>
  <c r="D720" i="6"/>
  <c r="T720" i="6"/>
  <c r="J720" i="6"/>
  <c r="S708" i="6"/>
  <c r="AG755" i="6"/>
  <c r="U708" i="6"/>
  <c r="K708" i="6"/>
  <c r="T708" i="6"/>
  <c r="R708" i="6"/>
  <c r="AL254" i="6"/>
  <c r="F699" i="6"/>
  <c r="Z691" i="6"/>
  <c r="AH743" i="6"/>
  <c r="K686" i="6"/>
  <c r="T686" i="6"/>
  <c r="J686" i="6"/>
  <c r="AL743" i="6"/>
  <c r="K672" i="6"/>
  <c r="AL745" i="6"/>
  <c r="AH745" i="6"/>
  <c r="J660" i="6"/>
  <c r="Z657" i="6"/>
  <c r="L660" i="6"/>
  <c r="AG732" i="6"/>
  <c r="AM745" i="6"/>
  <c r="F660" i="6"/>
  <c r="AM744" i="6"/>
  <c r="AH744" i="6"/>
  <c r="AH733" i="6"/>
  <c r="D648" i="6"/>
  <c r="T648" i="6"/>
  <c r="AG742" i="6"/>
  <c r="E633" i="6"/>
  <c r="U633" i="6"/>
  <c r="K633" i="6"/>
  <c r="T608" i="6"/>
  <c r="E608" i="6"/>
  <c r="P608" i="6"/>
  <c r="K608" i="6"/>
  <c r="V608" i="6"/>
  <c r="T599" i="6"/>
  <c r="J599" i="6"/>
  <c r="AG617" i="6"/>
  <c r="U599" i="6"/>
  <c r="P599" i="6"/>
  <c r="K599" i="6"/>
  <c r="F599" i="6"/>
  <c r="V599" i="6"/>
  <c r="L599" i="6"/>
  <c r="AF615" i="6"/>
  <c r="AO605" i="6"/>
  <c r="L578" i="6"/>
  <c r="AF600" i="6"/>
  <c r="Z507" i="6"/>
  <c r="AF438" i="6"/>
  <c r="AH432" i="6"/>
  <c r="Y318" i="6"/>
  <c r="Z318" i="6" s="1"/>
  <c r="O203" i="6"/>
  <c r="Z178" i="6"/>
  <c r="AF254" i="6"/>
  <c r="Z158" i="6"/>
  <c r="AM84" i="6"/>
  <c r="AN84" i="6" s="1"/>
  <c r="AH84" i="6"/>
  <c r="Z62" i="6"/>
  <c r="Y1191" i="6"/>
  <c r="Z1191" i="6" s="1"/>
  <c r="R1193" i="6"/>
  <c r="AF441" i="6"/>
  <c r="D342" i="6"/>
  <c r="E299" i="6"/>
  <c r="AG447" i="6"/>
  <c r="AF1101" i="6"/>
  <c r="D1076" i="6"/>
  <c r="Y1064" i="6"/>
  <c r="R1068" i="6"/>
  <c r="Y1056" i="6"/>
  <c r="R1059" i="6"/>
  <c r="AO980" i="6"/>
  <c r="V942" i="6"/>
  <c r="AF982" i="6"/>
  <c r="Z935" i="6"/>
  <c r="D942" i="6"/>
  <c r="O942" i="6"/>
  <c r="AL981" i="6"/>
  <c r="P931" i="6"/>
  <c r="AM981" i="6"/>
  <c r="Z903" i="6"/>
  <c r="Y911" i="6"/>
  <c r="Y824" i="6"/>
  <c r="Z824" i="6" s="1"/>
  <c r="R826" i="6"/>
  <c r="Y794" i="6"/>
  <c r="Z794" i="6" s="1"/>
  <c r="H804" i="6"/>
  <c r="Y766" i="6"/>
  <c r="Z766" i="6" s="1"/>
  <c r="H781" i="6"/>
  <c r="AM755" i="6"/>
  <c r="P744" i="6"/>
  <c r="Z726" i="6"/>
  <c r="Z730" i="6" s="1"/>
  <c r="Y730" i="6"/>
  <c r="AO744" i="6"/>
  <c r="V720" i="6"/>
  <c r="AJ744" i="6"/>
  <c r="L720" i="6"/>
  <c r="Z704" i="6"/>
  <c r="D708" i="6"/>
  <c r="AL741" i="6"/>
  <c r="O686" i="6"/>
  <c r="F686" i="6"/>
  <c r="AH741" i="6"/>
  <c r="Y664" i="6"/>
  <c r="Z664" i="6" s="1"/>
  <c r="H672" i="6"/>
  <c r="AM742" i="6"/>
  <c r="P648" i="6"/>
  <c r="Y631" i="6"/>
  <c r="Z631" i="6" s="1"/>
  <c r="H633" i="6"/>
  <c r="O599" i="6"/>
  <c r="AL617" i="6"/>
  <c r="Z587" i="6"/>
  <c r="AF602" i="6"/>
  <c r="K1076" i="6"/>
  <c r="E1068" i="6"/>
  <c r="F1059" i="6"/>
  <c r="E1051" i="6"/>
  <c r="AG1100" i="6"/>
  <c r="U931" i="6"/>
  <c r="AH984" i="6"/>
  <c r="U921" i="6"/>
  <c r="I911" i="6"/>
  <c r="F839" i="6"/>
  <c r="L804" i="6"/>
  <c r="T781" i="6"/>
  <c r="I781" i="6"/>
  <c r="E744" i="6"/>
  <c r="T744" i="6"/>
  <c r="J744" i="6"/>
  <c r="K744" i="6"/>
  <c r="I720" i="6"/>
  <c r="J708" i="6"/>
  <c r="Y702" i="6"/>
  <c r="P699" i="6"/>
  <c r="T699" i="6"/>
  <c r="E699" i="6"/>
  <c r="P686" i="6"/>
  <c r="L686" i="6"/>
  <c r="AG743" i="6"/>
  <c r="AO732" i="6"/>
  <c r="AJ732" i="6"/>
  <c r="AR732" i="6" s="1"/>
  <c r="AF732" i="6"/>
  <c r="L672" i="6"/>
  <c r="K660" i="6"/>
  <c r="AM733" i="6"/>
  <c r="S648" i="6"/>
  <c r="E648" i="6"/>
  <c r="K648" i="6"/>
  <c r="S633" i="6"/>
  <c r="L608" i="6"/>
  <c r="J608" i="6"/>
  <c r="E599" i="6"/>
  <c r="AJ605" i="6"/>
  <c r="AH1098" i="6"/>
  <c r="F744" i="6"/>
  <c r="T1586" i="6"/>
  <c r="AM874" i="6"/>
  <c r="F1076" i="6"/>
  <c r="L1010" i="6"/>
  <c r="O672" i="6"/>
  <c r="E790" i="6"/>
  <c r="R911" i="6"/>
  <c r="H708" i="6"/>
  <c r="R1051" i="6"/>
  <c r="H589" i="6"/>
  <c r="Y1091" i="6"/>
  <c r="H1096" i="6"/>
  <c r="Y1063" i="6"/>
  <c r="Z1063" i="6" s="1"/>
  <c r="H1068" i="6"/>
  <c r="AL1098" i="6"/>
  <c r="O1059" i="6"/>
  <c r="V1051" i="6"/>
  <c r="AO1097" i="6"/>
  <c r="AM1100" i="6"/>
  <c r="P1018" i="6"/>
  <c r="Y1001" i="6"/>
  <c r="Y1010" i="6" s="1"/>
  <c r="H1010" i="6"/>
  <c r="Y937" i="6"/>
  <c r="Y942" i="6" s="1"/>
  <c r="H942" i="6"/>
  <c r="F931" i="6"/>
  <c r="AH982" i="6"/>
  <c r="Y833" i="6"/>
  <c r="Z833" i="6" s="1"/>
  <c r="H839" i="6"/>
  <c r="D826" i="6"/>
  <c r="AF875" i="6"/>
  <c r="V686" i="6"/>
  <c r="AO745" i="6"/>
  <c r="AO742" i="6"/>
  <c r="V660" i="6"/>
  <c r="AH739" i="6"/>
  <c r="F633" i="6"/>
  <c r="Y614" i="6"/>
  <c r="Z614" i="6" s="1"/>
  <c r="H617" i="6"/>
  <c r="O617" i="6"/>
  <c r="AL599" i="6"/>
  <c r="Z603" i="6"/>
  <c r="Y608" i="6"/>
  <c r="F608" i="6"/>
  <c r="AH601" i="6"/>
  <c r="V589" i="6"/>
  <c r="AO602" i="6"/>
  <c r="D589" i="6"/>
  <c r="Z585" i="6"/>
  <c r="O1231" i="6"/>
  <c r="U1076" i="6"/>
  <c r="J1068" i="6"/>
  <c r="P1010" i="6"/>
  <c r="S1010" i="6"/>
  <c r="I1010" i="6"/>
  <c r="F942" i="6"/>
  <c r="AO983" i="6"/>
  <c r="F921" i="6"/>
  <c r="V911" i="6"/>
  <c r="V804" i="6"/>
  <c r="J781" i="6"/>
  <c r="S781" i="6"/>
  <c r="E781" i="6"/>
  <c r="L755" i="6"/>
  <c r="D744" i="6"/>
  <c r="AL735" i="6"/>
  <c r="U744" i="6"/>
  <c r="E730" i="6"/>
  <c r="F720" i="6"/>
  <c r="S720" i="6"/>
  <c r="AH754" i="6"/>
  <c r="F708" i="6"/>
  <c r="L708" i="6"/>
  <c r="J699" i="6"/>
  <c r="D699" i="6"/>
  <c r="I699" i="6"/>
  <c r="D686" i="6"/>
  <c r="H686" i="6"/>
  <c r="AH742" i="6"/>
  <c r="V672" i="6"/>
  <c r="I660" i="6"/>
  <c r="U660" i="6"/>
  <c r="U648" i="6"/>
  <c r="I633" i="6"/>
  <c r="V578" i="6"/>
  <c r="Y14" i="6"/>
  <c r="E1010" i="6"/>
  <c r="Z868" i="6"/>
  <c r="D299" i="6"/>
  <c r="AJ602" i="6"/>
  <c r="AO741" i="6"/>
  <c r="AL742" i="6"/>
  <c r="Z713" i="6"/>
  <c r="D1010" i="6"/>
  <c r="AF985" i="6"/>
  <c r="Z898" i="6"/>
  <c r="AJ878" i="6"/>
  <c r="L887" i="6"/>
  <c r="AF867" i="6"/>
  <c r="D862" i="6"/>
  <c r="Y786" i="6"/>
  <c r="Z786" i="6" s="1"/>
  <c r="H790" i="6"/>
  <c r="AH442" i="6"/>
  <c r="F454" i="6"/>
  <c r="Y356" i="6"/>
  <c r="R364" i="6"/>
  <c r="Y347" i="6"/>
  <c r="R162" i="6"/>
  <c r="Y146" i="6"/>
  <c r="Z146" i="6" s="1"/>
  <c r="AF160" i="6"/>
  <c r="D120" i="6"/>
  <c r="Z118" i="6"/>
  <c r="Y1497" i="6"/>
  <c r="H1503" i="6"/>
  <c r="AL1513" i="6"/>
  <c r="O1491" i="6"/>
  <c r="H1481" i="6"/>
  <c r="Y1471" i="6"/>
  <c r="Z1471" i="6" s="1"/>
  <c r="Y1380" i="6"/>
  <c r="Z1380" i="6" s="1"/>
  <c r="H1387" i="6"/>
  <c r="Z1358" i="6"/>
  <c r="AF1360" i="6"/>
  <c r="Y1354" i="6"/>
  <c r="H1360" i="6"/>
  <c r="R1255" i="6"/>
  <c r="Y1248" i="6"/>
  <c r="Z1248" i="6" s="1"/>
  <c r="Y1218" i="6"/>
  <c r="Z1218" i="6" s="1"/>
  <c r="R1231" i="6"/>
  <c r="D1182" i="6"/>
  <c r="AF1247" i="6"/>
  <c r="D1156" i="6"/>
  <c r="Z1148" i="6"/>
  <c r="AF1162" i="6"/>
  <c r="D1143" i="6"/>
  <c r="Y548" i="6"/>
  <c r="R552" i="6"/>
  <c r="AJ603" i="6"/>
  <c r="L502" i="6"/>
  <c r="P487" i="6"/>
  <c r="AM610" i="6"/>
  <c r="AO441" i="6"/>
  <c r="V417" i="6"/>
  <c r="L417" i="6"/>
  <c r="AJ441" i="6"/>
  <c r="AJ435" i="6"/>
  <c r="L383" i="6"/>
  <c r="V265" i="6"/>
  <c r="AO260" i="6"/>
  <c r="H220" i="6"/>
  <c r="Y206" i="6"/>
  <c r="Z206" i="6" s="1"/>
  <c r="AH145" i="6"/>
  <c r="F120" i="6"/>
  <c r="AG142" i="6"/>
  <c r="E120" i="6"/>
  <c r="AF84" i="6"/>
  <c r="D93" i="6"/>
  <c r="AM92" i="6"/>
  <c r="AN92" i="6" s="1"/>
  <c r="AM88" i="6"/>
  <c r="Y391" i="6"/>
  <c r="Z391" i="6" s="1"/>
  <c r="H395" i="6"/>
  <c r="K1463" i="6"/>
  <c r="T1452" i="6"/>
  <c r="D900" i="6"/>
  <c r="T877" i="6"/>
  <c r="L877" i="6"/>
  <c r="F853" i="6"/>
  <c r="AO875" i="6"/>
  <c r="U364" i="6"/>
  <c r="AM441" i="6"/>
  <c r="V313" i="6"/>
  <c r="D313" i="6"/>
  <c r="AL445" i="6"/>
  <c r="F299" i="6"/>
  <c r="Z155" i="6"/>
  <c r="D162" i="6"/>
  <c r="Z43" i="6"/>
  <c r="AH142" i="6"/>
  <c r="P1387" i="6"/>
  <c r="AG443" i="6"/>
  <c r="AM440" i="6"/>
  <c r="AJ1418" i="6"/>
  <c r="AO443" i="6"/>
  <c r="AF1349" i="6"/>
  <c r="AF146" i="6"/>
  <c r="I1517" i="6"/>
  <c r="Z1508" i="6"/>
  <c r="P1517" i="6"/>
  <c r="AF1505" i="6"/>
  <c r="O1503" i="6"/>
  <c r="F1503" i="6"/>
  <c r="AF1516" i="6"/>
  <c r="AM1515" i="6"/>
  <c r="AH1515" i="6"/>
  <c r="L1481" i="6"/>
  <c r="AF1412" i="6"/>
  <c r="AF1423" i="6" s="1"/>
  <c r="S1387" i="6"/>
  <c r="F1376" i="6"/>
  <c r="T1351" i="6"/>
  <c r="S1231" i="6"/>
  <c r="I1182" i="6"/>
  <c r="H1182" i="6"/>
  <c r="AG1160" i="6"/>
  <c r="T564" i="6"/>
  <c r="O564" i="6"/>
  <c r="I552" i="6"/>
  <c r="D552" i="6"/>
  <c r="T543" i="6"/>
  <c r="F543" i="6"/>
  <c r="AJ601" i="6"/>
  <c r="AM617" i="6"/>
  <c r="J516" i="6"/>
  <c r="S502" i="6"/>
  <c r="E502" i="6"/>
  <c r="T487" i="6"/>
  <c r="J487" i="6"/>
  <c r="AO601" i="6"/>
  <c r="E487" i="6"/>
  <c r="U1529" i="6"/>
  <c r="I475" i="6"/>
  <c r="T475" i="6"/>
  <c r="AL602" i="6"/>
  <c r="U443" i="6"/>
  <c r="P443" i="6"/>
  <c r="K443" i="6"/>
  <c r="V443" i="6"/>
  <c r="O426" i="6"/>
  <c r="S417" i="6"/>
  <c r="T417" i="6"/>
  <c r="U404" i="6"/>
  <c r="P404" i="6"/>
  <c r="J342" i="6"/>
  <c r="AG446" i="6"/>
  <c r="P342" i="6"/>
  <c r="S342" i="6"/>
  <c r="I342" i="6"/>
  <c r="AO440" i="6"/>
  <c r="AJ440" i="6"/>
  <c r="D329" i="6"/>
  <c r="L329" i="6"/>
  <c r="J329" i="6"/>
  <c r="K289" i="6"/>
  <c r="K256" i="6"/>
  <c r="AA256" i="6"/>
  <c r="O256" i="6"/>
  <c r="J256" i="6"/>
  <c r="V247" i="6"/>
  <c r="AA247" i="6"/>
  <c r="S247" i="6"/>
  <c r="AL263" i="6"/>
  <c r="X1529" i="6"/>
  <c r="T1529" i="6"/>
  <c r="S120" i="6"/>
  <c r="D109" i="6"/>
  <c r="U109" i="6"/>
  <c r="E93" i="6"/>
  <c r="U93" i="6"/>
  <c r="J48" i="6"/>
  <c r="Z1579" i="6"/>
  <c r="AM983" i="6"/>
  <c r="P900" i="6"/>
  <c r="D877" i="6"/>
  <c r="AF873" i="6"/>
  <c r="Y822" i="6"/>
  <c r="Z822" i="6" s="1"/>
  <c r="H826" i="6"/>
  <c r="Y810" i="6"/>
  <c r="Z810" i="6" s="1"/>
  <c r="R815" i="6"/>
  <c r="E353" i="6"/>
  <c r="AG433" i="6"/>
  <c r="AI433" i="6" s="1"/>
  <c r="AM447" i="6"/>
  <c r="P299" i="6"/>
  <c r="Y227" i="6"/>
  <c r="Z227" i="6" s="1"/>
  <c r="H235" i="6"/>
  <c r="V162" i="6"/>
  <c r="AO142" i="6"/>
  <c r="D143" i="6"/>
  <c r="AF142" i="6"/>
  <c r="AG1348" i="6"/>
  <c r="E1331" i="6"/>
  <c r="Y1321" i="6"/>
  <c r="Z1321" i="6" s="1"/>
  <c r="R1323" i="6"/>
  <c r="Y1298" i="6"/>
  <c r="Y1311" i="6" s="1"/>
  <c r="H1311" i="6"/>
  <c r="Y1284" i="6"/>
  <c r="H1293" i="6"/>
  <c r="Y1269" i="6"/>
  <c r="Z1269" i="6" s="1"/>
  <c r="H1275" i="6"/>
  <c r="AM1275" i="6"/>
  <c r="AN1275" i="6" s="1"/>
  <c r="P1255" i="6"/>
  <c r="AL1254" i="6"/>
  <c r="O1215" i="6"/>
  <c r="Y1081" i="6"/>
  <c r="Z1081" i="6" s="1"/>
  <c r="H1088" i="6"/>
  <c r="D1088" i="6"/>
  <c r="Y1045" i="6"/>
  <c r="Z1045" i="6" s="1"/>
  <c r="H1051" i="6"/>
  <c r="AF1097" i="6"/>
  <c r="D1041" i="6"/>
  <c r="Y986" i="6"/>
  <c r="Y988" i="6" s="1"/>
  <c r="H988" i="6"/>
  <c r="AH988" i="6"/>
  <c r="F954" i="6"/>
  <c r="Y950" i="6"/>
  <c r="Z950" i="6" s="1"/>
  <c r="H954" i="6"/>
  <c r="AM977" i="6"/>
  <c r="AN977" i="6" s="1"/>
  <c r="P954" i="6"/>
  <c r="AA1586" i="6"/>
  <c r="V877" i="6"/>
  <c r="S853" i="6"/>
  <c r="I826" i="6"/>
  <c r="I454" i="6"/>
  <c r="T443" i="6"/>
  <c r="F313" i="6"/>
  <c r="L313" i="6"/>
  <c r="U299" i="6"/>
  <c r="K129" i="6"/>
  <c r="R1586" i="6"/>
  <c r="Z1318" i="6"/>
  <c r="O48" i="6"/>
  <c r="E1463" i="6"/>
  <c r="AM443" i="6"/>
  <c r="AJ873" i="6"/>
  <c r="V564" i="6"/>
  <c r="L454" i="6"/>
  <c r="AH446" i="6"/>
  <c r="AO88" i="6"/>
  <c r="Y720" i="6"/>
  <c r="Y894" i="6"/>
  <c r="AF981" i="6"/>
  <c r="N1275" i="6"/>
  <c r="N516" i="6"/>
  <c r="N1442" i="6"/>
  <c r="F1351" i="6"/>
  <c r="I1323" i="6"/>
  <c r="AM1352" i="6"/>
  <c r="D1311" i="6"/>
  <c r="AJ1357" i="6"/>
  <c r="K1231" i="6"/>
  <c r="T1231" i="6"/>
  <c r="AH1270" i="6"/>
  <c r="L1165" i="6"/>
  <c r="T1156" i="6"/>
  <c r="O1156" i="6"/>
  <c r="AO1164" i="6"/>
  <c r="AJ1164" i="6"/>
  <c r="AL1162" i="6"/>
  <c r="I1131" i="6"/>
  <c r="P1106" i="6"/>
  <c r="AG1096" i="6"/>
  <c r="V1088" i="6"/>
  <c r="L1088" i="6"/>
  <c r="AF1454" i="6"/>
  <c r="Z1432" i="6"/>
  <c r="D1442" i="6"/>
  <c r="D1466" i="6" s="1"/>
  <c r="D1633" i="6" s="1"/>
  <c r="R1376" i="6"/>
  <c r="Y1373" i="6"/>
  <c r="Z1373" i="6" s="1"/>
  <c r="AF1246" i="6"/>
  <c r="D1231" i="6"/>
  <c r="AH878" i="6"/>
  <c r="AI878" i="6" s="1"/>
  <c r="F887" i="6"/>
  <c r="Y568" i="6"/>
  <c r="Y578" i="6" s="1"/>
  <c r="H578" i="6"/>
  <c r="Y555" i="6"/>
  <c r="Z555" i="6" s="1"/>
  <c r="H564" i="6"/>
  <c r="AJ617" i="6"/>
  <c r="Y514" i="6"/>
  <c r="Z514" i="6" s="1"/>
  <c r="AF444" i="6"/>
  <c r="D426" i="6"/>
  <c r="AF255" i="6"/>
  <c r="Z169" i="6"/>
  <c r="Y809" i="6"/>
  <c r="Z809" i="6" s="1"/>
  <c r="H815" i="6"/>
  <c r="Y815" i="6" s="1"/>
  <c r="AA516" i="6"/>
  <c r="AA1393" i="6"/>
  <c r="N1030" i="6"/>
  <c r="R1517" i="6"/>
  <c r="R1519" i="6" s="1"/>
  <c r="R1635" i="6" s="1"/>
  <c r="D1503" i="6"/>
  <c r="L1410" i="6"/>
  <c r="D1387" i="6"/>
  <c r="AO1359" i="6"/>
  <c r="Y1335" i="6"/>
  <c r="Z1335" i="6" s="1"/>
  <c r="AG1352" i="6"/>
  <c r="AH1356" i="6"/>
  <c r="D1293" i="6"/>
  <c r="U1255" i="6"/>
  <c r="Z1250" i="6"/>
  <c r="Y1220" i="6"/>
  <c r="Z1220" i="6" s="1"/>
  <c r="J1215" i="6"/>
  <c r="S1076" i="6"/>
  <c r="D1059" i="6"/>
  <c r="AO1104" i="6"/>
  <c r="L942" i="6"/>
  <c r="AO986" i="6"/>
  <c r="I900" i="6"/>
  <c r="H853" i="6"/>
  <c r="D564" i="6"/>
  <c r="F552" i="6"/>
  <c r="AO617" i="6"/>
  <c r="AH610" i="6"/>
  <c r="T502" i="6"/>
  <c r="R502" i="6"/>
  <c r="P502" i="6"/>
  <c r="L487" i="6"/>
  <c r="D487" i="6"/>
  <c r="K487" i="6"/>
  <c r="AF609" i="6"/>
  <c r="D443" i="6"/>
  <c r="L426" i="6"/>
  <c r="Y407" i="6"/>
  <c r="D417" i="6"/>
  <c r="I265" i="6"/>
  <c r="D247" i="6"/>
  <c r="AH258" i="6"/>
  <c r="D203" i="6"/>
  <c r="Y1037" i="6"/>
  <c r="Z1037" i="6" s="1"/>
  <c r="R1041" i="6"/>
  <c r="Y694" i="6"/>
  <c r="Z694" i="6" s="1"/>
  <c r="H699" i="6"/>
  <c r="AF742" i="6"/>
  <c r="Z669" i="6"/>
  <c r="Y594" i="6"/>
  <c r="Z594" i="6" s="1"/>
  <c r="H599" i="6"/>
  <c r="D454" i="6"/>
  <c r="Z451" i="6"/>
  <c r="H364" i="6"/>
  <c r="Y357" i="6"/>
  <c r="Z357" i="6" s="1"/>
  <c r="AI1420" i="6"/>
  <c r="AN752" i="6"/>
  <c r="Z1439" i="6"/>
  <c r="Z261" i="6"/>
  <c r="AA261" i="6" s="1"/>
  <c r="O755" i="6"/>
  <c r="AN1420" i="6"/>
  <c r="AP1420" i="6" s="1"/>
  <c r="S1275" i="6"/>
  <c r="I1275" i="6"/>
  <c r="D1255" i="6"/>
  <c r="Z1177" i="6"/>
  <c r="AG1161" i="6"/>
  <c r="AM1161" i="6"/>
  <c r="AO1160" i="6"/>
  <c r="I1088" i="6"/>
  <c r="AF1099" i="6"/>
  <c r="AF1098" i="6"/>
  <c r="T804" i="6"/>
  <c r="D804" i="6"/>
  <c r="Z736" i="6"/>
  <c r="AO735" i="6"/>
  <c r="AF754" i="6"/>
  <c r="AJ745" i="6"/>
  <c r="AF745" i="6"/>
  <c r="F648" i="6"/>
  <c r="Z612" i="6"/>
  <c r="D617" i="6"/>
  <c r="D608" i="6"/>
  <c r="AF601" i="6"/>
  <c r="I313" i="6"/>
  <c r="AJ445" i="6"/>
  <c r="AF263" i="6"/>
  <c r="Y1455" i="6"/>
  <c r="Z1455" i="6" s="1"/>
  <c r="Z741" i="6"/>
  <c r="Z230" i="6"/>
  <c r="X552" i="6"/>
  <c r="N364" i="6"/>
  <c r="N887" i="6"/>
  <c r="Z323" i="6"/>
  <c r="N203" i="6"/>
  <c r="AB552" i="6"/>
  <c r="X974" i="6"/>
  <c r="AF741" i="6"/>
  <c r="O443" i="6"/>
  <c r="O364" i="6"/>
  <c r="R342" i="6"/>
  <c r="Y244" i="6"/>
  <c r="Z244" i="6" s="1"/>
  <c r="Y1577" i="6"/>
  <c r="Z1577" i="6" s="1"/>
  <c r="Z1566" i="6"/>
  <c r="Z1440" i="6"/>
  <c r="Z1435" i="6"/>
  <c r="Z1381" i="6"/>
  <c r="Z1356" i="6"/>
  <c r="Z1223" i="6"/>
  <c r="AF1254" i="6"/>
  <c r="Z1175" i="6"/>
  <c r="Z1152" i="6"/>
  <c r="Z1115" i="6"/>
  <c r="AO1096" i="6"/>
  <c r="AF1096" i="6"/>
  <c r="Z1085" i="6"/>
  <c r="Z834" i="6"/>
  <c r="Z779" i="6"/>
  <c r="Z778" i="6"/>
  <c r="AF744" i="6"/>
  <c r="Z586" i="6"/>
  <c r="Z561" i="6"/>
  <c r="Z499" i="6"/>
  <c r="Z466" i="6"/>
  <c r="Z464" i="6"/>
  <c r="AI454" i="6"/>
  <c r="Z372" i="6"/>
  <c r="AO265" i="6"/>
  <c r="Z195" i="6"/>
  <c r="Z156" i="6"/>
  <c r="Z153" i="6"/>
  <c r="Z72" i="6"/>
  <c r="E25" i="6"/>
  <c r="Z494" i="6"/>
  <c r="Z1304" i="6"/>
  <c r="Z1025" i="6"/>
  <c r="Z641" i="6"/>
  <c r="Z654" i="6"/>
  <c r="Z695" i="6"/>
  <c r="Z1570" i="6"/>
  <c r="Z139" i="6"/>
  <c r="Z38" i="6"/>
  <c r="Z376" i="6"/>
  <c r="AI989" i="6"/>
  <c r="AK989" i="6" s="1"/>
  <c r="X1059" i="6"/>
  <c r="N744" i="6"/>
  <c r="X617" i="6"/>
  <c r="X1030" i="6"/>
  <c r="AJ144" i="6"/>
  <c r="E708" i="6"/>
  <c r="Z337" i="6"/>
  <c r="Z1575" i="6"/>
  <c r="Z1437" i="6"/>
  <c r="Z1390" i="6"/>
  <c r="Z1393" i="6" s="1"/>
  <c r="Z1203" i="6"/>
  <c r="Z831" i="6"/>
  <c r="Z797" i="6"/>
  <c r="Z787" i="6"/>
  <c r="Z769" i="6"/>
  <c r="Z693" i="6"/>
  <c r="AF603" i="6"/>
  <c r="Z321" i="6"/>
  <c r="Z253" i="6"/>
  <c r="Z211" i="6"/>
  <c r="AF90" i="6"/>
  <c r="AF81" i="6"/>
  <c r="AF95" i="6" s="1"/>
  <c r="Z1345" i="6"/>
  <c r="Z1268" i="6"/>
  <c r="Z1551" i="6"/>
  <c r="Z667" i="6"/>
  <c r="AA1143" i="6"/>
  <c r="N1182" i="6"/>
  <c r="N1376" i="6"/>
  <c r="N599" i="6"/>
  <c r="AB617" i="6"/>
  <c r="X578" i="6"/>
  <c r="N454" i="6"/>
  <c r="N552" i="6"/>
  <c r="S1491" i="6"/>
  <c r="E1410" i="6"/>
  <c r="AL1504" i="6"/>
  <c r="AJ1504" i="6"/>
  <c r="AH1504" i="6"/>
  <c r="AM985" i="6"/>
  <c r="AO885" i="6"/>
  <c r="AJ885" i="6"/>
  <c r="U790" i="6"/>
  <c r="P790" i="6"/>
  <c r="AJ432" i="6"/>
  <c r="AM438" i="6"/>
  <c r="AI160" i="6"/>
  <c r="K93" i="6"/>
  <c r="AN1419" i="6"/>
  <c r="AH867" i="6"/>
  <c r="F589" i="6"/>
  <c r="K1360" i="6"/>
  <c r="AH1360" i="6"/>
  <c r="U1311" i="6"/>
  <c r="K1311" i="6"/>
  <c r="AI1358" i="6"/>
  <c r="AK1358" i="6" s="1"/>
  <c r="S1193" i="6"/>
  <c r="U1131" i="6"/>
  <c r="F1131" i="6"/>
  <c r="J1096" i="6"/>
  <c r="S1088" i="6"/>
  <c r="J1059" i="6"/>
  <c r="S1030" i="6"/>
  <c r="P1030" i="6"/>
  <c r="I1030" i="6"/>
  <c r="AK1514" i="6"/>
  <c r="AQ1514" i="6"/>
  <c r="AR1514" i="6" s="1"/>
  <c r="Z949" i="6"/>
  <c r="Z532" i="6"/>
  <c r="Z1446" i="6"/>
  <c r="Y1452" i="6"/>
  <c r="Z559" i="6"/>
  <c r="Z393" i="6"/>
  <c r="Y395" i="6"/>
  <c r="Z1563" i="6"/>
  <c r="Z1557" i="6"/>
  <c r="Z1555" i="6"/>
  <c r="Z1486" i="6"/>
  <c r="Z1458" i="6"/>
  <c r="I1422" i="6"/>
  <c r="Z1226" i="6"/>
  <c r="D1206" i="6"/>
  <c r="H1193" i="6"/>
  <c r="AN1106" i="6"/>
  <c r="Z1084" i="6"/>
  <c r="D988" i="6"/>
  <c r="D982" i="6"/>
  <c r="Z946" i="6"/>
  <c r="D931" i="6"/>
  <c r="D921" i="6"/>
  <c r="U911" i="6"/>
  <c r="Z872" i="6"/>
  <c r="Z869" i="6"/>
  <c r="D839" i="6"/>
  <c r="Z821" i="6"/>
  <c r="Z771" i="6"/>
  <c r="D730" i="6"/>
  <c r="Z611" i="6"/>
  <c r="Z560" i="6"/>
  <c r="Z557" i="6"/>
  <c r="Z513" i="6"/>
  <c r="Z484" i="6"/>
  <c r="Z437" i="6"/>
  <c r="Z436" i="6"/>
  <c r="Z274" i="6"/>
  <c r="AF258" i="6"/>
  <c r="Z213" i="6"/>
  <c r="Z1405" i="6"/>
  <c r="Y1244" i="6"/>
  <c r="AI162" i="6"/>
  <c r="Z1567" i="6"/>
  <c r="Z1561" i="6"/>
  <c r="D1491" i="6"/>
  <c r="Z1383" i="6"/>
  <c r="H1351" i="6"/>
  <c r="Z1306" i="6"/>
  <c r="Z1271" i="6"/>
  <c r="Z1249" i="6"/>
  <c r="AF1270" i="6"/>
  <c r="Z1197" i="6"/>
  <c r="Z1139" i="6"/>
  <c r="Z1119" i="6"/>
  <c r="Z1103" i="6"/>
  <c r="Z1102" i="6"/>
  <c r="Z1083" i="6"/>
  <c r="Z1006" i="6"/>
  <c r="Z823" i="6"/>
  <c r="AF874" i="6"/>
  <c r="D543" i="6"/>
  <c r="D364" i="6"/>
  <c r="Z279" i="6"/>
  <c r="D265" i="6"/>
  <c r="AF256" i="6"/>
  <c r="Z194" i="6"/>
  <c r="Z159" i="6"/>
  <c r="Z61" i="6"/>
  <c r="Z33" i="6"/>
  <c r="Z1404" i="6"/>
  <c r="Z492" i="6"/>
  <c r="Z1372" i="6"/>
  <c r="AL1458" i="6"/>
  <c r="AJ1461" i="6"/>
  <c r="T1393" i="6"/>
  <c r="AH1252" i="6"/>
  <c r="AJ1166" i="6"/>
  <c r="K988" i="6"/>
  <c r="K911" i="6"/>
  <c r="AO868" i="6"/>
  <c r="AG868" i="6"/>
  <c r="AG452" i="6"/>
  <c r="AH452" i="6"/>
  <c r="AN146" i="6"/>
  <c r="AP146" i="6" s="1"/>
  <c r="V1503" i="6"/>
  <c r="AI1463" i="6"/>
  <c r="AK1463" i="6" s="1"/>
  <c r="AO1455" i="6"/>
  <c r="AI1464" i="6"/>
  <c r="AK1464" i="6" s="1"/>
  <c r="AL1418" i="6"/>
  <c r="K1331" i="6"/>
  <c r="I1331" i="6"/>
  <c r="F1311" i="6"/>
  <c r="J1231" i="6"/>
  <c r="AI1274" i="6"/>
  <c r="AK1274" i="6" s="1"/>
  <c r="AI1159" i="6"/>
  <c r="AK1159" i="6" s="1"/>
  <c r="L1018" i="6"/>
  <c r="U988" i="6"/>
  <c r="K982" i="6"/>
  <c r="AI886" i="6"/>
  <c r="P660" i="6"/>
  <c r="AI749" i="6"/>
  <c r="AK749" i="6" s="1"/>
  <c r="T617" i="6"/>
  <c r="AN608" i="6"/>
  <c r="AN448" i="6"/>
  <c r="AP448" i="6" s="1"/>
  <c r="AM265" i="6"/>
  <c r="AM145" i="6"/>
  <c r="V129" i="6"/>
  <c r="AN160" i="6"/>
  <c r="AP160" i="6" s="1"/>
  <c r="AN161" i="6"/>
  <c r="Z1438" i="6"/>
  <c r="Z1101" i="6"/>
  <c r="Y1106" i="6"/>
  <c r="Z785" i="6"/>
  <c r="Z668" i="6"/>
  <c r="Z615" i="6"/>
  <c r="Z1475" i="6"/>
  <c r="Z1008" i="6"/>
  <c r="Z210" i="6"/>
  <c r="Z151" i="6"/>
  <c r="AB1399" i="6"/>
  <c r="X672" i="6"/>
  <c r="AA552" i="6"/>
  <c r="AA1293" i="6"/>
  <c r="O1410" i="6"/>
  <c r="U1410" i="6"/>
  <c r="P1410" i="6"/>
  <c r="Z1227" i="6"/>
  <c r="Z1199" i="6"/>
  <c r="V1131" i="6"/>
  <c r="Z870" i="6"/>
  <c r="H755" i="6"/>
  <c r="AN749" i="6"/>
  <c r="AP749" i="6" s="1"/>
  <c r="AN444" i="6"/>
  <c r="AP444" i="6" s="1"/>
  <c r="AI448" i="6"/>
  <c r="AK448" i="6" s="1"/>
  <c r="S383" i="6"/>
  <c r="Z371" i="6"/>
  <c r="AN159" i="6"/>
  <c r="AP159" i="6" s="1"/>
  <c r="AI1518" i="6"/>
  <c r="AK1518" i="6" s="1"/>
  <c r="AI1456" i="6"/>
  <c r="AK1456" i="6" s="1"/>
  <c r="J1422" i="6"/>
  <c r="Z1229" i="6"/>
  <c r="Z813" i="6"/>
  <c r="J730" i="6"/>
  <c r="AN753" i="6"/>
  <c r="AP753" i="6" s="1"/>
  <c r="Z640" i="6"/>
  <c r="Z593" i="6"/>
  <c r="T589" i="6"/>
  <c r="Z556" i="6"/>
  <c r="AN454" i="6"/>
  <c r="AP454" i="6" s="1"/>
  <c r="AI159" i="6"/>
  <c r="AK159" i="6" s="1"/>
  <c r="Z666" i="6"/>
  <c r="M1422" i="6"/>
  <c r="K1410" i="6"/>
  <c r="AI1410" i="6"/>
  <c r="AL1349" i="6"/>
  <c r="AM1351" i="6"/>
  <c r="T1311" i="6"/>
  <c r="AN1274" i="6"/>
  <c r="AI1256" i="6"/>
  <c r="AK1256" i="6" s="1"/>
  <c r="O1182" i="6"/>
  <c r="V1143" i="6"/>
  <c r="AM1160" i="6"/>
  <c r="AN1159" i="6"/>
  <c r="F1106" i="6"/>
  <c r="K1096" i="6"/>
  <c r="T1051" i="6"/>
  <c r="P1041" i="6"/>
  <c r="K1041" i="6"/>
  <c r="K1018" i="6"/>
  <c r="T982" i="6"/>
  <c r="K617" i="6"/>
  <c r="AN453" i="6"/>
  <c r="AN435" i="6"/>
  <c r="S265" i="6"/>
  <c r="AI259" i="6"/>
  <c r="AK259" i="6" s="1"/>
  <c r="AA1331" i="6"/>
  <c r="N120" i="6"/>
  <c r="N353" i="6"/>
  <c r="J1463" i="6"/>
  <c r="W1422" i="6"/>
  <c r="E1422" i="6"/>
  <c r="AI1421" i="6"/>
  <c r="AK1421" i="6" s="1"/>
  <c r="S1393" i="6"/>
  <c r="K1393" i="6"/>
  <c r="J1387" i="6"/>
  <c r="AJ1360" i="6"/>
  <c r="AG1360" i="6"/>
  <c r="K1323" i="6"/>
  <c r="K1193" i="6"/>
  <c r="S1143" i="6"/>
  <c r="AM1163" i="6"/>
  <c r="AJ1162" i="6"/>
  <c r="T1123" i="6"/>
  <c r="P1096" i="6"/>
  <c r="O1076" i="6"/>
  <c r="S1041" i="6"/>
  <c r="V1030" i="6"/>
  <c r="O982" i="6"/>
  <c r="L862" i="6"/>
  <c r="AG155" i="6"/>
  <c r="AI92" i="6"/>
  <c r="AK92" i="6" s="1"/>
  <c r="X1556" i="6"/>
  <c r="AB1556" i="6" s="1"/>
  <c r="AB1186" i="1"/>
  <c r="Z109" i="6"/>
  <c r="AB1218" i="6"/>
  <c r="AA1376" i="6"/>
  <c r="N1550" i="6"/>
  <c r="AB1550" i="6" s="1"/>
  <c r="AB1181" i="1"/>
  <c r="AA1030" i="6"/>
  <c r="AO321" i="3"/>
  <c r="AP321" i="3" s="1"/>
  <c r="AN321" i="3"/>
  <c r="AN186" i="3"/>
  <c r="AQ186" i="3" s="1"/>
  <c r="AO186" i="3"/>
  <c r="AP186" i="3" s="1"/>
  <c r="AB399" i="3"/>
  <c r="AA341" i="3"/>
  <c r="AA345" i="3" s="1"/>
  <c r="AB341" i="3"/>
  <c r="AB345" i="3" s="1"/>
  <c r="AO548" i="3"/>
  <c r="AP548" i="3" s="1"/>
  <c r="AN548" i="3"/>
  <c r="AB289" i="3"/>
  <c r="AA289" i="3"/>
  <c r="AA400" i="3"/>
  <c r="AB400" i="3"/>
  <c r="AA420" i="3"/>
  <c r="AB420" i="3"/>
  <c r="N1514" i="6"/>
  <c r="AB1148" i="1"/>
  <c r="AI1147" i="1"/>
  <c r="AB1140" i="1"/>
  <c r="AB1501" i="6" s="1"/>
  <c r="AA1140" i="1"/>
  <c r="AA1501" i="6" s="1"/>
  <c r="N1501" i="6"/>
  <c r="AB1138" i="1"/>
  <c r="AB1499" i="6" s="1"/>
  <c r="N1499" i="6"/>
  <c r="AA1138" i="1"/>
  <c r="AA1499" i="6" s="1"/>
  <c r="N1495" i="6"/>
  <c r="AB1136" i="1"/>
  <c r="AB1495" i="6" s="1"/>
  <c r="AA1136" i="1"/>
  <c r="AA1495" i="6" s="1"/>
  <c r="N1142" i="1"/>
  <c r="AB1117" i="1"/>
  <c r="N1471" i="6"/>
  <c r="AA1117" i="1"/>
  <c r="AB1106" i="1"/>
  <c r="N1460" i="6"/>
  <c r="N1463" i="6" s="1"/>
  <c r="AN1105" i="1"/>
  <c r="AO1105" i="1"/>
  <c r="AI1103" i="1"/>
  <c r="AO1103" i="1"/>
  <c r="AN1073" i="1"/>
  <c r="AQ1073" i="1" s="1"/>
  <c r="AO1073" i="1"/>
  <c r="AN1071" i="1"/>
  <c r="AO1071" i="1"/>
  <c r="AP1071" i="1" s="1"/>
  <c r="AO1070" i="1"/>
  <c r="AP1070" i="1" s="1"/>
  <c r="AI1070" i="1"/>
  <c r="AQ1070" i="1" s="1"/>
  <c r="AO1067" i="1"/>
  <c r="AI1067" i="1"/>
  <c r="R1211" i="1"/>
  <c r="X1211" i="1" s="1"/>
  <c r="AN1066" i="1"/>
  <c r="X1396" i="6"/>
  <c r="X1399" i="6" s="1"/>
  <c r="X1057" i="1"/>
  <c r="AB1049" i="1"/>
  <c r="N1391" i="6"/>
  <c r="N1393" i="6" s="1"/>
  <c r="AI1022" i="1"/>
  <c r="AN1021" i="1"/>
  <c r="AO1021" i="1"/>
  <c r="AP1021" i="1" s="1"/>
  <c r="R1022" i="1"/>
  <c r="Y1020" i="1"/>
  <c r="Z1020" i="1" s="1"/>
  <c r="X1020" i="1"/>
  <c r="R1192" i="1"/>
  <c r="AN1013" i="1"/>
  <c r="N1348" i="6"/>
  <c r="N1351" i="6" s="1"/>
  <c r="AA989" i="1"/>
  <c r="AB989" i="1"/>
  <c r="N1313" i="6"/>
  <c r="N1323" i="6" s="1"/>
  <c r="AB981" i="1"/>
  <c r="AA981" i="1"/>
  <c r="N1301" i="6"/>
  <c r="N1291" i="6"/>
  <c r="AB976" i="1"/>
  <c r="AB1291" i="6" s="1"/>
  <c r="AI968" i="1"/>
  <c r="AQ968" i="1" s="1"/>
  <c r="AO968" i="1"/>
  <c r="AP968" i="1" s="1"/>
  <c r="AN966" i="1"/>
  <c r="AO966" i="1"/>
  <c r="AP966" i="1" s="1"/>
  <c r="R1200" i="1"/>
  <c r="X1200" i="1" s="1"/>
  <c r="X1573" i="6" s="1"/>
  <c r="AO960" i="1"/>
  <c r="AP960" i="1" s="1"/>
  <c r="AI960" i="1"/>
  <c r="AQ960" i="1" s="1"/>
  <c r="AI957" i="1"/>
  <c r="N961" i="1"/>
  <c r="AB957" i="1"/>
  <c r="N1248" i="6"/>
  <c r="N1255" i="6" s="1"/>
  <c r="N1236" i="6"/>
  <c r="N1244" i="6" s="1"/>
  <c r="AB948" i="1"/>
  <c r="N953" i="1"/>
  <c r="X1007" i="6"/>
  <c r="X1010" i="6" s="1"/>
  <c r="AA762" i="1"/>
  <c r="AB762" i="1"/>
  <c r="AI323" i="1"/>
  <c r="AO323" i="1"/>
  <c r="L1187" i="1"/>
  <c r="L1557" i="6" s="1"/>
  <c r="L1185" i="1"/>
  <c r="AI125" i="1"/>
  <c r="AB1376" i="6"/>
  <c r="AQ967" i="1"/>
  <c r="AA109" i="6"/>
  <c r="AQ924" i="3"/>
  <c r="AQ802" i="3"/>
  <c r="Z330" i="3"/>
  <c r="X364" i="6"/>
  <c r="N265" i="6"/>
  <c r="X516" i="6"/>
  <c r="AB1156" i="6"/>
  <c r="Y996" i="1"/>
  <c r="AA399" i="3"/>
  <c r="AO310" i="3"/>
  <c r="AB921" i="6"/>
  <c r="AB974" i="6"/>
  <c r="AQ1103" i="1"/>
  <c r="AQ1071" i="1"/>
  <c r="AA1135" i="1"/>
  <c r="AB1135" i="1"/>
  <c r="AQ1105" i="1"/>
  <c r="AP1073" i="1"/>
  <c r="AP1067" i="1"/>
  <c r="N1051" i="1"/>
  <c r="N1075" i="1" s="1"/>
  <c r="N1269" i="1" s="1"/>
  <c r="X1387" i="6"/>
  <c r="AL1359" i="6"/>
  <c r="AO1015" i="1"/>
  <c r="AP1015" i="1" s="1"/>
  <c r="AQ667" i="1"/>
  <c r="AB367" i="3"/>
  <c r="AB371" i="3" s="1"/>
  <c r="X371" i="3"/>
  <c r="AA800" i="3"/>
  <c r="AA803" i="3" s="1"/>
  <c r="X803" i="3"/>
  <c r="AB582" i="3"/>
  <c r="AA582" i="3"/>
  <c r="AN840" i="1"/>
  <c r="AO840" i="1"/>
  <c r="AP840" i="1" s="1"/>
  <c r="AN1153" i="1"/>
  <c r="AQ1153" i="1" s="1"/>
  <c r="AO1153" i="1"/>
  <c r="AP1153" i="1" s="1"/>
  <c r="AN1152" i="1"/>
  <c r="AQ1152" i="1" s="1"/>
  <c r="AO1152" i="1"/>
  <c r="AP1152" i="1" s="1"/>
  <c r="AA1149" i="1"/>
  <c r="N1515" i="6"/>
  <c r="AN1148" i="1"/>
  <c r="AQ1148" i="1" s="1"/>
  <c r="AO1148" i="1"/>
  <c r="AP1148" i="1" s="1"/>
  <c r="AA1139" i="1"/>
  <c r="AA1500" i="6" s="1"/>
  <c r="AB1139" i="1"/>
  <c r="AB1500" i="6" s="1"/>
  <c r="N1500" i="6"/>
  <c r="X1494" i="6"/>
  <c r="X1142" i="1"/>
  <c r="AA1119" i="1"/>
  <c r="AA1474" i="6" s="1"/>
  <c r="AB1119" i="1"/>
  <c r="AB1474" i="6" s="1"/>
  <c r="N1474" i="6"/>
  <c r="AO1109" i="1"/>
  <c r="AP1109" i="1" s="1"/>
  <c r="AI1109" i="1"/>
  <c r="AQ1109" i="1" s="1"/>
  <c r="H1200" i="1"/>
  <c r="Y1200" i="1" s="1"/>
  <c r="Z1200" i="1" s="1"/>
  <c r="AO1108" i="1"/>
  <c r="AP1108" i="1" s="1"/>
  <c r="AI1108" i="1"/>
  <c r="AB1098" i="1"/>
  <c r="AA1098" i="1"/>
  <c r="N1450" i="6"/>
  <c r="AI1072" i="1"/>
  <c r="AI1069" i="1"/>
  <c r="AQ1069" i="1" s="1"/>
  <c r="AO1069" i="1"/>
  <c r="AP1069" i="1" s="1"/>
  <c r="AB1068" i="1"/>
  <c r="AB1418" i="6" s="1"/>
  <c r="AB1422" i="6" s="1"/>
  <c r="N1418" i="6"/>
  <c r="N1422" i="6" s="1"/>
  <c r="AA1068" i="1"/>
  <c r="AA1418" i="6" s="1"/>
  <c r="AA1422" i="6" s="1"/>
  <c r="AB1067" i="1"/>
  <c r="AA1067" i="1"/>
  <c r="AA1072" i="1" s="1"/>
  <c r="H1211" i="1"/>
  <c r="Y1211" i="1" s="1"/>
  <c r="Z1211" i="1" s="1"/>
  <c r="AO1066" i="1"/>
  <c r="N1384" i="6"/>
  <c r="N1387" i="6" s="1"/>
  <c r="AB1042" i="1"/>
  <c r="AI1017" i="1"/>
  <c r="AQ1017" i="1" s="1"/>
  <c r="AO1017" i="1"/>
  <c r="AP1017" i="1" s="1"/>
  <c r="N1309" i="6"/>
  <c r="AB985" i="1"/>
  <c r="AB1309" i="6" s="1"/>
  <c r="AA985" i="1"/>
  <c r="AA1309" i="6" s="1"/>
  <c r="N978" i="1"/>
  <c r="N1282" i="6"/>
  <c r="AB974" i="1"/>
  <c r="AO963" i="1"/>
  <c r="AP963" i="1" s="1"/>
  <c r="AI963" i="1"/>
  <c r="AQ963" i="1" s="1"/>
  <c r="AO958" i="1"/>
  <c r="AP958" i="1" s="1"/>
  <c r="AI958" i="1"/>
  <c r="AQ958" i="1" s="1"/>
  <c r="Z957" i="1"/>
  <c r="Z961" i="1" s="1"/>
  <c r="Y961" i="1"/>
  <c r="AO749" i="1"/>
  <c r="AP749" i="1" s="1"/>
  <c r="AI749" i="1"/>
  <c r="H1196" i="1"/>
  <c r="AN450" i="1"/>
  <c r="AB313" i="6"/>
  <c r="X353" i="6"/>
  <c r="X1076" i="6"/>
  <c r="N1123" i="6"/>
  <c r="X313" i="6"/>
  <c r="AA219" i="3"/>
  <c r="AB296" i="3"/>
  <c r="AB301" i="3" s="1"/>
  <c r="X1393" i="6"/>
  <c r="AO1111" i="1"/>
  <c r="AP1111" i="1" s="1"/>
  <c r="AQ1110" i="1"/>
  <c r="AQ1108" i="1"/>
  <c r="AO1065" i="1"/>
  <c r="AQ1021" i="1"/>
  <c r="N1022" i="1"/>
  <c r="D1024" i="1"/>
  <c r="D1267" i="1" s="1"/>
  <c r="AQ966" i="1"/>
  <c r="H1210" i="6"/>
  <c r="H934" i="1"/>
  <c r="X893" i="1"/>
  <c r="Y893" i="1"/>
  <c r="Z893" i="1" s="1"/>
  <c r="X866" i="1"/>
  <c r="Y866" i="1"/>
  <c r="Z866" i="1" s="1"/>
  <c r="X864" i="1"/>
  <c r="Y864" i="1"/>
  <c r="X856" i="1"/>
  <c r="Y856" i="1"/>
  <c r="E1117" i="6"/>
  <c r="E860" i="1"/>
  <c r="E899" i="1" s="1"/>
  <c r="E1263" i="1" s="1"/>
  <c r="N830" i="1"/>
  <c r="H836" i="1"/>
  <c r="X807" i="1"/>
  <c r="Y807" i="1"/>
  <c r="N806" i="1"/>
  <c r="H812" i="1"/>
  <c r="O1048" i="6"/>
  <c r="AL1100" i="6" s="1"/>
  <c r="R794" i="1"/>
  <c r="E986" i="6"/>
  <c r="E988" i="6" s="1"/>
  <c r="H749" i="1"/>
  <c r="E978" i="6"/>
  <c r="E982" i="6" s="1"/>
  <c r="E745" i="1"/>
  <c r="O952" i="6"/>
  <c r="O954" i="6" s="1"/>
  <c r="R719" i="1"/>
  <c r="X707" i="1"/>
  <c r="Y707" i="1"/>
  <c r="O917" i="6"/>
  <c r="AJ747" i="1"/>
  <c r="O908" i="6"/>
  <c r="AL987" i="6" s="1"/>
  <c r="AJ751" i="1"/>
  <c r="AL751" i="1" s="1"/>
  <c r="X653" i="1"/>
  <c r="Y653" i="1"/>
  <c r="X646" i="1"/>
  <c r="Y646" i="1"/>
  <c r="Z646" i="1" s="1"/>
  <c r="X640" i="1"/>
  <c r="Y640" i="1"/>
  <c r="R837" i="6"/>
  <c r="R839" i="6" s="1"/>
  <c r="R631" i="1"/>
  <c r="Z628" i="1"/>
  <c r="Z631" i="1" s="1"/>
  <c r="AD661" i="1"/>
  <c r="O797" i="6"/>
  <c r="O804" i="6" s="1"/>
  <c r="O606" i="1"/>
  <c r="Y593" i="1"/>
  <c r="X593" i="1"/>
  <c r="X585" i="1"/>
  <c r="X776" i="6" s="1"/>
  <c r="F776" i="6"/>
  <c r="AH871" i="6" s="1"/>
  <c r="F589" i="1"/>
  <c r="F668" i="1" s="1"/>
  <c r="AF656" i="1"/>
  <c r="X543" i="1"/>
  <c r="Y543" i="1"/>
  <c r="Z543" i="1" s="1"/>
  <c r="O705" i="6"/>
  <c r="O708" i="6" s="1"/>
  <c r="O539" i="1"/>
  <c r="AJ573" i="1"/>
  <c r="X519" i="1"/>
  <c r="Y519" i="1"/>
  <c r="E651" i="6"/>
  <c r="AE562" i="1"/>
  <c r="X482" i="1"/>
  <c r="Y482" i="1"/>
  <c r="X462" i="1"/>
  <c r="Y462" i="1"/>
  <c r="N606" i="6"/>
  <c r="X434" i="1"/>
  <c r="R438" i="1"/>
  <c r="X410" i="1"/>
  <c r="R415" i="1"/>
  <c r="N393" i="1"/>
  <c r="H400" i="1"/>
  <c r="X387" i="1"/>
  <c r="Y387" i="1"/>
  <c r="Z387" i="1" s="1"/>
  <c r="E519" i="6"/>
  <c r="AE441" i="1"/>
  <c r="X367" i="1"/>
  <c r="Y367" i="1"/>
  <c r="X337" i="1"/>
  <c r="Y337" i="1"/>
  <c r="Z337" i="1" s="1"/>
  <c r="X304" i="1"/>
  <c r="Y304" i="1"/>
  <c r="X286" i="1"/>
  <c r="Y286" i="1"/>
  <c r="O339" i="6"/>
  <c r="AL441" i="6" s="1"/>
  <c r="R257" i="1"/>
  <c r="O260" i="1"/>
  <c r="O341" i="1" s="1"/>
  <c r="O1251" i="1" s="1"/>
  <c r="H293" i="6"/>
  <c r="H299" i="6" s="1"/>
  <c r="N220" i="1"/>
  <c r="N208" i="1"/>
  <c r="H216" i="1"/>
  <c r="X195" i="1"/>
  <c r="Y195" i="1"/>
  <c r="R200" i="1"/>
  <c r="R202" i="1" s="1"/>
  <c r="R1249" i="1" s="1"/>
  <c r="X186" i="1"/>
  <c r="Y186" i="1"/>
  <c r="Z168" i="1"/>
  <c r="D171" i="1"/>
  <c r="X138" i="1"/>
  <c r="Y138" i="1"/>
  <c r="Z138" i="1" s="1"/>
  <c r="X105" i="1"/>
  <c r="Y105" i="1"/>
  <c r="Z105" i="1" s="1"/>
  <c r="Z107" i="1" s="1"/>
  <c r="H85" i="6"/>
  <c r="N64" i="1"/>
  <c r="Y55" i="1"/>
  <c r="Z55" i="1" s="1"/>
  <c r="X55" i="1"/>
  <c r="N53" i="1"/>
  <c r="Y53" i="1"/>
  <c r="Z53" i="1" s="1"/>
  <c r="N51" i="1"/>
  <c r="Y51" i="1"/>
  <c r="Z51" i="1" s="1"/>
  <c r="S59" i="6"/>
  <c r="S81" i="6" s="1"/>
  <c r="S60" i="1"/>
  <c r="S75" i="1" s="1"/>
  <c r="X31" i="1"/>
  <c r="Y31" i="1"/>
  <c r="X23" i="1"/>
  <c r="Y23" i="1"/>
  <c r="R27" i="1"/>
  <c r="AA995" i="3"/>
  <c r="AH1104" i="3"/>
  <c r="N25" i="6"/>
  <c r="N109" i="6"/>
  <c r="AO337" i="1"/>
  <c r="AP337" i="1" s="1"/>
  <c r="AB792" i="1"/>
  <c r="AB1045" i="6" s="1"/>
  <c r="H1090" i="1"/>
  <c r="H1112" i="1" s="1"/>
  <c r="H1271" i="1" s="1"/>
  <c r="AA792" i="1"/>
  <c r="AA1045" i="6" s="1"/>
  <c r="AA224" i="1"/>
  <c r="AA297" i="6" s="1"/>
  <c r="AB224" i="1"/>
  <c r="AB297" i="6" s="1"/>
  <c r="N911" i="6"/>
  <c r="N1018" i="6"/>
  <c r="AA273" i="1"/>
  <c r="AA361" i="6" s="1"/>
  <c r="AB273" i="1"/>
  <c r="AB361" i="6" s="1"/>
  <c r="AA272" i="1"/>
  <c r="AA419" i="1"/>
  <c r="AB959" i="1"/>
  <c r="AB1253" i="6" s="1"/>
  <c r="AA959" i="1"/>
  <c r="AB1121" i="1"/>
  <c r="AB1478" i="6" s="1"/>
  <c r="N1059" i="6"/>
  <c r="AB802" i="1"/>
  <c r="AA423" i="1"/>
  <c r="AA576" i="6" s="1"/>
  <c r="L1203" i="1"/>
  <c r="L1576" i="6" s="1"/>
  <c r="V969" i="1"/>
  <c r="V1265" i="1" s="1"/>
  <c r="AM899" i="1"/>
  <c r="AI840" i="1"/>
  <c r="AQ840" i="1" s="1"/>
  <c r="AN837" i="1"/>
  <c r="E846" i="1"/>
  <c r="E1261" i="1" s="1"/>
  <c r="S846" i="1"/>
  <c r="S1261" i="1" s="1"/>
  <c r="AI752" i="1"/>
  <c r="H751" i="1"/>
  <c r="N954" i="6"/>
  <c r="I668" i="1"/>
  <c r="I1257" i="1" s="1"/>
  <c r="S668" i="1"/>
  <c r="S1257" i="1" s="1"/>
  <c r="AB587" i="1"/>
  <c r="AB779" i="6" s="1"/>
  <c r="F1195" i="1"/>
  <c r="AN568" i="1"/>
  <c r="AQ568" i="1" s="1"/>
  <c r="F1194" i="1"/>
  <c r="H1194" i="1" s="1"/>
  <c r="O660" i="6"/>
  <c r="AN447" i="1"/>
  <c r="H425" i="1"/>
  <c r="N381" i="1"/>
  <c r="AI340" i="1"/>
  <c r="AN336" i="1"/>
  <c r="H339" i="1"/>
  <c r="V1202" i="1"/>
  <c r="V1575" i="6" s="1"/>
  <c r="AN325" i="1"/>
  <c r="O1529" i="6"/>
  <c r="O1589" i="6" s="1"/>
  <c r="O1641" i="6" s="1"/>
  <c r="AL451" i="6"/>
  <c r="AD328" i="1"/>
  <c r="AB214" i="1"/>
  <c r="AB287" i="6" s="1"/>
  <c r="AP197" i="1"/>
  <c r="AQ197" i="1" s="1"/>
  <c r="F1203" i="1"/>
  <c r="AK202" i="1"/>
  <c r="AB186" i="1"/>
  <c r="D162" i="1"/>
  <c r="D202" i="1" s="1"/>
  <c r="AN124" i="1"/>
  <c r="AQ124" i="1" s="1"/>
  <c r="AN114" i="1"/>
  <c r="AN66" i="1"/>
  <c r="AQ66" i="1" s="1"/>
  <c r="D1529" i="6"/>
  <c r="Z1417" i="6"/>
  <c r="Z892" i="1"/>
  <c r="Z896" i="1" s="1"/>
  <c r="AD897" i="1"/>
  <c r="O1159" i="6"/>
  <c r="AJ892" i="1"/>
  <c r="O896" i="1"/>
  <c r="O899" i="1" s="1"/>
  <c r="O1263" i="1" s="1"/>
  <c r="X865" i="1"/>
  <c r="Y865" i="1"/>
  <c r="Z865" i="1" s="1"/>
  <c r="N864" i="1"/>
  <c r="H868" i="1"/>
  <c r="H899" i="1" s="1"/>
  <c r="H1263" i="1" s="1"/>
  <c r="Z853" i="1"/>
  <c r="AD893" i="1"/>
  <c r="X834" i="1"/>
  <c r="Y834" i="1"/>
  <c r="Z834" i="1" s="1"/>
  <c r="X832" i="1"/>
  <c r="Y832" i="1"/>
  <c r="N1091" i="6"/>
  <c r="AB831" i="1"/>
  <c r="AB1091" i="6" s="1"/>
  <c r="X826" i="1"/>
  <c r="Y826" i="1"/>
  <c r="Z826" i="1" s="1"/>
  <c r="N816" i="1"/>
  <c r="Y816" i="1"/>
  <c r="X810" i="1"/>
  <c r="Y810" i="1"/>
  <c r="X786" i="1"/>
  <c r="Y786" i="1"/>
  <c r="Z786" i="1" s="1"/>
  <c r="O1015" i="6"/>
  <c r="R770" i="1"/>
  <c r="O773" i="1"/>
  <c r="X743" i="1"/>
  <c r="AB743" i="1" s="1"/>
  <c r="Y743" i="1"/>
  <c r="N980" i="6"/>
  <c r="E966" i="6"/>
  <c r="E738" i="1"/>
  <c r="AE746" i="1"/>
  <c r="N726" i="1"/>
  <c r="H730" i="1"/>
  <c r="X681" i="1"/>
  <c r="Y681" i="1"/>
  <c r="N644" i="1"/>
  <c r="H649" i="1"/>
  <c r="X621" i="1"/>
  <c r="Y621" i="1"/>
  <c r="Z621" i="1" s="1"/>
  <c r="X620" i="1"/>
  <c r="Y620" i="1"/>
  <c r="R623" i="1"/>
  <c r="O810" i="6"/>
  <c r="O815" i="6" s="1"/>
  <c r="R610" i="1"/>
  <c r="N592" i="1"/>
  <c r="H596" i="1"/>
  <c r="O779" i="6"/>
  <c r="O781" i="6" s="1"/>
  <c r="O589" i="1"/>
  <c r="O668" i="1" s="1"/>
  <c r="O1257" i="1" s="1"/>
  <c r="Y582" i="1"/>
  <c r="X582" i="1"/>
  <c r="R589" i="1"/>
  <c r="AG558" i="1"/>
  <c r="AF576" i="1"/>
  <c r="O733" i="6"/>
  <c r="O744" i="6" s="1"/>
  <c r="O565" i="1"/>
  <c r="O723" i="6"/>
  <c r="O730" i="6" s="1"/>
  <c r="R551" i="1"/>
  <c r="O555" i="1"/>
  <c r="X542" i="1"/>
  <c r="Y542" i="1"/>
  <c r="X534" i="1"/>
  <c r="Y534" i="1"/>
  <c r="L690" i="6"/>
  <c r="AJ741" i="6" s="1"/>
  <c r="L530" i="1"/>
  <c r="L576" i="1" s="1"/>
  <c r="S689" i="6"/>
  <c r="S699" i="6" s="1"/>
  <c r="S530" i="1"/>
  <c r="S576" i="1" s="1"/>
  <c r="S1255" i="1" s="1"/>
  <c r="E677" i="6"/>
  <c r="H514" i="1"/>
  <c r="E521" i="1"/>
  <c r="N481" i="1"/>
  <c r="H487" i="1"/>
  <c r="Y445" i="1"/>
  <c r="Z445" i="1" s="1"/>
  <c r="X445" i="1"/>
  <c r="X606" i="6" s="1"/>
  <c r="X444" i="1"/>
  <c r="Y444" i="1"/>
  <c r="Z444" i="1" s="1"/>
  <c r="N442" i="1"/>
  <c r="H447" i="1"/>
  <c r="X429" i="1"/>
  <c r="Y429" i="1"/>
  <c r="R431" i="1"/>
  <c r="E531" i="6"/>
  <c r="E543" i="6" s="1"/>
  <c r="E400" i="1"/>
  <c r="E454" i="1" s="1"/>
  <c r="E1253" i="1" s="1"/>
  <c r="X386" i="1"/>
  <c r="X390" i="1" s="1"/>
  <c r="Y386" i="1"/>
  <c r="Z386" i="1" s="1"/>
  <c r="X519" i="6"/>
  <c r="X352" i="1"/>
  <c r="Y352" i="1"/>
  <c r="Z352" i="1" s="1"/>
  <c r="X349" i="1"/>
  <c r="Y349" i="1"/>
  <c r="Z349" i="1" s="1"/>
  <c r="X335" i="1"/>
  <c r="Y335" i="1"/>
  <c r="Z335" i="1" s="1"/>
  <c r="AI334" i="1"/>
  <c r="AO334" i="1"/>
  <c r="AP334" i="1" s="1"/>
  <c r="X333" i="1"/>
  <c r="Y333" i="1"/>
  <c r="Y324" i="1"/>
  <c r="X324" i="1"/>
  <c r="X313" i="1"/>
  <c r="R318" i="1"/>
  <c r="X296" i="1"/>
  <c r="Y296" i="1"/>
  <c r="Z296" i="1" s="1"/>
  <c r="X294" i="1"/>
  <c r="Y294" i="1"/>
  <c r="H326" i="6"/>
  <c r="Y326" i="6" s="1"/>
  <c r="Z326" i="6" s="1"/>
  <c r="N245" i="1"/>
  <c r="X244" i="1"/>
  <c r="Y244" i="1"/>
  <c r="Z244" i="1" s="1"/>
  <c r="X243" i="1"/>
  <c r="Y243" i="1"/>
  <c r="E318" i="6"/>
  <c r="E248" i="1"/>
  <c r="E341" i="1" s="1"/>
  <c r="E1251" i="1" s="1"/>
  <c r="AE327" i="1"/>
  <c r="AE341" i="1" s="1"/>
  <c r="AD338" i="1"/>
  <c r="X190" i="1"/>
  <c r="Y190" i="1"/>
  <c r="Z190" i="1" s="1"/>
  <c r="X147" i="1"/>
  <c r="Y147" i="1"/>
  <c r="Z147" i="1" s="1"/>
  <c r="X144" i="1"/>
  <c r="Y144" i="1"/>
  <c r="X134" i="1"/>
  <c r="Y134" i="1"/>
  <c r="Y123" i="1"/>
  <c r="X123" i="1"/>
  <c r="AL122" i="1"/>
  <c r="K1209" i="1"/>
  <c r="K1582" i="6" s="1"/>
  <c r="X95" i="1"/>
  <c r="Y95" i="1"/>
  <c r="Z95" i="1" s="1"/>
  <c r="N86" i="6"/>
  <c r="AA65" i="1"/>
  <c r="AA86" i="6" s="1"/>
  <c r="X63" i="1"/>
  <c r="Y63" i="1"/>
  <c r="X37" i="1"/>
  <c r="Y37" i="1"/>
  <c r="Z37" i="1" s="1"/>
  <c r="X33" i="1"/>
  <c r="Y33" i="1"/>
  <c r="Z33" i="1" s="1"/>
  <c r="X442" i="3"/>
  <c r="X363" i="3"/>
  <c r="Y442" i="3"/>
  <c r="AA986" i="3"/>
  <c r="AA988" i="3" s="1"/>
  <c r="AN1101" i="3"/>
  <c r="AB421" i="3"/>
  <c r="AB440" i="3"/>
  <c r="AA954" i="3"/>
  <c r="Y1101" i="3"/>
  <c r="X12" i="6"/>
  <c r="X17" i="6" s="1"/>
  <c r="X179" i="6"/>
  <c r="AI565" i="1"/>
  <c r="AQ565" i="1" s="1"/>
  <c r="AB272" i="1"/>
  <c r="AB419" i="1"/>
  <c r="AJ576" i="1"/>
  <c r="X413" i="6"/>
  <c r="X438" i="6"/>
  <c r="X770" i="6"/>
  <c r="AO657" i="1"/>
  <c r="AP657" i="1" s="1"/>
  <c r="N502" i="6"/>
  <c r="E672" i="6"/>
  <c r="AO453" i="1"/>
  <c r="AP453" i="1" s="1"/>
  <c r="N900" i="6"/>
  <c r="N1015" i="1"/>
  <c r="X1012" i="1"/>
  <c r="AO1013" i="1"/>
  <c r="AF1024" i="1"/>
  <c r="N1446" i="6"/>
  <c r="H1132" i="1"/>
  <c r="AL1144" i="1"/>
  <c r="R1208" i="1"/>
  <c r="X1208" i="1" s="1"/>
  <c r="X1581" i="6" s="1"/>
  <c r="N921" i="6"/>
  <c r="N1193" i="6"/>
  <c r="X1100" i="1"/>
  <c r="AO1110" i="1"/>
  <c r="AP1110" i="1" s="1"/>
  <c r="AI961" i="1"/>
  <c r="AQ961" i="1" s="1"/>
  <c r="AF969" i="1"/>
  <c r="O1181" i="1"/>
  <c r="O1550" i="6" s="1"/>
  <c r="AB1017" i="1"/>
  <c r="AK1112" i="1"/>
  <c r="R1197" i="1"/>
  <c r="AA854" i="1"/>
  <c r="AB854" i="1"/>
  <c r="AI898" i="1"/>
  <c r="AI1111" i="1"/>
  <c r="AQ1111" i="1" s="1"/>
  <c r="P1203" i="1"/>
  <c r="P1576" i="6" s="1"/>
  <c r="N220" i="6"/>
  <c r="H925" i="1"/>
  <c r="R978" i="1"/>
  <c r="R1024" i="1" s="1"/>
  <c r="R1267" i="1" s="1"/>
  <c r="Z993" i="1"/>
  <c r="Z996" i="1" s="1"/>
  <c r="Y1000" i="1"/>
  <c r="AI1015" i="1"/>
  <c r="D1151" i="1"/>
  <c r="X987" i="1"/>
  <c r="AK1074" i="1"/>
  <c r="E1201" i="1"/>
  <c r="Y761" i="1"/>
  <c r="Z761" i="1" s="1"/>
  <c r="H943" i="1"/>
  <c r="X950" i="1"/>
  <c r="P1184" i="1"/>
  <c r="P1185" i="1"/>
  <c r="P1555" i="6" s="1"/>
  <c r="AL1072" i="1"/>
  <c r="D1142" i="1"/>
  <c r="D1153" i="1" s="1"/>
  <c r="D1273" i="1" s="1"/>
  <c r="P1211" i="1"/>
  <c r="P1584" i="6" s="1"/>
  <c r="P1197" i="1"/>
  <c r="P1569" i="6" s="1"/>
  <c r="K1197" i="1"/>
  <c r="K1569" i="6" s="1"/>
  <c r="F1196" i="1"/>
  <c r="K1192" i="1"/>
  <c r="K1562" i="6" s="1"/>
  <c r="R1191" i="1"/>
  <c r="P1191" i="1"/>
  <c r="P1561" i="6" s="1"/>
  <c r="K1191" i="1"/>
  <c r="R1188" i="1"/>
  <c r="X1188" i="1" s="1"/>
  <c r="R1187" i="1"/>
  <c r="X1187" i="1" s="1"/>
  <c r="X1557" i="6" s="1"/>
  <c r="R1182" i="1"/>
  <c r="X1182" i="1" s="1"/>
  <c r="S1586" i="6"/>
  <c r="AH1151" i="1"/>
  <c r="AH1154" i="1" s="1"/>
  <c r="Y1149" i="1"/>
  <c r="Z1149" i="1" s="1"/>
  <c r="Y1145" i="1"/>
  <c r="H1142" i="1"/>
  <c r="Y1140" i="1"/>
  <c r="O1132" i="1"/>
  <c r="O1153" i="1" s="1"/>
  <c r="O1273" i="1" s="1"/>
  <c r="R1127" i="1"/>
  <c r="E1109" i="1"/>
  <c r="E1112" i="1" s="1"/>
  <c r="E1271" i="1" s="1"/>
  <c r="AE1106" i="1"/>
  <c r="AP1105" i="1"/>
  <c r="Y1098" i="1"/>
  <c r="U1090" i="1"/>
  <c r="U1112" i="1" s="1"/>
  <c r="U1271" i="1" s="1"/>
  <c r="Y1055" i="1"/>
  <c r="Z1055" i="1" s="1"/>
  <c r="AP1065" i="1" s="1"/>
  <c r="H1051" i="1"/>
  <c r="H1075" i="1" s="1"/>
  <c r="H1269" i="1" s="1"/>
  <c r="O1045" i="1"/>
  <c r="O1075" i="1" s="1"/>
  <c r="O1269" i="1" s="1"/>
  <c r="AJ1023" i="1"/>
  <c r="AL1023" i="1" s="1"/>
  <c r="AJ1022" i="1"/>
  <c r="AL1022" i="1" s="1"/>
  <c r="AN1022" i="1" s="1"/>
  <c r="O1022" i="1"/>
  <c r="O1024" i="1" s="1"/>
  <c r="O1267" i="1" s="1"/>
  <c r="AJ1016" i="1"/>
  <c r="Y985" i="1"/>
  <c r="Z985" i="1" s="1"/>
  <c r="Y981" i="1"/>
  <c r="O1267" i="6"/>
  <c r="H953" i="1"/>
  <c r="Y929" i="1"/>
  <c r="N929" i="1"/>
  <c r="Y907" i="1"/>
  <c r="Z907" i="1" s="1"/>
  <c r="X906" i="1"/>
  <c r="H909" i="1"/>
  <c r="H969" i="1" s="1"/>
  <c r="H1265" i="1" s="1"/>
  <c r="AN898" i="1"/>
  <c r="AN896" i="1"/>
  <c r="AQ896" i="1" s="1"/>
  <c r="AO895" i="1"/>
  <c r="AP895" i="1" s="1"/>
  <c r="AG894" i="1"/>
  <c r="AN893" i="1"/>
  <c r="Y874" i="1"/>
  <c r="AG845" i="1"/>
  <c r="AA842" i="1"/>
  <c r="AK846" i="1"/>
  <c r="AG838" i="1"/>
  <c r="AA831" i="1"/>
  <c r="AA1091" i="6" s="1"/>
  <c r="Y823" i="1"/>
  <c r="H821" i="1"/>
  <c r="R821" i="1"/>
  <c r="Y818" i="1"/>
  <c r="Z818" i="1" s="1"/>
  <c r="AB818" i="1"/>
  <c r="AB1073" i="6" s="1"/>
  <c r="Z810" i="1"/>
  <c r="Y795" i="1"/>
  <c r="Z795" i="1" s="1"/>
  <c r="Y792" i="1"/>
  <c r="X791" i="1"/>
  <c r="AB791" i="1" s="1"/>
  <c r="Y783" i="1"/>
  <c r="O765" i="1"/>
  <c r="O846" i="1" s="1"/>
  <c r="O1261" i="1" s="1"/>
  <c r="Y760" i="1"/>
  <c r="AJ752" i="1"/>
  <c r="AI751" i="1"/>
  <c r="U754" i="1"/>
  <c r="U1259" i="1" s="1"/>
  <c r="T754" i="1"/>
  <c r="T1259" i="1" s="1"/>
  <c r="Y736" i="1"/>
  <c r="D721" i="1"/>
  <c r="D754" i="1" s="1"/>
  <c r="D1259" i="1" s="1"/>
  <c r="Y709" i="1"/>
  <c r="Z709" i="1" s="1"/>
  <c r="R683" i="1"/>
  <c r="Y675" i="1"/>
  <c r="X900" i="6"/>
  <c r="AN666" i="1"/>
  <c r="AI664" i="1"/>
  <c r="AQ664" i="1" s="1"/>
  <c r="AL663" i="1"/>
  <c r="AG662" i="1"/>
  <c r="AI658" i="1"/>
  <c r="AQ658" i="1" s="1"/>
  <c r="AL652" i="1"/>
  <c r="Y647" i="1"/>
  <c r="Z647" i="1" s="1"/>
  <c r="Y644" i="1"/>
  <c r="X629" i="1"/>
  <c r="N626" i="1"/>
  <c r="H623" i="1"/>
  <c r="R601" i="1"/>
  <c r="Y599" i="1"/>
  <c r="E668" i="1"/>
  <c r="E1257" i="1" s="1"/>
  <c r="H585" i="1"/>
  <c r="Y584" i="1"/>
  <c r="Z584" i="1" s="1"/>
  <c r="AI574" i="1"/>
  <c r="AQ574" i="1" s="1"/>
  <c r="AI572" i="1"/>
  <c r="N755" i="6"/>
  <c r="AN563" i="1"/>
  <c r="R563" i="1"/>
  <c r="N720" i="6"/>
  <c r="R536" i="1"/>
  <c r="L699" i="6"/>
  <c r="T508" i="1"/>
  <c r="T576" i="1" s="1"/>
  <c r="T1255" i="1" s="1"/>
  <c r="AA504" i="1"/>
  <c r="Y504" i="1"/>
  <c r="D508" i="1"/>
  <c r="D576" i="1" s="1"/>
  <c r="D1255" i="1" s="1"/>
  <c r="O498" i="1"/>
  <c r="E498" i="1"/>
  <c r="Y494" i="1"/>
  <c r="Z494" i="1" s="1"/>
  <c r="AB493" i="1"/>
  <c r="AB653" i="6" s="1"/>
  <c r="R491" i="1"/>
  <c r="H491" i="1"/>
  <c r="AB484" i="1"/>
  <c r="AB645" i="6" s="1"/>
  <c r="X476" i="1"/>
  <c r="H470" i="1"/>
  <c r="R464" i="1"/>
  <c r="AB462" i="1"/>
  <c r="AB629" i="6" s="1"/>
  <c r="AG447" i="1"/>
  <c r="R447" i="1"/>
  <c r="L1197" i="1"/>
  <c r="L1569" i="6" s="1"/>
  <c r="AO446" i="1"/>
  <c r="AP446" i="1" s="1"/>
  <c r="AG444" i="1"/>
  <c r="AI442" i="1"/>
  <c r="AQ442" i="1" s="1"/>
  <c r="Y442" i="1"/>
  <c r="AN441" i="1"/>
  <c r="Y436" i="1"/>
  <c r="Y410" i="1"/>
  <c r="H407" i="1"/>
  <c r="X398" i="1"/>
  <c r="R390" i="1"/>
  <c r="H384" i="1"/>
  <c r="H381" i="1"/>
  <c r="R368" i="1"/>
  <c r="R365" i="1"/>
  <c r="R356" i="1"/>
  <c r="Y351" i="1"/>
  <c r="Z351" i="1" s="1"/>
  <c r="Y347" i="1"/>
  <c r="AI339" i="1"/>
  <c r="V341" i="1"/>
  <c r="I341" i="1"/>
  <c r="F1185" i="1"/>
  <c r="AI335" i="1"/>
  <c r="AO331" i="1"/>
  <c r="AP331" i="1" s="1"/>
  <c r="AJ329" i="1"/>
  <c r="Y326" i="1"/>
  <c r="Z326" i="1" s="1"/>
  <c r="AG325" i="1"/>
  <c r="R330" i="1"/>
  <c r="AD322" i="1"/>
  <c r="Z322" i="1"/>
  <c r="Y315" i="1"/>
  <c r="R312" i="1"/>
  <c r="R1159" i="1" s="1"/>
  <c r="AB286" i="1"/>
  <c r="N256" i="1"/>
  <c r="Y235" i="1"/>
  <c r="Y237" i="1" s="1"/>
  <c r="R223" i="1"/>
  <c r="X222" i="1"/>
  <c r="Y214" i="1"/>
  <c r="X213" i="1"/>
  <c r="X212" i="1"/>
  <c r="AO198" i="1"/>
  <c r="AP198" i="1" s="1"/>
  <c r="AG193" i="1"/>
  <c r="AL192" i="1"/>
  <c r="AN191" i="1"/>
  <c r="AQ191" i="1" s="1"/>
  <c r="AN189" i="1"/>
  <c r="Y177" i="1"/>
  <c r="H177" i="1"/>
  <c r="AD197" i="1"/>
  <c r="Y165" i="1"/>
  <c r="X160" i="1"/>
  <c r="AA202" i="1"/>
  <c r="AA1249" i="1" s="1"/>
  <c r="AI126" i="1"/>
  <c r="AN125" i="1"/>
  <c r="R125" i="1"/>
  <c r="R127" i="1" s="1"/>
  <c r="R1247" i="1" s="1"/>
  <c r="AM123" i="1"/>
  <c r="AM127" i="1" s="1"/>
  <c r="AO123" i="1"/>
  <c r="AP123" i="1" s="1"/>
  <c r="F1209" i="1"/>
  <c r="V127" i="1"/>
  <c r="L1200" i="1"/>
  <c r="L1573" i="6" s="1"/>
  <c r="S123" i="6"/>
  <c r="S129" i="6" s="1"/>
  <c r="S107" i="1"/>
  <c r="S127" i="1" s="1"/>
  <c r="S1247" i="1" s="1"/>
  <c r="X94" i="1"/>
  <c r="Y94" i="1"/>
  <c r="Z94" i="1" s="1"/>
  <c r="X92" i="1"/>
  <c r="Y92" i="1"/>
  <c r="E104" i="6"/>
  <c r="E109" i="6" s="1"/>
  <c r="E89" i="1"/>
  <c r="E127" i="1" s="1"/>
  <c r="R90" i="6"/>
  <c r="R93" i="6" s="1"/>
  <c r="Y69" i="1"/>
  <c r="H88" i="6"/>
  <c r="Y67" i="1"/>
  <c r="O77" i="6"/>
  <c r="O60" i="1"/>
  <c r="AJ62" i="1"/>
  <c r="T59" i="6"/>
  <c r="T81" i="6" s="1"/>
  <c r="T60" i="1"/>
  <c r="T75" i="1" s="1"/>
  <c r="X35" i="1"/>
  <c r="Y35" i="1"/>
  <c r="Z35" i="1" s="1"/>
  <c r="Y905" i="1"/>
  <c r="R755" i="6"/>
  <c r="AG122" i="1"/>
  <c r="AL120" i="1"/>
  <c r="AN119" i="1"/>
  <c r="AQ119" i="1" s="1"/>
  <c r="AN116" i="1"/>
  <c r="AI115" i="1"/>
  <c r="J127" i="1"/>
  <c r="AN72" i="1"/>
  <c r="AQ72" i="1" s="1"/>
  <c r="U75" i="1"/>
  <c r="O75" i="1"/>
  <c r="AN70" i="1"/>
  <c r="AQ70" i="1" s="1"/>
  <c r="AO69" i="1"/>
  <c r="AP69" i="1" s="1"/>
  <c r="AI68" i="1"/>
  <c r="AN64" i="1"/>
  <c r="AQ64" i="1" s="1"/>
  <c r="AB23" i="1"/>
  <c r="AN71" i="1"/>
  <c r="AQ71" i="1" s="1"/>
  <c r="Z1221" i="6"/>
  <c r="Z848" i="6"/>
  <c r="Z582" i="6"/>
  <c r="Y1077" i="3"/>
  <c r="X1077" i="3"/>
  <c r="Y1055" i="3"/>
  <c r="N1055" i="3"/>
  <c r="Y972" i="3"/>
  <c r="Z972" i="3" s="1"/>
  <c r="Z974" i="3" s="1"/>
  <c r="X972" i="3"/>
  <c r="AO915" i="3"/>
  <c r="AI915" i="3"/>
  <c r="AB915" i="3"/>
  <c r="AA915" i="3"/>
  <c r="AA879" i="3"/>
  <c r="AA882" i="3" s="1"/>
  <c r="AB879" i="3"/>
  <c r="AO801" i="3"/>
  <c r="AI801" i="3"/>
  <c r="Z1584" i="6"/>
  <c r="Z1580" i="6"/>
  <c r="Z1558" i="6"/>
  <c r="Z1556" i="6"/>
  <c r="Z1553" i="6"/>
  <c r="D1517" i="6"/>
  <c r="Z1477" i="6"/>
  <c r="Z1476" i="6"/>
  <c r="T1481" i="6"/>
  <c r="J1481" i="6"/>
  <c r="I1481" i="6"/>
  <c r="U1452" i="6"/>
  <c r="AM1460" i="6"/>
  <c r="AL1461" i="6"/>
  <c r="AG1461" i="6"/>
  <c r="AN1421" i="6"/>
  <c r="P1393" i="6"/>
  <c r="V1393" i="6"/>
  <c r="Y1379" i="6"/>
  <c r="S1376" i="6"/>
  <c r="D1376" i="6"/>
  <c r="T1360" i="6"/>
  <c r="I1360" i="6"/>
  <c r="AF1351" i="6"/>
  <c r="L1331" i="6"/>
  <c r="T1331" i="6"/>
  <c r="J1331" i="6"/>
  <c r="AN1358" i="6"/>
  <c r="I1311" i="6"/>
  <c r="U1275" i="6"/>
  <c r="P1275" i="6"/>
  <c r="K1275" i="6"/>
  <c r="T1255" i="6"/>
  <c r="O1255" i="6"/>
  <c r="V1231" i="6"/>
  <c r="AO1252" i="6"/>
  <c r="S1206" i="6"/>
  <c r="U1206" i="6"/>
  <c r="AN1256" i="6"/>
  <c r="I1206" i="6"/>
  <c r="AL1255" i="6"/>
  <c r="AG1255" i="6"/>
  <c r="U1193" i="6"/>
  <c r="AG1254" i="6"/>
  <c r="Y1187" i="6"/>
  <c r="Z1187" i="6" s="1"/>
  <c r="D1193" i="6"/>
  <c r="Z1150" i="6"/>
  <c r="L1143" i="6"/>
  <c r="AH1160" i="6"/>
  <c r="J1131" i="6"/>
  <c r="E1131" i="6"/>
  <c r="L1123" i="6"/>
  <c r="P1123" i="6"/>
  <c r="J1123" i="6"/>
  <c r="J1106" i="6"/>
  <c r="P1088" i="6"/>
  <c r="AN1105" i="6"/>
  <c r="T1076" i="6"/>
  <c r="K1068" i="6"/>
  <c r="Z1056" i="6"/>
  <c r="U1059" i="6"/>
  <c r="K1059" i="6"/>
  <c r="AM1099" i="6"/>
  <c r="T1041" i="6"/>
  <c r="O1041" i="6"/>
  <c r="J1041" i="6"/>
  <c r="AJ1104" i="6"/>
  <c r="AM1101" i="6"/>
  <c r="AH1101" i="6"/>
  <c r="J1030" i="6"/>
  <c r="R1010" i="6"/>
  <c r="I982" i="6"/>
  <c r="L982" i="6"/>
  <c r="Z971" i="6"/>
  <c r="T954" i="6"/>
  <c r="T942" i="6"/>
  <c r="J942" i="6"/>
  <c r="S921" i="6"/>
  <c r="I921" i="6"/>
  <c r="AO988" i="6"/>
  <c r="AM988" i="6"/>
  <c r="AO987" i="6"/>
  <c r="AM986" i="6"/>
  <c r="AH986" i="6"/>
  <c r="Z897" i="6"/>
  <c r="Z885" i="6"/>
  <c r="Z884" i="6"/>
  <c r="T887" i="6"/>
  <c r="O887" i="6"/>
  <c r="I887" i="6"/>
  <c r="E853" i="6"/>
  <c r="U853" i="6"/>
  <c r="L853" i="6"/>
  <c r="S839" i="6"/>
  <c r="AL877" i="6"/>
  <c r="T839" i="6"/>
  <c r="AL873" i="6"/>
  <c r="AN882" i="6"/>
  <c r="AP882" i="6" s="1"/>
  <c r="AJ876" i="6"/>
  <c r="S815" i="6"/>
  <c r="AM873" i="6"/>
  <c r="K815" i="6"/>
  <c r="F815" i="6"/>
  <c r="S804" i="6"/>
  <c r="J804" i="6"/>
  <c r="AH873" i="6"/>
  <c r="AH885" i="6"/>
  <c r="T790" i="6"/>
  <c r="O790" i="6"/>
  <c r="S790" i="6"/>
  <c r="AM887" i="6"/>
  <c r="AH887" i="6"/>
  <c r="V755" i="6"/>
  <c r="H720" i="6"/>
  <c r="AG738" i="6"/>
  <c r="U699" i="6"/>
  <c r="AM741" i="6"/>
  <c r="I686" i="6"/>
  <c r="U686" i="6"/>
  <c r="H648" i="6"/>
  <c r="O633" i="6"/>
  <c r="H608" i="6"/>
  <c r="Y589" i="6"/>
  <c r="E589" i="6"/>
  <c r="D578" i="6"/>
  <c r="Z550" i="6"/>
  <c r="S543" i="6"/>
  <c r="L543" i="6"/>
  <c r="S528" i="6"/>
  <c r="AH617" i="6"/>
  <c r="D502" i="6"/>
  <c r="AF610" i="6"/>
  <c r="Z471" i="6"/>
  <c r="Z462" i="6"/>
  <c r="Z1529" i="6"/>
  <c r="AO447" i="6"/>
  <c r="AA945" i="3"/>
  <c r="AA951" i="3" s="1"/>
  <c r="X942" i="3"/>
  <c r="N872" i="3"/>
  <c r="X817" i="3"/>
  <c r="AF432" i="6"/>
  <c r="Z434" i="6"/>
  <c r="AA1087" i="3"/>
  <c r="AB1087" i="3"/>
  <c r="AB1068" i="3"/>
  <c r="AA1068" i="3"/>
  <c r="AI1024" i="3"/>
  <c r="I1137" i="3" s="1"/>
  <c r="AO1024" i="3"/>
  <c r="AN971" i="3"/>
  <c r="AO971" i="3"/>
  <c r="AP971" i="3" s="1"/>
  <c r="AB737" i="3"/>
  <c r="AB741" i="3" s="1"/>
  <c r="AA737" i="3"/>
  <c r="AA741" i="3" s="1"/>
  <c r="AA722" i="3"/>
  <c r="N727" i="3"/>
  <c r="AN1518" i="6"/>
  <c r="AI1517" i="6"/>
  <c r="AK1517" i="6" s="1"/>
  <c r="K1481" i="6"/>
  <c r="U1463" i="6"/>
  <c r="AL1460" i="6"/>
  <c r="J1452" i="6"/>
  <c r="S1452" i="6"/>
  <c r="AJ1460" i="6"/>
  <c r="AG1460" i="6"/>
  <c r="AI1454" i="6"/>
  <c r="S1442" i="6"/>
  <c r="T1442" i="6"/>
  <c r="AG1455" i="6"/>
  <c r="AI1422" i="6"/>
  <c r="U1422" i="6"/>
  <c r="P1422" i="6"/>
  <c r="K1422" i="6"/>
  <c r="J1410" i="6"/>
  <c r="F1410" i="6"/>
  <c r="AN1411" i="6"/>
  <c r="AP1411" i="6" s="1"/>
  <c r="AS1410" i="6" s="1"/>
  <c r="T1376" i="6"/>
  <c r="J1376" i="6"/>
  <c r="AG1412" i="6"/>
  <c r="AG1423" i="6" s="1"/>
  <c r="AG1359" i="6"/>
  <c r="U1323" i="6"/>
  <c r="AM1349" i="6"/>
  <c r="AH1349" i="6"/>
  <c r="AI1350" i="6"/>
  <c r="AK1350" i="6" s="1"/>
  <c r="L1323" i="6"/>
  <c r="T1323" i="6"/>
  <c r="J1323" i="6"/>
  <c r="AM1357" i="6"/>
  <c r="V1311" i="6"/>
  <c r="AJ1351" i="6"/>
  <c r="E1311" i="6"/>
  <c r="V1293" i="6"/>
  <c r="L1293" i="6"/>
  <c r="E1275" i="6"/>
  <c r="S1244" i="6"/>
  <c r="I1244" i="6"/>
  <c r="O1206" i="6"/>
  <c r="J1206" i="6"/>
  <c r="F1206" i="6"/>
  <c r="AM1247" i="6"/>
  <c r="AH1253" i="6"/>
  <c r="Y1174" i="6"/>
  <c r="E1143" i="6"/>
  <c r="U1143" i="6"/>
  <c r="K1143" i="6"/>
  <c r="AH1162" i="6"/>
  <c r="T1096" i="6"/>
  <c r="L1096" i="6"/>
  <c r="J1088" i="6"/>
  <c r="V1068" i="6"/>
  <c r="O1068" i="6"/>
  <c r="F1068" i="6"/>
  <c r="J1051" i="6"/>
  <c r="AJ1099" i="6"/>
  <c r="E1041" i="6"/>
  <c r="U1041" i="6"/>
  <c r="K1030" i="6"/>
  <c r="E1018" i="6"/>
  <c r="U1018" i="6"/>
  <c r="AM1098" i="6"/>
  <c r="S974" i="6"/>
  <c r="H974" i="6"/>
  <c r="W1529" i="6"/>
  <c r="T921" i="6"/>
  <c r="P921" i="6"/>
  <c r="J921" i="6"/>
  <c r="T911" i="6"/>
  <c r="J911" i="6"/>
  <c r="Z871" i="6"/>
  <c r="AI881" i="6"/>
  <c r="S877" i="6"/>
  <c r="I877" i="6"/>
  <c r="K877" i="6"/>
  <c r="T862" i="6"/>
  <c r="Z808" i="6"/>
  <c r="Z740" i="6"/>
  <c r="AG744" i="6"/>
  <c r="AM743" i="6"/>
  <c r="J672" i="6"/>
  <c r="AJ739" i="6"/>
  <c r="D672" i="6"/>
  <c r="AM756" i="6"/>
  <c r="AH756" i="6"/>
  <c r="S578" i="6"/>
  <c r="F578" i="6"/>
  <c r="AL604" i="6"/>
  <c r="T426" i="6"/>
  <c r="J417" i="6"/>
  <c r="AF433" i="6"/>
  <c r="AB1070" i="3"/>
  <c r="AA1040" i="3"/>
  <c r="AA1038" i="3"/>
  <c r="AB972" i="3"/>
  <c r="AB974" i="3" s="1"/>
  <c r="AB894" i="3"/>
  <c r="AA863" i="3"/>
  <c r="AA866" i="3" s="1"/>
  <c r="AQ853" i="3"/>
  <c r="X825" i="3"/>
  <c r="X856" i="3" s="1"/>
  <c r="X1214" i="3" s="1"/>
  <c r="X764" i="3"/>
  <c r="N749" i="3"/>
  <c r="AB674" i="3"/>
  <c r="AA674" i="3"/>
  <c r="AA677" i="3" s="1"/>
  <c r="AO620" i="3"/>
  <c r="AI620" i="3"/>
  <c r="AB579" i="3"/>
  <c r="AA579" i="3"/>
  <c r="N529" i="3"/>
  <c r="AB525" i="3"/>
  <c r="N500" i="3"/>
  <c r="Y500" i="3"/>
  <c r="AA491" i="3"/>
  <c r="AB491" i="3"/>
  <c r="X460" i="3"/>
  <c r="Y460" i="3"/>
  <c r="AO420" i="3"/>
  <c r="AI420" i="3"/>
  <c r="AB359" i="3"/>
  <c r="AB363" i="3" s="1"/>
  <c r="AA359" i="3"/>
  <c r="AA363" i="3" s="1"/>
  <c r="H312" i="3"/>
  <c r="N305" i="3"/>
  <c r="X304" i="3"/>
  <c r="Y304" i="3"/>
  <c r="AA268" i="3"/>
  <c r="AB268" i="3"/>
  <c r="U528" i="6"/>
  <c r="P528" i="6"/>
  <c r="K528" i="6"/>
  <c r="Z521" i="6"/>
  <c r="D516" i="6"/>
  <c r="Z483" i="6"/>
  <c r="Y472" i="6"/>
  <c r="Z472" i="6" s="1"/>
  <c r="AG600" i="6"/>
  <c r="AL601" i="6"/>
  <c r="T454" i="6"/>
  <c r="Z435" i="6"/>
  <c r="R443" i="6"/>
  <c r="Z423" i="6"/>
  <c r="Z408" i="6"/>
  <c r="Z402" i="6"/>
  <c r="T404" i="6"/>
  <c r="E404" i="6"/>
  <c r="AO452" i="6"/>
  <c r="Z358" i="6"/>
  <c r="D289" i="6"/>
  <c r="AA263" i="6"/>
  <c r="O265" i="6"/>
  <c r="J265" i="6"/>
  <c r="AM258" i="6"/>
  <c r="F256" i="6"/>
  <c r="K247" i="6"/>
  <c r="F247" i="6"/>
  <c r="Z242" i="6"/>
  <c r="AO258" i="6"/>
  <c r="AO256" i="6"/>
  <c r="T235" i="6"/>
  <c r="J235" i="6"/>
  <c r="Z191" i="6"/>
  <c r="F203" i="6"/>
  <c r="V143" i="6"/>
  <c r="AJ141" i="6"/>
  <c r="U129" i="6"/>
  <c r="Z123" i="6"/>
  <c r="Z129" i="6" s="1"/>
  <c r="T93" i="6"/>
  <c r="O93" i="6"/>
  <c r="AG90" i="6"/>
  <c r="U81" i="6"/>
  <c r="D81" i="6"/>
  <c r="L56" i="6"/>
  <c r="AJ89" i="6" s="1"/>
  <c r="P1529" i="6"/>
  <c r="L48" i="6"/>
  <c r="U48" i="6"/>
  <c r="K48" i="6"/>
  <c r="S48" i="6"/>
  <c r="I48" i="6"/>
  <c r="D48" i="6"/>
  <c r="AO86" i="6"/>
  <c r="AH86" i="6"/>
  <c r="AH83" i="6"/>
  <c r="H918" i="3"/>
  <c r="AK856" i="3"/>
  <c r="AK1106" i="3" s="1"/>
  <c r="H787" i="3"/>
  <c r="N685" i="3"/>
  <c r="X566" i="3"/>
  <c r="AB503" i="3"/>
  <c r="AA481" i="3"/>
  <c r="AA414" i="3"/>
  <c r="AB397" i="3"/>
  <c r="X690" i="3"/>
  <c r="R694" i="3"/>
  <c r="R717" i="3" s="1"/>
  <c r="R1210" i="3" s="1"/>
  <c r="Y690" i="3"/>
  <c r="AB657" i="3"/>
  <c r="AA657" i="3"/>
  <c r="AA660" i="3" s="1"/>
  <c r="AI632" i="3"/>
  <c r="AO632" i="3"/>
  <c r="AP632" i="3" s="1"/>
  <c r="AB627" i="3"/>
  <c r="AB631" i="3" s="1"/>
  <c r="N631" i="3"/>
  <c r="AI534" i="3"/>
  <c r="AO534" i="3"/>
  <c r="AB510" i="3"/>
  <c r="AB513" i="3" s="1"/>
  <c r="AA510" i="3"/>
  <c r="AA513" i="3" s="1"/>
  <c r="X376" i="3"/>
  <c r="Y376" i="3"/>
  <c r="AI322" i="3"/>
  <c r="AO322" i="3"/>
  <c r="AP322" i="3" s="1"/>
  <c r="AI313" i="3"/>
  <c r="AO313" i="3"/>
  <c r="AP313" i="3" s="1"/>
  <c r="Y286" i="3"/>
  <c r="N286" i="3"/>
  <c r="AL438" i="6"/>
  <c r="AG442" i="6"/>
  <c r="T289" i="6"/>
  <c r="L289" i="6"/>
  <c r="AN264" i="6"/>
  <c r="AP264" i="6" s="1"/>
  <c r="S235" i="6"/>
  <c r="I235" i="6"/>
  <c r="U235" i="6"/>
  <c r="AH263" i="6"/>
  <c r="D220" i="6"/>
  <c r="AJ265" i="6"/>
  <c r="AJ260" i="6"/>
  <c r="U183" i="6"/>
  <c r="K183" i="6"/>
  <c r="D183" i="6"/>
  <c r="T109" i="6"/>
  <c r="AI91" i="6"/>
  <c r="S93" i="6"/>
  <c r="I93" i="6"/>
  <c r="P93" i="6"/>
  <c r="AL90" i="6"/>
  <c r="I81" i="6"/>
  <c r="T48" i="6"/>
  <c r="AL81" i="6"/>
  <c r="U25" i="6"/>
  <c r="F25" i="6"/>
  <c r="AM89" i="6"/>
  <c r="O1154" i="3"/>
  <c r="P1137" i="3"/>
  <c r="E1137" i="3"/>
  <c r="P1136" i="3"/>
  <c r="R1136" i="3" s="1"/>
  <c r="X1136" i="3" s="1"/>
  <c r="F1136" i="3"/>
  <c r="P1133" i="3"/>
  <c r="P1164" i="3" s="1"/>
  <c r="AD1102" i="3"/>
  <c r="AF1104" i="3"/>
  <c r="H1092" i="3"/>
  <c r="H1082" i="3"/>
  <c r="Y1080" i="3"/>
  <c r="Z1080" i="3" s="1"/>
  <c r="Y1068" i="3"/>
  <c r="R1059" i="3"/>
  <c r="R1062" i="3" s="1"/>
  <c r="R1222" i="3" s="1"/>
  <c r="E1059" i="3"/>
  <c r="E1062" i="3" s="1"/>
  <c r="E1222" i="3" s="1"/>
  <c r="X1056" i="3"/>
  <c r="Y1049" i="3"/>
  <c r="X1047" i="3"/>
  <c r="X1051" i="3" s="1"/>
  <c r="X1039" i="3"/>
  <c r="Y1038" i="3"/>
  <c r="O1042" i="3"/>
  <c r="O1062" i="3" s="1"/>
  <c r="O1222" i="3" s="1"/>
  <c r="AD1024" i="3"/>
  <c r="N1022" i="3"/>
  <c r="AB1021" i="3"/>
  <c r="Y1020" i="3"/>
  <c r="AJ975" i="3"/>
  <c r="AJ974" i="3"/>
  <c r="O974" i="3"/>
  <c r="O976" i="3" s="1"/>
  <c r="O1218" i="3" s="1"/>
  <c r="H956" i="3"/>
  <c r="H976" i="3" s="1"/>
  <c r="H1218" i="3" s="1"/>
  <c r="X920" i="3"/>
  <c r="AD919" i="3"/>
  <c r="X895" i="3"/>
  <c r="AA894" i="3"/>
  <c r="H891" i="3"/>
  <c r="H925" i="3" s="1"/>
  <c r="H1216" i="3" s="1"/>
  <c r="AJ849" i="3"/>
  <c r="R834" i="3"/>
  <c r="R856" i="3" s="1"/>
  <c r="R1214" i="3" s="1"/>
  <c r="Y823" i="3"/>
  <c r="O817" i="3"/>
  <c r="O856" i="3" s="1"/>
  <c r="O1214" i="3" s="1"/>
  <c r="H781" i="3"/>
  <c r="X779" i="3"/>
  <c r="X781" i="3" s="1"/>
  <c r="R764" i="3"/>
  <c r="O757" i="3"/>
  <c r="O805" i="3" s="1"/>
  <c r="O1212" i="3" s="1"/>
  <c r="X746" i="3"/>
  <c r="R741" i="3"/>
  <c r="R805" i="3" s="1"/>
  <c r="R1212" i="3" s="1"/>
  <c r="Y738" i="3"/>
  <c r="H727" i="3"/>
  <c r="H805" i="3" s="1"/>
  <c r="H1212" i="3" s="1"/>
  <c r="X724" i="3"/>
  <c r="AN714" i="3"/>
  <c r="AI714" i="3"/>
  <c r="AO712" i="3"/>
  <c r="AB675" i="3"/>
  <c r="AB654" i="3"/>
  <c r="AB660" i="3" s="1"/>
  <c r="X615" i="3"/>
  <c r="X600" i="3"/>
  <c r="AB563" i="3"/>
  <c r="AB566" i="3" s="1"/>
  <c r="N442" i="3"/>
  <c r="K1148" i="3"/>
  <c r="AP420" i="3"/>
  <c r="X321" i="3"/>
  <c r="X282" i="3"/>
  <c r="AB269" i="3"/>
  <c r="AB258" i="3"/>
  <c r="AB260" i="3" s="1"/>
  <c r="AB175" i="3"/>
  <c r="D181" i="3"/>
  <c r="D189" i="3" s="1"/>
  <c r="D1200" i="3" s="1"/>
  <c r="R168" i="3"/>
  <c r="AJ183" i="3"/>
  <c r="Y139" i="3"/>
  <c r="X139" i="3"/>
  <c r="X141" i="3" s="1"/>
  <c r="AG107" i="3"/>
  <c r="AF119" i="3"/>
  <c r="Y105" i="3"/>
  <c r="X105" i="3"/>
  <c r="N30" i="3"/>
  <c r="H37" i="3"/>
  <c r="N12" i="3"/>
  <c r="H18" i="3"/>
  <c r="H712" i="3"/>
  <c r="Y629" i="3"/>
  <c r="AO627" i="3"/>
  <c r="AP627" i="3" s="1"/>
  <c r="X570" i="3"/>
  <c r="AA570" i="3" s="1"/>
  <c r="AA575" i="3" s="1"/>
  <c r="Y563" i="3"/>
  <c r="X556" i="3"/>
  <c r="X535" i="3"/>
  <c r="X527" i="3"/>
  <c r="AA527" i="3" s="1"/>
  <c r="X526" i="3"/>
  <c r="R520" i="3"/>
  <c r="O513" i="3"/>
  <c r="O549" i="3" s="1"/>
  <c r="O1206" i="3" s="1"/>
  <c r="AB492" i="3"/>
  <c r="Z490" i="3"/>
  <c r="Z496" i="3" s="1"/>
  <c r="X480" i="3"/>
  <c r="AB480" i="3" s="1"/>
  <c r="X463" i="3"/>
  <c r="R454" i="3"/>
  <c r="AA438" i="3"/>
  <c r="AA442" i="3" s="1"/>
  <c r="H425" i="3"/>
  <c r="X423" i="3"/>
  <c r="R416" i="3"/>
  <c r="R432" i="3" s="1"/>
  <c r="R1204" i="3" s="1"/>
  <c r="X412" i="3"/>
  <c r="H403" i="3"/>
  <c r="X401" i="3"/>
  <c r="N384" i="3"/>
  <c r="O379" i="3"/>
  <c r="O432" i="3" s="1"/>
  <c r="O1204" i="3" s="1"/>
  <c r="H354" i="3"/>
  <c r="H432" i="3" s="1"/>
  <c r="H1204" i="3" s="1"/>
  <c r="Y334" i="3"/>
  <c r="Z334" i="3" s="1"/>
  <c r="X308" i="3"/>
  <c r="X290" i="3"/>
  <c r="X293" i="3" s="1"/>
  <c r="R282" i="3"/>
  <c r="E274" i="3"/>
  <c r="E323" i="3" s="1"/>
  <c r="X272" i="3"/>
  <c r="Y269" i="3"/>
  <c r="Z269" i="3" s="1"/>
  <c r="Y268" i="3"/>
  <c r="R252" i="3"/>
  <c r="X239" i="3"/>
  <c r="Y238" i="3"/>
  <c r="AB238" i="3"/>
  <c r="AB232" i="3"/>
  <c r="Y228" i="3"/>
  <c r="Z228" i="3" s="1"/>
  <c r="Y200" i="3"/>
  <c r="AF189" i="3"/>
  <c r="AN184" i="3"/>
  <c r="AQ184" i="3" s="1"/>
  <c r="X187" i="3"/>
  <c r="AO182" i="3"/>
  <c r="AI179" i="3"/>
  <c r="AB179" i="3"/>
  <c r="Y175" i="3"/>
  <c r="Y181" i="3" s="1"/>
  <c r="Y170" i="3"/>
  <c r="Z170" i="3" s="1"/>
  <c r="AB169" i="3"/>
  <c r="S189" i="3"/>
  <c r="S1200" i="3" s="1"/>
  <c r="AA189" i="3"/>
  <c r="AA1200" i="3" s="1"/>
  <c r="U189" i="3"/>
  <c r="O189" i="3"/>
  <c r="K189" i="3"/>
  <c r="AO116" i="3"/>
  <c r="AP116" i="3" s="1"/>
  <c r="AI115" i="3"/>
  <c r="D117" i="3"/>
  <c r="D119" i="3" s="1"/>
  <c r="R108" i="3"/>
  <c r="R119" i="3" s="1"/>
  <c r="X108" i="3"/>
  <c r="Y87" i="3"/>
  <c r="AA87" i="3"/>
  <c r="AA93" i="3" s="1"/>
  <c r="F119" i="3"/>
  <c r="Y80" i="3"/>
  <c r="AN67" i="3"/>
  <c r="S69" i="3"/>
  <c r="AG63" i="3"/>
  <c r="AG59" i="3"/>
  <c r="AH69" i="3"/>
  <c r="Y51" i="3"/>
  <c r="H44" i="3"/>
  <c r="H69" i="3" s="1"/>
  <c r="Z1286" i="6"/>
  <c r="Z39" i="6"/>
  <c r="Z214" i="6"/>
  <c r="Z1346" i="6"/>
  <c r="Z1300" i="6"/>
  <c r="R231" i="3"/>
  <c r="O234" i="3"/>
  <c r="O323" i="3" s="1"/>
  <c r="O1202" i="3" s="1"/>
  <c r="Y217" i="3"/>
  <c r="X217" i="3"/>
  <c r="N215" i="3"/>
  <c r="H223" i="3"/>
  <c r="N207" i="3"/>
  <c r="Y207" i="3"/>
  <c r="N184" i="3"/>
  <c r="Y184" i="3"/>
  <c r="H187" i="3"/>
  <c r="N160" i="3"/>
  <c r="H162" i="3"/>
  <c r="N129" i="3"/>
  <c r="AB129" i="3" s="1"/>
  <c r="Y129" i="3"/>
  <c r="Z129" i="3" s="1"/>
  <c r="X64" i="3"/>
  <c r="Y64" i="3"/>
  <c r="X681" i="3"/>
  <c r="AB680" i="3"/>
  <c r="Y675" i="3"/>
  <c r="Z675" i="3" s="1"/>
  <c r="Y674" i="3"/>
  <c r="AA238" i="3"/>
  <c r="Y229" i="3"/>
  <c r="Z229" i="3" s="1"/>
  <c r="AH189" i="3"/>
  <c r="N181" i="3"/>
  <c r="Y158" i="3"/>
  <c r="AB158" i="3"/>
  <c r="X144" i="3"/>
  <c r="X153" i="3" s="1"/>
  <c r="L189" i="3"/>
  <c r="T189" i="3"/>
  <c r="P189" i="3"/>
  <c r="P1200" i="3" s="1"/>
  <c r="Y125" i="3"/>
  <c r="Z125" i="3" s="1"/>
  <c r="AB125" i="3"/>
  <c r="Y124" i="3"/>
  <c r="AN115" i="3"/>
  <c r="P119" i="3"/>
  <c r="AN68" i="3"/>
  <c r="AI67" i="3"/>
  <c r="AQ67" i="3" s="1"/>
  <c r="AN63" i="3"/>
  <c r="AN59" i="3"/>
  <c r="AB54" i="3"/>
  <c r="X26" i="3"/>
  <c r="Y15" i="3"/>
  <c r="Z1406" i="6"/>
  <c r="AF733" i="6"/>
  <c r="Z571" i="6"/>
  <c r="Y1548" i="6"/>
  <c r="Y1564" i="6"/>
  <c r="Z1564" i="6" s="1"/>
  <c r="Z69" i="6"/>
  <c r="Z1272" i="6"/>
  <c r="Z1578" i="6"/>
  <c r="Z275" i="6"/>
  <c r="Z1562" i="6"/>
  <c r="Z947" i="6"/>
  <c r="Z795" i="6"/>
  <c r="Z1355" i="6"/>
  <c r="Z1114" i="6"/>
  <c r="Y1123" i="6"/>
  <c r="AI866" i="6"/>
  <c r="Z306" i="6"/>
  <c r="Z347" i="6"/>
  <c r="Z1236" i="6"/>
  <c r="Y1331" i="6"/>
  <c r="AI149" i="6"/>
  <c r="Z1034" i="6"/>
  <c r="Y339" i="6"/>
  <c r="H342" i="6"/>
  <c r="AL755" i="6"/>
  <c r="O720" i="6"/>
  <c r="AL145" i="6"/>
  <c r="O109" i="6"/>
  <c r="O1360" i="6"/>
  <c r="AL1360" i="6"/>
  <c r="V1517" i="6"/>
  <c r="AO1513" i="6"/>
  <c r="L1517" i="6"/>
  <c r="AJ1513" i="6"/>
  <c r="H1517" i="6"/>
  <c r="Y1513" i="6"/>
  <c r="AM1505" i="6"/>
  <c r="P1481" i="6"/>
  <c r="AL1463" i="6"/>
  <c r="O1463" i="6"/>
  <c r="L1051" i="6"/>
  <c r="AJ1097" i="6"/>
  <c r="AJ1098" i="6"/>
  <c r="L1030" i="6"/>
  <c r="Y1026" i="6"/>
  <c r="H1030" i="6"/>
  <c r="F982" i="6"/>
  <c r="AH985" i="6"/>
  <c r="Z970" i="6"/>
  <c r="AO981" i="6"/>
  <c r="V974" i="6"/>
  <c r="AJ981" i="6"/>
  <c r="L974" i="6"/>
  <c r="H962" i="6"/>
  <c r="Y959" i="6"/>
  <c r="AO982" i="6"/>
  <c r="V921" i="6"/>
  <c r="L921" i="6"/>
  <c r="AJ982" i="6"/>
  <c r="H921" i="6"/>
  <c r="Y915" i="6"/>
  <c r="E921" i="6"/>
  <c r="AG981" i="6"/>
  <c r="AH987" i="6"/>
  <c r="F911" i="6"/>
  <c r="AL986" i="6"/>
  <c r="AG986" i="6"/>
  <c r="E911" i="6"/>
  <c r="E877" i="6"/>
  <c r="AG874" i="6"/>
  <c r="O235" i="6"/>
  <c r="AL255" i="6"/>
  <c r="AG255" i="6"/>
  <c r="E235" i="6"/>
  <c r="Y189" i="6"/>
  <c r="H203" i="6"/>
  <c r="V203" i="6"/>
  <c r="AO252" i="6"/>
  <c r="L203" i="6"/>
  <c r="AJ252" i="6"/>
  <c r="P143" i="6"/>
  <c r="AM155" i="6"/>
  <c r="AN155" i="6" s="1"/>
  <c r="AH155" i="6"/>
  <c r="F143" i="6"/>
  <c r="E143" i="6"/>
  <c r="L143" i="6"/>
  <c r="AJ145" i="6" s="1"/>
  <c r="AJ142" i="6"/>
  <c r="H143" i="6"/>
  <c r="Y132" i="6"/>
  <c r="AL143" i="6"/>
  <c r="O129" i="6"/>
  <c r="AJ83" i="6"/>
  <c r="L81" i="6"/>
  <c r="AG93" i="6"/>
  <c r="E48" i="6"/>
  <c r="Y887" i="6"/>
  <c r="U1481" i="6"/>
  <c r="L1041" i="6"/>
  <c r="U1030" i="6"/>
  <c r="AM1097" i="6"/>
  <c r="S1018" i="6"/>
  <c r="V962" i="6"/>
  <c r="U143" i="6"/>
  <c r="L1399" i="6"/>
  <c r="AJ1410" i="6"/>
  <c r="V1323" i="6"/>
  <c r="AO1352" i="6"/>
  <c r="F1293" i="6"/>
  <c r="AH1351" i="6"/>
  <c r="AJ1253" i="6"/>
  <c r="L1206" i="6"/>
  <c r="V815" i="6"/>
  <c r="AO876" i="6"/>
  <c r="AJ875" i="6"/>
  <c r="L781" i="6"/>
  <c r="AM871" i="6"/>
  <c r="P781" i="6"/>
  <c r="AO739" i="6"/>
  <c r="V699" i="6"/>
  <c r="AM439" i="6"/>
  <c r="P417" i="6"/>
  <c r="D383" i="6"/>
  <c r="AH438" i="6"/>
  <c r="F383" i="6"/>
  <c r="AM432" i="6"/>
  <c r="P383" i="6"/>
  <c r="Y59" i="6"/>
  <c r="R81" i="6"/>
  <c r="D56" i="6"/>
  <c r="AI980" i="6"/>
  <c r="E383" i="6"/>
  <c r="AG432" i="6"/>
  <c r="Y241" i="6"/>
  <c r="R247" i="6"/>
  <c r="AI1411" i="6"/>
  <c r="AH1348" i="6"/>
  <c r="F1331" i="6"/>
  <c r="Z1138" i="6"/>
  <c r="Y1143" i="6"/>
  <c r="L1131" i="6"/>
  <c r="AJ1160" i="6"/>
  <c r="Y1126" i="6"/>
  <c r="Y1131" i="6" s="1"/>
  <c r="H1131" i="6"/>
  <c r="AF1160" i="6"/>
  <c r="D1131" i="6"/>
  <c r="Z1082" i="6"/>
  <c r="Y1070" i="6"/>
  <c r="H1076" i="6"/>
  <c r="Z690" i="6"/>
  <c r="R686" i="6"/>
  <c r="Y676" i="6"/>
  <c r="AG264" i="6"/>
  <c r="E247" i="6"/>
  <c r="R235" i="6"/>
  <c r="Y232" i="6"/>
  <c r="AJ256" i="6"/>
  <c r="L235" i="6"/>
  <c r="I1442" i="6"/>
  <c r="S1422" i="6"/>
  <c r="E1351" i="6"/>
  <c r="J1351" i="6"/>
  <c r="F1323" i="6"/>
  <c r="T1293" i="6"/>
  <c r="O1293" i="6"/>
  <c r="P1244" i="6"/>
  <c r="J853" i="6"/>
  <c r="J839" i="6"/>
  <c r="I815" i="6"/>
  <c r="T815" i="6"/>
  <c r="I804" i="6"/>
  <c r="J383" i="6"/>
  <c r="R1529" i="6"/>
  <c r="AG1349" i="6"/>
  <c r="Z1253" i="6"/>
  <c r="AL874" i="6"/>
  <c r="P1376" i="6"/>
  <c r="L1311" i="6"/>
  <c r="L815" i="6"/>
  <c r="E839" i="6"/>
  <c r="P1452" i="6"/>
  <c r="Y1529" i="6"/>
  <c r="Y1589" i="6" s="1"/>
  <c r="O1442" i="6"/>
  <c r="I1376" i="6"/>
  <c r="F1244" i="6"/>
  <c r="AO1274" i="6"/>
  <c r="AM1248" i="6"/>
  <c r="T1206" i="6"/>
  <c r="K1206" i="6"/>
  <c r="T1068" i="6"/>
  <c r="AJ742" i="6"/>
  <c r="S672" i="6"/>
  <c r="N672" i="6"/>
  <c r="F672" i="6"/>
  <c r="S660" i="6"/>
  <c r="Y324" i="6"/>
  <c r="Z324" i="6" s="1"/>
  <c r="AH1460" i="6"/>
  <c r="F1452" i="6"/>
  <c r="Y1408" i="6"/>
  <c r="H1410" i="6"/>
  <c r="H1376" i="6"/>
  <c r="Y1370" i="6"/>
  <c r="V1360" i="6"/>
  <c r="AO1360" i="6"/>
  <c r="H1323" i="6"/>
  <c r="Y1314" i="6"/>
  <c r="E1293" i="6"/>
  <c r="AG1357" i="6"/>
  <c r="Y867" i="6"/>
  <c r="H877" i="6"/>
  <c r="Z850" i="6"/>
  <c r="AL871" i="6"/>
  <c r="O853" i="6"/>
  <c r="AO874" i="6"/>
  <c r="V839" i="6"/>
  <c r="L839" i="6"/>
  <c r="AJ874" i="6"/>
  <c r="Y377" i="6"/>
  <c r="H383" i="6"/>
  <c r="Y52" i="6"/>
  <c r="Y56" i="6" s="1"/>
  <c r="H56" i="6"/>
  <c r="AL1097" i="6"/>
  <c r="O1030" i="6"/>
  <c r="F1030" i="6"/>
  <c r="AH1097" i="6"/>
  <c r="F1018" i="6"/>
  <c r="AH1100" i="6"/>
  <c r="AO1099" i="6"/>
  <c r="V1018" i="6"/>
  <c r="R1018" i="6"/>
  <c r="Y1015" i="6"/>
  <c r="J1442" i="6"/>
  <c r="O1351" i="6"/>
  <c r="J1293" i="6"/>
  <c r="U1244" i="6"/>
  <c r="K1244" i="6"/>
  <c r="T853" i="6"/>
  <c r="O839" i="6"/>
  <c r="P815" i="6"/>
  <c r="J790" i="6"/>
  <c r="S686" i="6"/>
  <c r="U383" i="6"/>
  <c r="O1452" i="6"/>
  <c r="E1442" i="6"/>
  <c r="O1422" i="6"/>
  <c r="AH1412" i="6"/>
  <c r="AH1423" i="6" s="1"/>
  <c r="P1311" i="6"/>
  <c r="F1360" i="6"/>
  <c r="E1376" i="6"/>
  <c r="AJ1356" i="6"/>
  <c r="V1399" i="6"/>
  <c r="AM885" i="6"/>
  <c r="AO1356" i="6"/>
  <c r="N877" i="6"/>
  <c r="AH1099" i="6"/>
  <c r="H1041" i="6"/>
  <c r="F1041" i="6"/>
  <c r="T1030" i="6"/>
  <c r="J1018" i="6"/>
  <c r="J81" i="6"/>
  <c r="Y979" i="6"/>
  <c r="Z979" i="6" s="1"/>
  <c r="H982" i="6"/>
  <c r="Y924" i="6"/>
  <c r="AJ987" i="6"/>
  <c r="L911" i="6"/>
  <c r="AM878" i="6"/>
  <c r="AN878" i="6" s="1"/>
  <c r="AP878" i="6" s="1"/>
  <c r="P887" i="6"/>
  <c r="AH874" i="6"/>
  <c r="Z753" i="6"/>
  <c r="AF756" i="6"/>
  <c r="D755" i="6"/>
  <c r="P247" i="6"/>
  <c r="AM259" i="6"/>
  <c r="AN259" i="6" s="1"/>
  <c r="AP259" i="6" s="1"/>
  <c r="AG146" i="6"/>
  <c r="E162" i="6"/>
  <c r="AO87" i="6"/>
  <c r="V93" i="6"/>
  <c r="Y31" i="6"/>
  <c r="Z31" i="6" s="1"/>
  <c r="R48" i="6"/>
  <c r="AF86" i="6"/>
  <c r="D25" i="6"/>
  <c r="AA921" i="6"/>
  <c r="AA974" i="6"/>
  <c r="AB1143" i="6"/>
  <c r="X1481" i="6"/>
  <c r="AF447" i="6"/>
  <c r="U1586" i="6"/>
  <c r="AL1505" i="6"/>
  <c r="K1452" i="6"/>
  <c r="K1182" i="6"/>
  <c r="I962" i="6"/>
  <c r="L962" i="6"/>
  <c r="S931" i="6"/>
  <c r="I931" i="6"/>
  <c r="L931" i="6"/>
  <c r="U781" i="6"/>
  <c r="K781" i="6"/>
  <c r="AO873" i="6"/>
  <c r="R781" i="6"/>
  <c r="Y763" i="6"/>
  <c r="T755" i="6"/>
  <c r="AL610" i="6"/>
  <c r="AG610" i="6"/>
  <c r="T183" i="6"/>
  <c r="L93" i="6"/>
  <c r="AG83" i="6"/>
  <c r="AL87" i="6"/>
  <c r="Z1127" i="6"/>
  <c r="AF1161" i="6"/>
  <c r="Z575" i="6"/>
  <c r="Y524" i="6"/>
  <c r="H528" i="6"/>
  <c r="Z400" i="6"/>
  <c r="Y404" i="6"/>
  <c r="H289" i="6"/>
  <c r="Y284" i="6"/>
  <c r="Z284" i="6" s="1"/>
  <c r="AN866" i="6"/>
  <c r="N1051" i="6"/>
  <c r="N826" i="6"/>
  <c r="N235" i="6"/>
  <c r="X1463" i="6"/>
  <c r="AG871" i="6"/>
  <c r="X109" i="6"/>
  <c r="AN1517" i="6"/>
  <c r="AP1517" i="6" s="1"/>
  <c r="E1517" i="6"/>
  <c r="I1452" i="6"/>
  <c r="H1156" i="6"/>
  <c r="T1131" i="6"/>
  <c r="P1131" i="6"/>
  <c r="I1123" i="6"/>
  <c r="U1096" i="6"/>
  <c r="V862" i="6"/>
  <c r="P578" i="6"/>
  <c r="K578" i="6"/>
  <c r="L443" i="6"/>
  <c r="Y432" i="6"/>
  <c r="F81" i="6"/>
  <c r="Y463" i="6"/>
  <c r="Z463" i="6" s="1"/>
  <c r="H475" i="6"/>
  <c r="Z84" i="6"/>
  <c r="X1517" i="6"/>
  <c r="T672" i="6"/>
  <c r="F1517" i="6"/>
  <c r="T1503" i="6"/>
  <c r="J1503" i="6"/>
  <c r="AG1513" i="6"/>
  <c r="S1096" i="6"/>
  <c r="I862" i="6"/>
  <c r="Y798" i="6"/>
  <c r="AO887" i="6"/>
  <c r="AH735" i="6"/>
  <c r="AN751" i="6"/>
  <c r="J129" i="6"/>
  <c r="AL141" i="6"/>
  <c r="S1529" i="6"/>
  <c r="Y272" i="6"/>
  <c r="R289" i="6"/>
  <c r="N1410" i="6"/>
  <c r="X1311" i="6"/>
  <c r="Y835" i="6"/>
  <c r="Z835" i="6" s="1"/>
  <c r="Y832" i="6"/>
  <c r="T1517" i="6"/>
  <c r="AH1509" i="6"/>
  <c r="AO1458" i="6"/>
  <c r="H516" i="6"/>
  <c r="Y1196" i="6"/>
  <c r="H1206" i="6"/>
  <c r="AM93" i="6"/>
  <c r="AN93" i="6" s="1"/>
  <c r="AP93" i="6" s="1"/>
  <c r="P48" i="6"/>
  <c r="P1351" i="6"/>
  <c r="K1165" i="6"/>
  <c r="Y1165" i="6"/>
  <c r="S1156" i="6"/>
  <c r="AH1161" i="6"/>
  <c r="K1088" i="6"/>
  <c r="S1051" i="6"/>
  <c r="E755" i="6"/>
  <c r="Y636" i="6"/>
  <c r="F364" i="6"/>
  <c r="AA260" i="6"/>
  <c r="AA162" i="6"/>
  <c r="O699" i="6"/>
  <c r="U1503" i="6"/>
  <c r="AL1509" i="6"/>
  <c r="Y1341" i="6"/>
  <c r="K1255" i="6"/>
  <c r="Z1159" i="6"/>
  <c r="S1123" i="6"/>
  <c r="I1059" i="6"/>
  <c r="F1051" i="6"/>
  <c r="S911" i="6"/>
  <c r="O552" i="6"/>
  <c r="P353" i="6"/>
  <c r="AF451" i="6"/>
  <c r="AG445" i="6"/>
  <c r="K81" i="6"/>
  <c r="H48" i="6"/>
  <c r="Y40" i="6"/>
  <c r="Z668" i="3" l="1"/>
  <c r="H1103" i="3"/>
  <c r="H1224" i="3" s="1"/>
  <c r="AA1092" i="3"/>
  <c r="N982" i="6"/>
  <c r="AB1072" i="1"/>
  <c r="Y755" i="6"/>
  <c r="AI61" i="3"/>
  <c r="AQ61" i="3" s="1"/>
  <c r="AO61" i="3"/>
  <c r="AP61" i="3" s="1"/>
  <c r="AN107" i="3"/>
  <c r="AL119" i="3"/>
  <c r="I1160" i="3"/>
  <c r="N1160" i="3"/>
  <c r="AB1160" i="3" s="1"/>
  <c r="AN108" i="3"/>
  <c r="AQ108" i="3" s="1"/>
  <c r="AO108" i="3"/>
  <c r="AP108" i="3" s="1"/>
  <c r="X252" i="3"/>
  <c r="Z315" i="3"/>
  <c r="Z321" i="3" s="1"/>
  <c r="Y321" i="3"/>
  <c r="Z480" i="3"/>
  <c r="Z484" i="3" s="1"/>
  <c r="Y484" i="3"/>
  <c r="AI311" i="3"/>
  <c r="AO311" i="3"/>
  <c r="AP311" i="3" s="1"/>
  <c r="H1153" i="3"/>
  <c r="Z389" i="3"/>
  <c r="Z394" i="3" s="1"/>
  <c r="Y394" i="3"/>
  <c r="AN425" i="3"/>
  <c r="AQ425" i="3" s="1"/>
  <c r="R1161" i="3"/>
  <c r="AO425" i="3"/>
  <c r="AP425" i="3" s="1"/>
  <c r="AI548" i="3"/>
  <c r="H1147" i="3"/>
  <c r="AI624" i="3"/>
  <c r="AQ624" i="3" s="1"/>
  <c r="AG633" i="3"/>
  <c r="AO624" i="3"/>
  <c r="AP624" i="3" s="1"/>
  <c r="AB157" i="3"/>
  <c r="X162" i="3"/>
  <c r="Z407" i="3"/>
  <c r="Z409" i="3" s="1"/>
  <c r="Y409" i="3"/>
  <c r="AI547" i="3"/>
  <c r="AQ547" i="3" s="1"/>
  <c r="AO547" i="3"/>
  <c r="AP547" i="3" s="1"/>
  <c r="Z570" i="3"/>
  <c r="Y575" i="3"/>
  <c r="AN620" i="3"/>
  <c r="AL633" i="3"/>
  <c r="Z473" i="3"/>
  <c r="Z475" i="3" s="1"/>
  <c r="Y475" i="3"/>
  <c r="AA493" i="3"/>
  <c r="AB493" i="3"/>
  <c r="AB496" i="3" s="1"/>
  <c r="AA578" i="3"/>
  <c r="AB578" i="3"/>
  <c r="AA610" i="3"/>
  <c r="AB610" i="3"/>
  <c r="AB615" i="3" s="1"/>
  <c r="N1141" i="3"/>
  <c r="AB1141" i="3" s="1"/>
  <c r="I1141" i="3"/>
  <c r="AQ628" i="3"/>
  <c r="AG805" i="3"/>
  <c r="AO797" i="3"/>
  <c r="AP797" i="3" s="1"/>
  <c r="AI797" i="3"/>
  <c r="AQ797" i="3" s="1"/>
  <c r="Z875" i="3"/>
  <c r="Z882" i="3" s="1"/>
  <c r="Y882" i="3"/>
  <c r="Z666" i="3"/>
  <c r="Y668" i="3"/>
  <c r="AI708" i="3"/>
  <c r="AQ708" i="3" s="1"/>
  <c r="AO708" i="3"/>
  <c r="AP708" i="3" s="1"/>
  <c r="AN715" i="3"/>
  <c r="AQ715" i="3" s="1"/>
  <c r="AO715" i="3"/>
  <c r="AP715" i="3" s="1"/>
  <c r="AA461" i="3"/>
  <c r="AB461" i="3"/>
  <c r="AI631" i="3"/>
  <c r="AQ631" i="3" s="1"/>
  <c r="AO631" i="3"/>
  <c r="AP631" i="3" s="1"/>
  <c r="AB620" i="3"/>
  <c r="AA620" i="3"/>
  <c r="AB543" i="3"/>
  <c r="AB546" i="3" s="1"/>
  <c r="AA543" i="3"/>
  <c r="AA546" i="3" s="1"/>
  <c r="N546" i="3"/>
  <c r="N549" i="3" s="1"/>
  <c r="N1206" i="3" s="1"/>
  <c r="AB880" i="3"/>
  <c r="X882" i="3"/>
  <c r="AI1017" i="3"/>
  <c r="AQ1017" i="3" s="1"/>
  <c r="AG1026" i="3"/>
  <c r="AO1017" i="3"/>
  <c r="AN1094" i="3"/>
  <c r="AQ1094" i="3" s="1"/>
  <c r="AO1094" i="3"/>
  <c r="AL1104" i="3"/>
  <c r="AI67" i="1"/>
  <c r="AQ67" i="1" s="1"/>
  <c r="AG75" i="1"/>
  <c r="AO67" i="1"/>
  <c r="AP67" i="1" s="1"/>
  <c r="Y496" i="3"/>
  <c r="AG709" i="3"/>
  <c r="AE717" i="3"/>
  <c r="E1132" i="3"/>
  <c r="Y869" i="3"/>
  <c r="R872" i="3"/>
  <c r="R925" i="3" s="1"/>
  <c r="R1216" i="3" s="1"/>
  <c r="X869" i="3"/>
  <c r="AD717" i="3"/>
  <c r="D1153" i="3"/>
  <c r="AN922" i="3"/>
  <c r="AQ922" i="3" s="1"/>
  <c r="R1152" i="3"/>
  <c r="AO922" i="3"/>
  <c r="AP922" i="3" s="1"/>
  <c r="Z945" i="3"/>
  <c r="Z951" i="3" s="1"/>
  <c r="Y951" i="3"/>
  <c r="AB1086" i="3"/>
  <c r="AA1086" i="3"/>
  <c r="X1092" i="3"/>
  <c r="K1247" i="1"/>
  <c r="K1275" i="1" s="1"/>
  <c r="K1156" i="1"/>
  <c r="X47" i="1"/>
  <c r="X52" i="6"/>
  <c r="X56" i="6" s="1"/>
  <c r="AB43" i="1"/>
  <c r="AA43" i="1"/>
  <c r="AB112" i="1"/>
  <c r="AB140" i="6" s="1"/>
  <c r="AA112" i="1"/>
  <c r="AA140" i="6" s="1"/>
  <c r="N140" i="6"/>
  <c r="N143" i="6" s="1"/>
  <c r="N115" i="1"/>
  <c r="AA777" i="3"/>
  <c r="Z937" i="3"/>
  <c r="Z942" i="3" s="1"/>
  <c r="Y942" i="3"/>
  <c r="AA1057" i="3"/>
  <c r="AA1078" i="3"/>
  <c r="AB1078" i="3"/>
  <c r="N1082" i="3"/>
  <c r="AA699" i="3"/>
  <c r="AA701" i="3" s="1"/>
  <c r="X701" i="3"/>
  <c r="AB699" i="3"/>
  <c r="AB701" i="3" s="1"/>
  <c r="V1164" i="3"/>
  <c r="AI189" i="1"/>
  <c r="AO189" i="1"/>
  <c r="AP189" i="1" s="1"/>
  <c r="Z266" i="1"/>
  <c r="Y351" i="6"/>
  <c r="Z351" i="6" s="1"/>
  <c r="AO440" i="1"/>
  <c r="AP440" i="1" s="1"/>
  <c r="AN440" i="1"/>
  <c r="AQ440" i="1" s="1"/>
  <c r="X1009" i="3"/>
  <c r="AA1006" i="3"/>
  <c r="AA1009" i="3" s="1"/>
  <c r="AB1006" i="3"/>
  <c r="AB1009" i="3" s="1"/>
  <c r="X1027" i="3"/>
  <c r="X1220" i="3" s="1"/>
  <c r="AI842" i="1"/>
  <c r="AQ842" i="1" s="1"/>
  <c r="AO842" i="1"/>
  <c r="AP842" i="1" s="1"/>
  <c r="AB175" i="1"/>
  <c r="AB239" i="6" s="1"/>
  <c r="N239" i="6"/>
  <c r="Y285" i="6"/>
  <c r="Z212" i="1"/>
  <c r="Z285" i="6" s="1"/>
  <c r="Y245" i="1"/>
  <c r="Z245" i="1" s="1"/>
  <c r="X245" i="1"/>
  <c r="X326" i="6" s="1"/>
  <c r="R248" i="1"/>
  <c r="Z663" i="1"/>
  <c r="Z666" i="1" s="1"/>
  <c r="Y666" i="1"/>
  <c r="X561" i="6"/>
  <c r="AA412" i="1"/>
  <c r="AA561" i="6" s="1"/>
  <c r="AB412" i="1"/>
  <c r="AB561" i="6" s="1"/>
  <c r="X460" i="1"/>
  <c r="Y460" i="1"/>
  <c r="Z460" i="1" s="1"/>
  <c r="AI745" i="1"/>
  <c r="AQ745" i="1" s="1"/>
  <c r="AO745" i="1"/>
  <c r="AP745" i="1" s="1"/>
  <c r="AL957" i="1"/>
  <c r="AJ969" i="1"/>
  <c r="AI1020" i="1"/>
  <c r="AQ1020" i="1" s="1"/>
  <c r="AO1020" i="1"/>
  <c r="AP1020" i="1" s="1"/>
  <c r="AB639" i="1"/>
  <c r="AB850" i="6" s="1"/>
  <c r="N850" i="6"/>
  <c r="N853" i="6" s="1"/>
  <c r="AA639" i="1"/>
  <c r="AA850" i="6" s="1"/>
  <c r="N642" i="1"/>
  <c r="Z920" i="1"/>
  <c r="Z925" i="1" s="1"/>
  <c r="Y925" i="1"/>
  <c r="AI1014" i="1"/>
  <c r="AQ1014" i="1" s="1"/>
  <c r="AG1024" i="1"/>
  <c r="AO1014" i="1"/>
  <c r="AG322" i="1"/>
  <c r="E1192" i="1"/>
  <c r="H1192" i="1" s="1"/>
  <c r="N1192" i="1" s="1"/>
  <c r="N1562" i="6" s="1"/>
  <c r="X1174" i="6"/>
  <c r="AB905" i="1"/>
  <c r="AB1174" i="6" s="1"/>
  <c r="AA905" i="1"/>
  <c r="AA1174" i="6" s="1"/>
  <c r="AD969" i="1"/>
  <c r="AP956" i="1"/>
  <c r="AQ956" i="1"/>
  <c r="AN1068" i="1"/>
  <c r="AQ1068" i="1" s="1"/>
  <c r="AO1068" i="1"/>
  <c r="AP1068" i="1" s="1"/>
  <c r="AB473" i="1"/>
  <c r="AB476" i="1" s="1"/>
  <c r="AA473" i="1"/>
  <c r="AA476" i="1" s="1"/>
  <c r="N476" i="1"/>
  <c r="N699" i="1"/>
  <c r="H703" i="1"/>
  <c r="Y699" i="1"/>
  <c r="H925" i="6"/>
  <c r="AN750" i="1"/>
  <c r="AP1014" i="1"/>
  <c r="AG450" i="1"/>
  <c r="E1203" i="1"/>
  <c r="X802" i="6"/>
  <c r="AB604" i="1"/>
  <c r="AB802" i="6" s="1"/>
  <c r="AA604" i="1"/>
  <c r="AA802" i="6" s="1"/>
  <c r="X1342" i="6"/>
  <c r="AA1011" i="1"/>
  <c r="AA1342" i="6" s="1"/>
  <c r="AB1011" i="1"/>
  <c r="AB1342" i="6" s="1"/>
  <c r="AB350" i="6"/>
  <c r="AB353" i="6" s="1"/>
  <c r="AB268" i="1"/>
  <c r="AB535" i="1"/>
  <c r="AB704" i="6" s="1"/>
  <c r="AA535" i="1"/>
  <c r="AA704" i="6" s="1"/>
  <c r="N704" i="6"/>
  <c r="N708" i="6" s="1"/>
  <c r="Z1118" i="1"/>
  <c r="Z1124" i="1" s="1"/>
  <c r="Y1124" i="1"/>
  <c r="AA586" i="1"/>
  <c r="AA777" i="6" s="1"/>
  <c r="AM322" i="1"/>
  <c r="AN322" i="1"/>
  <c r="Y359" i="1"/>
  <c r="R363" i="1"/>
  <c r="X359" i="1"/>
  <c r="AN654" i="1"/>
  <c r="AQ654" i="1" s="1"/>
  <c r="AO654" i="1"/>
  <c r="AP654" i="1" s="1"/>
  <c r="AB885" i="6"/>
  <c r="AB887" i="6" s="1"/>
  <c r="AB666" i="1"/>
  <c r="N1478" i="6"/>
  <c r="N1481" i="6" s="1"/>
  <c r="AA1121" i="1"/>
  <c r="AA1478" i="6" s="1"/>
  <c r="N1124" i="1"/>
  <c r="AO1149" i="1"/>
  <c r="AP1149" i="1" s="1"/>
  <c r="AI1149" i="1"/>
  <c r="N1183" i="1" s="1"/>
  <c r="H1183" i="1"/>
  <c r="Y1183" i="1" s="1"/>
  <c r="Z1183" i="1" s="1"/>
  <c r="AG1154" i="1"/>
  <c r="N421" i="6"/>
  <c r="N426" i="6" s="1"/>
  <c r="N318" i="1"/>
  <c r="AB1096" i="1"/>
  <c r="AB1448" i="6" s="1"/>
  <c r="AA1196" i="6"/>
  <c r="AB1408" i="6"/>
  <c r="AB1410" i="6" s="1"/>
  <c r="AB1064" i="1"/>
  <c r="AA99" i="3"/>
  <c r="AA992" i="3"/>
  <c r="N997" i="3"/>
  <c r="AB992" i="3"/>
  <c r="AB997" i="3" s="1"/>
  <c r="Y1195" i="1"/>
  <c r="Z1195" i="1" s="1"/>
  <c r="AA1045" i="1"/>
  <c r="AA1380" i="6"/>
  <c r="AA1387" i="6" s="1"/>
  <c r="AA1425" i="6" s="1"/>
  <c r="AA1631" i="6" s="1"/>
  <c r="I1199" i="1"/>
  <c r="I1572" i="6" s="1"/>
  <c r="N1199" i="1"/>
  <c r="AQ443" i="1"/>
  <c r="AA1074" i="3"/>
  <c r="AB882" i="3"/>
  <c r="I1198" i="3"/>
  <c r="I1226" i="3" s="1"/>
  <c r="I1106" i="3"/>
  <c r="AN110" i="3"/>
  <c r="AQ110" i="3" s="1"/>
  <c r="AO110" i="3"/>
  <c r="AP110" i="3" s="1"/>
  <c r="AN178" i="3"/>
  <c r="AQ178" i="3" s="1"/>
  <c r="AO178" i="3"/>
  <c r="AP178" i="3" s="1"/>
  <c r="AN312" i="3"/>
  <c r="AQ312" i="3" s="1"/>
  <c r="AO312" i="3"/>
  <c r="AP312" i="3" s="1"/>
  <c r="R1154" i="3"/>
  <c r="X1154" i="3" s="1"/>
  <c r="AA49" i="3"/>
  <c r="X56" i="3"/>
  <c r="AB49" i="3"/>
  <c r="R1158" i="3"/>
  <c r="X1158" i="3" s="1"/>
  <c r="AN322" i="3"/>
  <c r="AN533" i="3"/>
  <c r="Z399" i="3"/>
  <c r="Z403" i="3" s="1"/>
  <c r="Y403" i="3"/>
  <c r="AB16" i="3"/>
  <c r="AI309" i="3"/>
  <c r="AQ309" i="3" s="1"/>
  <c r="AO309" i="3"/>
  <c r="AP309" i="3" s="1"/>
  <c r="V1202" i="3"/>
  <c r="V1226" i="3" s="1"/>
  <c r="AM326" i="3"/>
  <c r="V1106" i="3"/>
  <c r="Z359" i="3"/>
  <c r="Z363" i="3" s="1"/>
  <c r="Y363" i="3"/>
  <c r="Z414" i="3"/>
  <c r="Z416" i="3" s="1"/>
  <c r="Y416" i="3"/>
  <c r="AI424" i="3"/>
  <c r="AO424" i="3"/>
  <c r="AP424" i="3" s="1"/>
  <c r="H1149" i="3"/>
  <c r="Y529" i="3"/>
  <c r="Z525" i="3"/>
  <c r="Z529" i="3" s="1"/>
  <c r="Y560" i="3"/>
  <c r="Z554" i="3"/>
  <c r="Z560" i="3" s="1"/>
  <c r="Z588" i="3"/>
  <c r="Z592" i="3" s="1"/>
  <c r="Y592" i="3"/>
  <c r="AN621" i="3"/>
  <c r="AQ621" i="3" s="1"/>
  <c r="AO621" i="3"/>
  <c r="AP621" i="3" s="1"/>
  <c r="AA462" i="3"/>
  <c r="N465" i="3"/>
  <c r="AB462" i="3"/>
  <c r="Z610" i="3"/>
  <c r="Z615" i="3" s="1"/>
  <c r="Y615" i="3"/>
  <c r="AI799" i="3"/>
  <c r="AQ799" i="3" s="1"/>
  <c r="AO799" i="3"/>
  <c r="AP799" i="3" s="1"/>
  <c r="AB580" i="3"/>
  <c r="AA580" i="3"/>
  <c r="Z639" i="3"/>
  <c r="Z642" i="3" s="1"/>
  <c r="Y642" i="3"/>
  <c r="AN710" i="3"/>
  <c r="AN717" i="3" s="1"/>
  <c r="AL717" i="3"/>
  <c r="AO710" i="3"/>
  <c r="AP710" i="3" s="1"/>
  <c r="R1149" i="3"/>
  <c r="X1149" i="3" s="1"/>
  <c r="AN716" i="3"/>
  <c r="AQ716" i="3" s="1"/>
  <c r="AO716" i="3"/>
  <c r="AP716" i="3" s="1"/>
  <c r="AD549" i="3"/>
  <c r="Z698" i="3"/>
  <c r="Z701" i="3" s="1"/>
  <c r="Y701" i="3"/>
  <c r="AB568" i="3"/>
  <c r="AA568" i="3"/>
  <c r="Z777" i="3"/>
  <c r="Z781" i="3" s="1"/>
  <c r="Y781" i="3"/>
  <c r="AI1021" i="3"/>
  <c r="AQ1021" i="3" s="1"/>
  <c r="AO1021" i="3"/>
  <c r="AP1021" i="3" s="1"/>
  <c r="AB829" i="3"/>
  <c r="AA829" i="3"/>
  <c r="AB904" i="3"/>
  <c r="AB910" i="3" s="1"/>
  <c r="N910" i="3"/>
  <c r="N925" i="3" s="1"/>
  <c r="N1216" i="3" s="1"/>
  <c r="AA611" i="3"/>
  <c r="AA615" i="3" s="1"/>
  <c r="AB611" i="3"/>
  <c r="X757" i="3"/>
  <c r="AB752" i="3"/>
  <c r="AA752" i="3"/>
  <c r="AI855" i="3"/>
  <c r="AQ855" i="3" s="1"/>
  <c r="AO855" i="3"/>
  <c r="AP855" i="3" s="1"/>
  <c r="R1133" i="3"/>
  <c r="X1133" i="3" s="1"/>
  <c r="AN923" i="3"/>
  <c r="AQ923" i="3" s="1"/>
  <c r="AO923" i="3"/>
  <c r="AP923" i="3" s="1"/>
  <c r="AQ1020" i="3"/>
  <c r="AP1020" i="3"/>
  <c r="D1132" i="3"/>
  <c r="AN1098" i="3"/>
  <c r="AQ1098" i="3" s="1"/>
  <c r="AO1098" i="3"/>
  <c r="AP1098" i="3" s="1"/>
  <c r="AA16" i="1"/>
  <c r="N14" i="6"/>
  <c r="N17" i="6" s="1"/>
  <c r="AB16" i="1"/>
  <c r="N19" i="1"/>
  <c r="AI116" i="1"/>
  <c r="AQ116" i="1" s="1"/>
  <c r="AO116" i="1"/>
  <c r="AP116" i="1" s="1"/>
  <c r="AN969" i="3"/>
  <c r="AQ969" i="3" s="1"/>
  <c r="AO969" i="3"/>
  <c r="AP969" i="3" s="1"/>
  <c r="AI1054" i="3"/>
  <c r="AI1062" i="3" s="1"/>
  <c r="AO1054" i="3"/>
  <c r="AG1062" i="3"/>
  <c r="N91" i="6"/>
  <c r="AB70" i="1"/>
  <c r="AB91" i="6" s="1"/>
  <c r="AA70" i="1"/>
  <c r="AA91" i="6" s="1"/>
  <c r="AA937" i="3"/>
  <c r="AA942" i="3" s="1"/>
  <c r="AB937" i="3"/>
  <c r="AB942" i="3" s="1"/>
  <c r="AO972" i="3"/>
  <c r="AP972" i="3" s="1"/>
  <c r="AI972" i="3"/>
  <c r="AQ972" i="3" s="1"/>
  <c r="AG976" i="3"/>
  <c r="AE202" i="1"/>
  <c r="AG197" i="1"/>
  <c r="AI448" i="1"/>
  <c r="AO448" i="1"/>
  <c r="AP448" i="1" s="1"/>
  <c r="AA1048" i="3"/>
  <c r="AA1051" i="3" s="1"/>
  <c r="AB1048" i="3"/>
  <c r="Z111" i="1"/>
  <c r="Z115" i="1" s="1"/>
  <c r="Y115" i="1"/>
  <c r="N244" i="6"/>
  <c r="AB180" i="1"/>
  <c r="AB244" i="6" s="1"/>
  <c r="Y562" i="1"/>
  <c r="Z562" i="1" s="1"/>
  <c r="X562" i="1"/>
  <c r="AI666" i="1"/>
  <c r="AQ666" i="1" s="1"/>
  <c r="AO666" i="1"/>
  <c r="AP666" i="1" s="1"/>
  <c r="AO753" i="1"/>
  <c r="AP753" i="1" s="1"/>
  <c r="AN753" i="1"/>
  <c r="AQ753" i="1" s="1"/>
  <c r="AL661" i="1"/>
  <c r="AJ668" i="1"/>
  <c r="J1196" i="1"/>
  <c r="J1568" i="6" s="1"/>
  <c r="O1196" i="1"/>
  <c r="O1568" i="6" s="1"/>
  <c r="AL841" i="1"/>
  <c r="AN841" i="1" s="1"/>
  <c r="AJ846" i="1"/>
  <c r="AN897" i="1"/>
  <c r="X241" i="6"/>
  <c r="X247" i="6" s="1"/>
  <c r="X183" i="1"/>
  <c r="AN196" i="1"/>
  <c r="AQ196" i="1" s="1"/>
  <c r="R1205" i="1"/>
  <c r="X1205" i="1" s="1"/>
  <c r="X1578" i="6" s="1"/>
  <c r="X415" i="6"/>
  <c r="AA308" i="1"/>
  <c r="AA415" i="6" s="1"/>
  <c r="AB308" i="1"/>
  <c r="AB415" i="6" s="1"/>
  <c r="X596" i="6"/>
  <c r="AA435" i="1"/>
  <c r="AA596" i="6" s="1"/>
  <c r="AB435" i="1"/>
  <c r="AB596" i="6" s="1"/>
  <c r="AO567" i="1"/>
  <c r="AP567" i="1" s="1"/>
  <c r="AI567" i="1"/>
  <c r="AQ567" i="1" s="1"/>
  <c r="AG969" i="1"/>
  <c r="AI965" i="1"/>
  <c r="AQ965" i="1" s="1"/>
  <c r="AO965" i="1"/>
  <c r="AP965" i="1" s="1"/>
  <c r="X1201" i="6"/>
  <c r="X1206" i="6" s="1"/>
  <c r="AB920" i="1"/>
  <c r="AB1201" i="6" s="1"/>
  <c r="AA920" i="1"/>
  <c r="AA1201" i="6" s="1"/>
  <c r="X925" i="1"/>
  <c r="X1313" i="6"/>
  <c r="X996" i="1"/>
  <c r="N323" i="1"/>
  <c r="H330" i="1"/>
  <c r="H341" i="1" s="1"/>
  <c r="H1251" i="1" s="1"/>
  <c r="N603" i="1"/>
  <c r="Y603" i="1"/>
  <c r="Z603" i="1" s="1"/>
  <c r="H606" i="1"/>
  <c r="X1273" i="6"/>
  <c r="X1275" i="6" s="1"/>
  <c r="X967" i="1"/>
  <c r="AA965" i="1"/>
  <c r="AB965" i="1"/>
  <c r="AB668" i="6"/>
  <c r="AB672" i="6" s="1"/>
  <c r="AB508" i="1"/>
  <c r="X852" i="1"/>
  <c r="Y852" i="1"/>
  <c r="Z852" i="1" s="1"/>
  <c r="R860" i="1"/>
  <c r="R899" i="1" s="1"/>
  <c r="R1263" i="1" s="1"/>
  <c r="R1090" i="1"/>
  <c r="R1112" i="1" s="1"/>
  <c r="R1271" i="1" s="1"/>
  <c r="Y1082" i="1"/>
  <c r="X1082" i="1"/>
  <c r="AA479" i="6"/>
  <c r="Y524" i="1"/>
  <c r="X524" i="1"/>
  <c r="R530" i="1"/>
  <c r="X1014" i="6"/>
  <c r="AB769" i="1"/>
  <c r="AB1014" i="6" s="1"/>
  <c r="AA769" i="1"/>
  <c r="AA1014" i="6" s="1"/>
  <c r="X1252" i="6"/>
  <c r="X1255" i="6" s="1"/>
  <c r="AA958" i="1"/>
  <c r="AA1252" i="6" s="1"/>
  <c r="X961" i="1"/>
  <c r="D1201" i="1"/>
  <c r="AA428" i="1"/>
  <c r="AA581" i="6" s="1"/>
  <c r="AB428" i="1"/>
  <c r="AB581" i="6" s="1"/>
  <c r="N431" i="1"/>
  <c r="N581" i="6"/>
  <c r="N589" i="6" s="1"/>
  <c r="AB586" i="1"/>
  <c r="AB777" i="6" s="1"/>
  <c r="AO196" i="1"/>
  <c r="AP196" i="1" s="1"/>
  <c r="N1184" i="1"/>
  <c r="N1554" i="6" s="1"/>
  <c r="AA742" i="1"/>
  <c r="AA978" i="6" s="1"/>
  <c r="X978" i="6"/>
  <c r="X1340" i="6"/>
  <c r="AB1009" i="1"/>
  <c r="AB1340" i="6" s="1"/>
  <c r="AA1009" i="1"/>
  <c r="AA1340" i="6" s="1"/>
  <c r="Z1016" i="3"/>
  <c r="AA966" i="3"/>
  <c r="AA407" i="1"/>
  <c r="AN69" i="3"/>
  <c r="AB131" i="3"/>
  <c r="H189" i="3"/>
  <c r="H1200" i="3" s="1"/>
  <c r="AN454" i="1"/>
  <c r="AH1156" i="1"/>
  <c r="N1153" i="1"/>
  <c r="N1273" i="1" s="1"/>
  <c r="AQ548" i="3"/>
  <c r="AN65" i="3"/>
  <c r="AQ65" i="3" s="1"/>
  <c r="AO65" i="3"/>
  <c r="AP65" i="3" s="1"/>
  <c r="R1137" i="3"/>
  <c r="AB96" i="3"/>
  <c r="AB101" i="3" s="1"/>
  <c r="AA96" i="3"/>
  <c r="AA101" i="3" s="1"/>
  <c r="Z146" i="3"/>
  <c r="Z153" i="3" s="1"/>
  <c r="Y153" i="3"/>
  <c r="AN185" i="3"/>
  <c r="AQ185" i="3" s="1"/>
  <c r="AO185" i="3"/>
  <c r="AP185" i="3" s="1"/>
  <c r="Z249" i="3"/>
  <c r="Z252" i="3" s="1"/>
  <c r="Y252" i="3"/>
  <c r="AI306" i="3"/>
  <c r="AQ306" i="3" s="1"/>
  <c r="Z339" i="3"/>
  <c r="Z345" i="3" s="1"/>
  <c r="Y345" i="3"/>
  <c r="AL428" i="3"/>
  <c r="AJ432" i="3"/>
  <c r="AN307" i="3"/>
  <c r="AQ307" i="3" s="1"/>
  <c r="AO307" i="3"/>
  <c r="AP307" i="3" s="1"/>
  <c r="AO422" i="3"/>
  <c r="AP422" i="3" s="1"/>
  <c r="AI422" i="3"/>
  <c r="AQ422" i="3" s="1"/>
  <c r="Z451" i="3"/>
  <c r="Z454" i="3" s="1"/>
  <c r="Y454" i="3"/>
  <c r="AO538" i="3"/>
  <c r="AP538" i="3" s="1"/>
  <c r="AI538" i="3"/>
  <c r="AQ538" i="3" s="1"/>
  <c r="AN315" i="3"/>
  <c r="AQ315" i="3" s="1"/>
  <c r="R1140" i="3"/>
  <c r="AO315" i="3"/>
  <c r="AP315" i="3" s="1"/>
  <c r="AN623" i="3"/>
  <c r="AQ623" i="3" s="1"/>
  <c r="AO623" i="3"/>
  <c r="AP623" i="3" s="1"/>
  <c r="R1132" i="3"/>
  <c r="X1132" i="3" s="1"/>
  <c r="AA482" i="3"/>
  <c r="AB482" i="3"/>
  <c r="AB484" i="3" s="1"/>
  <c r="Z751" i="3"/>
  <c r="Z757" i="3" s="1"/>
  <c r="Y757" i="3"/>
  <c r="Z813" i="3"/>
  <c r="Z817" i="3" s="1"/>
  <c r="Y817" i="3"/>
  <c r="AA621" i="3"/>
  <c r="AB621" i="3"/>
  <c r="Z760" i="3"/>
  <c r="Z764" i="3" s="1"/>
  <c r="Y764" i="3"/>
  <c r="AN915" i="3"/>
  <c r="AO625" i="3"/>
  <c r="AP625" i="3" s="1"/>
  <c r="AN625" i="3"/>
  <c r="AQ625" i="3" s="1"/>
  <c r="AB604" i="3"/>
  <c r="AB608" i="3" s="1"/>
  <c r="AA604" i="3"/>
  <c r="AA608" i="3" s="1"/>
  <c r="N608" i="3"/>
  <c r="N633" i="3" s="1"/>
  <c r="N1208" i="3" s="1"/>
  <c r="AA645" i="3"/>
  <c r="AA651" i="3" s="1"/>
  <c r="N651" i="3"/>
  <c r="AB645" i="3"/>
  <c r="AB651" i="3" s="1"/>
  <c r="Z575" i="3"/>
  <c r="Z744" i="3"/>
  <c r="Z749" i="3" s="1"/>
  <c r="Y749" i="3"/>
  <c r="AG1104" i="3"/>
  <c r="AI1095" i="3"/>
  <c r="AO1095" i="3"/>
  <c r="AP1095" i="3" s="1"/>
  <c r="AG120" i="1"/>
  <c r="AI120" i="1" s="1"/>
  <c r="AE127" i="1"/>
  <c r="E1198" i="1"/>
  <c r="AL546" i="3"/>
  <c r="AJ549" i="3"/>
  <c r="AB762" i="3"/>
  <c r="AB764" i="3" s="1"/>
  <c r="AA762" i="3"/>
  <c r="AA764" i="3" s="1"/>
  <c r="Z829" i="3"/>
  <c r="Z834" i="3" s="1"/>
  <c r="Y834" i="3"/>
  <c r="Z915" i="3"/>
  <c r="Z918" i="3" s="1"/>
  <c r="Y918" i="3"/>
  <c r="AB831" i="3"/>
  <c r="AA831" i="3"/>
  <c r="AO920" i="3"/>
  <c r="AP920" i="3" s="1"/>
  <c r="AI920" i="3"/>
  <c r="AQ920" i="3" s="1"/>
  <c r="AI1025" i="3"/>
  <c r="AH1026" i="3"/>
  <c r="AI1056" i="3"/>
  <c r="AQ1056" i="3" s="1"/>
  <c r="AO1056" i="3"/>
  <c r="AP1056" i="3" s="1"/>
  <c r="Y57" i="1"/>
  <c r="Z57" i="1" s="1"/>
  <c r="X57" i="1"/>
  <c r="R60" i="1"/>
  <c r="R75" i="1" s="1"/>
  <c r="R1245" i="1" s="1"/>
  <c r="AI118" i="1"/>
  <c r="AQ118" i="1" s="1"/>
  <c r="H1204" i="1"/>
  <c r="AO118" i="1"/>
  <c r="AP118" i="1" s="1"/>
  <c r="Y218" i="6"/>
  <c r="Z160" i="1"/>
  <c r="Z218" i="6" s="1"/>
  <c r="Y162" i="1"/>
  <c r="AB24" i="1"/>
  <c r="AB22" i="6" s="1"/>
  <c r="X22" i="6"/>
  <c r="AA24" i="1"/>
  <c r="AA22" i="6" s="1"/>
  <c r="AO66" i="1"/>
  <c r="AP66" i="1" s="1"/>
  <c r="R1180" i="1"/>
  <c r="X1180" i="1" s="1"/>
  <c r="X1549" i="6" s="1"/>
  <c r="AO126" i="1"/>
  <c r="AP126" i="1" s="1"/>
  <c r="Z767" i="3"/>
  <c r="Z772" i="3" s="1"/>
  <c r="Y772" i="3"/>
  <c r="AB791" i="3"/>
  <c r="AB795" i="3" s="1"/>
  <c r="X795" i="3"/>
  <c r="AA791" i="3"/>
  <c r="AA795" i="3" s="1"/>
  <c r="Z1085" i="3"/>
  <c r="Z1092" i="3" s="1"/>
  <c r="Y1092" i="3"/>
  <c r="Z965" i="3"/>
  <c r="Z968" i="3" s="1"/>
  <c r="Y968" i="3"/>
  <c r="AA32" i="1"/>
  <c r="AA33" i="6" s="1"/>
  <c r="AB32" i="1"/>
  <c r="AB33" i="6" s="1"/>
  <c r="N33" i="6"/>
  <c r="N39" i="1"/>
  <c r="H1206" i="1"/>
  <c r="Y1206" i="1" s="1"/>
  <c r="Z1206" i="1" s="1"/>
  <c r="AO200" i="1"/>
  <c r="AP200" i="1" s="1"/>
  <c r="AI200" i="1"/>
  <c r="AI560" i="1"/>
  <c r="AQ560" i="1" s="1"/>
  <c r="AO560" i="1"/>
  <c r="AI976" i="3"/>
  <c r="AN1054" i="3"/>
  <c r="AN1058" i="3"/>
  <c r="AQ1058" i="3" s="1"/>
  <c r="AO1058" i="3"/>
  <c r="AP1058" i="3" s="1"/>
  <c r="AA1070" i="3"/>
  <c r="N1074" i="3"/>
  <c r="X133" i="6"/>
  <c r="X143" i="6" s="1"/>
  <c r="AA111" i="1"/>
  <c r="X115" i="1"/>
  <c r="X282" i="6"/>
  <c r="AB211" i="1"/>
  <c r="AB282" i="6" s="1"/>
  <c r="AA211" i="1"/>
  <c r="AA282" i="6" s="1"/>
  <c r="AO335" i="1"/>
  <c r="AP335" i="1" s="1"/>
  <c r="H1185" i="1"/>
  <c r="AN570" i="1"/>
  <c r="AQ570" i="1" s="1"/>
  <c r="AO570" i="1"/>
  <c r="AP570" i="1" s="1"/>
  <c r="AN843" i="1"/>
  <c r="AQ843" i="1" s="1"/>
  <c r="AO843" i="1"/>
  <c r="AP843" i="1" s="1"/>
  <c r="Y611" i="1"/>
  <c r="Z611" i="1" s="1"/>
  <c r="X611" i="1"/>
  <c r="AA36" i="1"/>
  <c r="AA45" i="6" s="1"/>
  <c r="AB36" i="1"/>
  <c r="AB45" i="6" s="1"/>
  <c r="N45" i="6"/>
  <c r="AO336" i="1"/>
  <c r="AP336" i="1" s="1"/>
  <c r="AI336" i="1"/>
  <c r="AQ336" i="1" s="1"/>
  <c r="AB366" i="1"/>
  <c r="AB490" i="6" s="1"/>
  <c r="X490" i="6"/>
  <c r="AA366" i="1"/>
  <c r="AA490" i="6" s="1"/>
  <c r="AI665" i="1"/>
  <c r="AQ665" i="1" s="1"/>
  <c r="AO665" i="1"/>
  <c r="AP665" i="1" s="1"/>
  <c r="X985" i="6"/>
  <c r="X988" i="6" s="1"/>
  <c r="X751" i="1"/>
  <c r="AA748" i="1"/>
  <c r="AA985" i="6" s="1"/>
  <c r="AB748" i="1"/>
  <c r="AB985" i="6" s="1"/>
  <c r="AL846" i="1"/>
  <c r="AO837" i="1"/>
  <c r="AP837" i="1" s="1"/>
  <c r="Y936" i="1"/>
  <c r="X936" i="1"/>
  <c r="R943" i="1"/>
  <c r="R969" i="1" s="1"/>
  <c r="R1265" i="1" s="1"/>
  <c r="X738" i="6"/>
  <c r="AA560" i="1"/>
  <c r="AA738" i="6" s="1"/>
  <c r="Z841" i="1"/>
  <c r="Z844" i="1" s="1"/>
  <c r="Y844" i="1"/>
  <c r="X653" i="6"/>
  <c r="AA493" i="1"/>
  <c r="AA653" i="6" s="1"/>
  <c r="N728" i="6"/>
  <c r="N730" i="6" s="1"/>
  <c r="N555" i="1"/>
  <c r="AA553" i="1"/>
  <c r="AA728" i="6" s="1"/>
  <c r="AB553" i="1"/>
  <c r="AB728" i="6" s="1"/>
  <c r="X753" i="6"/>
  <c r="AB571" i="1"/>
  <c r="AB753" i="6" s="1"/>
  <c r="AA571" i="1"/>
  <c r="AA753" i="6" s="1"/>
  <c r="Z965" i="1"/>
  <c r="Z967" i="1" s="1"/>
  <c r="Y967" i="1"/>
  <c r="Z1103" i="1"/>
  <c r="Z1109" i="1" s="1"/>
  <c r="Y1109" i="1"/>
  <c r="AA350" i="1"/>
  <c r="AA470" i="6" s="1"/>
  <c r="AB350" i="1"/>
  <c r="AB470" i="6" s="1"/>
  <c r="N470" i="6"/>
  <c r="N475" i="6" s="1"/>
  <c r="AD1024" i="1"/>
  <c r="AO841" i="1"/>
  <c r="AP841" i="1" s="1"/>
  <c r="AI841" i="1"/>
  <c r="AQ841" i="1" s="1"/>
  <c r="AA885" i="6"/>
  <c r="AA887" i="6" s="1"/>
  <c r="AA666" i="1"/>
  <c r="X520" i="6"/>
  <c r="AB385" i="1"/>
  <c r="AB520" i="6" s="1"/>
  <c r="AA385" i="1"/>
  <c r="AA520" i="6" s="1"/>
  <c r="AA350" i="6"/>
  <c r="AA353" i="6" s="1"/>
  <c r="AA268" i="1"/>
  <c r="N245" i="6"/>
  <c r="AB181" i="1"/>
  <c r="AB245" i="6" s="1"/>
  <c r="X321" i="1"/>
  <c r="Y321" i="1"/>
  <c r="Z321" i="1" s="1"/>
  <c r="Y323" i="1"/>
  <c r="Z323" i="1" s="1"/>
  <c r="X710" i="1"/>
  <c r="X712" i="1" s="1"/>
  <c r="R712" i="1"/>
  <c r="Y710" i="1"/>
  <c r="Z710" i="1" s="1"/>
  <c r="X1086" i="1"/>
  <c r="Y1086" i="1"/>
  <c r="Z1086" i="1" s="1"/>
  <c r="X1488" i="6"/>
  <c r="AA1129" i="1"/>
  <c r="AA1488" i="6" s="1"/>
  <c r="AB1129" i="1"/>
  <c r="AB1488" i="6" s="1"/>
  <c r="AB52" i="3"/>
  <c r="AB56" i="3" s="1"/>
  <c r="N56" i="3"/>
  <c r="AA52" i="3"/>
  <c r="AA56" i="3" s="1"/>
  <c r="AL454" i="1"/>
  <c r="AO750" i="1"/>
  <c r="AP750" i="1" s="1"/>
  <c r="Z1009" i="1"/>
  <c r="Z1015" i="1" s="1"/>
  <c r="Y1015" i="1"/>
  <c r="AB1018" i="1"/>
  <c r="AB1355" i="6" s="1"/>
  <c r="AA1018" i="1"/>
  <c r="AA1355" i="6" s="1"/>
  <c r="N1355" i="6"/>
  <c r="N1360" i="6" s="1"/>
  <c r="AI1065" i="1"/>
  <c r="AQ1065" i="1" s="1"/>
  <c r="AG1074" i="1"/>
  <c r="AL805" i="3"/>
  <c r="AL323" i="3"/>
  <c r="AP443" i="1"/>
  <c r="R1147" i="3"/>
  <c r="X1147" i="3" s="1"/>
  <c r="Y734" i="3"/>
  <c r="AA1150" i="6"/>
  <c r="AA1156" i="6" s="1"/>
  <c r="AA887" i="1"/>
  <c r="AH127" i="1"/>
  <c r="X119" i="3"/>
  <c r="X1198" i="3" s="1"/>
  <c r="AB1092" i="3"/>
  <c r="E576" i="1"/>
  <c r="E1255" i="1" s="1"/>
  <c r="N1204" i="1"/>
  <c r="N1577" i="6" s="1"/>
  <c r="AA997" i="3"/>
  <c r="Z60" i="1"/>
  <c r="AO57" i="3"/>
  <c r="AP57" i="3" s="1"/>
  <c r="AI57" i="3"/>
  <c r="AQ57" i="3" s="1"/>
  <c r="AO68" i="3"/>
  <c r="AP68" i="3" s="1"/>
  <c r="H1133" i="3"/>
  <c r="AI68" i="3"/>
  <c r="AI183" i="3"/>
  <c r="N1155" i="3" s="1"/>
  <c r="AG189" i="3"/>
  <c r="J1196" i="3"/>
  <c r="J1226" i="3" s="1"/>
  <c r="J1106" i="3"/>
  <c r="Z21" i="3"/>
  <c r="Z26" i="3" s="1"/>
  <c r="X18" i="3"/>
  <c r="AB21" i="3"/>
  <c r="AB26" i="3" s="1"/>
  <c r="AA21" i="3"/>
  <c r="AA26" i="3" s="1"/>
  <c r="X63" i="3"/>
  <c r="X67" i="3" s="1"/>
  <c r="X69" i="3" s="1"/>
  <c r="R67" i="3"/>
  <c r="R69" i="3" s="1"/>
  <c r="R1196" i="3" s="1"/>
  <c r="Y63" i="3"/>
  <c r="Z63" i="3" s="1"/>
  <c r="AN314" i="3"/>
  <c r="AQ314" i="3" s="1"/>
  <c r="R1138" i="3"/>
  <c r="AO314" i="3"/>
  <c r="AP314" i="3" s="1"/>
  <c r="N448" i="3"/>
  <c r="AA445" i="3"/>
  <c r="AA448" i="3" s="1"/>
  <c r="AB445" i="3"/>
  <c r="AB448" i="3" s="1"/>
  <c r="AI64" i="3"/>
  <c r="AO64" i="3"/>
  <c r="AP64" i="3" s="1"/>
  <c r="H1148" i="3"/>
  <c r="AG308" i="3"/>
  <c r="E1150" i="3"/>
  <c r="H1150" i="3" s="1"/>
  <c r="AE323" i="3"/>
  <c r="AE1106" i="3" s="1"/>
  <c r="Z532" i="3"/>
  <c r="Z539" i="3" s="1"/>
  <c r="Y539" i="3"/>
  <c r="AI540" i="3"/>
  <c r="AQ540" i="3" s="1"/>
  <c r="AO540" i="3"/>
  <c r="AP540" i="3" s="1"/>
  <c r="AB594" i="3"/>
  <c r="AB600" i="3" s="1"/>
  <c r="AA594" i="3"/>
  <c r="AA600" i="3" s="1"/>
  <c r="AA79" i="3"/>
  <c r="AA83" i="3" s="1"/>
  <c r="X83" i="3"/>
  <c r="AA104" i="3"/>
  <c r="AB104" i="3"/>
  <c r="AI320" i="3"/>
  <c r="AO320" i="3"/>
  <c r="AP320" i="3" s="1"/>
  <c r="H1156" i="3"/>
  <c r="Z351" i="3"/>
  <c r="Z354" i="3" s="1"/>
  <c r="Y354" i="3"/>
  <c r="AA398" i="3"/>
  <c r="AB398" i="3"/>
  <c r="Z419" i="3"/>
  <c r="Z425" i="3" s="1"/>
  <c r="Y425" i="3"/>
  <c r="AB439" i="3"/>
  <c r="AB442" i="3" s="1"/>
  <c r="AB473" i="3"/>
  <c r="AB475" i="3" s="1"/>
  <c r="AA473" i="3"/>
  <c r="AA475" i="3" s="1"/>
  <c r="N475" i="3"/>
  <c r="Z598" i="3"/>
  <c r="Z600" i="3" s="1"/>
  <c r="Y600" i="3"/>
  <c r="AA619" i="3"/>
  <c r="AA625" i="3" s="1"/>
  <c r="AB619" i="3"/>
  <c r="Z789" i="3"/>
  <c r="Z795" i="3" s="1"/>
  <c r="Y795" i="3"/>
  <c r="AA494" i="3"/>
  <c r="X496" i="3"/>
  <c r="AA558" i="3"/>
  <c r="AB558" i="3"/>
  <c r="Z654" i="3"/>
  <c r="Z660" i="3" s="1"/>
  <c r="Y660" i="3"/>
  <c r="AI854" i="3"/>
  <c r="AQ854" i="3" s="1"/>
  <c r="AO854" i="3"/>
  <c r="AP854" i="3" s="1"/>
  <c r="AB581" i="3"/>
  <c r="AA581" i="3"/>
  <c r="AI711" i="3"/>
  <c r="AQ711" i="3" s="1"/>
  <c r="AO711" i="3"/>
  <c r="AP711" i="3" s="1"/>
  <c r="Z620" i="3"/>
  <c r="Z625" i="3" s="1"/>
  <c r="Y625" i="3"/>
  <c r="Z543" i="3"/>
  <c r="Z546" i="3" s="1"/>
  <c r="Y546" i="3"/>
  <c r="X714" i="3"/>
  <c r="AB711" i="3"/>
  <c r="AA711" i="3"/>
  <c r="AA753" i="3"/>
  <c r="AB753" i="3"/>
  <c r="AJ1062" i="3"/>
  <c r="AL1057" i="3"/>
  <c r="R1153" i="3" s="1"/>
  <c r="X1153" i="3" s="1"/>
  <c r="O1153" i="3"/>
  <c r="J1153" i="3"/>
  <c r="AI1055" i="3"/>
  <c r="AQ1055" i="3" s="1"/>
  <c r="AO1055" i="3"/>
  <c r="AP1055" i="3" s="1"/>
  <c r="AA490" i="3"/>
  <c r="AA496" i="3" s="1"/>
  <c r="N496" i="3"/>
  <c r="X536" i="3"/>
  <c r="Y536" i="3"/>
  <c r="Z536" i="3" s="1"/>
  <c r="R539" i="3"/>
  <c r="E717" i="3"/>
  <c r="E1210" i="3" s="1"/>
  <c r="Z646" i="3"/>
  <c r="Z651" i="3" s="1"/>
  <c r="Y651" i="3"/>
  <c r="AA868" i="3"/>
  <c r="AB868" i="3"/>
  <c r="J1148" i="3"/>
  <c r="O1148" i="3"/>
  <c r="AJ925" i="3"/>
  <c r="AL921" i="3"/>
  <c r="AN1103" i="3"/>
  <c r="AQ1103" i="3" s="1"/>
  <c r="AO1103" i="3"/>
  <c r="AP1103" i="3" s="1"/>
  <c r="P1247" i="1"/>
  <c r="P1275" i="1" s="1"/>
  <c r="P1156" i="1"/>
  <c r="N120" i="1"/>
  <c r="H125" i="1"/>
  <c r="H127" i="1" s="1"/>
  <c r="H1247" i="1" s="1"/>
  <c r="Y120" i="1"/>
  <c r="Z120" i="1" s="1"/>
  <c r="AA916" i="3"/>
  <c r="AA918" i="3" s="1"/>
  <c r="AB916" i="3"/>
  <c r="AB918" i="3" s="1"/>
  <c r="Y953" i="3"/>
  <c r="R956" i="3"/>
  <c r="R976" i="3" s="1"/>
  <c r="R1218" i="3" s="1"/>
  <c r="X953" i="3"/>
  <c r="AB1036" i="3"/>
  <c r="AA1036" i="3"/>
  <c r="AA1079" i="3"/>
  <c r="AB1079" i="3"/>
  <c r="AB1095" i="3"/>
  <c r="AA1095" i="3"/>
  <c r="N1101" i="3"/>
  <c r="Z43" i="1"/>
  <c r="Z47" i="1" s="1"/>
  <c r="Y47" i="1"/>
  <c r="X88" i="6"/>
  <c r="AB67" i="1"/>
  <c r="AB88" i="6" s="1"/>
  <c r="AA67" i="1"/>
  <c r="AA88" i="6" s="1"/>
  <c r="N1146" i="3"/>
  <c r="AB1146" i="3" s="1"/>
  <c r="Y1146" i="3"/>
  <c r="Z1146" i="3" s="1"/>
  <c r="AA965" i="3"/>
  <c r="AA968" i="3" s="1"/>
  <c r="AB965" i="3"/>
  <c r="AB968" i="3" s="1"/>
  <c r="X968" i="3"/>
  <c r="AB1098" i="3"/>
  <c r="AA1098" i="3"/>
  <c r="X1101" i="3"/>
  <c r="AB133" i="6"/>
  <c r="AB143" i="6" s="1"/>
  <c r="AB115" i="1"/>
  <c r="Y268" i="1"/>
  <c r="Y350" i="6"/>
  <c r="Z350" i="6" s="1"/>
  <c r="Z353" i="6" s="1"/>
  <c r="Z265" i="1"/>
  <c r="AN333" i="1"/>
  <c r="AQ333" i="1" s="1"/>
  <c r="AO333" i="1"/>
  <c r="AP333" i="1" s="1"/>
  <c r="AQ571" i="1"/>
  <c r="AI659" i="1"/>
  <c r="AQ659" i="1" s="1"/>
  <c r="AO659" i="1"/>
  <c r="AP659" i="1" s="1"/>
  <c r="Z1006" i="3"/>
  <c r="Z1009" i="3" s="1"/>
  <c r="Y1009" i="3"/>
  <c r="AI1101" i="3"/>
  <c r="X287" i="6"/>
  <c r="AA214" i="1"/>
  <c r="AA287" i="6" s="1"/>
  <c r="AN338" i="1"/>
  <c r="AQ338" i="1" s="1"/>
  <c r="AO338" i="1"/>
  <c r="AO559" i="1"/>
  <c r="AI559" i="1"/>
  <c r="AQ559" i="1" s="1"/>
  <c r="H1191" i="1"/>
  <c r="Y1191" i="1" s="1"/>
  <c r="Z1191" i="1" s="1"/>
  <c r="AO571" i="1"/>
  <c r="AP571" i="1" s="1"/>
  <c r="AI571" i="1"/>
  <c r="Z882" i="1"/>
  <c r="Z887" i="1" s="1"/>
  <c r="Y887" i="1"/>
  <c r="Z950" i="1"/>
  <c r="Z953" i="1" s="1"/>
  <c r="Y953" i="1"/>
  <c r="AB44" i="1"/>
  <c r="AB53" i="6" s="1"/>
  <c r="AA44" i="1"/>
  <c r="AA53" i="6" s="1"/>
  <c r="N47" i="1"/>
  <c r="N53" i="6"/>
  <c r="N56" i="6" s="1"/>
  <c r="N283" i="1"/>
  <c r="Y283" i="1"/>
  <c r="Z283" i="1" s="1"/>
  <c r="H291" i="1"/>
  <c r="Y581" i="1"/>
  <c r="Z581" i="1" s="1"/>
  <c r="X581" i="1"/>
  <c r="AN653" i="1"/>
  <c r="AQ653" i="1" s="1"/>
  <c r="AO653" i="1"/>
  <c r="AP653" i="1" s="1"/>
  <c r="X251" i="6"/>
  <c r="AB187" i="1"/>
  <c r="AB251" i="6" s="1"/>
  <c r="X369" i="6"/>
  <c r="AA280" i="1"/>
  <c r="AA369" i="6" s="1"/>
  <c r="AB280" i="1"/>
  <c r="AB369" i="6" s="1"/>
  <c r="R1207" i="1"/>
  <c r="AN340" i="1"/>
  <c r="AQ340" i="1" s="1"/>
  <c r="AO340" i="1"/>
  <c r="AP340" i="1" s="1"/>
  <c r="AI446" i="1"/>
  <c r="AQ446" i="1" s="1"/>
  <c r="H1197" i="1"/>
  <c r="H1569" i="6" s="1"/>
  <c r="N530" i="1"/>
  <c r="N690" i="6"/>
  <c r="N699" i="6" s="1"/>
  <c r="AB525" i="1"/>
  <c r="AB690" i="6" s="1"/>
  <c r="AA525" i="1"/>
  <c r="AA690" i="6" s="1"/>
  <c r="X849" i="6"/>
  <c r="AB638" i="1"/>
  <c r="AB849" i="6" s="1"/>
  <c r="AA638" i="1"/>
  <c r="AA849" i="6" s="1"/>
  <c r="X907" i="6"/>
  <c r="AB682" i="1"/>
  <c r="AB907" i="6" s="1"/>
  <c r="AA682" i="1"/>
  <c r="AA907" i="6" s="1"/>
  <c r="AI959" i="1"/>
  <c r="AQ959" i="1" s="1"/>
  <c r="AO959" i="1"/>
  <c r="AP959" i="1" s="1"/>
  <c r="Y1019" i="1"/>
  <c r="X1019" i="1"/>
  <c r="N1038" i="6"/>
  <c r="N1041" i="6" s="1"/>
  <c r="AB785" i="1"/>
  <c r="AB1038" i="6" s="1"/>
  <c r="AA785" i="1"/>
  <c r="AA1038" i="6" s="1"/>
  <c r="X1101" i="6"/>
  <c r="X1106" i="6" s="1"/>
  <c r="AA841" i="1"/>
  <c r="AA1101" i="6" s="1"/>
  <c r="AB841" i="1"/>
  <c r="X844" i="1"/>
  <c r="AL1147" i="1"/>
  <c r="AJ1154" i="1"/>
  <c r="X751" i="6"/>
  <c r="X755" i="6" s="1"/>
  <c r="AA569" i="1"/>
  <c r="X573" i="1"/>
  <c r="AB569" i="1"/>
  <c r="AI743" i="1"/>
  <c r="AQ743" i="1" s="1"/>
  <c r="AO743" i="1"/>
  <c r="AP743" i="1" s="1"/>
  <c r="Z473" i="1"/>
  <c r="Z476" i="1" s="1"/>
  <c r="Y476" i="1"/>
  <c r="AB560" i="1"/>
  <c r="AB738" i="6" s="1"/>
  <c r="Z1067" i="1"/>
  <c r="Z1072" i="1" s="1"/>
  <c r="Y1072" i="1"/>
  <c r="N418" i="1"/>
  <c r="Y418" i="1"/>
  <c r="AO891" i="1"/>
  <c r="AP891" i="1" s="1"/>
  <c r="AI891" i="1"/>
  <c r="AQ891" i="1" s="1"/>
  <c r="AL1104" i="1"/>
  <c r="AJ1112" i="1"/>
  <c r="X1498" i="6"/>
  <c r="X1503" i="6" s="1"/>
  <c r="AB1137" i="1"/>
  <c r="AB1498" i="6" s="1"/>
  <c r="X540" i="6"/>
  <c r="AA397" i="1"/>
  <c r="AA540" i="6" s="1"/>
  <c r="AB397" i="1"/>
  <c r="AB540" i="6" s="1"/>
  <c r="X1034" i="6"/>
  <c r="AA782" i="1"/>
  <c r="AA1034" i="6" s="1"/>
  <c r="AB479" i="6"/>
  <c r="Y251" i="1"/>
  <c r="Z251" i="1" s="1"/>
  <c r="X251" i="1"/>
  <c r="N381" i="6"/>
  <c r="AB289" i="1"/>
  <c r="AB381" i="6" s="1"/>
  <c r="AA289" i="1"/>
  <c r="AA381" i="6" s="1"/>
  <c r="X485" i="6"/>
  <c r="AA361" i="1"/>
  <c r="AA485" i="6" s="1"/>
  <c r="AB361" i="1"/>
  <c r="AB485" i="6" s="1"/>
  <c r="AO442" i="1"/>
  <c r="AP442" i="1" s="1"/>
  <c r="AL748" i="1"/>
  <c r="J1202" i="1"/>
  <c r="J1575" i="6" s="1"/>
  <c r="O1202" i="1"/>
  <c r="O1575" i="6" s="1"/>
  <c r="X1314" i="6"/>
  <c r="AA990" i="1"/>
  <c r="AA1314" i="6" s="1"/>
  <c r="AB990" i="1"/>
  <c r="AB1314" i="6" s="1"/>
  <c r="AA1458" i="6"/>
  <c r="AA1463" i="6" s="1"/>
  <c r="AA1109" i="1"/>
  <c r="N101" i="3"/>
  <c r="N119" i="3" s="1"/>
  <c r="N1198" i="3" s="1"/>
  <c r="N745" i="1"/>
  <c r="AB741" i="1"/>
  <c r="AB977" i="6" s="1"/>
  <c r="N977" i="6"/>
  <c r="AA741" i="1"/>
  <c r="AA977" i="6" s="1"/>
  <c r="AQ750" i="1"/>
  <c r="AB925" i="1"/>
  <c r="AB1196" i="6"/>
  <c r="AB1206" i="6" s="1"/>
  <c r="AA1408" i="6"/>
  <c r="AA1410" i="6" s="1"/>
  <c r="AA1064" i="1"/>
  <c r="AA1075" i="1" s="1"/>
  <c r="AA1269" i="1" s="1"/>
  <c r="AA904" i="3"/>
  <c r="AA910" i="3" s="1"/>
  <c r="AO423" i="3"/>
  <c r="AP423" i="3" s="1"/>
  <c r="AA310" i="6"/>
  <c r="AA313" i="6" s="1"/>
  <c r="AA237" i="1"/>
  <c r="X625" i="3"/>
  <c r="H1132" i="3"/>
  <c r="Y1132" i="3" s="1"/>
  <c r="Z1132" i="3" s="1"/>
  <c r="AQ1145" i="1"/>
  <c r="Z478" i="6"/>
  <c r="Z487" i="6" s="1"/>
  <c r="Y502" i="6"/>
  <c r="Z815" i="6"/>
  <c r="Y109" i="6"/>
  <c r="Z395" i="6"/>
  <c r="Y1491" i="6"/>
  <c r="Z1463" i="6"/>
  <c r="AF1519" i="6"/>
  <c r="Y1463" i="6"/>
  <c r="Z1001" i="6"/>
  <c r="Z1010" i="6" s="1"/>
  <c r="R164" i="6"/>
  <c r="R1609" i="6" s="1"/>
  <c r="Y862" i="6"/>
  <c r="Z262" i="6"/>
  <c r="Z265" i="6" s="1"/>
  <c r="Z1331" i="6"/>
  <c r="R1466" i="6"/>
  <c r="R1633" i="6" s="1"/>
  <c r="Y454" i="6"/>
  <c r="Z1573" i="6"/>
  <c r="Z496" i="6"/>
  <c r="Z502" i="6" s="1"/>
  <c r="Z751" i="6"/>
  <c r="Z755" i="6" s="1"/>
  <c r="Y129" i="6"/>
  <c r="Z1165" i="6"/>
  <c r="Y220" i="6"/>
  <c r="Y1481" i="6"/>
  <c r="Z1051" i="6"/>
  <c r="AN1255" i="6"/>
  <c r="AP1255" i="6" s="1"/>
  <c r="Z1491" i="6"/>
  <c r="Z986" i="6"/>
  <c r="Z988" i="6" s="1"/>
  <c r="Y1088" i="6"/>
  <c r="D1277" i="6"/>
  <c r="D1627" i="6" s="1"/>
  <c r="Y543" i="6"/>
  <c r="AF1465" i="6"/>
  <c r="D1108" i="6"/>
  <c r="D1623" i="6" s="1"/>
  <c r="Z21" i="6"/>
  <c r="Z25" i="6" s="1"/>
  <c r="Z1126" i="6"/>
  <c r="Z1131" i="6" s="1"/>
  <c r="D1168" i="6"/>
  <c r="D1625" i="6" s="1"/>
  <c r="Y564" i="6"/>
  <c r="Y954" i="6"/>
  <c r="Y516" i="6"/>
  <c r="Y1255" i="6"/>
  <c r="Y744" i="6"/>
  <c r="Y633" i="6"/>
  <c r="AI256" i="6"/>
  <c r="AK256" i="6" s="1"/>
  <c r="AN867" i="6"/>
  <c r="AP867" i="6" s="1"/>
  <c r="Y353" i="6"/>
  <c r="H353" i="6"/>
  <c r="AF163" i="6"/>
  <c r="AN735" i="6"/>
  <c r="AP735" i="6" s="1"/>
  <c r="AN1461" i="6"/>
  <c r="AP1461" i="6" s="1"/>
  <c r="AI738" i="6"/>
  <c r="AK738" i="6" s="1"/>
  <c r="AI1418" i="6"/>
  <c r="AK1418" i="6" s="1"/>
  <c r="Z516" i="6"/>
  <c r="R619" i="6"/>
  <c r="R1615" i="6" s="1"/>
  <c r="AI981" i="6"/>
  <c r="AK981" i="6" s="1"/>
  <c r="Z1123" i="6"/>
  <c r="AI263" i="6"/>
  <c r="AK263" i="6" s="1"/>
  <c r="Z599" i="6"/>
  <c r="AI987" i="6"/>
  <c r="AK987" i="6" s="1"/>
  <c r="AQ1422" i="6"/>
  <c r="AR1422" i="6" s="1"/>
  <c r="AN451" i="6"/>
  <c r="AP451" i="6" s="1"/>
  <c r="Z608" i="6"/>
  <c r="H1466" i="6"/>
  <c r="H1633" i="6" s="1"/>
  <c r="Z183" i="6"/>
  <c r="Z1059" i="6"/>
  <c r="Y1068" i="6"/>
  <c r="AI1246" i="6"/>
  <c r="AK1246" i="6" s="1"/>
  <c r="AF993" i="6"/>
  <c r="AI88" i="6"/>
  <c r="AK88" i="6" s="1"/>
  <c r="R994" i="6"/>
  <c r="R1621" i="6" s="1"/>
  <c r="Z1548" i="6"/>
  <c r="AN738" i="6"/>
  <c r="Y383" i="6"/>
  <c r="AQ161" i="6"/>
  <c r="AR161" i="6" s="1"/>
  <c r="AI984" i="6"/>
  <c r="AK984" i="6" s="1"/>
  <c r="AN86" i="6"/>
  <c r="AP86" i="6" s="1"/>
  <c r="AI1162" i="6"/>
  <c r="AK1162" i="6" s="1"/>
  <c r="AI1461" i="6"/>
  <c r="AK1461" i="6" s="1"/>
  <c r="AN1161" i="6"/>
  <c r="AP1161" i="6" s="1"/>
  <c r="AP738" i="6"/>
  <c r="AI988" i="6"/>
  <c r="AK988" i="6" s="1"/>
  <c r="AQ607" i="6"/>
  <c r="AR607" i="6" s="1"/>
  <c r="AN257" i="6"/>
  <c r="AP257" i="6" s="1"/>
  <c r="AN442" i="6"/>
  <c r="AP442" i="6" s="1"/>
  <c r="AK1248" i="6"/>
  <c r="AS1461" i="6"/>
  <c r="AQ91" i="6"/>
  <c r="AR91" i="6" s="1"/>
  <c r="Z313" i="6"/>
  <c r="Z744" i="6"/>
  <c r="Y313" i="6"/>
  <c r="Z1452" i="6"/>
  <c r="AP980" i="6"/>
  <c r="Z578" i="6"/>
  <c r="Y120" i="6"/>
  <c r="Z982" i="6"/>
  <c r="AN1248" i="6"/>
  <c r="AQ1248" i="6" s="1"/>
  <c r="AR1248" i="6" s="1"/>
  <c r="Y183" i="6"/>
  <c r="AN258" i="6"/>
  <c r="AP258" i="6" s="1"/>
  <c r="AI1455" i="6"/>
  <c r="AK1455" i="6" s="1"/>
  <c r="Z887" i="6"/>
  <c r="AN1412" i="6"/>
  <c r="AN1423" i="6" s="1"/>
  <c r="AQ749" i="6"/>
  <c r="AR749" i="6" s="1"/>
  <c r="Z1106" i="6"/>
  <c r="AK1166" i="6"/>
  <c r="Z543" i="6"/>
  <c r="AN1254" i="6"/>
  <c r="AP1254" i="6" s="1"/>
  <c r="AI443" i="6"/>
  <c r="AK443" i="6" s="1"/>
  <c r="Z859" i="6"/>
  <c r="Z862" i="6" s="1"/>
  <c r="AI145" i="6"/>
  <c r="AN1513" i="6"/>
  <c r="AP1513" i="6" s="1"/>
  <c r="Y1051" i="6"/>
  <c r="AI1104" i="6"/>
  <c r="AK1104" i="6" s="1"/>
  <c r="AN1455" i="6"/>
  <c r="AP1455" i="6" s="1"/>
  <c r="AI257" i="6"/>
  <c r="AN452" i="6"/>
  <c r="AP452" i="6" s="1"/>
  <c r="AN603" i="6"/>
  <c r="AP603" i="6" s="1"/>
  <c r="AN985" i="6"/>
  <c r="AP985" i="6" s="1"/>
  <c r="AN1516" i="6"/>
  <c r="AP1516" i="6" s="1"/>
  <c r="AQ1165" i="6"/>
  <c r="AR1165" i="6" s="1"/>
  <c r="AN876" i="6"/>
  <c r="AP876" i="6" s="1"/>
  <c r="R1425" i="6"/>
  <c r="R1631" i="6" s="1"/>
  <c r="AN90" i="6"/>
  <c r="AP90" i="6" s="1"/>
  <c r="Y826" i="6"/>
  <c r="Z162" i="6"/>
  <c r="AN1509" i="6"/>
  <c r="AP1509" i="6" s="1"/>
  <c r="Y1442" i="6"/>
  <c r="AP752" i="6"/>
  <c r="Z454" i="6"/>
  <c r="AN1162" i="6"/>
  <c r="AP1162" i="6" s="1"/>
  <c r="R1362" i="6"/>
  <c r="R1629" i="6" s="1"/>
  <c r="AI603" i="6"/>
  <c r="AK603" i="6" s="1"/>
  <c r="AQ882" i="6"/>
  <c r="AR882" i="6" s="1"/>
  <c r="AN615" i="6"/>
  <c r="AP615" i="6" s="1"/>
  <c r="AQ1273" i="6"/>
  <c r="AR1273" i="6" s="1"/>
  <c r="AK161" i="6"/>
  <c r="AI254" i="6"/>
  <c r="AK254" i="6" s="1"/>
  <c r="AN252" i="6"/>
  <c r="AP252" i="6" s="1"/>
  <c r="AP161" i="6"/>
  <c r="AQ162" i="6"/>
  <c r="AR162" i="6" s="1"/>
  <c r="AN447" i="6"/>
  <c r="AP447" i="6" s="1"/>
  <c r="AI87" i="6"/>
  <c r="AK87" i="6" s="1"/>
  <c r="AI89" i="6"/>
  <c r="AK89" i="6" s="1"/>
  <c r="AQ606" i="6"/>
  <c r="AR606" i="6" s="1"/>
  <c r="AN1360" i="6"/>
  <c r="AP1360" i="6" s="1"/>
  <c r="AI442" i="6"/>
  <c r="AK442" i="6" s="1"/>
  <c r="AN877" i="6"/>
  <c r="AI1160" i="6"/>
  <c r="AK1160" i="6" s="1"/>
  <c r="D1425" i="6"/>
  <c r="D1631" i="6" s="1"/>
  <c r="AN987" i="6"/>
  <c r="AP987" i="6" s="1"/>
  <c r="AQ1274" i="6"/>
  <c r="AR1274" i="6" s="1"/>
  <c r="AI1352" i="6"/>
  <c r="AI754" i="6"/>
  <c r="AK754" i="6" s="1"/>
  <c r="AI732" i="6"/>
  <c r="AQ732" i="6" s="1"/>
  <c r="AI265" i="6"/>
  <c r="AK265" i="6" s="1"/>
  <c r="AN1515" i="6"/>
  <c r="AP1515" i="6" s="1"/>
  <c r="AN868" i="6"/>
  <c r="AP868" i="6" s="1"/>
  <c r="V1466" i="6"/>
  <c r="V1633" i="6" s="1"/>
  <c r="AI1453" i="6"/>
  <c r="AK1453" i="6" s="1"/>
  <c r="AK451" i="6"/>
  <c r="AN1352" i="6"/>
  <c r="AP1352" i="6" s="1"/>
  <c r="AN1453" i="6"/>
  <c r="AP1453" i="6" s="1"/>
  <c r="AN143" i="6"/>
  <c r="AI600" i="6"/>
  <c r="AK600" i="6" s="1"/>
  <c r="AS599" i="6" s="1"/>
  <c r="AN1163" i="6"/>
  <c r="AP1163" i="6" s="1"/>
  <c r="AI1096" i="6"/>
  <c r="AK1096" i="6" s="1"/>
  <c r="AN733" i="6"/>
  <c r="AP733" i="6" s="1"/>
  <c r="AI733" i="6"/>
  <c r="AK733" i="6" s="1"/>
  <c r="AN745" i="6"/>
  <c r="AP745" i="6" s="1"/>
  <c r="AQ752" i="6"/>
  <c r="AR752" i="6" s="1"/>
  <c r="S1362" i="6"/>
  <c r="S1629" i="6" s="1"/>
  <c r="AN256" i="6"/>
  <c r="AN1356" i="6"/>
  <c r="AP1356" i="6" s="1"/>
  <c r="AI438" i="6"/>
  <c r="AK606" i="6"/>
  <c r="AS605" i="6" s="1"/>
  <c r="K267" i="6"/>
  <c r="K1611" i="6" s="1"/>
  <c r="AI756" i="6"/>
  <c r="AK756" i="6" s="1"/>
  <c r="AI1253" i="6"/>
  <c r="AQ1454" i="6"/>
  <c r="AR1454" i="6" s="1"/>
  <c r="AI1255" i="6"/>
  <c r="AK1255" i="6" s="1"/>
  <c r="AN599" i="6"/>
  <c r="AP599" i="6" s="1"/>
  <c r="V1168" i="6"/>
  <c r="V1625" i="6" s="1"/>
  <c r="AP91" i="6"/>
  <c r="Z329" i="6"/>
  <c r="AN439" i="6"/>
  <c r="AP439" i="6" s="1"/>
  <c r="P164" i="6"/>
  <c r="P1609" i="6" s="1"/>
  <c r="AK882" i="6"/>
  <c r="AS881" i="6" s="1"/>
  <c r="AN89" i="6"/>
  <c r="AP89" i="6" s="1"/>
  <c r="AI744" i="6"/>
  <c r="AK744" i="6" s="1"/>
  <c r="AN741" i="6"/>
  <c r="AP741" i="6" s="1"/>
  <c r="AN1359" i="6"/>
  <c r="AP1359" i="6" s="1"/>
  <c r="AQ886" i="6"/>
  <c r="AR886" i="6" s="1"/>
  <c r="AI1252" i="6"/>
  <c r="AK1252" i="6" s="1"/>
  <c r="AQ1106" i="6"/>
  <c r="AR1106" i="6" s="1"/>
  <c r="AQ1419" i="6"/>
  <c r="AR1419" i="6" s="1"/>
  <c r="AN1504" i="6"/>
  <c r="AP1165" i="6"/>
  <c r="AS1164" i="6" s="1"/>
  <c r="AN605" i="6"/>
  <c r="AP605" i="6" s="1"/>
  <c r="AI875" i="6"/>
  <c r="AK875" i="6" s="1"/>
  <c r="AI1275" i="6"/>
  <c r="AK1275" i="6" s="1"/>
  <c r="L1466" i="6"/>
  <c r="L1633" i="6" s="1"/>
  <c r="AN260" i="6"/>
  <c r="AP260" i="6" s="1"/>
  <c r="AI252" i="6"/>
  <c r="AN446" i="6"/>
  <c r="AP446" i="6" s="1"/>
  <c r="AI86" i="6"/>
  <c r="F1555" i="6"/>
  <c r="AI1505" i="6"/>
  <c r="AK1505" i="6" s="1"/>
  <c r="AI615" i="6"/>
  <c r="AK615" i="6" s="1"/>
  <c r="AS443" i="6"/>
  <c r="AI143" i="6"/>
  <c r="AK143" i="6" s="1"/>
  <c r="AI876" i="6"/>
  <c r="AK876" i="6" s="1"/>
  <c r="AN1348" i="6"/>
  <c r="AP1348" i="6" s="1"/>
  <c r="AI1458" i="6"/>
  <c r="AI983" i="6"/>
  <c r="AK983" i="6" s="1"/>
  <c r="AI1247" i="6"/>
  <c r="AK1247" i="6" s="1"/>
  <c r="AI887" i="6"/>
  <c r="AK887" i="6" s="1"/>
  <c r="Z1422" i="6"/>
  <c r="AI1356" i="6"/>
  <c r="AK1356" i="6" s="1"/>
  <c r="AI144" i="6"/>
  <c r="AK144" i="6" s="1"/>
  <c r="AI1515" i="6"/>
  <c r="F781" i="6"/>
  <c r="F889" i="6" s="1"/>
  <c r="F1619" i="6" s="1"/>
  <c r="AI1351" i="6"/>
  <c r="AK1351" i="6" s="1"/>
  <c r="AN145" i="6"/>
  <c r="AP145" i="6" s="1"/>
  <c r="AI90" i="6"/>
  <c r="AK90" i="6" s="1"/>
  <c r="U1466" i="6"/>
  <c r="U1633" i="6" s="1"/>
  <c r="AI873" i="6"/>
  <c r="AK873" i="6" s="1"/>
  <c r="AM1465" i="6"/>
  <c r="AN1351" i="6"/>
  <c r="AP1351" i="6" s="1"/>
  <c r="AI868" i="6"/>
  <c r="AK868" i="6" s="1"/>
  <c r="AN1458" i="6"/>
  <c r="AP1458" i="6" s="1"/>
  <c r="AN440" i="6"/>
  <c r="AP440" i="6" s="1"/>
  <c r="AN445" i="6"/>
  <c r="AP445" i="6" s="1"/>
  <c r="AN88" i="6"/>
  <c r="AP88" i="6" s="1"/>
  <c r="AI743" i="6"/>
  <c r="AI84" i="6"/>
  <c r="AQ84" i="6" s="1"/>
  <c r="AR84" i="6" s="1"/>
  <c r="AN1253" i="6"/>
  <c r="AP1253" i="6" s="1"/>
  <c r="AN1246" i="6"/>
  <c r="AP1246" i="6" s="1"/>
  <c r="AI260" i="6"/>
  <c r="AK260" i="6" s="1"/>
  <c r="AI605" i="6"/>
  <c r="AK605" i="6" s="1"/>
  <c r="AI1164" i="6"/>
  <c r="AK1164" i="6" s="1"/>
  <c r="AI604" i="6"/>
  <c r="AK604" i="6" s="1"/>
  <c r="AN144" i="6"/>
  <c r="AP144" i="6" s="1"/>
  <c r="AI877" i="6"/>
  <c r="AK877" i="6" s="1"/>
  <c r="AQ1166" i="6"/>
  <c r="AR1166" i="6" s="1"/>
  <c r="AN609" i="6"/>
  <c r="AP609" i="6" s="1"/>
  <c r="AI599" i="6"/>
  <c r="AK599" i="6" s="1"/>
  <c r="AH1465" i="6"/>
  <c r="AM1423" i="6"/>
  <c r="AK752" i="6"/>
  <c r="AM1519" i="6"/>
  <c r="AK886" i="6"/>
  <c r="AS885" i="6" s="1"/>
  <c r="AL875" i="6"/>
  <c r="AN875" i="6" s="1"/>
  <c r="AP875" i="6" s="1"/>
  <c r="AQ435" i="6"/>
  <c r="AR435" i="6" s="1"/>
  <c r="AP1106" i="6"/>
  <c r="AS1105" i="6" s="1"/>
  <c r="AS447" i="6"/>
  <c r="AN142" i="6"/>
  <c r="AP142" i="6" s="1"/>
  <c r="I619" i="6"/>
  <c r="I1615" i="6" s="1"/>
  <c r="K164" i="6"/>
  <c r="K1609" i="6" s="1"/>
  <c r="AN1164" i="6"/>
  <c r="AP1164" i="6" s="1"/>
  <c r="AI745" i="6"/>
  <c r="AK745" i="6" s="1"/>
  <c r="AN83" i="6"/>
  <c r="AP83" i="6" s="1"/>
  <c r="I456" i="6"/>
  <c r="I1613" i="6" s="1"/>
  <c r="AI1516" i="6"/>
  <c r="AN87" i="6"/>
  <c r="AP87" i="6" s="1"/>
  <c r="V96" i="6"/>
  <c r="V1607" i="6" s="1"/>
  <c r="AI81" i="6"/>
  <c r="AK81" i="6" s="1"/>
  <c r="F1466" i="6"/>
  <c r="F1633" i="6" s="1"/>
  <c r="V267" i="6"/>
  <c r="V1611" i="6" s="1"/>
  <c r="AQ1462" i="6"/>
  <c r="AR1462" i="6" s="1"/>
  <c r="T164" i="6"/>
  <c r="T1609" i="6" s="1"/>
  <c r="F1425" i="6"/>
  <c r="F1631" i="6" s="1"/>
  <c r="T1466" i="6"/>
  <c r="T1633" i="6" s="1"/>
  <c r="AI617" i="6"/>
  <c r="AK617" i="6" s="1"/>
  <c r="K1168" i="6"/>
  <c r="K1625" i="6" s="1"/>
  <c r="AS1516" i="6"/>
  <c r="AQ434" i="6"/>
  <c r="AR434" i="6" s="1"/>
  <c r="P1466" i="6"/>
  <c r="P1633" i="6" s="1"/>
  <c r="P1425" i="6"/>
  <c r="P1631" i="6" s="1"/>
  <c r="AP155" i="6"/>
  <c r="Y1231" i="6"/>
  <c r="AK91" i="6"/>
  <c r="AN604" i="6"/>
  <c r="AP604" i="6" s="1"/>
  <c r="AN756" i="6"/>
  <c r="AI1359" i="6"/>
  <c r="AN1460" i="6"/>
  <c r="V1277" i="6"/>
  <c r="V1627" i="6" s="1"/>
  <c r="N1452" i="6"/>
  <c r="N1466" i="6" s="1"/>
  <c r="N1633" i="6" s="1"/>
  <c r="AI1270" i="6"/>
  <c r="AK1270" i="6" s="1"/>
  <c r="AN443" i="6"/>
  <c r="AN263" i="6"/>
  <c r="AP263" i="6" s="1"/>
  <c r="AK435" i="6"/>
  <c r="AI1098" i="6"/>
  <c r="AK1098" i="6" s="1"/>
  <c r="AP84" i="6"/>
  <c r="AJ155" i="6"/>
  <c r="I164" i="6"/>
  <c r="I1609" i="6" s="1"/>
  <c r="AI258" i="6"/>
  <c r="AK258" i="6" s="1"/>
  <c r="AN1270" i="6"/>
  <c r="AP1270" i="6" s="1"/>
  <c r="I1519" i="6"/>
  <c r="I1635" i="6" s="1"/>
  <c r="AN265" i="6"/>
  <c r="AN1418" i="6"/>
  <c r="AP1418" i="6" s="1"/>
  <c r="K994" i="6"/>
  <c r="K1621" i="6" s="1"/>
  <c r="AI1504" i="6"/>
  <c r="AK1504" i="6" s="1"/>
  <c r="S1519" i="6"/>
  <c r="S1635" i="6" s="1"/>
  <c r="AH618" i="6"/>
  <c r="F1562" i="6" s="1"/>
  <c r="D1362" i="6"/>
  <c r="D1629" i="6" s="1"/>
  <c r="AO163" i="6"/>
  <c r="O267" i="6"/>
  <c r="O1611" i="6" s="1"/>
  <c r="V456" i="6"/>
  <c r="V1613" i="6" s="1"/>
  <c r="AN602" i="6"/>
  <c r="AP602" i="6" s="1"/>
  <c r="AM757" i="6"/>
  <c r="AN981" i="6"/>
  <c r="AP981" i="6" s="1"/>
  <c r="AS752" i="6"/>
  <c r="AN744" i="6"/>
  <c r="AP744" i="6" s="1"/>
  <c r="AN1252" i="6"/>
  <c r="AN433" i="6"/>
  <c r="AO433" i="6" s="1"/>
  <c r="AI440" i="6"/>
  <c r="AI609" i="6"/>
  <c r="AK609" i="6" s="1"/>
  <c r="AN732" i="6"/>
  <c r="AP732" i="6" s="1"/>
  <c r="P758" i="6"/>
  <c r="P1617" i="6" s="1"/>
  <c r="AO1167" i="6"/>
  <c r="P619" i="6"/>
  <c r="P1615" i="6" s="1"/>
  <c r="E1519" i="6"/>
  <c r="E1635" i="6" s="1"/>
  <c r="S1425" i="6"/>
  <c r="S1631" i="6" s="1"/>
  <c r="AJ757" i="6"/>
  <c r="S1466" i="6"/>
  <c r="S1633" i="6" s="1"/>
  <c r="F1554" i="6"/>
  <c r="V1425" i="6"/>
  <c r="V1631" i="6" s="1"/>
  <c r="T619" i="6"/>
  <c r="T1615" i="6" s="1"/>
  <c r="AN1096" i="6"/>
  <c r="AP1096" i="6" s="1"/>
  <c r="AI1163" i="6"/>
  <c r="J1519" i="6"/>
  <c r="J1635" i="6" s="1"/>
  <c r="AQ753" i="6"/>
  <c r="AR753" i="6" s="1"/>
  <c r="AO1276" i="6"/>
  <c r="L1519" i="6"/>
  <c r="L1635" i="6" s="1"/>
  <c r="U1168" i="6"/>
  <c r="U1625" i="6" s="1"/>
  <c r="AN1357" i="6"/>
  <c r="AP1357" i="6" s="1"/>
  <c r="AN887" i="6"/>
  <c r="AP887" i="6" s="1"/>
  <c r="AM95" i="6"/>
  <c r="AQ1410" i="6"/>
  <c r="AP1273" i="6"/>
  <c r="AS1270" i="6" s="1"/>
  <c r="AP608" i="6"/>
  <c r="AS607" i="6" s="1"/>
  <c r="AJ455" i="6"/>
  <c r="AQ454" i="6"/>
  <c r="AR454" i="6" s="1"/>
  <c r="O1519" i="6"/>
  <c r="O1635" i="6" s="1"/>
  <c r="AK878" i="6"/>
  <c r="AS877" i="6" s="1"/>
  <c r="Z720" i="6"/>
  <c r="AN254" i="6"/>
  <c r="AG1107" i="6"/>
  <c r="AN1104" i="6"/>
  <c r="AP1104" i="6" s="1"/>
  <c r="AN984" i="6"/>
  <c r="AP984" i="6" s="1"/>
  <c r="AI142" i="6"/>
  <c r="AK142" i="6" s="1"/>
  <c r="AH757" i="6"/>
  <c r="F1519" i="6"/>
  <c r="F1635" i="6" s="1"/>
  <c r="P1168" i="6"/>
  <c r="P1625" i="6" s="1"/>
  <c r="AO757" i="6"/>
  <c r="AK1454" i="6"/>
  <c r="AS1453" i="6" s="1"/>
  <c r="K1519" i="6"/>
  <c r="K1635" i="6" s="1"/>
  <c r="V758" i="6"/>
  <c r="V1617" i="6" s="1"/>
  <c r="AO993" i="6"/>
  <c r="L1425" i="6"/>
  <c r="L1631" i="6" s="1"/>
  <c r="AO618" i="6"/>
  <c r="AN982" i="6"/>
  <c r="AP982" i="6" s="1"/>
  <c r="AI441" i="6"/>
  <c r="AK441" i="6" s="1"/>
  <c r="I1168" i="6"/>
  <c r="I1625" i="6" s="1"/>
  <c r="I1466" i="6"/>
  <c r="I1633" i="6" s="1"/>
  <c r="J96" i="6"/>
  <c r="J1607" i="6" s="1"/>
  <c r="AI1100" i="6"/>
  <c r="L1277" i="6"/>
  <c r="L1627" i="6" s="1"/>
  <c r="AI155" i="6"/>
  <c r="AQ155" i="6" s="1"/>
  <c r="AR155" i="6" s="1"/>
  <c r="AO1519" i="6"/>
  <c r="AN601" i="6"/>
  <c r="AP601" i="6" s="1"/>
  <c r="Y837" i="6"/>
  <c r="Z837" i="6" s="1"/>
  <c r="S96" i="6"/>
  <c r="S1607" i="6" s="1"/>
  <c r="N1517" i="6"/>
  <c r="N1503" i="6"/>
  <c r="J1425" i="6"/>
  <c r="J1631" i="6" s="1"/>
  <c r="K1425" i="6"/>
  <c r="K1631" i="6" s="1"/>
  <c r="AQ444" i="6"/>
  <c r="AR444" i="6" s="1"/>
  <c r="AN742" i="6"/>
  <c r="AP742" i="6" s="1"/>
  <c r="AI755" i="6"/>
  <c r="AK755" i="6" s="1"/>
  <c r="F1168" i="6"/>
  <c r="F1625" i="6" s="1"/>
  <c r="AI602" i="6"/>
  <c r="Z651" i="6"/>
  <c r="Z660" i="6" s="1"/>
  <c r="Y660" i="6"/>
  <c r="K619" i="6"/>
  <c r="K1615" i="6" s="1"/>
  <c r="U889" i="6"/>
  <c r="U1619" i="6" s="1"/>
  <c r="AL754" i="6"/>
  <c r="AN754" i="6" s="1"/>
  <c r="AP754" i="6" s="1"/>
  <c r="Z937" i="6"/>
  <c r="Z942" i="6" s="1"/>
  <c r="I96" i="6"/>
  <c r="I1607" i="6" s="1"/>
  <c r="AN743" i="6"/>
  <c r="AP743" i="6" s="1"/>
  <c r="AL988" i="6"/>
  <c r="AN988" i="6" s="1"/>
  <c r="AP988" i="6" s="1"/>
  <c r="T1425" i="6"/>
  <c r="T1631" i="6" s="1"/>
  <c r="AK162" i="6"/>
  <c r="AS161" i="6" s="1"/>
  <c r="Y672" i="6"/>
  <c r="AI867" i="6"/>
  <c r="AK867" i="6" s="1"/>
  <c r="AK433" i="6"/>
  <c r="Z1442" i="6"/>
  <c r="K456" i="6"/>
  <c r="K1613" i="6" s="1"/>
  <c r="J619" i="6"/>
  <c r="J1615" i="6" s="1"/>
  <c r="AJ618" i="6"/>
  <c r="L758" i="6"/>
  <c r="L1617" i="6" s="1"/>
  <c r="O758" i="6"/>
  <c r="O1617" i="6" s="1"/>
  <c r="P1362" i="6"/>
  <c r="P1629" i="6" s="1"/>
  <c r="K889" i="6"/>
  <c r="K1619" i="6" s="1"/>
  <c r="D758" i="6"/>
  <c r="D1617" i="6" s="1"/>
  <c r="AH888" i="6"/>
  <c r="F1560" i="6" s="1"/>
  <c r="E1466" i="6"/>
  <c r="E1633" i="6" s="1"/>
  <c r="U1277" i="6"/>
  <c r="U1627" i="6" s="1"/>
  <c r="AI1357" i="6"/>
  <c r="AK1357" i="6" s="1"/>
  <c r="H329" i="6"/>
  <c r="T1277" i="6"/>
  <c r="T1627" i="6" s="1"/>
  <c r="I1425" i="6"/>
  <c r="I1631" i="6" s="1"/>
  <c r="Y699" i="6"/>
  <c r="L1168" i="6"/>
  <c r="L1625" i="6" s="1"/>
  <c r="AM1107" i="6"/>
  <c r="AP1166" i="6"/>
  <c r="P1519" i="6"/>
  <c r="P1635" i="6" s="1"/>
  <c r="AJ1519" i="6"/>
  <c r="AQ989" i="6"/>
  <c r="AR989" i="6" s="1"/>
  <c r="Z1244" i="6"/>
  <c r="Z426" i="6"/>
  <c r="U619" i="6"/>
  <c r="U1615" i="6" s="1"/>
  <c r="AK454" i="6"/>
  <c r="AS453" i="6" s="1"/>
  <c r="E1277" i="6"/>
  <c r="E1627" i="6" s="1"/>
  <c r="U1425" i="6"/>
  <c r="U1631" i="6" s="1"/>
  <c r="AI885" i="6"/>
  <c r="AN1101" i="6"/>
  <c r="AP1101" i="6" s="1"/>
  <c r="AF1361" i="6"/>
  <c r="AP1421" i="6"/>
  <c r="AS1420" i="6" s="1"/>
  <c r="AN441" i="6"/>
  <c r="AP441" i="6" s="1"/>
  <c r="AN1100" i="6"/>
  <c r="AP1100" i="6" s="1"/>
  <c r="AQ1456" i="6"/>
  <c r="AR1456" i="6" s="1"/>
  <c r="AI1360" i="6"/>
  <c r="AK1360" i="6" s="1"/>
  <c r="AQ159" i="6"/>
  <c r="AR159" i="6" s="1"/>
  <c r="Y162" i="6"/>
  <c r="Z617" i="6"/>
  <c r="AF266" i="6"/>
  <c r="Z1143" i="6"/>
  <c r="Z954" i="6"/>
  <c r="Z1064" i="6"/>
  <c r="Z1068" i="6" s="1"/>
  <c r="AF757" i="6"/>
  <c r="K758" i="6"/>
  <c r="K1617" i="6" s="1"/>
  <c r="Z911" i="6"/>
  <c r="AI447" i="6"/>
  <c r="R1277" i="6"/>
  <c r="R1627" i="6" s="1"/>
  <c r="AQ978" i="6"/>
  <c r="AR978" i="6" s="1"/>
  <c r="Z625" i="6"/>
  <c r="Z633" i="6" s="1"/>
  <c r="Z250" i="6"/>
  <c r="Z256" i="6" s="1"/>
  <c r="Y256" i="6"/>
  <c r="S1277" i="6"/>
  <c r="S1627" i="6" s="1"/>
  <c r="AM618" i="6"/>
  <c r="T267" i="6"/>
  <c r="T1611" i="6" s="1"/>
  <c r="T1108" i="6"/>
  <c r="T1623" i="6" s="1"/>
  <c r="E1425" i="6"/>
  <c r="E1631" i="6" s="1"/>
  <c r="I267" i="6"/>
  <c r="I1611" i="6" s="1"/>
  <c r="T456" i="6"/>
  <c r="T1613" i="6" s="1"/>
  <c r="AN1098" i="6"/>
  <c r="AP1098" i="6" s="1"/>
  <c r="U1362" i="6"/>
  <c r="U1629" i="6" s="1"/>
  <c r="AJ1465" i="6"/>
  <c r="AQ1464" i="6"/>
  <c r="AR1464" i="6" s="1"/>
  <c r="Z672" i="6"/>
  <c r="F619" i="6"/>
  <c r="F1615" i="6" s="1"/>
  <c r="AI742" i="6"/>
  <c r="AH1519" i="6"/>
  <c r="J164" i="6"/>
  <c r="J1609" i="6" s="1"/>
  <c r="AI1513" i="6"/>
  <c r="AK1513" i="6" s="1"/>
  <c r="T1168" i="6"/>
  <c r="T1625" i="6" s="1"/>
  <c r="Z404" i="6"/>
  <c r="P267" i="6"/>
  <c r="P1611" i="6" s="1"/>
  <c r="AN885" i="6"/>
  <c r="AP885" i="6" s="1"/>
  <c r="AJ1361" i="6"/>
  <c r="Y426" i="6"/>
  <c r="V1108" i="6"/>
  <c r="V1623" i="6" s="1"/>
  <c r="AI1097" i="6"/>
  <c r="AK1097" i="6" s="1"/>
  <c r="F1277" i="6"/>
  <c r="F1627" i="6" s="1"/>
  <c r="AN874" i="6"/>
  <c r="AP874" i="6" s="1"/>
  <c r="AK1422" i="6"/>
  <c r="AS1421" i="6" s="1"/>
  <c r="AQ1350" i="6"/>
  <c r="AR1350" i="6" s="1"/>
  <c r="R758" i="6"/>
  <c r="R1617" i="6" s="1"/>
  <c r="Y1193" i="6"/>
  <c r="H164" i="6"/>
  <c r="H1609" i="6" s="1"/>
  <c r="Y1609" i="6" s="1"/>
  <c r="H267" i="6"/>
  <c r="H1611" i="6" s="1"/>
  <c r="V1519" i="6"/>
  <c r="V1635" i="6" s="1"/>
  <c r="H758" i="6"/>
  <c r="H1617" i="6" s="1"/>
  <c r="S889" i="6"/>
  <c r="S1619" i="6" s="1"/>
  <c r="AM993" i="6"/>
  <c r="AI1101" i="6"/>
  <c r="AK1101" i="6" s="1"/>
  <c r="D1519" i="6"/>
  <c r="D1635" i="6" s="1"/>
  <c r="E1550" i="6"/>
  <c r="Z564" i="6"/>
  <c r="S456" i="6"/>
  <c r="S1613" i="6" s="1"/>
  <c r="AP1419" i="6"/>
  <c r="AS1418" i="6" s="1"/>
  <c r="Z1255" i="6"/>
  <c r="D889" i="6"/>
  <c r="D1619" i="6" s="1"/>
  <c r="V619" i="6"/>
  <c r="V1615" i="6" s="1"/>
  <c r="H1108" i="6"/>
  <c r="H1623" i="6" s="1"/>
  <c r="I758" i="6"/>
  <c r="I1617" i="6" s="1"/>
  <c r="U994" i="6"/>
  <c r="U1621" i="6" s="1"/>
  <c r="Y1059" i="6"/>
  <c r="AQ92" i="6"/>
  <c r="AR92" i="6" s="1"/>
  <c r="AP92" i="6"/>
  <c r="AS91" i="6" s="1"/>
  <c r="AP977" i="6"/>
  <c r="AS976" i="6" s="1"/>
  <c r="AQ977" i="6"/>
  <c r="AR977" i="6" s="1"/>
  <c r="Z356" i="6"/>
  <c r="Z364" i="6" s="1"/>
  <c r="Y364" i="6"/>
  <c r="Z1497" i="6"/>
  <c r="Z1503" i="6" s="1"/>
  <c r="Y1503" i="6"/>
  <c r="Y17" i="6"/>
  <c r="Z14" i="6"/>
  <c r="Z17" i="6" s="1"/>
  <c r="Z548" i="6"/>
  <c r="Z552" i="6" s="1"/>
  <c r="Y552" i="6"/>
  <c r="Z1354" i="6"/>
  <c r="Z1360" i="6" s="1"/>
  <c r="Y1360" i="6"/>
  <c r="Z702" i="6"/>
  <c r="Z708" i="6" s="1"/>
  <c r="Y708" i="6"/>
  <c r="R889" i="6"/>
  <c r="R1619" i="6" s="1"/>
  <c r="K1108" i="6"/>
  <c r="K1623" i="6" s="1"/>
  <c r="Z120" i="6"/>
  <c r="J1108" i="6"/>
  <c r="J1623" i="6" s="1"/>
  <c r="O1425" i="6"/>
  <c r="O1631" i="6" s="1"/>
  <c r="N815" i="6"/>
  <c r="Z1298" i="6"/>
  <c r="Z1311" i="6" s="1"/>
  <c r="F164" i="6"/>
  <c r="F1609" i="6" s="1"/>
  <c r="O911" i="6"/>
  <c r="AF618" i="6"/>
  <c r="O1051" i="6"/>
  <c r="Z1156" i="6"/>
  <c r="Y790" i="6"/>
  <c r="AI446" i="6"/>
  <c r="K96" i="6"/>
  <c r="K1607" i="6" s="1"/>
  <c r="O619" i="6"/>
  <c r="O1615" i="6" s="1"/>
  <c r="I1108" i="6"/>
  <c r="I1623" i="6" s="1"/>
  <c r="P96" i="6"/>
  <c r="P1607" i="6" s="1"/>
  <c r="P1637" i="6" s="1"/>
  <c r="L456" i="6"/>
  <c r="L1613" i="6" s="1"/>
  <c r="AO95" i="6"/>
  <c r="Y1275" i="6"/>
  <c r="U456" i="6"/>
  <c r="U1613" i="6" s="1"/>
  <c r="J1362" i="6"/>
  <c r="J1629" i="6" s="1"/>
  <c r="R1108" i="6"/>
  <c r="R1623" i="6" s="1"/>
  <c r="H889" i="6"/>
  <c r="H1619" i="6" s="1"/>
  <c r="F758" i="6"/>
  <c r="F1617" i="6" s="1"/>
  <c r="L1362" i="6"/>
  <c r="L1629" i="6" s="1"/>
  <c r="J456" i="6"/>
  <c r="J1613" i="6" s="1"/>
  <c r="P1277" i="6"/>
  <c r="P1627" i="6" s="1"/>
  <c r="Z699" i="6"/>
  <c r="Z1088" i="6"/>
  <c r="AS1463" i="6"/>
  <c r="Y1041" i="6"/>
  <c r="AQ608" i="6"/>
  <c r="AR608" i="6" s="1"/>
  <c r="S267" i="6"/>
  <c r="S1611" i="6" s="1"/>
  <c r="V164" i="6"/>
  <c r="V1609" i="6" s="1"/>
  <c r="AS1349" i="6"/>
  <c r="Z1193" i="6"/>
  <c r="I1362" i="6"/>
  <c r="I1629" i="6" s="1"/>
  <c r="AS1455" i="6"/>
  <c r="AQ160" i="6"/>
  <c r="AR160" i="6" s="1"/>
  <c r="AF888" i="6"/>
  <c r="AF1107" i="6"/>
  <c r="Y599" i="6"/>
  <c r="Y900" i="6"/>
  <c r="Z894" i="6"/>
  <c r="Z900" i="6" s="1"/>
  <c r="Z1091" i="6"/>
  <c r="Z1096" i="6" s="1"/>
  <c r="Y1096" i="6"/>
  <c r="AQ1420" i="6"/>
  <c r="AR1420" i="6" s="1"/>
  <c r="AK1420" i="6"/>
  <c r="AS1419" i="6" s="1"/>
  <c r="Z407" i="6"/>
  <c r="Z417" i="6" s="1"/>
  <c r="Y417" i="6"/>
  <c r="Y1293" i="6"/>
  <c r="Z1284" i="6"/>
  <c r="Z1293" i="6" s="1"/>
  <c r="F96" i="6"/>
  <c r="F1607" i="6" s="1"/>
  <c r="Y982" i="6"/>
  <c r="J1466" i="6"/>
  <c r="J1633" i="6" s="1"/>
  <c r="AO1107" i="6"/>
  <c r="AP1275" i="6"/>
  <c r="T1362" i="6"/>
  <c r="T1629" i="6" s="1"/>
  <c r="E96" i="6"/>
  <c r="E1607" i="6" s="1"/>
  <c r="J758" i="6"/>
  <c r="J1617" i="6" s="1"/>
  <c r="AP435" i="6"/>
  <c r="L619" i="6"/>
  <c r="L1615" i="6" s="1"/>
  <c r="Z1481" i="6"/>
  <c r="K1362" i="6"/>
  <c r="K1629" i="6" s="1"/>
  <c r="Y617" i="6"/>
  <c r="AA265" i="6"/>
  <c r="AA267" i="6" s="1"/>
  <c r="AA1611" i="6" s="1"/>
  <c r="AI871" i="6"/>
  <c r="AK871" i="6" s="1"/>
  <c r="K1466" i="6"/>
  <c r="K1633" i="6" s="1"/>
  <c r="Z1275" i="6"/>
  <c r="AS606" i="6"/>
  <c r="AJ888" i="6"/>
  <c r="H1362" i="6"/>
  <c r="H1629" i="6" s="1"/>
  <c r="AI1460" i="6"/>
  <c r="AK1460" i="6" s="1"/>
  <c r="R267" i="6"/>
  <c r="R1611" i="6" s="1"/>
  <c r="D456" i="6"/>
  <c r="D1613" i="6" s="1"/>
  <c r="U164" i="6"/>
  <c r="U1609" i="6" s="1"/>
  <c r="AG141" i="6"/>
  <c r="AI141" i="6" s="1"/>
  <c r="AI986" i="6"/>
  <c r="AK986" i="6" s="1"/>
  <c r="H1519" i="6"/>
  <c r="H1635" i="6" s="1"/>
  <c r="Y1635" i="6" s="1"/>
  <c r="AN755" i="6"/>
  <c r="Z1041" i="6"/>
  <c r="Z220" i="6"/>
  <c r="P994" i="6"/>
  <c r="P1621" i="6" s="1"/>
  <c r="J1277" i="6"/>
  <c r="J1627" i="6" s="1"/>
  <c r="P1108" i="6"/>
  <c r="P1623" i="6" s="1"/>
  <c r="AG1276" i="6"/>
  <c r="Z589" i="6"/>
  <c r="Z1231" i="6"/>
  <c r="S164" i="6"/>
  <c r="S1609" i="6" s="1"/>
  <c r="AQ448" i="6"/>
  <c r="AR448" i="6" s="1"/>
  <c r="Z826" i="6"/>
  <c r="AF1276" i="6"/>
  <c r="D994" i="6"/>
  <c r="D1621" i="6" s="1"/>
  <c r="D164" i="6"/>
  <c r="D1609" i="6" s="1"/>
  <c r="AN617" i="6"/>
  <c r="AP617" i="6" s="1"/>
  <c r="F267" i="6"/>
  <c r="F1611" i="6" s="1"/>
  <c r="Y329" i="6"/>
  <c r="AN871" i="6"/>
  <c r="AP871" i="6" s="1"/>
  <c r="AJ163" i="6"/>
  <c r="AG1465" i="6"/>
  <c r="E1552" i="6"/>
  <c r="AI452" i="6"/>
  <c r="U267" i="6"/>
  <c r="U1611" i="6" s="1"/>
  <c r="J267" i="6"/>
  <c r="J1611" i="6" s="1"/>
  <c r="N1293" i="6"/>
  <c r="AS155" i="6"/>
  <c r="AS745" i="6"/>
  <c r="Z790" i="6"/>
  <c r="D267" i="6"/>
  <c r="D1611" i="6" s="1"/>
  <c r="AP453" i="6"/>
  <c r="AS452" i="6" s="1"/>
  <c r="AQ453" i="6"/>
  <c r="AR453" i="6" s="1"/>
  <c r="AP1159" i="6"/>
  <c r="AS1158" i="6" s="1"/>
  <c r="AQ1159" i="6"/>
  <c r="AR1159" i="6" s="1"/>
  <c r="AJ1107" i="6"/>
  <c r="J994" i="6"/>
  <c r="J1621" i="6" s="1"/>
  <c r="AM1361" i="6"/>
  <c r="AN1349" i="6"/>
  <c r="AP1349" i="6" s="1"/>
  <c r="S619" i="6"/>
  <c r="S1615" i="6" s="1"/>
  <c r="T994" i="6"/>
  <c r="T1621" i="6" s="1"/>
  <c r="AM1167" i="6"/>
  <c r="AB1044" i="6"/>
  <c r="H1196" i="3"/>
  <c r="R1198" i="3"/>
  <c r="T1245" i="1"/>
  <c r="T1275" i="1" s="1"/>
  <c r="T1156" i="1"/>
  <c r="AB980" i="6"/>
  <c r="AB982" i="6" s="1"/>
  <c r="AB745" i="1"/>
  <c r="N1194" i="1"/>
  <c r="Z15" i="3"/>
  <c r="Z18" i="3" s="1"/>
  <c r="Y18" i="3"/>
  <c r="I1139" i="3"/>
  <c r="N1139" i="3"/>
  <c r="AB1139" i="3" s="1"/>
  <c r="P1198" i="3"/>
  <c r="P1106" i="3"/>
  <c r="Y131" i="3"/>
  <c r="Z124" i="3"/>
  <c r="Z131" i="3" s="1"/>
  <c r="T1200" i="3"/>
  <c r="T1226" i="3" s="1"/>
  <c r="T1106" i="3"/>
  <c r="AA681" i="3"/>
  <c r="AA685" i="3" s="1"/>
  <c r="X685" i="3"/>
  <c r="AB681" i="3"/>
  <c r="AB685" i="3" s="1"/>
  <c r="AB64" i="3"/>
  <c r="AA64" i="3"/>
  <c r="AB160" i="3"/>
  <c r="AB162" i="3" s="1"/>
  <c r="N162" i="3"/>
  <c r="Z184" i="3"/>
  <c r="Z187" i="3" s="1"/>
  <c r="Y187" i="3"/>
  <c r="Z207" i="3"/>
  <c r="Z212" i="3" s="1"/>
  <c r="Y212" i="3"/>
  <c r="AB217" i="3"/>
  <c r="X223" i="3"/>
  <c r="Z51" i="3"/>
  <c r="Z56" i="3" s="1"/>
  <c r="Y56" i="3"/>
  <c r="AI59" i="3"/>
  <c r="AG69" i="3"/>
  <c r="AO59" i="3"/>
  <c r="H1131" i="3"/>
  <c r="S1196" i="3"/>
  <c r="S1226" i="3" s="1"/>
  <c r="S1106" i="3"/>
  <c r="Z80" i="3"/>
  <c r="Z83" i="3" s="1"/>
  <c r="Y83" i="3"/>
  <c r="D1198" i="3"/>
  <c r="D1226" i="3" s="1"/>
  <c r="D1106" i="3"/>
  <c r="O1200" i="3"/>
  <c r="O1226" i="3" s="1"/>
  <c r="O1106" i="3"/>
  <c r="AQ179" i="3"/>
  <c r="Y244" i="3"/>
  <c r="Z238" i="3"/>
  <c r="Z244" i="3" s="1"/>
  <c r="E1202" i="3"/>
  <c r="AA401" i="3"/>
  <c r="AA403" i="3" s="1"/>
  <c r="AB401" i="3"/>
  <c r="AB403" i="3" s="1"/>
  <c r="X416" i="3"/>
  <c r="AB412" i="3"/>
  <c r="AB416" i="3" s="1"/>
  <c r="AA412" i="3"/>
  <c r="AA416" i="3" s="1"/>
  <c r="AA423" i="3"/>
  <c r="AB423" i="3"/>
  <c r="AB463" i="3"/>
  <c r="AA463" i="3"/>
  <c r="AA535" i="3"/>
  <c r="AB535" i="3"/>
  <c r="X539" i="3"/>
  <c r="Z563" i="3"/>
  <c r="Z566" i="3" s="1"/>
  <c r="Y566" i="3"/>
  <c r="N712" i="3"/>
  <c r="Y712" i="3"/>
  <c r="H714" i="3"/>
  <c r="H717" i="3" s="1"/>
  <c r="H1210" i="3" s="1"/>
  <c r="AB12" i="3"/>
  <c r="AA12" i="3"/>
  <c r="AA18" i="3" s="1"/>
  <c r="N18" i="3"/>
  <c r="AB30" i="3"/>
  <c r="AB37" i="3" s="1"/>
  <c r="AA30" i="3"/>
  <c r="AA37" i="3" s="1"/>
  <c r="N37" i="3"/>
  <c r="Z105" i="3"/>
  <c r="Z108" i="3" s="1"/>
  <c r="Y108" i="3"/>
  <c r="AI107" i="3"/>
  <c r="AG119" i="3"/>
  <c r="AO107" i="3"/>
  <c r="Z139" i="3"/>
  <c r="Z141" i="3" s="1"/>
  <c r="Y141" i="3"/>
  <c r="X168" i="3"/>
  <c r="Y168" i="3"/>
  <c r="R172" i="3"/>
  <c r="R189" i="3" s="1"/>
  <c r="R1200" i="3" s="1"/>
  <c r="AQ714" i="3"/>
  <c r="I1155" i="3"/>
  <c r="AB724" i="3"/>
  <c r="AB727" i="3" s="1"/>
  <c r="AA724" i="3"/>
  <c r="X727" i="3"/>
  <c r="Z738" i="3"/>
  <c r="Z741" i="3" s="1"/>
  <c r="Z805" i="3" s="1"/>
  <c r="Z1212" i="3" s="1"/>
  <c r="Y741" i="3"/>
  <c r="AB746" i="3"/>
  <c r="AB749" i="3" s="1"/>
  <c r="AA746" i="3"/>
  <c r="AA749" i="3" s="1"/>
  <c r="X749" i="3"/>
  <c r="Z823" i="3"/>
  <c r="Z825" i="3" s="1"/>
  <c r="Z856" i="3" s="1"/>
  <c r="Z1214" i="3" s="1"/>
  <c r="Y825" i="3"/>
  <c r="AL849" i="3"/>
  <c r="AJ856" i="3"/>
  <c r="AL856" i="3" s="1"/>
  <c r="J1131" i="3"/>
  <c r="O1131" i="3"/>
  <c r="D1156" i="3"/>
  <c r="AP919" i="3"/>
  <c r="AQ919" i="3"/>
  <c r="AD925" i="3"/>
  <c r="AL974" i="3"/>
  <c r="AJ976" i="3"/>
  <c r="Z1020" i="3"/>
  <c r="Z1024" i="3" s="1"/>
  <c r="Z1027" i="3" s="1"/>
  <c r="Z1220" i="3" s="1"/>
  <c r="Y1024" i="3"/>
  <c r="AA1022" i="3"/>
  <c r="AA1024" i="3" s="1"/>
  <c r="AB1022" i="3"/>
  <c r="AB1024" i="3" s="1"/>
  <c r="AB1027" i="3" s="1"/>
  <c r="AB1220" i="3" s="1"/>
  <c r="N1024" i="3"/>
  <c r="AB1039" i="3"/>
  <c r="AB1042" i="3" s="1"/>
  <c r="AA1039" i="3"/>
  <c r="X1042" i="3"/>
  <c r="Z1049" i="3"/>
  <c r="Z1051" i="3" s="1"/>
  <c r="Y1051" i="3"/>
  <c r="Z1068" i="3"/>
  <c r="Z1074" i="3" s="1"/>
  <c r="Y1074" i="3"/>
  <c r="AB286" i="3"/>
  <c r="AA286" i="3"/>
  <c r="N293" i="3"/>
  <c r="Z376" i="3"/>
  <c r="Z379" i="3" s="1"/>
  <c r="Y379" i="3"/>
  <c r="Z690" i="3"/>
  <c r="Z694" i="3" s="1"/>
  <c r="Y694" i="3"/>
  <c r="X694" i="3"/>
  <c r="AB690" i="3"/>
  <c r="AB694" i="3" s="1"/>
  <c r="AA690" i="3"/>
  <c r="AA694" i="3" s="1"/>
  <c r="AB304" i="3"/>
  <c r="X312" i="3"/>
  <c r="AA304" i="3"/>
  <c r="AA460" i="3"/>
  <c r="AB460" i="3"/>
  <c r="AB465" i="3" s="1"/>
  <c r="X465" i="3"/>
  <c r="AA500" i="3"/>
  <c r="AA505" i="3" s="1"/>
  <c r="AB500" i="3"/>
  <c r="AB505" i="3" s="1"/>
  <c r="N505" i="3"/>
  <c r="AP620" i="3"/>
  <c r="AP633" i="3" s="1"/>
  <c r="Z1174" i="6"/>
  <c r="Z1182" i="6" s="1"/>
  <c r="Y1182" i="6"/>
  <c r="AP1358" i="6"/>
  <c r="AS1357" i="6" s="1"/>
  <c r="AQ1358" i="6"/>
  <c r="AR1358" i="6" s="1"/>
  <c r="AQ801" i="3"/>
  <c r="AQ805" i="3" s="1"/>
  <c r="AI805" i="3"/>
  <c r="AQ915" i="3"/>
  <c r="AI925" i="3"/>
  <c r="AA972" i="3"/>
  <c r="AA974" i="3" s="1"/>
  <c r="X974" i="3"/>
  <c r="AA1055" i="3"/>
  <c r="N1059" i="3"/>
  <c r="N1062" i="3" s="1"/>
  <c r="N1222" i="3" s="1"/>
  <c r="AB1055" i="3"/>
  <c r="AB1077" i="3"/>
  <c r="AA1077" i="3"/>
  <c r="AA1082" i="3" s="1"/>
  <c r="X1082" i="3"/>
  <c r="O1245" i="1"/>
  <c r="AQ115" i="1"/>
  <c r="AO122" i="1"/>
  <c r="AP122" i="1" s="1"/>
  <c r="H1209" i="1"/>
  <c r="AI122" i="1"/>
  <c r="Z905" i="1"/>
  <c r="Z909" i="1" s="1"/>
  <c r="Y909" i="1"/>
  <c r="X44" i="6"/>
  <c r="AB35" i="1"/>
  <c r="AB44" i="6" s="1"/>
  <c r="AA35" i="1"/>
  <c r="AA44" i="6" s="1"/>
  <c r="Z67" i="1"/>
  <c r="Z88" i="6" s="1"/>
  <c r="Y88" i="6"/>
  <c r="Z69" i="1"/>
  <c r="Z90" i="6" s="1"/>
  <c r="Y90" i="6"/>
  <c r="E1247" i="1"/>
  <c r="Z92" i="1"/>
  <c r="Z99" i="1" s="1"/>
  <c r="Y99" i="1"/>
  <c r="Z165" i="1"/>
  <c r="Z171" i="1" s="1"/>
  <c r="Y171" i="1"/>
  <c r="H183" i="1"/>
  <c r="H202" i="1" s="1"/>
  <c r="N177" i="1"/>
  <c r="AQ189" i="1"/>
  <c r="AN192" i="1"/>
  <c r="AQ192" i="1" s="1"/>
  <c r="AO192" i="1"/>
  <c r="AL202" i="1"/>
  <c r="X286" i="6"/>
  <c r="AA213" i="1"/>
  <c r="AA286" i="6" s="1"/>
  <c r="AB213" i="1"/>
  <c r="AB286" i="6" s="1"/>
  <c r="Y223" i="1"/>
  <c r="R296" i="6"/>
  <c r="R299" i="6" s="1"/>
  <c r="R456" i="6" s="1"/>
  <c r="X223" i="1"/>
  <c r="R226" i="1"/>
  <c r="N338" i="6"/>
  <c r="N342" i="6" s="1"/>
  <c r="AA256" i="1"/>
  <c r="AB256" i="1"/>
  <c r="N260" i="1"/>
  <c r="AO325" i="1"/>
  <c r="AP325" i="1" s="1"/>
  <c r="AI325" i="1"/>
  <c r="AQ325" i="1" s="1"/>
  <c r="AL329" i="1"/>
  <c r="AJ341" i="1"/>
  <c r="O1201" i="1"/>
  <c r="O1574" i="6" s="1"/>
  <c r="J1201" i="1"/>
  <c r="J1574" i="6" s="1"/>
  <c r="AQ335" i="1"/>
  <c r="I1185" i="1"/>
  <c r="I1555" i="6" s="1"/>
  <c r="N1185" i="1"/>
  <c r="I1251" i="1"/>
  <c r="I1275" i="1" s="1"/>
  <c r="I1156" i="1"/>
  <c r="I1195" i="1"/>
  <c r="I1567" i="6" s="1"/>
  <c r="N1195" i="1"/>
  <c r="AQ339" i="1"/>
  <c r="Z436" i="1"/>
  <c r="Z438" i="1" s="1"/>
  <c r="Y438" i="1"/>
  <c r="Z442" i="1"/>
  <c r="Z447" i="1" s="1"/>
  <c r="Y447" i="1"/>
  <c r="AI444" i="1"/>
  <c r="AQ444" i="1" s="1"/>
  <c r="AO444" i="1"/>
  <c r="AP444" i="1" s="1"/>
  <c r="H1202" i="1"/>
  <c r="H1210" i="1"/>
  <c r="Y1210" i="1" s="1"/>
  <c r="Z1210" i="1" s="1"/>
  <c r="AO447" i="1"/>
  <c r="AP447" i="1" s="1"/>
  <c r="AI447" i="1"/>
  <c r="N491" i="1"/>
  <c r="H498" i="1"/>
  <c r="AA668" i="6"/>
  <c r="AA672" i="6" s="1"/>
  <c r="AA508" i="1"/>
  <c r="X536" i="1"/>
  <c r="Y536" i="1"/>
  <c r="Z536" i="1" s="1"/>
  <c r="R539" i="1"/>
  <c r="Y563" i="1"/>
  <c r="X563" i="1"/>
  <c r="R565" i="1"/>
  <c r="R576" i="1" s="1"/>
  <c r="R1255" i="1" s="1"/>
  <c r="N585" i="1"/>
  <c r="H589" i="1"/>
  <c r="H668" i="1" s="1"/>
  <c r="H1257" i="1" s="1"/>
  <c r="Z599" i="1"/>
  <c r="Y606" i="1"/>
  <c r="X837" i="6"/>
  <c r="X839" i="6" s="1"/>
  <c r="X631" i="1"/>
  <c r="AA629" i="1"/>
  <c r="AA837" i="6" s="1"/>
  <c r="AB629" i="1"/>
  <c r="AB837" i="6" s="1"/>
  <c r="AO663" i="1"/>
  <c r="AP663" i="1" s="1"/>
  <c r="AN663" i="1"/>
  <c r="AQ663" i="1" s="1"/>
  <c r="R1189" i="1"/>
  <c r="Z675" i="1"/>
  <c r="Z677" i="1" s="1"/>
  <c r="Y677" i="1"/>
  <c r="Y972" i="6"/>
  <c r="Y974" i="6" s="1"/>
  <c r="Z736" i="1"/>
  <c r="Y738" i="1"/>
  <c r="AL752" i="1"/>
  <c r="J1204" i="1"/>
  <c r="J1577" i="6" s="1"/>
  <c r="O1204" i="1"/>
  <c r="O1577" i="6" s="1"/>
  <c r="Z792" i="1"/>
  <c r="Z797" i="1" s="1"/>
  <c r="H1190" i="1"/>
  <c r="Y1190" i="1" s="1"/>
  <c r="Z1190" i="1" s="1"/>
  <c r="AO845" i="1"/>
  <c r="AP845" i="1" s="1"/>
  <c r="AI845" i="1"/>
  <c r="X1179" i="6"/>
  <c r="X1182" i="6" s="1"/>
  <c r="AB906" i="1"/>
  <c r="AA906" i="1"/>
  <c r="X909" i="1"/>
  <c r="N934" i="1"/>
  <c r="N969" i="1" s="1"/>
  <c r="N1265" i="1" s="1"/>
  <c r="AB929" i="1"/>
  <c r="N1210" i="6"/>
  <c r="N1215" i="6" s="1"/>
  <c r="N1277" i="6" s="1"/>
  <c r="N1627" i="6" s="1"/>
  <c r="AA929" i="1"/>
  <c r="Z981" i="1"/>
  <c r="Z987" i="1" s="1"/>
  <c r="Y987" i="1"/>
  <c r="AL1016" i="1"/>
  <c r="AJ1024" i="1"/>
  <c r="Z1098" i="1"/>
  <c r="Z1100" i="1" s="1"/>
  <c r="Y1100" i="1"/>
  <c r="AG1106" i="1"/>
  <c r="AE1112" i="1"/>
  <c r="Y1127" i="1"/>
  <c r="R1132" i="1"/>
  <c r="R1153" i="1" s="1"/>
  <c r="R1273" i="1" s="1"/>
  <c r="X1127" i="1"/>
  <c r="Z1140" i="1"/>
  <c r="Z1142" i="1" s="1"/>
  <c r="Y1142" i="1"/>
  <c r="X1552" i="6"/>
  <c r="AB1552" i="6" s="1"/>
  <c r="AB1182" i="1"/>
  <c r="X1558" i="6"/>
  <c r="AB1558" i="6" s="1"/>
  <c r="AB1188" i="1"/>
  <c r="R1185" i="1"/>
  <c r="AN1072" i="1"/>
  <c r="P1554" i="6"/>
  <c r="P1586" i="6" s="1"/>
  <c r="R1184" i="1"/>
  <c r="P1213" i="1"/>
  <c r="P1277" i="1" s="1"/>
  <c r="AA1116" i="6"/>
  <c r="AN1144" i="1"/>
  <c r="AO1144" i="1"/>
  <c r="AL1154" i="1"/>
  <c r="X1348" i="6"/>
  <c r="X1351" i="6" s="1"/>
  <c r="X1015" i="1"/>
  <c r="AA1012" i="1"/>
  <c r="AB572" i="6"/>
  <c r="AQ1101" i="3"/>
  <c r="AN1104" i="3"/>
  <c r="X35" i="6"/>
  <c r="AB33" i="1"/>
  <c r="AB35" i="6" s="1"/>
  <c r="AA33" i="1"/>
  <c r="AA35" i="6" s="1"/>
  <c r="X46" i="6"/>
  <c r="AA37" i="1"/>
  <c r="AA46" i="6" s="1"/>
  <c r="AB37" i="1"/>
  <c r="AB46" i="6" s="1"/>
  <c r="X84" i="6"/>
  <c r="X93" i="6" s="1"/>
  <c r="X72" i="1"/>
  <c r="AA63" i="1"/>
  <c r="AB63" i="1"/>
  <c r="X116" i="6"/>
  <c r="AB95" i="1"/>
  <c r="AB116" i="6" s="1"/>
  <c r="AA95" i="1"/>
  <c r="AA116" i="6" s="1"/>
  <c r="AN122" i="1"/>
  <c r="R1209" i="1"/>
  <c r="X1209" i="1" s="1"/>
  <c r="X1582" i="6" s="1"/>
  <c r="Z123" i="1"/>
  <c r="Z125" i="1" s="1"/>
  <c r="Y125" i="1"/>
  <c r="AB134" i="1"/>
  <c r="X174" i="6"/>
  <c r="X140" i="1"/>
  <c r="X150" i="1"/>
  <c r="X188" i="6"/>
  <c r="AB144" i="1"/>
  <c r="X200" i="6"/>
  <c r="AB147" i="1"/>
  <c r="AB194" i="6" s="1"/>
  <c r="AB190" i="1"/>
  <c r="AB254" i="6" s="1"/>
  <c r="X254" i="6"/>
  <c r="Z243" i="1"/>
  <c r="Z248" i="1" s="1"/>
  <c r="Y248" i="1"/>
  <c r="N326" i="6"/>
  <c r="N329" i="6" s="1"/>
  <c r="AB245" i="1"/>
  <c r="AB326" i="6" s="1"/>
  <c r="N248" i="1"/>
  <c r="AA245" i="1"/>
  <c r="AA326" i="6" s="1"/>
  <c r="Z294" i="1"/>
  <c r="Z299" i="1" s="1"/>
  <c r="Y299" i="1"/>
  <c r="AB324" i="1"/>
  <c r="X435" i="6"/>
  <c r="X330" i="1"/>
  <c r="AA324" i="1"/>
  <c r="Z333" i="1"/>
  <c r="Z339" i="1" s="1"/>
  <c r="Y339" i="1"/>
  <c r="AB429" i="1"/>
  <c r="AA429" i="1"/>
  <c r="X587" i="6"/>
  <c r="X589" i="6" s="1"/>
  <c r="X431" i="1"/>
  <c r="AB442" i="1"/>
  <c r="AA442" i="1"/>
  <c r="N447" i="1"/>
  <c r="N603" i="6"/>
  <c r="N608" i="6" s="1"/>
  <c r="X605" i="6"/>
  <c r="X608" i="6" s="1"/>
  <c r="AB444" i="1"/>
  <c r="AB605" i="6" s="1"/>
  <c r="AA444" i="1"/>
  <c r="AA605" i="6" s="1"/>
  <c r="X447" i="1"/>
  <c r="N487" i="1"/>
  <c r="N638" i="6"/>
  <c r="N648" i="6" s="1"/>
  <c r="AA481" i="1"/>
  <c r="AB481" i="1"/>
  <c r="N514" i="1"/>
  <c r="Y514" i="1"/>
  <c r="H521" i="1"/>
  <c r="H576" i="1" s="1"/>
  <c r="H1255" i="1" s="1"/>
  <c r="L1255" i="1"/>
  <c r="L1275" i="1" s="1"/>
  <c r="L1156" i="1"/>
  <c r="Z534" i="1"/>
  <c r="Y539" i="1"/>
  <c r="Z542" i="1"/>
  <c r="Z548" i="1" s="1"/>
  <c r="Y548" i="1"/>
  <c r="AI558" i="1"/>
  <c r="AO558" i="1"/>
  <c r="H1205" i="1"/>
  <c r="Y1205" i="1" s="1"/>
  <c r="Z1205" i="1" s="1"/>
  <c r="AA582" i="1"/>
  <c r="AB582" i="1"/>
  <c r="X764" i="6"/>
  <c r="X589" i="1"/>
  <c r="Y610" i="1"/>
  <c r="Z610" i="1" s="1"/>
  <c r="X610" i="1"/>
  <c r="AA620" i="1"/>
  <c r="X623" i="1"/>
  <c r="X820" i="6"/>
  <c r="AB620" i="1"/>
  <c r="AA621" i="1"/>
  <c r="AA824" i="6" s="1"/>
  <c r="X824" i="6"/>
  <c r="AB621" i="1"/>
  <c r="AB824" i="6" s="1"/>
  <c r="AB644" i="1"/>
  <c r="AA644" i="1"/>
  <c r="N649" i="1"/>
  <c r="N857" i="6"/>
  <c r="N862" i="6" s="1"/>
  <c r="AB681" i="1"/>
  <c r="X905" i="6"/>
  <c r="AA681" i="1"/>
  <c r="N730" i="1"/>
  <c r="N958" i="6"/>
  <c r="N962" i="6" s="1"/>
  <c r="AB726" i="1"/>
  <c r="AA726" i="1"/>
  <c r="Z743" i="1"/>
  <c r="Z745" i="1" s="1"/>
  <c r="Y745" i="1"/>
  <c r="O1018" i="6"/>
  <c r="AL1099" i="6"/>
  <c r="AN1099" i="6" s="1"/>
  <c r="AP1099" i="6" s="1"/>
  <c r="X788" i="1"/>
  <c r="X1039" i="6"/>
  <c r="X1041" i="6" s="1"/>
  <c r="AA786" i="1"/>
  <c r="X1066" i="6"/>
  <c r="AA810" i="1"/>
  <c r="AA1066" i="6" s="1"/>
  <c r="N821" i="1"/>
  <c r="AA816" i="1"/>
  <c r="N1070" i="6"/>
  <c r="N1076" i="6" s="1"/>
  <c r="AB816" i="1"/>
  <c r="AB826" i="1"/>
  <c r="X1086" i="6"/>
  <c r="X1088" i="6" s="1"/>
  <c r="AA826" i="1"/>
  <c r="X828" i="1"/>
  <c r="X1092" i="6"/>
  <c r="AA832" i="1"/>
  <c r="AA1092" i="6" s="1"/>
  <c r="AB832" i="1"/>
  <c r="AB1092" i="6" s="1"/>
  <c r="X836" i="1"/>
  <c r="X1094" i="6"/>
  <c r="AB834" i="1"/>
  <c r="AB1094" i="6" s="1"/>
  <c r="AA834" i="1"/>
  <c r="AA1094" i="6" s="1"/>
  <c r="AB864" i="1"/>
  <c r="AA864" i="1"/>
  <c r="N1127" i="6"/>
  <c r="N1131" i="6" s="1"/>
  <c r="N1168" i="6" s="1"/>
  <c r="N1625" i="6" s="1"/>
  <c r="N868" i="1"/>
  <c r="N899" i="1" s="1"/>
  <c r="N1263" i="1" s="1"/>
  <c r="AB865" i="1"/>
  <c r="AB1128" i="6" s="1"/>
  <c r="X1128" i="6"/>
  <c r="AA865" i="1"/>
  <c r="AA1128" i="6" s="1"/>
  <c r="AJ899" i="1"/>
  <c r="AL892" i="1"/>
  <c r="J1179" i="1"/>
  <c r="O1179" i="1"/>
  <c r="AP897" i="1"/>
  <c r="AQ897" i="1"/>
  <c r="D1203" i="1"/>
  <c r="D1589" i="6"/>
  <c r="R1589" i="6" s="1"/>
  <c r="D1641" i="6"/>
  <c r="R1641" i="6" s="1"/>
  <c r="AQ114" i="1"/>
  <c r="AB250" i="6"/>
  <c r="I1207" i="1"/>
  <c r="I1580" i="6" s="1"/>
  <c r="N1207" i="1"/>
  <c r="AN846" i="1"/>
  <c r="AQ837" i="1"/>
  <c r="AA1253" i="6"/>
  <c r="AA1255" i="6" s="1"/>
  <c r="AA961" i="1"/>
  <c r="AA572" i="6"/>
  <c r="Z23" i="1"/>
  <c r="Z27" i="1" s="1"/>
  <c r="Y27" i="1"/>
  <c r="Z31" i="1"/>
  <c r="Z39" i="1" s="1"/>
  <c r="Y39" i="1"/>
  <c r="S1245" i="1"/>
  <c r="S1275" i="1" s="1"/>
  <c r="S1156" i="1"/>
  <c r="X76" i="6"/>
  <c r="AA55" i="1"/>
  <c r="AA76" i="6" s="1"/>
  <c r="AB55" i="1"/>
  <c r="AB76" i="6" s="1"/>
  <c r="X60" i="1"/>
  <c r="N85" i="6"/>
  <c r="N93" i="6" s="1"/>
  <c r="N72" i="1"/>
  <c r="AA64" i="1"/>
  <c r="AA85" i="6" s="1"/>
  <c r="AB64" i="1"/>
  <c r="AB85" i="6" s="1"/>
  <c r="Z186" i="1"/>
  <c r="Z192" i="1" s="1"/>
  <c r="Y192" i="1"/>
  <c r="X259" i="6"/>
  <c r="X265" i="6" s="1"/>
  <c r="X200" i="1"/>
  <c r="AB195" i="1"/>
  <c r="N272" i="6"/>
  <c r="N289" i="6" s="1"/>
  <c r="N216" i="1"/>
  <c r="AA208" i="1"/>
  <c r="AB208" i="1"/>
  <c r="Y257" i="1"/>
  <c r="X257" i="1"/>
  <c r="R260" i="1"/>
  <c r="R341" i="1" s="1"/>
  <c r="Z286" i="1"/>
  <c r="Z304" i="1"/>
  <c r="Z310" i="1" s="1"/>
  <c r="Y310" i="1"/>
  <c r="Z367" i="1"/>
  <c r="AG441" i="1"/>
  <c r="AE454" i="1"/>
  <c r="X629" i="6"/>
  <c r="X464" i="1"/>
  <c r="AA462" i="1"/>
  <c r="X639" i="6"/>
  <c r="X648" i="6" s="1"/>
  <c r="AB482" i="1"/>
  <c r="AB639" i="6" s="1"/>
  <c r="AA482" i="1"/>
  <c r="AA639" i="6" s="1"/>
  <c r="X487" i="1"/>
  <c r="AG739" i="6"/>
  <c r="E660" i="6"/>
  <c r="X684" i="6"/>
  <c r="X686" i="6" s="1"/>
  <c r="AB519" i="1"/>
  <c r="AB684" i="6" s="1"/>
  <c r="AA519" i="1"/>
  <c r="AA684" i="6" s="1"/>
  <c r="X521" i="1"/>
  <c r="AG656" i="1"/>
  <c r="AF668" i="1"/>
  <c r="AF1156" i="1" s="1"/>
  <c r="F1198" i="1"/>
  <c r="H1198" i="1" s="1"/>
  <c r="Z593" i="1"/>
  <c r="Z596" i="1" s="1"/>
  <c r="Y596" i="1"/>
  <c r="X851" i="6"/>
  <c r="AB640" i="1"/>
  <c r="AA640" i="1"/>
  <c r="X642" i="1"/>
  <c r="X859" i="6"/>
  <c r="X862" i="6" s="1"/>
  <c r="X649" i="1"/>
  <c r="AB646" i="1"/>
  <c r="AB859" i="6" s="1"/>
  <c r="AA646" i="1"/>
  <c r="AA859" i="6" s="1"/>
  <c r="X868" i="6"/>
  <c r="X877" i="6" s="1"/>
  <c r="AA653" i="1"/>
  <c r="AB653" i="1"/>
  <c r="X660" i="1"/>
  <c r="AL983" i="6"/>
  <c r="AN983" i="6" s="1"/>
  <c r="AP983" i="6" s="1"/>
  <c r="O921" i="6"/>
  <c r="X935" i="6"/>
  <c r="AA707" i="1"/>
  <c r="AB707" i="1"/>
  <c r="N1061" i="6"/>
  <c r="N1068" i="6" s="1"/>
  <c r="N812" i="1"/>
  <c r="AB806" i="1"/>
  <c r="AA806" i="1"/>
  <c r="X1062" i="6"/>
  <c r="AB807" i="1"/>
  <c r="AB1062" i="6" s="1"/>
  <c r="AA807" i="1"/>
  <c r="AA1062" i="6" s="1"/>
  <c r="X812" i="1"/>
  <c r="N1090" i="6"/>
  <c r="N1096" i="6" s="1"/>
  <c r="N836" i="1"/>
  <c r="AA830" i="1"/>
  <c r="AB830" i="1"/>
  <c r="AG1158" i="6"/>
  <c r="E1123" i="6"/>
  <c r="E1168" i="6" s="1"/>
  <c r="E1625" i="6" s="1"/>
  <c r="X1118" i="6"/>
  <c r="AA856" i="1"/>
  <c r="AA1118" i="6" s="1"/>
  <c r="AB856" i="1"/>
  <c r="AB1118" i="6" s="1"/>
  <c r="X860" i="1"/>
  <c r="X1127" i="6"/>
  <c r="X868" i="1"/>
  <c r="X1129" i="6"/>
  <c r="AA866" i="1"/>
  <c r="AA1129" i="6" s="1"/>
  <c r="AB866" i="1"/>
  <c r="AB1129" i="6" s="1"/>
  <c r="X1162" i="6"/>
  <c r="X1165" i="6" s="1"/>
  <c r="AA893" i="1"/>
  <c r="AB893" i="1"/>
  <c r="X896" i="1"/>
  <c r="Y1210" i="6"/>
  <c r="H1215" i="6"/>
  <c r="H1277" i="6" s="1"/>
  <c r="H1627" i="6" s="1"/>
  <c r="AQ749" i="1"/>
  <c r="I1196" i="1"/>
  <c r="I1568" i="6" s="1"/>
  <c r="AB978" i="1"/>
  <c r="AB1282" i="6"/>
  <c r="AB1293" i="6" s="1"/>
  <c r="AB1384" i="6"/>
  <c r="AB1387" i="6" s="1"/>
  <c r="AB1045" i="1"/>
  <c r="AA1450" i="6"/>
  <c r="AA1452" i="6" s="1"/>
  <c r="AA1100" i="1"/>
  <c r="AA1515" i="6"/>
  <c r="AA1517" i="6" s="1"/>
  <c r="AA1151" i="1"/>
  <c r="AA1494" i="6"/>
  <c r="AA1503" i="6" s="1"/>
  <c r="AA1142" i="1"/>
  <c r="L1555" i="6"/>
  <c r="AP323" i="1"/>
  <c r="AB1007" i="6"/>
  <c r="AB1010" i="6" s="1"/>
  <c r="AB765" i="1"/>
  <c r="AB1236" i="6"/>
  <c r="AI969" i="1"/>
  <c r="AB1301" i="6"/>
  <c r="AB1311" i="6" s="1"/>
  <c r="AB987" i="1"/>
  <c r="AB1313" i="6"/>
  <c r="AB1323" i="6" s="1"/>
  <c r="AQ1013" i="1"/>
  <c r="X1358" i="6"/>
  <c r="X1022" i="1"/>
  <c r="X1024" i="1" s="1"/>
  <c r="X1267" i="1" s="1"/>
  <c r="AB1020" i="1"/>
  <c r="AB1358" i="6" s="1"/>
  <c r="AA1020" i="1"/>
  <c r="AB1391" i="6"/>
  <c r="AB1393" i="6" s="1"/>
  <c r="AB1051" i="1"/>
  <c r="X1584" i="6"/>
  <c r="AB1584" i="6" s="1"/>
  <c r="AB1211" i="1"/>
  <c r="AB1460" i="6"/>
  <c r="AB1463" i="6" s="1"/>
  <c r="AB1109" i="1"/>
  <c r="AB1514" i="6"/>
  <c r="AB1517" i="6" s="1"/>
  <c r="AB1151" i="1"/>
  <c r="N1425" i="6"/>
  <c r="N1631" i="6" s="1"/>
  <c r="T1519" i="6"/>
  <c r="T1635" i="6" s="1"/>
  <c r="S994" i="6"/>
  <c r="S1621" i="6" s="1"/>
  <c r="O889" i="6"/>
  <c r="O1619" i="6" s="1"/>
  <c r="H1425" i="6"/>
  <c r="H1631" i="6" s="1"/>
  <c r="S758" i="6"/>
  <c r="S1617" i="6" s="1"/>
  <c r="T889" i="6"/>
  <c r="T1619" i="6" s="1"/>
  <c r="AI1412" i="6"/>
  <c r="D96" i="6"/>
  <c r="Z377" i="6"/>
  <c r="Z383" i="6" s="1"/>
  <c r="AM888" i="6"/>
  <c r="AO1361" i="6"/>
  <c r="L267" i="6"/>
  <c r="L1611" i="6" s="1"/>
  <c r="AJ993" i="6"/>
  <c r="E1554" i="6"/>
  <c r="AG1519" i="6"/>
  <c r="AB144" i="3"/>
  <c r="AB153" i="3" s="1"/>
  <c r="AA244" i="3"/>
  <c r="AA217" i="3"/>
  <c r="X529" i="3"/>
  <c r="AB181" i="3"/>
  <c r="AA900" i="3"/>
  <c r="AB527" i="3"/>
  <c r="T96" i="6"/>
  <c r="T1607" i="6" s="1"/>
  <c r="AA290" i="3"/>
  <c r="H323" i="3"/>
  <c r="H1202" i="3" s="1"/>
  <c r="AB526" i="3"/>
  <c r="AB677" i="3"/>
  <c r="N805" i="3"/>
  <c r="N1212" i="3" s="1"/>
  <c r="AB1047" i="3"/>
  <c r="D619" i="6"/>
  <c r="D1615" i="6" s="1"/>
  <c r="U758" i="6"/>
  <c r="U1617" i="6" s="1"/>
  <c r="J1168" i="6"/>
  <c r="J1625" i="6" s="1"/>
  <c r="I1277" i="6"/>
  <c r="I1627" i="6" s="1"/>
  <c r="AB779" i="3"/>
  <c r="AB781" i="3" s="1"/>
  <c r="Y1151" i="1"/>
  <c r="AQ898" i="1"/>
  <c r="Z235" i="1"/>
  <c r="Z237" i="1" s="1"/>
  <c r="H754" i="1"/>
  <c r="H1259" i="1" s="1"/>
  <c r="AB786" i="1"/>
  <c r="AB445" i="1"/>
  <c r="AB606" i="6" s="1"/>
  <c r="N1024" i="1"/>
  <c r="N1267" i="1" s="1"/>
  <c r="AO1072" i="1"/>
  <c r="AP1072" i="1" s="1"/>
  <c r="AQ1015" i="1"/>
  <c r="V1196" i="1"/>
  <c r="Y974" i="3"/>
  <c r="Z336" i="3"/>
  <c r="N1311" i="6"/>
  <c r="AB1012" i="1"/>
  <c r="AO1022" i="1"/>
  <c r="AP1022" i="1" s="1"/>
  <c r="AB425" i="3"/>
  <c r="AA425" i="3"/>
  <c r="AH266" i="6"/>
  <c r="F1559" i="6" s="1"/>
  <c r="AH1276" i="6"/>
  <c r="L1200" i="3"/>
  <c r="L1226" i="3" s="1"/>
  <c r="L1106" i="3"/>
  <c r="Z158" i="3"/>
  <c r="Z162" i="3" s="1"/>
  <c r="Y162" i="3"/>
  <c r="Z674" i="3"/>
  <c r="Z677" i="3" s="1"/>
  <c r="Y677" i="3"/>
  <c r="Z64" i="3"/>
  <c r="Z67" i="3" s="1"/>
  <c r="Z69" i="3" s="1"/>
  <c r="Y67" i="3"/>
  <c r="Y69" i="3" s="1"/>
  <c r="AB184" i="3"/>
  <c r="AB187" i="3" s="1"/>
  <c r="N187" i="3"/>
  <c r="AA207" i="3"/>
  <c r="AA212" i="3" s="1"/>
  <c r="AB207" i="3"/>
  <c r="AB212" i="3" s="1"/>
  <c r="N212" i="3"/>
  <c r="AB215" i="3"/>
  <c r="AB223" i="3" s="1"/>
  <c r="AA215" i="3"/>
  <c r="N223" i="3"/>
  <c r="Z217" i="3"/>
  <c r="Z223" i="3" s="1"/>
  <c r="Y223" i="3"/>
  <c r="X231" i="3"/>
  <c r="R234" i="3"/>
  <c r="Y231" i="3"/>
  <c r="Z231" i="3" s="1"/>
  <c r="Z234" i="3" s="1"/>
  <c r="L1134" i="3"/>
  <c r="L1164" i="3" s="1"/>
  <c r="AH1106" i="3"/>
  <c r="AI63" i="3"/>
  <c r="AO63" i="3"/>
  <c r="AP63" i="3" s="1"/>
  <c r="H1154" i="3"/>
  <c r="Y1154" i="3" s="1"/>
  <c r="Z1154" i="3" s="1"/>
  <c r="F1198" i="3"/>
  <c r="F1226" i="3" s="1"/>
  <c r="F1106" i="3"/>
  <c r="Z87" i="3"/>
  <c r="Z93" i="3" s="1"/>
  <c r="Y93" i="3"/>
  <c r="AQ115" i="3"/>
  <c r="I1148" i="3"/>
  <c r="N1148" i="3"/>
  <c r="K1200" i="3"/>
  <c r="K1226" i="3" s="1"/>
  <c r="K1106" i="3"/>
  <c r="U1200" i="3"/>
  <c r="U1226" i="3" s="1"/>
  <c r="U1106" i="3"/>
  <c r="AP182" i="3"/>
  <c r="Z200" i="3"/>
  <c r="Z202" i="3" s="1"/>
  <c r="Y202" i="3"/>
  <c r="AB239" i="3"/>
  <c r="AB244" i="3" s="1"/>
  <c r="AA239" i="3"/>
  <c r="X244" i="3"/>
  <c r="Z268" i="3"/>
  <c r="Z274" i="3" s="1"/>
  <c r="Y274" i="3"/>
  <c r="AB272" i="3"/>
  <c r="AA272" i="3"/>
  <c r="AA274" i="3" s="1"/>
  <c r="X274" i="3"/>
  <c r="AB308" i="3"/>
  <c r="AA308" i="3"/>
  <c r="AB384" i="3"/>
  <c r="AB386" i="3" s="1"/>
  <c r="N386" i="3"/>
  <c r="N432" i="3" s="1"/>
  <c r="N1204" i="3" s="1"/>
  <c r="AA384" i="3"/>
  <c r="AA386" i="3" s="1"/>
  <c r="AA480" i="3"/>
  <c r="AA484" i="3" s="1"/>
  <c r="X484" i="3"/>
  <c r="R522" i="3"/>
  <c r="R549" i="3" s="1"/>
  <c r="R1206" i="3" s="1"/>
  <c r="X520" i="3"/>
  <c r="Y520" i="3"/>
  <c r="X560" i="3"/>
  <c r="AA556" i="3"/>
  <c r="AA560" i="3" s="1"/>
  <c r="AB556" i="3"/>
  <c r="AB560" i="3" s="1"/>
  <c r="AB570" i="3"/>
  <c r="AB575" i="3" s="1"/>
  <c r="X575" i="3"/>
  <c r="Z629" i="3"/>
  <c r="Z631" i="3" s="1"/>
  <c r="Y631" i="3"/>
  <c r="AB105" i="3"/>
  <c r="AA105" i="3"/>
  <c r="AA108" i="3" s="1"/>
  <c r="AA119" i="3" s="1"/>
  <c r="AA1198" i="3" s="1"/>
  <c r="AJ189" i="3"/>
  <c r="AL183" i="3"/>
  <c r="O1155" i="3"/>
  <c r="J1155" i="3"/>
  <c r="AP712" i="3"/>
  <c r="AA895" i="3"/>
  <c r="X900" i="3"/>
  <c r="X923" i="3"/>
  <c r="AB920" i="3"/>
  <c r="AB923" i="3" s="1"/>
  <c r="AA920" i="3"/>
  <c r="AA923" i="3" s="1"/>
  <c r="AL975" i="3"/>
  <c r="O1156" i="3"/>
  <c r="J1156" i="3"/>
  <c r="AQ1024" i="3"/>
  <c r="AD1026" i="3"/>
  <c r="D1137" i="3"/>
  <c r="AP1024" i="3"/>
  <c r="Z1038" i="3"/>
  <c r="Z1042" i="3" s="1"/>
  <c r="Y1042" i="3"/>
  <c r="AA1056" i="3"/>
  <c r="X1059" i="3"/>
  <c r="AQ1102" i="3"/>
  <c r="AP1102" i="3"/>
  <c r="AD1104" i="3"/>
  <c r="D1155" i="3"/>
  <c r="H1136" i="3"/>
  <c r="F1164" i="3"/>
  <c r="AN81" i="6"/>
  <c r="AL95" i="6"/>
  <c r="AL455" i="6"/>
  <c r="AN438" i="6"/>
  <c r="AP438" i="6" s="1"/>
  <c r="Z286" i="3"/>
  <c r="Z293" i="3" s="1"/>
  <c r="Y293" i="3"/>
  <c r="AQ313" i="3"/>
  <c r="I1158" i="3"/>
  <c r="N1158" i="3"/>
  <c r="AB1158" i="3" s="1"/>
  <c r="AQ322" i="3"/>
  <c r="AB376" i="3"/>
  <c r="AB379" i="3" s="1"/>
  <c r="AA376" i="3"/>
  <c r="AA379" i="3" s="1"/>
  <c r="X379" i="3"/>
  <c r="AQ632" i="3"/>
  <c r="I1147" i="3"/>
  <c r="N1147" i="3"/>
  <c r="AB1147" i="3" s="1"/>
  <c r="Z304" i="3"/>
  <c r="Z312" i="3" s="1"/>
  <c r="Y312" i="3"/>
  <c r="AA305" i="3"/>
  <c r="N312" i="3"/>
  <c r="AB305" i="3"/>
  <c r="AQ420" i="3"/>
  <c r="AI432" i="3"/>
  <c r="Z460" i="3"/>
  <c r="Z465" i="3" s="1"/>
  <c r="Y465" i="3"/>
  <c r="Z500" i="3"/>
  <c r="Z505" i="3" s="1"/>
  <c r="Y505" i="3"/>
  <c r="AQ620" i="3"/>
  <c r="AI633" i="3"/>
  <c r="AQ881" i="6"/>
  <c r="AR881" i="6" s="1"/>
  <c r="AK881" i="6"/>
  <c r="AS878" i="6" s="1"/>
  <c r="AP1518" i="6"/>
  <c r="AS1517" i="6" s="1"/>
  <c r="AQ1518" i="6"/>
  <c r="AR1518" i="6" s="1"/>
  <c r="AQ971" i="3"/>
  <c r="AI1026" i="3"/>
  <c r="N1137" i="3"/>
  <c r="AP1105" i="6"/>
  <c r="AS1104" i="6" s="1"/>
  <c r="AQ1105" i="6"/>
  <c r="AR1105" i="6" s="1"/>
  <c r="AP1256" i="6"/>
  <c r="AS1255" i="6" s="1"/>
  <c r="AQ1256" i="6"/>
  <c r="AR1256" i="6" s="1"/>
  <c r="Z1379" i="6"/>
  <c r="Z1387" i="6" s="1"/>
  <c r="Y1387" i="6"/>
  <c r="AP801" i="3"/>
  <c r="AP805" i="3" s="1"/>
  <c r="AO805" i="3"/>
  <c r="AP915" i="3"/>
  <c r="Z1055" i="3"/>
  <c r="Z1059" i="3" s="1"/>
  <c r="Y1059" i="3"/>
  <c r="Z1077" i="3"/>
  <c r="Z1082" i="3" s="1"/>
  <c r="Y1082" i="3"/>
  <c r="AB21" i="6"/>
  <c r="AQ68" i="1"/>
  <c r="AI75" i="1"/>
  <c r="U1245" i="1"/>
  <c r="U1275" i="1" s="1"/>
  <c r="U1156" i="1"/>
  <c r="J1247" i="1"/>
  <c r="J1275" i="1" s="1"/>
  <c r="J1156" i="1"/>
  <c r="AN120" i="1"/>
  <c r="AQ120" i="1" s="1"/>
  <c r="AL127" i="1"/>
  <c r="AL62" i="1"/>
  <c r="O1193" i="1"/>
  <c r="O1564" i="6" s="1"/>
  <c r="AJ75" i="1"/>
  <c r="AL82" i="6"/>
  <c r="AN82" i="6" s="1"/>
  <c r="O81" i="6"/>
  <c r="O96" i="6" s="1"/>
  <c r="O1607" i="6" s="1"/>
  <c r="X112" i="6"/>
  <c r="AB92" i="1"/>
  <c r="AA92" i="1"/>
  <c r="X99" i="1"/>
  <c r="X114" i="6"/>
  <c r="AB94" i="1"/>
  <c r="AB114" i="6" s="1"/>
  <c r="AA94" i="1"/>
  <c r="AA114" i="6" s="1"/>
  <c r="V1247" i="1"/>
  <c r="V1156" i="1"/>
  <c r="I1197" i="1"/>
  <c r="I1569" i="6" s="1"/>
  <c r="AQ126" i="1"/>
  <c r="N1197" i="1"/>
  <c r="X218" i="6"/>
  <c r="X220" i="6" s="1"/>
  <c r="AB160" i="1"/>
  <c r="X162" i="1"/>
  <c r="AD202" i="1"/>
  <c r="D1198" i="1"/>
  <c r="Z177" i="1"/>
  <c r="Z183" i="1" s="1"/>
  <c r="Y183" i="1"/>
  <c r="AI193" i="1"/>
  <c r="AO193" i="1"/>
  <c r="AP193" i="1" s="1"/>
  <c r="AG202" i="1"/>
  <c r="X285" i="6"/>
  <c r="AB212" i="1"/>
  <c r="AB285" i="6" s="1"/>
  <c r="AA212" i="1"/>
  <c r="AA285" i="6" s="1"/>
  <c r="X216" i="1"/>
  <c r="Y287" i="6"/>
  <c r="Z214" i="1"/>
  <c r="Z216" i="1" s="1"/>
  <c r="Y216" i="1"/>
  <c r="X295" i="6"/>
  <c r="AA222" i="1"/>
  <c r="AA295" i="6" s="1"/>
  <c r="AB222" i="1"/>
  <c r="AB295" i="6" s="1"/>
  <c r="X226" i="1"/>
  <c r="AB378" i="6"/>
  <c r="Z315" i="1"/>
  <c r="Z318" i="1" s="1"/>
  <c r="Y318" i="1"/>
  <c r="AD341" i="1"/>
  <c r="D1192" i="1"/>
  <c r="V1251" i="1"/>
  <c r="Z347" i="1"/>
  <c r="Z354" i="1" s="1"/>
  <c r="Y354" i="1"/>
  <c r="R372" i="1"/>
  <c r="R454" i="1" s="1"/>
  <c r="R1253" i="1" s="1"/>
  <c r="Y368" i="1"/>
  <c r="Z368" i="1" s="1"/>
  <c r="X368" i="1"/>
  <c r="H390" i="1"/>
  <c r="H454" i="1" s="1"/>
  <c r="H1253" i="1" s="1"/>
  <c r="Y384" i="1"/>
  <c r="N384" i="1"/>
  <c r="AA398" i="1"/>
  <c r="AA541" i="6" s="1"/>
  <c r="AB398" i="1"/>
  <c r="AB541" i="6" s="1"/>
  <c r="X541" i="6"/>
  <c r="X543" i="6" s="1"/>
  <c r="X400" i="1"/>
  <c r="Z410" i="1"/>
  <c r="Z415" i="1" s="1"/>
  <c r="Y415" i="1"/>
  <c r="X491" i="1"/>
  <c r="Y491" i="1"/>
  <c r="R498" i="1"/>
  <c r="Z504" i="1"/>
  <c r="Z508" i="1" s="1"/>
  <c r="Y508" i="1"/>
  <c r="I1193" i="1"/>
  <c r="I1564" i="6" s="1"/>
  <c r="AQ572" i="1"/>
  <c r="I1200" i="1"/>
  <c r="I1573" i="6" s="1"/>
  <c r="N1200" i="1"/>
  <c r="X601" i="1"/>
  <c r="Y601" i="1"/>
  <c r="Z601" i="1" s="1"/>
  <c r="R606" i="1"/>
  <c r="R668" i="1" s="1"/>
  <c r="R1257" i="1" s="1"/>
  <c r="N832" i="6"/>
  <c r="N839" i="6" s="1"/>
  <c r="AB626" i="1"/>
  <c r="AA626" i="1"/>
  <c r="N631" i="1"/>
  <c r="Y649" i="1"/>
  <c r="Z644" i="1"/>
  <c r="Z649" i="1" s="1"/>
  <c r="AN652" i="1"/>
  <c r="R1194" i="1"/>
  <c r="X1194" i="1" s="1"/>
  <c r="X1566" i="6" s="1"/>
  <c r="AL668" i="1"/>
  <c r="AO652" i="1"/>
  <c r="H1208" i="1"/>
  <c r="Y1208" i="1" s="1"/>
  <c r="Z1208" i="1" s="1"/>
  <c r="AI662" i="1"/>
  <c r="AO662" i="1"/>
  <c r="AP662" i="1" s="1"/>
  <c r="Y683" i="1"/>
  <c r="Z683" i="1" s="1"/>
  <c r="R686" i="1"/>
  <c r="X683" i="1"/>
  <c r="Z760" i="1"/>
  <c r="Z765" i="1" s="1"/>
  <c r="Y765" i="1"/>
  <c r="Z783" i="1"/>
  <c r="Z788" i="1" s="1"/>
  <c r="Y788" i="1"/>
  <c r="AA791" i="1"/>
  <c r="X1044" i="6"/>
  <c r="Z823" i="1"/>
  <c r="Z828" i="1" s="1"/>
  <c r="Y828" i="1"/>
  <c r="AI838" i="1"/>
  <c r="AO838" i="1"/>
  <c r="AG846" i="1"/>
  <c r="AA1104" i="6"/>
  <c r="AA1106" i="6" s="1"/>
  <c r="AA844" i="1"/>
  <c r="Z874" i="1"/>
  <c r="Z877" i="1" s="1"/>
  <c r="Y877" i="1"/>
  <c r="AI894" i="1"/>
  <c r="AO894" i="1"/>
  <c r="AP894" i="1" s="1"/>
  <c r="H1201" i="1"/>
  <c r="AG899" i="1"/>
  <c r="Z929" i="1"/>
  <c r="Z934" i="1" s="1"/>
  <c r="Y934" i="1"/>
  <c r="O1275" i="6"/>
  <c r="O1277" i="6" s="1"/>
  <c r="O1627" i="6" s="1"/>
  <c r="AL1247" i="6"/>
  <c r="AN1023" i="1"/>
  <c r="AQ1023" i="1" s="1"/>
  <c r="AO1023" i="1"/>
  <c r="AP1023" i="1" s="1"/>
  <c r="K1561" i="6"/>
  <c r="K1586" i="6" s="1"/>
  <c r="K1213" i="1"/>
  <c r="X1191" i="1"/>
  <c r="X1241" i="6"/>
  <c r="X1244" i="6" s="1"/>
  <c r="X953" i="1"/>
  <c r="AB950" i="1"/>
  <c r="AB1241" i="6" s="1"/>
  <c r="AA950" i="1"/>
  <c r="Z1000" i="1"/>
  <c r="Z1002" i="1" s="1"/>
  <c r="Y1002" i="1"/>
  <c r="AB1116" i="6"/>
  <c r="Y1197" i="1"/>
  <c r="Z1197" i="1" s="1"/>
  <c r="X1197" i="1"/>
  <c r="X1569" i="6" s="1"/>
  <c r="AB1354" i="6"/>
  <c r="AP1013" i="1"/>
  <c r="AB360" i="6"/>
  <c r="AB364" i="6" s="1"/>
  <c r="AB276" i="1"/>
  <c r="Z63" i="1"/>
  <c r="Z72" i="1" s="1"/>
  <c r="Z75" i="1" s="1"/>
  <c r="Y72" i="1"/>
  <c r="X160" i="6"/>
  <c r="X162" i="6" s="1"/>
  <c r="AB123" i="1"/>
  <c r="X125" i="1"/>
  <c r="Z134" i="1"/>
  <c r="Z140" i="1" s="1"/>
  <c r="Y140" i="1"/>
  <c r="Z144" i="1"/>
  <c r="Z150" i="1" s="1"/>
  <c r="Y150" i="1"/>
  <c r="AP338" i="1"/>
  <c r="D1204" i="1"/>
  <c r="AG327" i="1"/>
  <c r="E1179" i="1"/>
  <c r="E329" i="6"/>
  <c r="E456" i="6" s="1"/>
  <c r="E1613" i="6" s="1"/>
  <c r="AG439" i="6"/>
  <c r="AI439" i="6" s="1"/>
  <c r="AK439" i="6" s="1"/>
  <c r="X324" i="6"/>
  <c r="AA243" i="1"/>
  <c r="AB243" i="1"/>
  <c r="X248" i="1"/>
  <c r="X325" i="6"/>
  <c r="AA244" i="1"/>
  <c r="AA325" i="6" s="1"/>
  <c r="AB244" i="1"/>
  <c r="AB325" i="6" s="1"/>
  <c r="AA294" i="1"/>
  <c r="X299" i="1"/>
  <c r="X399" i="6"/>
  <c r="AB294" i="1"/>
  <c r="AA296" i="1"/>
  <c r="AA401" i="6" s="1"/>
  <c r="X401" i="6"/>
  <c r="X421" i="6"/>
  <c r="X426" i="6" s="1"/>
  <c r="X318" i="1"/>
  <c r="AA313" i="1"/>
  <c r="AB313" i="1"/>
  <c r="Z324" i="1"/>
  <c r="Z330" i="1" s="1"/>
  <c r="Y330" i="1"/>
  <c r="X446" i="6"/>
  <c r="AB333" i="1"/>
  <c r="AA333" i="1"/>
  <c r="X339" i="1"/>
  <c r="AQ334" i="1"/>
  <c r="N1187" i="1"/>
  <c r="I1184" i="1"/>
  <c r="I1554" i="6" s="1"/>
  <c r="X448" i="6"/>
  <c r="AB335" i="1"/>
  <c r="AB448" i="6" s="1"/>
  <c r="AA335" i="1"/>
  <c r="AA448" i="6" s="1"/>
  <c r="X465" i="6"/>
  <c r="AB349" i="1"/>
  <c r="AA349" i="1"/>
  <c r="X354" i="1"/>
  <c r="X473" i="6"/>
  <c r="AB352" i="1"/>
  <c r="AB473" i="6" s="1"/>
  <c r="AA352" i="1"/>
  <c r="AA473" i="6" s="1"/>
  <c r="X523" i="6"/>
  <c r="AB386" i="1"/>
  <c r="AB523" i="6" s="1"/>
  <c r="AA386" i="1"/>
  <c r="AA523" i="6" s="1"/>
  <c r="Z429" i="1"/>
  <c r="Z431" i="1" s="1"/>
  <c r="Y431" i="1"/>
  <c r="E686" i="6"/>
  <c r="AG741" i="6"/>
  <c r="AI741" i="6" s="1"/>
  <c r="X703" i="6"/>
  <c r="AB534" i="1"/>
  <c r="AA534" i="1"/>
  <c r="X539" i="1"/>
  <c r="X711" i="6"/>
  <c r="AB542" i="1"/>
  <c r="X548" i="1"/>
  <c r="AA542" i="1"/>
  <c r="R555" i="1"/>
  <c r="X551" i="1"/>
  <c r="Y551" i="1"/>
  <c r="Z582" i="1"/>
  <c r="N784" i="6"/>
  <c r="N790" i="6" s="1"/>
  <c r="N596" i="1"/>
  <c r="AB592" i="1"/>
  <c r="AA592" i="1"/>
  <c r="Z620" i="1"/>
  <c r="Z623" i="1" s="1"/>
  <c r="Y623" i="1"/>
  <c r="Z681" i="1"/>
  <c r="Z686" i="1" s="1"/>
  <c r="AG746" i="1"/>
  <c r="E1180" i="1"/>
  <c r="AE754" i="1"/>
  <c r="E974" i="6"/>
  <c r="E994" i="6" s="1"/>
  <c r="E1621" i="6" s="1"/>
  <c r="AG982" i="6"/>
  <c r="AA743" i="1"/>
  <c r="X980" i="6"/>
  <c r="X982" i="6" s="1"/>
  <c r="X745" i="1"/>
  <c r="X770" i="1"/>
  <c r="Y770" i="1"/>
  <c r="R773" i="1"/>
  <c r="Z816" i="1"/>
  <c r="Z821" i="1" s="1"/>
  <c r="Y821" i="1"/>
  <c r="Z832" i="1"/>
  <c r="Z836" i="1" s="1"/>
  <c r="Y836" i="1"/>
  <c r="AQ893" i="1"/>
  <c r="AP893" i="1"/>
  <c r="AL1160" i="6"/>
  <c r="O1165" i="6"/>
  <c r="O1168" i="6" s="1"/>
  <c r="O1625" i="6" s="1"/>
  <c r="D1249" i="1"/>
  <c r="D1275" i="1" s="1"/>
  <c r="D1156" i="1"/>
  <c r="D1180" i="1"/>
  <c r="AP328" i="1"/>
  <c r="AQ328" i="1"/>
  <c r="I1204" i="1"/>
  <c r="I1577" i="6" s="1"/>
  <c r="AB1057" i="6"/>
  <c r="AB1059" i="6" s="1"/>
  <c r="AB804" i="1"/>
  <c r="AA360" i="6"/>
  <c r="AA364" i="6" s="1"/>
  <c r="AA276" i="1"/>
  <c r="X21" i="6"/>
  <c r="X25" i="6" s="1"/>
  <c r="AA23" i="1"/>
  <c r="X27" i="1"/>
  <c r="X32" i="6"/>
  <c r="AB31" i="1"/>
  <c r="AA31" i="1"/>
  <c r="X39" i="1"/>
  <c r="N60" i="6"/>
  <c r="N60" i="1"/>
  <c r="AB51" i="1"/>
  <c r="AA51" i="1"/>
  <c r="N69" i="6"/>
  <c r="AB53" i="1"/>
  <c r="AB69" i="6" s="1"/>
  <c r="AA53" i="1"/>
  <c r="AA69" i="6" s="1"/>
  <c r="X127" i="6"/>
  <c r="X129" i="6" s="1"/>
  <c r="X107" i="1"/>
  <c r="AB105" i="1"/>
  <c r="AA105" i="1"/>
  <c r="X181" i="6"/>
  <c r="AB138" i="1"/>
  <c r="AB181" i="6" s="1"/>
  <c r="X250" i="6"/>
  <c r="X192" i="1"/>
  <c r="Z195" i="1"/>
  <c r="Z200" i="1" s="1"/>
  <c r="Y200" i="1"/>
  <c r="AB220" i="1"/>
  <c r="N293" i="6"/>
  <c r="N299" i="6" s="1"/>
  <c r="AA220" i="1"/>
  <c r="N226" i="1"/>
  <c r="X378" i="6"/>
  <c r="AA286" i="1"/>
  <c r="X291" i="1"/>
  <c r="X410" i="6"/>
  <c r="X417" i="6" s="1"/>
  <c r="AA304" i="1"/>
  <c r="AB304" i="1"/>
  <c r="X310" i="1"/>
  <c r="X452" i="6"/>
  <c r="AB337" i="1"/>
  <c r="AB452" i="6" s="1"/>
  <c r="AA337" i="1"/>
  <c r="AA452" i="6" s="1"/>
  <c r="X493" i="6"/>
  <c r="X372" i="1"/>
  <c r="AA367" i="1"/>
  <c r="AB367" i="1"/>
  <c r="E528" i="6"/>
  <c r="E619" i="6" s="1"/>
  <c r="E1615" i="6" s="1"/>
  <c r="AG601" i="6"/>
  <c r="AI601" i="6" s="1"/>
  <c r="AK601" i="6" s="1"/>
  <c r="X525" i="6"/>
  <c r="AB387" i="1"/>
  <c r="AB525" i="6" s="1"/>
  <c r="AA387" i="1"/>
  <c r="AA525" i="6" s="1"/>
  <c r="AB393" i="1"/>
  <c r="N531" i="6"/>
  <c r="N543" i="6" s="1"/>
  <c r="N400" i="1"/>
  <c r="AA393" i="1"/>
  <c r="X555" i="6"/>
  <c r="X564" i="6" s="1"/>
  <c r="AB410" i="1"/>
  <c r="X415" i="1"/>
  <c r="AA410" i="1"/>
  <c r="X592" i="6"/>
  <c r="X599" i="6" s="1"/>
  <c r="X438" i="1"/>
  <c r="AA434" i="1"/>
  <c r="AB434" i="1"/>
  <c r="Z462" i="1"/>
  <c r="Z464" i="1" s="1"/>
  <c r="Y464" i="1"/>
  <c r="Z482" i="1"/>
  <c r="Z487" i="1" s="1"/>
  <c r="Y487" i="1"/>
  <c r="AE576" i="1"/>
  <c r="AG562" i="1"/>
  <c r="Z519" i="1"/>
  <c r="Y684" i="6"/>
  <c r="AL573" i="1"/>
  <c r="O1203" i="1"/>
  <c r="O1576" i="6" s="1"/>
  <c r="X712" i="6"/>
  <c r="AB543" i="1"/>
  <c r="AB712" i="6" s="1"/>
  <c r="AA543" i="1"/>
  <c r="AA712" i="6" s="1"/>
  <c r="F1257" i="1"/>
  <c r="F1275" i="1" s="1"/>
  <c r="F1156" i="1"/>
  <c r="AA593" i="1"/>
  <c r="AA785" i="6" s="1"/>
  <c r="AB593" i="1"/>
  <c r="AB785" i="6" s="1"/>
  <c r="X785" i="6"/>
  <c r="X790" i="6" s="1"/>
  <c r="X596" i="1"/>
  <c r="D1196" i="1"/>
  <c r="AD668" i="1"/>
  <c r="Y851" i="6"/>
  <c r="Y853" i="6" s="1"/>
  <c r="Z640" i="1"/>
  <c r="Y642" i="1"/>
  <c r="Z653" i="1"/>
  <c r="Z660" i="1" s="1"/>
  <c r="Y660" i="1"/>
  <c r="AO751" i="1"/>
  <c r="AP751" i="1" s="1"/>
  <c r="AN751" i="1"/>
  <c r="AQ751" i="1" s="1"/>
  <c r="AL747" i="1"/>
  <c r="AJ754" i="1"/>
  <c r="J1198" i="1" s="1"/>
  <c r="J1570" i="6" s="1"/>
  <c r="Z707" i="1"/>
  <c r="Z712" i="1" s="1"/>
  <c r="Y712" i="1"/>
  <c r="X719" i="1"/>
  <c r="Y719" i="1"/>
  <c r="R721" i="1"/>
  <c r="R754" i="1" s="1"/>
  <c r="R1259" i="1" s="1"/>
  <c r="N749" i="1"/>
  <c r="Y749" i="1"/>
  <c r="X794" i="1"/>
  <c r="Y794" i="1"/>
  <c r="Z794" i="1" s="1"/>
  <c r="R797" i="1"/>
  <c r="Z807" i="1"/>
  <c r="Z812" i="1" s="1"/>
  <c r="Y812" i="1"/>
  <c r="Z856" i="1"/>
  <c r="Z860" i="1" s="1"/>
  <c r="Y860" i="1"/>
  <c r="Y868" i="1"/>
  <c r="Z864" i="1"/>
  <c r="Z868" i="1" s="1"/>
  <c r="AB1450" i="6"/>
  <c r="AB1452" i="6" s="1"/>
  <c r="AB1100" i="1"/>
  <c r="AB1494" i="6"/>
  <c r="AB1503" i="6" s="1"/>
  <c r="AB1142" i="1"/>
  <c r="AP310" i="3"/>
  <c r="AQ125" i="1"/>
  <c r="I1187" i="1"/>
  <c r="I1557" i="6" s="1"/>
  <c r="AQ323" i="1"/>
  <c r="AA1007" i="6"/>
  <c r="AA1010" i="6" s="1"/>
  <c r="AA765" i="1"/>
  <c r="AB961" i="1"/>
  <c r="AB1248" i="6"/>
  <c r="AB1255" i="6" s="1"/>
  <c r="AA1301" i="6"/>
  <c r="AA1311" i="6" s="1"/>
  <c r="AA987" i="1"/>
  <c r="AA1313" i="6"/>
  <c r="AA1323" i="6" s="1"/>
  <c r="AA996" i="1"/>
  <c r="AQ1066" i="1"/>
  <c r="AN1074" i="1"/>
  <c r="AQ1067" i="1"/>
  <c r="AI1074" i="1"/>
  <c r="AP1103" i="1"/>
  <c r="AA1471" i="6"/>
  <c r="AA1481" i="6" s="1"/>
  <c r="AA1124" i="1"/>
  <c r="AB1471" i="6"/>
  <c r="AB1481" i="6" s="1"/>
  <c r="AB1124" i="1"/>
  <c r="AQ321" i="3"/>
  <c r="I994" i="6"/>
  <c r="I1621" i="6" s="1"/>
  <c r="L994" i="6"/>
  <c r="L1621" i="6" s="1"/>
  <c r="I889" i="6"/>
  <c r="I1619" i="6" s="1"/>
  <c r="H1168" i="6"/>
  <c r="H1625" i="6" s="1"/>
  <c r="Y1625" i="6" s="1"/>
  <c r="R96" i="6"/>
  <c r="F456" i="6"/>
  <c r="F1613" i="6" s="1"/>
  <c r="P456" i="6"/>
  <c r="P1613" i="6" s="1"/>
  <c r="V1362" i="6"/>
  <c r="V1629" i="6" s="1"/>
  <c r="U1519" i="6"/>
  <c r="U1635" i="6" s="1"/>
  <c r="E164" i="6"/>
  <c r="E1609" i="6" s="1"/>
  <c r="V994" i="6"/>
  <c r="V1621" i="6" s="1"/>
  <c r="L1108" i="6"/>
  <c r="L1623" i="6" s="1"/>
  <c r="AS988" i="6"/>
  <c r="AG888" i="6"/>
  <c r="E1560" i="6" s="1"/>
  <c r="Y234" i="3"/>
  <c r="R323" i="3"/>
  <c r="R1202" i="3" s="1"/>
  <c r="AF1106" i="3"/>
  <c r="Z175" i="3"/>
  <c r="Z181" i="3" s="1"/>
  <c r="AB139" i="3"/>
  <c r="AB141" i="3" s="1"/>
  <c r="U96" i="6"/>
  <c r="U1607" i="6" s="1"/>
  <c r="AB274" i="3"/>
  <c r="AB290" i="3"/>
  <c r="AB529" i="3"/>
  <c r="AA526" i="3"/>
  <c r="AA529" i="3" s="1"/>
  <c r="AB895" i="3"/>
  <c r="AB900" i="3" s="1"/>
  <c r="AA1042" i="3"/>
  <c r="AB1056" i="3"/>
  <c r="E1108" i="6"/>
  <c r="E1623" i="6" s="1"/>
  <c r="AA727" i="3"/>
  <c r="AB1074" i="3"/>
  <c r="AN873" i="6"/>
  <c r="AA779" i="3"/>
  <c r="AA781" i="3" s="1"/>
  <c r="AQ1421" i="6"/>
  <c r="AR1421" i="6" s="1"/>
  <c r="F1213" i="1"/>
  <c r="H1153" i="1"/>
  <c r="H1273" i="1" s="1"/>
  <c r="O576" i="1"/>
  <c r="O1255" i="1" s="1"/>
  <c r="AN123" i="1"/>
  <c r="AQ123" i="1" s="1"/>
  <c r="AK1156" i="1"/>
  <c r="AB296" i="1"/>
  <c r="AB401" i="6" s="1"/>
  <c r="AL739" i="6"/>
  <c r="H93" i="6"/>
  <c r="H96" i="6" s="1"/>
  <c r="H1607" i="6" s="1"/>
  <c r="AA445" i="1"/>
  <c r="AA606" i="6" s="1"/>
  <c r="Y585" i="1"/>
  <c r="Z585" i="1" s="1"/>
  <c r="E754" i="1"/>
  <c r="E1259" i="1" s="1"/>
  <c r="H846" i="1"/>
  <c r="H1261" i="1" s="1"/>
  <c r="O342" i="6"/>
  <c r="O456" i="6" s="1"/>
  <c r="O1613" i="6" s="1"/>
  <c r="Y1187" i="1"/>
  <c r="Z1187" i="1" s="1"/>
  <c r="AB810" i="1"/>
  <c r="AB1066" i="6" s="1"/>
  <c r="Y1057" i="1"/>
  <c r="Y1075" i="1" s="1"/>
  <c r="Y1269" i="1" s="1"/>
  <c r="AL1074" i="1"/>
  <c r="AI1151" i="1"/>
  <c r="AQ1151" i="1" s="1"/>
  <c r="Z1057" i="1"/>
  <c r="Z1075" i="1" s="1"/>
  <c r="Z1269" i="1" s="1"/>
  <c r="Y896" i="1"/>
  <c r="J1203" i="1"/>
  <c r="J1576" i="6" s="1"/>
  <c r="AQ1072" i="1"/>
  <c r="X1425" i="6"/>
  <c r="X1631" i="6" s="1"/>
  <c r="Z1145" i="1"/>
  <c r="Z1151" i="1" s="1"/>
  <c r="AD899" i="1"/>
  <c r="L1202" i="1"/>
  <c r="L1575" i="6" s="1"/>
  <c r="N131" i="3"/>
  <c r="AQ1022" i="1"/>
  <c r="X425" i="3"/>
  <c r="X403" i="3"/>
  <c r="AG341" i="1"/>
  <c r="Y1182" i="1"/>
  <c r="Z1182" i="1" s="1"/>
  <c r="AI1254" i="6"/>
  <c r="Y60" i="1"/>
  <c r="Y1188" i="1"/>
  <c r="Z1188" i="1" s="1"/>
  <c r="AQ563" i="1"/>
  <c r="Y336" i="3"/>
  <c r="Y107" i="1"/>
  <c r="AH1167" i="6"/>
  <c r="AI1161" i="6"/>
  <c r="Z272" i="6"/>
  <c r="Z289" i="6" s="1"/>
  <c r="Z798" i="6"/>
  <c r="Z804" i="6" s="1"/>
  <c r="Y804" i="6"/>
  <c r="AN1505" i="6"/>
  <c r="AL1519" i="6"/>
  <c r="F1550" i="6"/>
  <c r="AI1099" i="6"/>
  <c r="Z867" i="6"/>
  <c r="Z877" i="6" s="1"/>
  <c r="Y877" i="6"/>
  <c r="AK1410" i="6"/>
  <c r="AJ1423" i="6"/>
  <c r="AO266" i="6"/>
  <c r="Z915" i="6"/>
  <c r="Z921" i="6" s="1"/>
  <c r="Y921" i="6"/>
  <c r="Z832" i="6"/>
  <c r="Z1314" i="6"/>
  <c r="Z1323" i="6" s="1"/>
  <c r="Y1323" i="6"/>
  <c r="Z232" i="6"/>
  <c r="Z235" i="6" s="1"/>
  <c r="Y235" i="6"/>
  <c r="AF1167" i="6"/>
  <c r="AI1348" i="6"/>
  <c r="AH1361" i="6"/>
  <c r="AI93" i="6"/>
  <c r="Z189" i="6"/>
  <c r="Z203" i="6" s="1"/>
  <c r="Y203" i="6"/>
  <c r="AN986" i="6"/>
  <c r="Z1026" i="6"/>
  <c r="Z1030" i="6" s="1"/>
  <c r="Y1030" i="6"/>
  <c r="AN1463" i="6"/>
  <c r="AL1465" i="6"/>
  <c r="AI445" i="6"/>
  <c r="E1555" i="6"/>
  <c r="AO1465" i="6"/>
  <c r="AN141" i="6"/>
  <c r="AL163" i="6"/>
  <c r="AN610" i="6"/>
  <c r="AP610" i="6" s="1"/>
  <c r="AL618" i="6"/>
  <c r="AF455" i="6"/>
  <c r="AI146" i="6"/>
  <c r="E1553" i="6"/>
  <c r="AN1097" i="6"/>
  <c r="Z1408" i="6"/>
  <c r="Z1410" i="6" s="1"/>
  <c r="Y1410" i="6"/>
  <c r="Z1070" i="6"/>
  <c r="Z1076" i="6" s="1"/>
  <c r="Y1076" i="6"/>
  <c r="AJ1167" i="6"/>
  <c r="AI432" i="6"/>
  <c r="AS977" i="6"/>
  <c r="Y1517" i="6"/>
  <c r="Z1513" i="6"/>
  <c r="Z1517" i="6" s="1"/>
  <c r="AK866" i="6"/>
  <c r="AQ866" i="6"/>
  <c r="F1548" i="6"/>
  <c r="F1586" i="6" s="1"/>
  <c r="F1549" i="6"/>
  <c r="AL1361" i="6"/>
  <c r="AH1107" i="6"/>
  <c r="J889" i="6"/>
  <c r="J1619" i="6" s="1"/>
  <c r="AM1276" i="6"/>
  <c r="Z475" i="6"/>
  <c r="F1362" i="6"/>
  <c r="F1629" i="6" s="1"/>
  <c r="AM163" i="6"/>
  <c r="Y1168" i="6"/>
  <c r="H619" i="6"/>
  <c r="H1615" i="6" s="1"/>
  <c r="L96" i="6"/>
  <c r="AO888" i="6"/>
  <c r="K1277" i="6"/>
  <c r="K1627" i="6" s="1"/>
  <c r="AI735" i="6"/>
  <c r="F1108" i="6"/>
  <c r="F1623" i="6" s="1"/>
  <c r="E1362" i="6"/>
  <c r="E1629" i="6" s="1"/>
  <c r="O1362" i="6"/>
  <c r="O1629" i="6" s="1"/>
  <c r="AQ259" i="6"/>
  <c r="AR259" i="6" s="1"/>
  <c r="Y475" i="6"/>
  <c r="Z52" i="6"/>
  <c r="Z56" i="6" s="1"/>
  <c r="L889" i="6"/>
  <c r="L1619" i="6" s="1"/>
  <c r="S1108" i="6"/>
  <c r="S1623" i="6" s="1"/>
  <c r="AJ266" i="6"/>
  <c r="E267" i="6"/>
  <c r="E1611" i="6" s="1"/>
  <c r="AI874" i="6"/>
  <c r="O1466" i="6"/>
  <c r="O1633" i="6" s="1"/>
  <c r="O164" i="6"/>
  <c r="AH163" i="6"/>
  <c r="L164" i="6"/>
  <c r="Y648" i="6"/>
  <c r="Z636" i="6"/>
  <c r="Z648" i="6" s="1"/>
  <c r="Z1196" i="6"/>
  <c r="Z1206" i="6" s="1"/>
  <c r="Y1206" i="6"/>
  <c r="Y781" i="6"/>
  <c r="Z763" i="6"/>
  <c r="Z781" i="6" s="1"/>
  <c r="AI264" i="6"/>
  <c r="Z132" i="6"/>
  <c r="Z143" i="6" s="1"/>
  <c r="Y143" i="6"/>
  <c r="AN255" i="6"/>
  <c r="AP255" i="6" s="1"/>
  <c r="AL266" i="6"/>
  <c r="Y962" i="6"/>
  <c r="Z959" i="6"/>
  <c r="Z962" i="6" s="1"/>
  <c r="AI985" i="6"/>
  <c r="F1553" i="6"/>
  <c r="AH993" i="6"/>
  <c r="Z339" i="6"/>
  <c r="Z342" i="6" s="1"/>
  <c r="Y342" i="6"/>
  <c r="AP866" i="6"/>
  <c r="AI83" i="6"/>
  <c r="Z924" i="6"/>
  <c r="Z1370" i="6"/>
  <c r="Z1376" i="6" s="1"/>
  <c r="Y1376" i="6"/>
  <c r="Z241" i="6"/>
  <c r="Z247" i="6" s="1"/>
  <c r="Y247" i="6"/>
  <c r="AM455" i="6"/>
  <c r="AI255" i="6"/>
  <c r="AG266" i="6"/>
  <c r="E1559" i="6" s="1"/>
  <c r="Z1341" i="6"/>
  <c r="Z1351" i="6" s="1"/>
  <c r="Y1351" i="6"/>
  <c r="AP751" i="6"/>
  <c r="AS750" i="6" s="1"/>
  <c r="AQ751" i="6"/>
  <c r="AR751" i="6" s="1"/>
  <c r="Y443" i="6"/>
  <c r="Z432" i="6"/>
  <c r="Z443" i="6" s="1"/>
  <c r="Z524" i="6"/>
  <c r="Z528" i="6" s="1"/>
  <c r="Y528" i="6"/>
  <c r="AI610" i="6"/>
  <c r="Z1015" i="6"/>
  <c r="Z1018" i="6" s="1"/>
  <c r="Y1018" i="6"/>
  <c r="AG1361" i="6"/>
  <c r="AI1349" i="6"/>
  <c r="Z676" i="6"/>
  <c r="AQ1411" i="6"/>
  <c r="AK980" i="6"/>
  <c r="AQ980" i="6"/>
  <c r="Y81" i="6"/>
  <c r="Z59" i="6"/>
  <c r="Z81" i="6" s="1"/>
  <c r="X815" i="6"/>
  <c r="V889" i="6"/>
  <c r="V1619" i="6" s="1"/>
  <c r="AK149" i="6"/>
  <c r="AS146" i="6" s="1"/>
  <c r="AQ149" i="6"/>
  <c r="AR149" i="6" s="1"/>
  <c r="P889" i="6"/>
  <c r="P1619" i="6" s="1"/>
  <c r="T758" i="6"/>
  <c r="T1617" i="6" s="1"/>
  <c r="AJ1276" i="6"/>
  <c r="AM266" i="6"/>
  <c r="S1168" i="6"/>
  <c r="S1625" i="6" s="1"/>
  <c r="F1552" i="6"/>
  <c r="E889" i="6"/>
  <c r="E1619" i="6" s="1"/>
  <c r="AI1509" i="6"/>
  <c r="AQ878" i="6"/>
  <c r="AR878" i="6" s="1"/>
  <c r="AS258" i="6"/>
  <c r="AP1274" i="6"/>
  <c r="AS1273" i="6" s="1"/>
  <c r="U1108" i="6"/>
  <c r="U1623" i="6" s="1"/>
  <c r="AQ1517" i="6"/>
  <c r="AR1517" i="6" s="1"/>
  <c r="F994" i="6"/>
  <c r="F1621" i="6" s="1"/>
  <c r="AN432" i="6"/>
  <c r="AH455" i="6"/>
  <c r="Y48" i="6"/>
  <c r="Z40" i="6"/>
  <c r="Z48" i="6" s="1"/>
  <c r="AB976" i="3" l="1"/>
  <c r="AB1218" i="3" s="1"/>
  <c r="Z1112" i="1"/>
  <c r="Z1271" i="1" s="1"/>
  <c r="AB1101" i="6"/>
  <c r="AB1106" i="6" s="1"/>
  <c r="AB844" i="1"/>
  <c r="AB57" i="1"/>
  <c r="AB78" i="6" s="1"/>
  <c r="AA57" i="1"/>
  <c r="AA78" i="6" s="1"/>
  <c r="X78" i="6"/>
  <c r="AO197" i="1"/>
  <c r="AI197" i="1"/>
  <c r="Y1149" i="3"/>
  <c r="Z1149" i="3" s="1"/>
  <c r="N1553" i="6"/>
  <c r="AB1553" i="6" s="1"/>
  <c r="AB1183" i="1"/>
  <c r="Y1192" i="1"/>
  <c r="AI1154" i="1"/>
  <c r="X383" i="6"/>
  <c r="Z899" i="1"/>
  <c r="Z1263" i="1" s="1"/>
  <c r="AO120" i="1"/>
  <c r="AB27" i="1"/>
  <c r="Y1062" i="3"/>
  <c r="Y1222" i="3" s="1"/>
  <c r="AQ633" i="3"/>
  <c r="AQ1026" i="3"/>
  <c r="AB108" i="3"/>
  <c r="AB119" i="3" s="1"/>
  <c r="AB1198" i="3" s="1"/>
  <c r="Z432" i="3"/>
  <c r="Z1204" i="3" s="1"/>
  <c r="AP1074" i="1"/>
  <c r="AB1051" i="3"/>
  <c r="L1213" i="1"/>
  <c r="N1196" i="1"/>
  <c r="N1568" i="6" s="1"/>
  <c r="AE1156" i="1"/>
  <c r="AB1082" i="3"/>
  <c r="AB1103" i="3" s="1"/>
  <c r="AB1224" i="3" s="1"/>
  <c r="Z1103" i="3"/>
  <c r="Z1224" i="3" s="1"/>
  <c r="AA1027" i="3"/>
  <c r="AA1220" i="3" s="1"/>
  <c r="X805" i="3"/>
  <c r="X1212" i="3" s="1"/>
  <c r="E1106" i="3"/>
  <c r="AI189" i="3"/>
  <c r="X717" i="3"/>
  <c r="X1210" i="3" s="1"/>
  <c r="AO748" i="1"/>
  <c r="AP748" i="1" s="1"/>
  <c r="R1202" i="1"/>
  <c r="X1202" i="1" s="1"/>
  <c r="X1575" i="6" s="1"/>
  <c r="AN748" i="1"/>
  <c r="AQ748" i="1" s="1"/>
  <c r="AB251" i="1"/>
  <c r="AB332" i="6" s="1"/>
  <c r="X332" i="6"/>
  <c r="AA251" i="1"/>
  <c r="AA332" i="6" s="1"/>
  <c r="AN1104" i="1"/>
  <c r="AO1104" i="1"/>
  <c r="AP1104" i="1" s="1"/>
  <c r="AL1112" i="1"/>
  <c r="N567" i="6"/>
  <c r="N578" i="6" s="1"/>
  <c r="N425" i="1"/>
  <c r="AA418" i="1"/>
  <c r="AB418" i="1"/>
  <c r="AB751" i="6"/>
  <c r="AB755" i="6" s="1"/>
  <c r="AB573" i="1"/>
  <c r="H1586" i="6"/>
  <c r="Y1569" i="6"/>
  <c r="X1207" i="1"/>
  <c r="X1580" i="6" s="1"/>
  <c r="Y1207" i="1"/>
  <c r="Z1207" i="1" s="1"/>
  <c r="AB581" i="1"/>
  <c r="AB763" i="6" s="1"/>
  <c r="X763" i="6"/>
  <c r="AA581" i="1"/>
  <c r="AA763" i="6" s="1"/>
  <c r="N375" i="6"/>
  <c r="N383" i="6" s="1"/>
  <c r="AA283" i="1"/>
  <c r="AA375" i="6" s="1"/>
  <c r="N291" i="1"/>
  <c r="AB283" i="1"/>
  <c r="I1133" i="3"/>
  <c r="N1133" i="3"/>
  <c r="AB1133" i="3" s="1"/>
  <c r="X1438" i="6"/>
  <c r="AB1086" i="1"/>
  <c r="AB1438" i="6" s="1"/>
  <c r="AA1086" i="1"/>
  <c r="AA1438" i="6" s="1"/>
  <c r="X1217" i="6"/>
  <c r="X1231" i="6" s="1"/>
  <c r="AA936" i="1"/>
  <c r="AB936" i="1"/>
  <c r="X943" i="1"/>
  <c r="X969" i="1" s="1"/>
  <c r="X1265" i="1" s="1"/>
  <c r="N1103" i="3"/>
  <c r="N1224" i="3" s="1"/>
  <c r="AL1062" i="3"/>
  <c r="N1153" i="3"/>
  <c r="AB1153" i="3" s="1"/>
  <c r="AQ1025" i="3"/>
  <c r="AN546" i="3"/>
  <c r="AO546" i="3"/>
  <c r="AB524" i="1"/>
  <c r="X689" i="6"/>
  <c r="X699" i="6" s="1"/>
  <c r="AA524" i="1"/>
  <c r="X530" i="1"/>
  <c r="AB1082" i="1"/>
  <c r="X1090" i="1"/>
  <c r="X1112" i="1" s="1"/>
  <c r="X1271" i="1" s="1"/>
  <c r="X1430" i="6"/>
  <c r="X1442" i="6" s="1"/>
  <c r="X1466" i="6" s="1"/>
  <c r="X1633" i="6" s="1"/>
  <c r="AA1082" i="1"/>
  <c r="AB1273" i="6"/>
  <c r="AB1275" i="6" s="1"/>
  <c r="AB967" i="1"/>
  <c r="AB323" i="1"/>
  <c r="AB434" i="6" s="1"/>
  <c r="AA323" i="1"/>
  <c r="AA434" i="6" s="1"/>
  <c r="N434" i="6"/>
  <c r="N443" i="6" s="1"/>
  <c r="N330" i="1"/>
  <c r="AN661" i="1"/>
  <c r="AQ661" i="1" s="1"/>
  <c r="R1196" i="1"/>
  <c r="Y1196" i="1" s="1"/>
  <c r="AO661" i="1"/>
  <c r="AP661" i="1" s="1"/>
  <c r="AA1206" i="6"/>
  <c r="X483" i="6"/>
  <c r="X487" i="6" s="1"/>
  <c r="AA359" i="1"/>
  <c r="AB359" i="1"/>
  <c r="X363" i="1"/>
  <c r="AM341" i="1"/>
  <c r="V1192" i="1"/>
  <c r="Y925" i="6"/>
  <c r="H931" i="6"/>
  <c r="H994" i="6" s="1"/>
  <c r="H1621" i="6" s="1"/>
  <c r="AI322" i="1"/>
  <c r="AQ322" i="1" s="1"/>
  <c r="AO322" i="1"/>
  <c r="AP322" i="1" s="1"/>
  <c r="AP1094" i="3"/>
  <c r="AO1104" i="3"/>
  <c r="AN633" i="3"/>
  <c r="Y1147" i="3"/>
  <c r="Z1147" i="3" s="1"/>
  <c r="X1161" i="3"/>
  <c r="AB1161" i="3" s="1"/>
  <c r="Y1161" i="3"/>
  <c r="Z1161" i="3" s="1"/>
  <c r="Y1158" i="3"/>
  <c r="Z1158" i="3" s="1"/>
  <c r="Z162" i="1"/>
  <c r="X925" i="3"/>
  <c r="X1216" i="3" s="1"/>
  <c r="Y425" i="1"/>
  <c r="Z418" i="1"/>
  <c r="Z425" i="1" s="1"/>
  <c r="AB953" i="3"/>
  <c r="AB956" i="3" s="1"/>
  <c r="AA953" i="3"/>
  <c r="AA956" i="3" s="1"/>
  <c r="AA976" i="3" s="1"/>
  <c r="AA1218" i="3" s="1"/>
  <c r="X956" i="3"/>
  <c r="X976" i="3" s="1"/>
  <c r="X1218" i="3" s="1"/>
  <c r="AN921" i="3"/>
  <c r="AQ921" i="3" s="1"/>
  <c r="AO921" i="3"/>
  <c r="R1148" i="3"/>
  <c r="X1148" i="3" s="1"/>
  <c r="AI308" i="3"/>
  <c r="AO308" i="3"/>
  <c r="AP308" i="3" s="1"/>
  <c r="AP323" i="3" s="1"/>
  <c r="AA63" i="3"/>
  <c r="AB63" i="3"/>
  <c r="AB757" i="3"/>
  <c r="AB699" i="1"/>
  <c r="AA699" i="1"/>
  <c r="N703" i="1"/>
  <c r="N925" i="6"/>
  <c r="N931" i="6" s="1"/>
  <c r="Z869" i="3"/>
  <c r="Z872" i="3" s="1"/>
  <c r="Z925" i="3" s="1"/>
  <c r="Z1216" i="3" s="1"/>
  <c r="Y872" i="3"/>
  <c r="Y925" i="3" s="1"/>
  <c r="Y1216" i="3" s="1"/>
  <c r="AQ311" i="3"/>
  <c r="I1153" i="3"/>
  <c r="Z589" i="1"/>
  <c r="V1275" i="1"/>
  <c r="AB25" i="6"/>
  <c r="X432" i="3"/>
  <c r="X1204" i="3" s="1"/>
  <c r="X1062" i="3"/>
  <c r="X1222" i="3" s="1"/>
  <c r="AP1026" i="3"/>
  <c r="AB1148" i="3"/>
  <c r="X1123" i="6"/>
  <c r="X853" i="6"/>
  <c r="Y291" i="1"/>
  <c r="AA465" i="3"/>
  <c r="Y1027" i="3"/>
  <c r="Y1220" i="3" s="1"/>
  <c r="Y856" i="3"/>
  <c r="Y1214" i="3" s="1"/>
  <c r="E1226" i="3"/>
  <c r="AA67" i="3"/>
  <c r="AN1147" i="1"/>
  <c r="AQ1147" i="1" s="1"/>
  <c r="AO1147" i="1"/>
  <c r="AP1147" i="1" s="1"/>
  <c r="AA1019" i="1"/>
  <c r="AA1357" i="6" s="1"/>
  <c r="AB1019" i="1"/>
  <c r="X1357" i="6"/>
  <c r="X1360" i="6" s="1"/>
  <c r="X1362" i="6" s="1"/>
  <c r="X1629" i="6" s="1"/>
  <c r="N1191" i="1"/>
  <c r="N1561" i="6" s="1"/>
  <c r="I1191" i="1"/>
  <c r="I1561" i="6" s="1"/>
  <c r="I1192" i="1"/>
  <c r="I1562" i="6" s="1"/>
  <c r="AB1101" i="3"/>
  <c r="AA1101" i="3"/>
  <c r="AA1103" i="3" s="1"/>
  <c r="AA1224" i="3" s="1"/>
  <c r="Z953" i="3"/>
  <c r="Z956" i="3" s="1"/>
  <c r="Z976" i="3" s="1"/>
  <c r="Z1218" i="3" s="1"/>
  <c r="Y956" i="3"/>
  <c r="Y976" i="3" s="1"/>
  <c r="Y1218" i="3" s="1"/>
  <c r="AO1057" i="3"/>
  <c r="AP1057" i="3" s="1"/>
  <c r="AN1057" i="3"/>
  <c r="AQ1057" i="3" s="1"/>
  <c r="Y1133" i="3"/>
  <c r="Z1133" i="3" s="1"/>
  <c r="AO1026" i="3"/>
  <c r="E1164" i="3"/>
  <c r="Z936" i="1"/>
  <c r="Z943" i="1" s="1"/>
  <c r="Y943" i="1"/>
  <c r="AQ1054" i="3"/>
  <c r="AQ1062" i="3" s="1"/>
  <c r="I1146" i="3"/>
  <c r="AI1104" i="3"/>
  <c r="AQ1095" i="3"/>
  <c r="AG323" i="3"/>
  <c r="AG1106" i="3" s="1"/>
  <c r="AQ68" i="3"/>
  <c r="AQ710" i="3"/>
  <c r="Z524" i="1"/>
  <c r="Z530" i="1" s="1"/>
  <c r="Y530" i="1"/>
  <c r="Z1082" i="1"/>
  <c r="Z1090" i="1" s="1"/>
  <c r="Y1090" i="1"/>
  <c r="AA852" i="1"/>
  <c r="AA1114" i="6" s="1"/>
  <c r="X1114" i="6"/>
  <c r="AB852" i="1"/>
  <c r="AA1273" i="6"/>
  <c r="AA1275" i="6" s="1"/>
  <c r="AA967" i="1"/>
  <c r="AB562" i="1"/>
  <c r="AB741" i="6" s="1"/>
  <c r="AA562" i="1"/>
  <c r="AA741" i="6" s="1"/>
  <c r="X741" i="6"/>
  <c r="AB14" i="6"/>
  <c r="AB17" i="6" s="1"/>
  <c r="AB19" i="1"/>
  <c r="AA834" i="3"/>
  <c r="AA856" i="3" s="1"/>
  <c r="AA1214" i="3" s="1"/>
  <c r="AQ424" i="3"/>
  <c r="I1149" i="3"/>
  <c r="N1149" i="3"/>
  <c r="AB1149" i="3" s="1"/>
  <c r="AB1199" i="1"/>
  <c r="N1572" i="6"/>
  <c r="AB1572" i="6" s="1"/>
  <c r="AA925" i="1"/>
  <c r="AI450" i="1"/>
  <c r="H1203" i="1"/>
  <c r="AO450" i="1"/>
  <c r="AP450" i="1" s="1"/>
  <c r="Z699" i="1"/>
  <c r="Z703" i="1" s="1"/>
  <c r="Y703" i="1"/>
  <c r="AN957" i="1"/>
  <c r="AL969" i="1"/>
  <c r="AO957" i="1"/>
  <c r="X625" i="6"/>
  <c r="X633" i="6" s="1"/>
  <c r="AB460" i="1"/>
  <c r="AA460" i="1"/>
  <c r="AA625" i="6" s="1"/>
  <c r="AA52" i="6"/>
  <c r="AA56" i="6" s="1"/>
  <c r="AA47" i="1"/>
  <c r="X1152" i="3"/>
  <c r="AB1152" i="3" s="1"/>
  <c r="Y1152" i="3"/>
  <c r="Z1152" i="3" s="1"/>
  <c r="AB869" i="3"/>
  <c r="AB872" i="3" s="1"/>
  <c r="AB925" i="3" s="1"/>
  <c r="AB1216" i="3" s="1"/>
  <c r="AA869" i="3"/>
  <c r="AA872" i="3" s="1"/>
  <c r="AA925" i="3" s="1"/>
  <c r="AA1216" i="3" s="1"/>
  <c r="X872" i="3"/>
  <c r="Y1153" i="3"/>
  <c r="Z1153" i="3" s="1"/>
  <c r="AI549" i="3"/>
  <c r="AP1104" i="3"/>
  <c r="X781" i="6"/>
  <c r="X1138" i="3"/>
  <c r="AB1138" i="3" s="1"/>
  <c r="Y1138" i="3"/>
  <c r="Z1138" i="3" s="1"/>
  <c r="AA710" i="1"/>
  <c r="AA940" i="6" s="1"/>
  <c r="X940" i="6"/>
  <c r="X942" i="6" s="1"/>
  <c r="AB710" i="1"/>
  <c r="AB940" i="6" s="1"/>
  <c r="X1140" i="3"/>
  <c r="AB1140" i="3" s="1"/>
  <c r="Y1140" i="3"/>
  <c r="Z1140" i="3" s="1"/>
  <c r="X1137" i="3"/>
  <c r="Y1137" i="3"/>
  <c r="AA14" i="6"/>
  <c r="AA17" i="6" s="1"/>
  <c r="AA19" i="1"/>
  <c r="AN119" i="3"/>
  <c r="AN323" i="3"/>
  <c r="Y289" i="6"/>
  <c r="N1202" i="1"/>
  <c r="AA432" i="3"/>
  <c r="AA1204" i="3" s="1"/>
  <c r="AJ1106" i="3"/>
  <c r="AA633" i="3"/>
  <c r="AA1208" i="3" s="1"/>
  <c r="AB996" i="1"/>
  <c r="Z291" i="1"/>
  <c r="X81" i="6"/>
  <c r="Y1112" i="1"/>
  <c r="Y1271" i="1" s="1"/>
  <c r="Y969" i="1"/>
  <c r="Y1265" i="1" s="1"/>
  <c r="AG127" i="1"/>
  <c r="X1103" i="3"/>
  <c r="X1224" i="3" s="1"/>
  <c r="AO633" i="3"/>
  <c r="AB293" i="3"/>
  <c r="N1027" i="3"/>
  <c r="N1220" i="3" s="1"/>
  <c r="Y805" i="3"/>
  <c r="Y1212" i="3" s="1"/>
  <c r="AB18" i="3"/>
  <c r="AB432" i="3"/>
  <c r="AB1204" i="3" s="1"/>
  <c r="AB67" i="3"/>
  <c r="AA751" i="6"/>
  <c r="AA755" i="6" s="1"/>
  <c r="AA573" i="1"/>
  <c r="Z1019" i="1"/>
  <c r="Z1022" i="1" s="1"/>
  <c r="Y1022" i="1"/>
  <c r="Y1024" i="1" s="1"/>
  <c r="Y1267" i="1" s="1"/>
  <c r="Z268" i="1"/>
  <c r="N152" i="6"/>
  <c r="N162" i="6" s="1"/>
  <c r="N164" i="6" s="1"/>
  <c r="N1609" i="6" s="1"/>
  <c r="AB120" i="1"/>
  <c r="AB152" i="6" s="1"/>
  <c r="N125" i="1"/>
  <c r="N127" i="1" s="1"/>
  <c r="N1247" i="1" s="1"/>
  <c r="AB536" i="3"/>
  <c r="AB539" i="3" s="1"/>
  <c r="AB549" i="3" s="1"/>
  <c r="AA536" i="3"/>
  <c r="AA539" i="3" s="1"/>
  <c r="AA549" i="3" s="1"/>
  <c r="AA1206" i="3" s="1"/>
  <c r="AB625" i="3"/>
  <c r="AB633" i="3" s="1"/>
  <c r="AB1208" i="3" s="1"/>
  <c r="AQ320" i="3"/>
  <c r="N1156" i="3"/>
  <c r="I1156" i="3"/>
  <c r="N1150" i="3"/>
  <c r="AB1150" i="3" s="1"/>
  <c r="Y1150" i="3"/>
  <c r="Z1150" i="3" s="1"/>
  <c r="AQ64" i="3"/>
  <c r="I1136" i="3"/>
  <c r="AB321" i="1"/>
  <c r="AB432" i="6" s="1"/>
  <c r="X432" i="6"/>
  <c r="X443" i="6" s="1"/>
  <c r="AA321" i="1"/>
  <c r="AA432" i="6" s="1"/>
  <c r="AB611" i="1"/>
  <c r="AB811" i="6" s="1"/>
  <c r="X811" i="6"/>
  <c r="AA611" i="1"/>
  <c r="AA811" i="6" s="1"/>
  <c r="AA133" i="6"/>
  <c r="AA143" i="6" s="1"/>
  <c r="AA115" i="1"/>
  <c r="N1206" i="1"/>
  <c r="I1206" i="1"/>
  <c r="I1579" i="6" s="1"/>
  <c r="AQ200" i="1"/>
  <c r="N48" i="6"/>
  <c r="AL925" i="3"/>
  <c r="AN428" i="3"/>
  <c r="AO428" i="3"/>
  <c r="AI1024" i="1"/>
  <c r="N801" i="6"/>
  <c r="N804" i="6" s="1"/>
  <c r="AB603" i="1"/>
  <c r="AB801" i="6" s="1"/>
  <c r="N606" i="1"/>
  <c r="AA603" i="1"/>
  <c r="AA801" i="6" s="1"/>
  <c r="X1323" i="6"/>
  <c r="I1211" i="1"/>
  <c r="I1584" i="6" s="1"/>
  <c r="AQ448" i="1"/>
  <c r="AP1054" i="3"/>
  <c r="AP1062" i="3" s="1"/>
  <c r="AO1062" i="3"/>
  <c r="AA757" i="3"/>
  <c r="AB834" i="3"/>
  <c r="AB856" i="3" s="1"/>
  <c r="AB1214" i="3" s="1"/>
  <c r="AL549" i="3"/>
  <c r="Z359" i="1"/>
  <c r="Z363" i="1" s="1"/>
  <c r="Y363" i="1"/>
  <c r="AB52" i="6"/>
  <c r="AB56" i="6" s="1"/>
  <c r="AB47" i="1"/>
  <c r="AI709" i="3"/>
  <c r="AO709" i="3"/>
  <c r="AP709" i="3" s="1"/>
  <c r="AP717" i="3" s="1"/>
  <c r="AG717" i="3"/>
  <c r="AL432" i="3"/>
  <c r="Z1466" i="6"/>
  <c r="Z1633" i="6" s="1"/>
  <c r="Y1633" i="6"/>
  <c r="Y1466" i="6"/>
  <c r="D1526" i="6"/>
  <c r="AQ733" i="6"/>
  <c r="D1607" i="6"/>
  <c r="D1637" i="6" s="1"/>
  <c r="Y1617" i="6"/>
  <c r="AQ738" i="6"/>
  <c r="AR738" i="6" s="1"/>
  <c r="AQ257" i="6"/>
  <c r="AR257" i="6" s="1"/>
  <c r="AQ1162" i="6"/>
  <c r="AR1162" i="6" s="1"/>
  <c r="AQ256" i="6"/>
  <c r="AR256" i="6" s="1"/>
  <c r="Y164" i="6"/>
  <c r="Y1615" i="6"/>
  <c r="AS980" i="6"/>
  <c r="AQ1255" i="6"/>
  <c r="AR1255" i="6" s="1"/>
  <c r="AK84" i="6"/>
  <c r="AS83" i="6" s="1"/>
  <c r="AQ981" i="6"/>
  <c r="AR981" i="6" s="1"/>
  <c r="AQ987" i="6"/>
  <c r="AR987" i="6" s="1"/>
  <c r="H456" i="6"/>
  <c r="H1613" i="6" s="1"/>
  <c r="H1637" i="6" s="1"/>
  <c r="AQ252" i="6"/>
  <c r="AR252" i="6" s="1"/>
  <c r="AS751" i="6"/>
  <c r="AL888" i="6"/>
  <c r="AS732" i="6"/>
  <c r="AS448" i="6"/>
  <c r="AQ451" i="6"/>
  <c r="AR451" i="6" s="1"/>
  <c r="Z164" i="6"/>
  <c r="Z1609" i="6" s="1"/>
  <c r="Y1621" i="6"/>
  <c r="AQ442" i="6"/>
  <c r="AR442" i="6" s="1"/>
  <c r="AK252" i="6"/>
  <c r="AS251" i="6" s="1"/>
  <c r="AQ265" i="6"/>
  <c r="AR265" i="6" s="1"/>
  <c r="AK257" i="6"/>
  <c r="AS256" i="6" s="1"/>
  <c r="AQ86" i="6"/>
  <c r="AR86" i="6" s="1"/>
  <c r="AS160" i="6"/>
  <c r="AS1460" i="6"/>
  <c r="AS735" i="6"/>
  <c r="AP256" i="6"/>
  <c r="AS255" i="6" s="1"/>
  <c r="AG618" i="6"/>
  <c r="E1562" i="6" s="1"/>
  <c r="AQ440" i="6"/>
  <c r="AR440" i="6" s="1"/>
  <c r="R1607" i="6"/>
  <c r="Y1607" i="6" s="1"/>
  <c r="R1526" i="6"/>
  <c r="AQ1100" i="6"/>
  <c r="AR1100" i="6" s="1"/>
  <c r="AS1509" i="6"/>
  <c r="AS1267" i="6"/>
  <c r="AQ443" i="6"/>
  <c r="AR443" i="6" s="1"/>
  <c r="AS874" i="6"/>
  <c r="AS441" i="6"/>
  <c r="AQ602" i="6"/>
  <c r="AR602" i="6" s="1"/>
  <c r="AQ1252" i="6"/>
  <c r="AR1252" i="6" s="1"/>
  <c r="AQ601" i="6"/>
  <c r="AR601" i="6" s="1"/>
  <c r="AQ600" i="6"/>
  <c r="AR600" i="6" s="1"/>
  <c r="AS434" i="6"/>
  <c r="AS983" i="6"/>
  <c r="AS1254" i="6"/>
  <c r="AQ877" i="6"/>
  <c r="AR877" i="6" s="1"/>
  <c r="AS1454" i="6"/>
  <c r="AQ145" i="6"/>
  <c r="AR145" i="6" s="1"/>
  <c r="AQ756" i="6"/>
  <c r="AR756" i="6" s="1"/>
  <c r="AQ143" i="6"/>
  <c r="AR143" i="6" s="1"/>
  <c r="AQ90" i="6"/>
  <c r="AR90" i="6" s="1"/>
  <c r="AK145" i="6"/>
  <c r="AS144" i="6" s="1"/>
  <c r="AP443" i="6"/>
  <c r="AS442" i="6" s="1"/>
  <c r="AP1412" i="6"/>
  <c r="AP1423" i="6" s="1"/>
  <c r="AQ260" i="6"/>
  <c r="AR260" i="6" s="1"/>
  <c r="AQ1359" i="6"/>
  <c r="AR1359" i="6" s="1"/>
  <c r="AS598" i="6"/>
  <c r="AQ1515" i="6"/>
  <c r="AR1515" i="6" s="1"/>
  <c r="AQ603" i="6"/>
  <c r="AR603" i="6" s="1"/>
  <c r="AS867" i="6"/>
  <c r="AS1359" i="6"/>
  <c r="AP877" i="6"/>
  <c r="AS876" i="6" s="1"/>
  <c r="AS603" i="6"/>
  <c r="AS87" i="6"/>
  <c r="AQ1412" i="6"/>
  <c r="AR1412" i="6" s="1"/>
  <c r="AR1423" i="6" s="1"/>
  <c r="Y1631" i="6"/>
  <c r="AQ1461" i="6"/>
  <c r="AR1461" i="6" s="1"/>
  <c r="AS602" i="6"/>
  <c r="AQ1455" i="6"/>
  <c r="AR1455" i="6" s="1"/>
  <c r="AS86" i="6"/>
  <c r="Z1168" i="6"/>
  <c r="Z1625" i="6" s="1"/>
  <c r="AS1161" i="6"/>
  <c r="AQ144" i="6"/>
  <c r="AR144" i="6" s="1"/>
  <c r="Y1629" i="6"/>
  <c r="AS875" i="6"/>
  <c r="AP1248" i="6"/>
  <c r="AS1247" i="6" s="1"/>
  <c r="AQ875" i="6"/>
  <c r="AR875" i="6" s="1"/>
  <c r="AQ258" i="6"/>
  <c r="AR258" i="6" s="1"/>
  <c r="AP756" i="6"/>
  <c r="AS755" i="6" s="1"/>
  <c r="Y1623" i="6"/>
  <c r="Z1623" i="6" s="1"/>
  <c r="AQ743" i="6"/>
  <c r="AR743" i="6" s="1"/>
  <c r="AP143" i="6"/>
  <c r="AS142" i="6" s="1"/>
  <c r="AQ1253" i="6"/>
  <c r="AR1253" i="6" s="1"/>
  <c r="AQ87" i="6"/>
  <c r="AR87" i="6" s="1"/>
  <c r="Y1425" i="6"/>
  <c r="AS257" i="6"/>
  <c r="AS1165" i="6"/>
  <c r="AQ254" i="6"/>
  <c r="AR254" i="6" s="1"/>
  <c r="AQ876" i="6"/>
  <c r="AR876" i="6" s="1"/>
  <c r="AS1350" i="6"/>
  <c r="AQ615" i="6"/>
  <c r="AR615" i="6" s="1"/>
  <c r="AS610" i="6" s="1"/>
  <c r="AP254" i="6"/>
  <c r="AS253" i="6" s="1"/>
  <c r="AK1412" i="6"/>
  <c r="X1068" i="6"/>
  <c r="O1108" i="6"/>
  <c r="O1623" i="6" s="1"/>
  <c r="Y1611" i="6"/>
  <c r="AK732" i="6"/>
  <c r="AS731" i="6" s="1"/>
  <c r="AP265" i="6"/>
  <c r="AS264" i="6" s="1"/>
  <c r="AP1252" i="6"/>
  <c r="AS1248" i="6" s="1"/>
  <c r="AQ1352" i="6"/>
  <c r="AR1352" i="6" s="1"/>
  <c r="AS143" i="6"/>
  <c r="AS744" i="6"/>
  <c r="AQ745" i="6"/>
  <c r="AR745" i="6" s="1"/>
  <c r="AS608" i="6"/>
  <c r="AQ438" i="6"/>
  <c r="AR438" i="6" s="1"/>
  <c r="AS438" i="6"/>
  <c r="AS869" i="6"/>
  <c r="AQ441" i="6"/>
  <c r="AR441" i="6" s="1"/>
  <c r="AQ1275" i="6"/>
  <c r="AR1275" i="6" s="1"/>
  <c r="AQ742" i="6"/>
  <c r="AR742" i="6" s="1"/>
  <c r="AS753" i="6"/>
  <c r="AK440" i="6"/>
  <c r="AS439" i="6" s="1"/>
  <c r="AK1100" i="6"/>
  <c r="AS1099" i="6" s="1"/>
  <c r="AQ1453" i="6"/>
  <c r="AR1453" i="6" s="1"/>
  <c r="AK1352" i="6"/>
  <c r="AS1351" i="6" s="1"/>
  <c r="AS1245" i="6"/>
  <c r="AQ1460" i="6"/>
  <c r="AR1460" i="6" s="1"/>
  <c r="AS90" i="6"/>
  <c r="AQ1458" i="6"/>
  <c r="AR1458" i="6" s="1"/>
  <c r="AS1355" i="6"/>
  <c r="AK86" i="6"/>
  <c r="AS85" i="6" s="1"/>
  <c r="AL1107" i="6"/>
  <c r="AS1100" i="6"/>
  <c r="AQ89" i="6"/>
  <c r="AR89" i="6" s="1"/>
  <c r="AQ1360" i="6"/>
  <c r="AR1360" i="6" s="1"/>
  <c r="AS1274" i="6"/>
  <c r="AK743" i="6"/>
  <c r="AS742" i="6" s="1"/>
  <c r="AK1458" i="6"/>
  <c r="AK1465" i="6" s="1"/>
  <c r="AQ1163" i="6"/>
  <c r="AR1163" i="6" s="1"/>
  <c r="AP1460" i="6"/>
  <c r="AS1458" i="6" s="1"/>
  <c r="AQ1356" i="6"/>
  <c r="AR1356" i="6" s="1"/>
  <c r="AS604" i="6"/>
  <c r="AQ1504" i="6"/>
  <c r="AR1504" i="6" s="1"/>
  <c r="AQ744" i="6"/>
  <c r="AR744" i="6" s="1"/>
  <c r="AS1163" i="6"/>
  <c r="Y839" i="6"/>
  <c r="Y889" i="6" s="1"/>
  <c r="AQ1351" i="6"/>
  <c r="AR1351" i="6" s="1"/>
  <c r="E758" i="6"/>
  <c r="E1617" i="6" s="1"/>
  <c r="E1637" i="6" s="1"/>
  <c r="AQ887" i="6"/>
  <c r="AR887" i="6" s="1"/>
  <c r="AK1515" i="6"/>
  <c r="AS1514" i="6" s="1"/>
  <c r="AQ88" i="6"/>
  <c r="AR88" i="6" s="1"/>
  <c r="AQ754" i="6"/>
  <c r="AR754" i="6" s="1"/>
  <c r="AQ868" i="6"/>
  <c r="AR868" i="6" s="1"/>
  <c r="AQ1246" i="6"/>
  <c r="AR1246" i="6" s="1"/>
  <c r="AQ1164" i="6"/>
  <c r="AR1164" i="6" s="1"/>
  <c r="AQ1098" i="6"/>
  <c r="AR1098" i="6" s="1"/>
  <c r="AP1504" i="6"/>
  <c r="AS1503" i="6" s="1"/>
  <c r="AK438" i="6"/>
  <c r="AS435" i="6" s="1"/>
  <c r="AI1465" i="6"/>
  <c r="F1556" i="6"/>
  <c r="AQ604" i="6"/>
  <c r="AR604" i="6" s="1"/>
  <c r="AK1253" i="6"/>
  <c r="AS1252" i="6" s="1"/>
  <c r="AS1095" i="6"/>
  <c r="AQ433" i="6"/>
  <c r="AR433" i="6" s="1"/>
  <c r="AQ599" i="6"/>
  <c r="AR599" i="6" s="1"/>
  <c r="AQ1418" i="6"/>
  <c r="AR1418" i="6" s="1"/>
  <c r="AQ605" i="6"/>
  <c r="AR605" i="6" s="1"/>
  <c r="AQ617" i="6"/>
  <c r="AR617" i="6" s="1"/>
  <c r="Z839" i="6"/>
  <c r="AS982" i="6"/>
  <c r="AQ1101" i="6"/>
  <c r="AR1101" i="6" s="1"/>
  <c r="AS440" i="6"/>
  <c r="AS886" i="6"/>
  <c r="AP433" i="6"/>
  <c r="AS432" i="6" s="1"/>
  <c r="AQ1516" i="6"/>
  <c r="AR1516" i="6" s="1"/>
  <c r="AK1516" i="6"/>
  <c r="AS1515" i="6" s="1"/>
  <c r="AS866" i="6"/>
  <c r="AQ609" i="6"/>
  <c r="AR609" i="6" s="1"/>
  <c r="AS88" i="6"/>
  <c r="F1564" i="6"/>
  <c r="AQ867" i="6"/>
  <c r="AR867" i="6" s="1"/>
  <c r="AI95" i="6"/>
  <c r="AQ1513" i="6"/>
  <c r="AR1513" i="6" s="1"/>
  <c r="AQ1270" i="6"/>
  <c r="AR1270" i="6" s="1"/>
  <c r="AQ81" i="6"/>
  <c r="AR81" i="6" s="1"/>
  <c r="AR95" i="6" s="1"/>
  <c r="AS743" i="6"/>
  <c r="AQ263" i="6"/>
  <c r="AR263" i="6" s="1"/>
  <c r="AQ988" i="6"/>
  <c r="AR988" i="6" s="1"/>
  <c r="AK1359" i="6"/>
  <c r="AS1358" i="6" s="1"/>
  <c r="AQ1096" i="6"/>
  <c r="AR1096" i="6" s="1"/>
  <c r="AS141" i="6"/>
  <c r="AQ142" i="6"/>
  <c r="AR142" i="6" s="1"/>
  <c r="AI1423" i="6"/>
  <c r="AS89" i="6"/>
  <c r="Y1627" i="6"/>
  <c r="E1557" i="6"/>
  <c r="AK155" i="6"/>
  <c r="AS152" i="6" s="1"/>
  <c r="AQ1104" i="6"/>
  <c r="AR1104" i="6" s="1"/>
  <c r="AQ885" i="6"/>
  <c r="AR885" i="6" s="1"/>
  <c r="AQ983" i="6"/>
  <c r="AR983" i="6" s="1"/>
  <c r="AQ1357" i="6"/>
  <c r="AR1357" i="6" s="1"/>
  <c r="V1637" i="6"/>
  <c r="N1519" i="6"/>
  <c r="N1635" i="6" s="1"/>
  <c r="AS260" i="6"/>
  <c r="AK1163" i="6"/>
  <c r="AS1162" i="6" s="1"/>
  <c r="AK602" i="6"/>
  <c r="AS601" i="6" s="1"/>
  <c r="Y267" i="6"/>
  <c r="Y1619" i="6"/>
  <c r="I1526" i="6"/>
  <c r="AS1356" i="6"/>
  <c r="K1637" i="6"/>
  <c r="AQ984" i="6"/>
  <c r="AR984" i="6" s="1"/>
  <c r="AS1101" i="6"/>
  <c r="N1108" i="6"/>
  <c r="N1623" i="6" s="1"/>
  <c r="I1637" i="6"/>
  <c r="U1637" i="6"/>
  <c r="Z267" i="6"/>
  <c r="Z1611" i="6" s="1"/>
  <c r="AK885" i="6"/>
  <c r="AS882" i="6" s="1"/>
  <c r="AQ447" i="6"/>
  <c r="AR447" i="6" s="1"/>
  <c r="AK447" i="6"/>
  <c r="AS446" i="6" s="1"/>
  <c r="AS986" i="6"/>
  <c r="AK742" i="6"/>
  <c r="AS741" i="6" s="1"/>
  <c r="AS1097" i="6"/>
  <c r="AG163" i="6"/>
  <c r="E1561" i="6" s="1"/>
  <c r="Z1519" i="6"/>
  <c r="Z1635" i="6" s="1"/>
  <c r="X256" i="6"/>
  <c r="N1362" i="6"/>
  <c r="N1629" i="6" s="1"/>
  <c r="AB1425" i="6"/>
  <c r="AB1631" i="6" s="1"/>
  <c r="AS616" i="6"/>
  <c r="AQ871" i="6"/>
  <c r="AR871" i="6" s="1"/>
  <c r="AS987" i="6"/>
  <c r="AF1525" i="6"/>
  <c r="AL993" i="6"/>
  <c r="J1637" i="6"/>
  <c r="O994" i="6"/>
  <c r="O1621" i="6" s="1"/>
  <c r="O1622" i="6" s="1"/>
  <c r="AB256" i="6"/>
  <c r="AN618" i="6"/>
  <c r="AP755" i="6"/>
  <c r="AS754" i="6" s="1"/>
  <c r="AQ755" i="6"/>
  <c r="AR755" i="6" s="1"/>
  <c r="AK446" i="6"/>
  <c r="AS445" i="6" s="1"/>
  <c r="AQ446" i="6"/>
  <c r="AR446" i="6" s="1"/>
  <c r="AJ1525" i="6"/>
  <c r="AQ439" i="6"/>
  <c r="AR439" i="6" s="1"/>
  <c r="Z1362" i="6"/>
  <c r="Z1629" i="6" s="1"/>
  <c r="AG455" i="6"/>
  <c r="F1637" i="6"/>
  <c r="E1548" i="6"/>
  <c r="E1586" i="6" s="1"/>
  <c r="AN1361" i="6"/>
  <c r="AI888" i="6"/>
  <c r="Y1519" i="6"/>
  <c r="S1637" i="6"/>
  <c r="X289" i="6"/>
  <c r="AK452" i="6"/>
  <c r="AS451" i="6" s="1"/>
  <c r="AQ452" i="6"/>
  <c r="AR452" i="6" s="1"/>
  <c r="T1526" i="6"/>
  <c r="Z93" i="6"/>
  <c r="Z96" i="6" s="1"/>
  <c r="Z1607" i="6" s="1"/>
  <c r="R1251" i="1"/>
  <c r="R1613" i="6"/>
  <c r="R1226" i="3"/>
  <c r="H1226" i="3"/>
  <c r="AK1254" i="6"/>
  <c r="AQ1254" i="6"/>
  <c r="AR1254" i="6" s="1"/>
  <c r="AL757" i="6"/>
  <c r="AN739" i="6"/>
  <c r="AQ873" i="6"/>
  <c r="AR873" i="6" s="1"/>
  <c r="AP873" i="6"/>
  <c r="AS871" i="6" s="1"/>
  <c r="X1048" i="6"/>
  <c r="X1051" i="6" s="1"/>
  <c r="AA794" i="1"/>
  <c r="AA1048" i="6" s="1"/>
  <c r="AB794" i="1"/>
  <c r="AA749" i="1"/>
  <c r="N986" i="6"/>
  <c r="N988" i="6" s="1"/>
  <c r="N994" i="6" s="1"/>
  <c r="N1621" i="6" s="1"/>
  <c r="AB749" i="1"/>
  <c r="N751" i="1"/>
  <c r="N754" i="1" s="1"/>
  <c r="N1259" i="1" s="1"/>
  <c r="Y721" i="1"/>
  <c r="Z719" i="1"/>
  <c r="Z721" i="1" s="1"/>
  <c r="Z1196" i="1"/>
  <c r="AO562" i="1"/>
  <c r="AP562" i="1" s="1"/>
  <c r="AI562" i="1"/>
  <c r="AQ562" i="1" s="1"/>
  <c r="AB592" i="6"/>
  <c r="AB599" i="6" s="1"/>
  <c r="AB438" i="1"/>
  <c r="AA555" i="6"/>
  <c r="AA564" i="6" s="1"/>
  <c r="AA415" i="1"/>
  <c r="AB555" i="6"/>
  <c r="AB564" i="6" s="1"/>
  <c r="AB415" i="1"/>
  <c r="AA400" i="1"/>
  <c r="AA531" i="6"/>
  <c r="AA543" i="6" s="1"/>
  <c r="AA493" i="6"/>
  <c r="AA410" i="6"/>
  <c r="AA417" i="6" s="1"/>
  <c r="AA310" i="1"/>
  <c r="AA293" i="6"/>
  <c r="AB293" i="6"/>
  <c r="AB127" i="6"/>
  <c r="AB129" i="6" s="1"/>
  <c r="AB107" i="1"/>
  <c r="AA60" i="6"/>
  <c r="AA81" i="6" s="1"/>
  <c r="AA60" i="1"/>
  <c r="AB32" i="6"/>
  <c r="AB48" i="6" s="1"/>
  <c r="AB39" i="1"/>
  <c r="AB770" i="1"/>
  <c r="X1015" i="6"/>
  <c r="X1018" i="6" s="1"/>
  <c r="X773" i="1"/>
  <c r="AA770" i="1"/>
  <c r="AI982" i="6"/>
  <c r="AG993" i="6"/>
  <c r="AI746" i="1"/>
  <c r="AO746" i="1"/>
  <c r="AG754" i="1"/>
  <c r="AB784" i="6"/>
  <c r="AB790" i="6" s="1"/>
  <c r="AB596" i="1"/>
  <c r="X555" i="1"/>
  <c r="AA551" i="1"/>
  <c r="X723" i="6"/>
  <c r="X730" i="6" s="1"/>
  <c r="AB551" i="1"/>
  <c r="AA711" i="6"/>
  <c r="AA720" i="6" s="1"/>
  <c r="AA548" i="1"/>
  <c r="AB548" i="1"/>
  <c r="AB711" i="6"/>
  <c r="AB720" i="6" s="1"/>
  <c r="AB703" i="6"/>
  <c r="AK741" i="6"/>
  <c r="AS739" i="6" s="1"/>
  <c r="AQ741" i="6"/>
  <c r="AR741" i="6" s="1"/>
  <c r="AB465" i="6"/>
  <c r="AB475" i="6" s="1"/>
  <c r="AB354" i="1"/>
  <c r="AB1187" i="1"/>
  <c r="N1557" i="6"/>
  <c r="AB1557" i="6" s="1"/>
  <c r="AB339" i="1"/>
  <c r="AB446" i="6"/>
  <c r="AB454" i="6" s="1"/>
  <c r="AB421" i="6"/>
  <c r="AB426" i="6" s="1"/>
  <c r="AB318" i="1"/>
  <c r="AB299" i="1"/>
  <c r="AB399" i="6"/>
  <c r="AB404" i="6" s="1"/>
  <c r="AB324" i="6"/>
  <c r="AB329" i="6" s="1"/>
  <c r="AB248" i="1"/>
  <c r="AO327" i="1"/>
  <c r="AI327" i="1"/>
  <c r="H1179" i="1"/>
  <c r="Z1245" i="1"/>
  <c r="AQ894" i="1"/>
  <c r="I1201" i="1"/>
  <c r="I1574" i="6" s="1"/>
  <c r="N1201" i="1"/>
  <c r="AI899" i="1"/>
  <c r="AP838" i="1"/>
  <c r="AP846" i="1" s="1"/>
  <c r="AO846" i="1"/>
  <c r="AA1044" i="6"/>
  <c r="AA683" i="1"/>
  <c r="AA908" i="6" s="1"/>
  <c r="AB683" i="1"/>
  <c r="AB908" i="6" s="1"/>
  <c r="X908" i="6"/>
  <c r="X911" i="6" s="1"/>
  <c r="AQ662" i="1"/>
  <c r="I1208" i="1"/>
  <c r="I1581" i="6" s="1"/>
  <c r="N1208" i="1"/>
  <c r="AP652" i="1"/>
  <c r="AB832" i="6"/>
  <c r="AB839" i="6" s="1"/>
  <c r="AB631" i="1"/>
  <c r="X797" i="6"/>
  <c r="X804" i="6" s="1"/>
  <c r="X606" i="1"/>
  <c r="AB601" i="1"/>
  <c r="AA601" i="1"/>
  <c r="Z491" i="1"/>
  <c r="Z498" i="1" s="1"/>
  <c r="Y498" i="1"/>
  <c r="AB384" i="1"/>
  <c r="N390" i="1"/>
  <c r="N454" i="1" s="1"/>
  <c r="N1253" i="1" s="1"/>
  <c r="N519" i="6"/>
  <c r="N528" i="6" s="1"/>
  <c r="N619" i="6" s="1"/>
  <c r="N1615" i="6" s="1"/>
  <c r="AA384" i="1"/>
  <c r="AQ193" i="1"/>
  <c r="AI202" i="1"/>
  <c r="AB218" i="6"/>
  <c r="AB220" i="6" s="1"/>
  <c r="AB162" i="1"/>
  <c r="N1569" i="6"/>
  <c r="AB1569" i="6" s="1"/>
  <c r="AB1197" i="1"/>
  <c r="AB112" i="6"/>
  <c r="AB120" i="6" s="1"/>
  <c r="AB99" i="1"/>
  <c r="J1182" i="1"/>
  <c r="J1552" i="6" s="1"/>
  <c r="AJ1156" i="1"/>
  <c r="AN62" i="1"/>
  <c r="R1193" i="1"/>
  <c r="AO62" i="1"/>
  <c r="AL75" i="1"/>
  <c r="I1182" i="1"/>
  <c r="I1552" i="6" s="1"/>
  <c r="N1575" i="6"/>
  <c r="AB1575" i="6" s="1"/>
  <c r="AB1202" i="1"/>
  <c r="AN975" i="3"/>
  <c r="AQ975" i="3" s="1"/>
  <c r="AO975" i="3"/>
  <c r="AP975" i="3" s="1"/>
  <c r="R1156" i="3"/>
  <c r="AO183" i="3"/>
  <c r="R1155" i="3"/>
  <c r="AN183" i="3"/>
  <c r="AL189" i="3"/>
  <c r="AB520" i="3"/>
  <c r="AB522" i="3" s="1"/>
  <c r="X522" i="3"/>
  <c r="AA520" i="3"/>
  <c r="AA522" i="3" s="1"/>
  <c r="AQ63" i="3"/>
  <c r="I1154" i="3"/>
  <c r="N1154" i="3"/>
  <c r="AB1154" i="3" s="1"/>
  <c r="Y1196" i="3"/>
  <c r="AA1358" i="6"/>
  <c r="AA1360" i="6" s="1"/>
  <c r="AA1022" i="1"/>
  <c r="Y1215" i="6"/>
  <c r="Y1277" i="6" s="1"/>
  <c r="Z1210" i="6"/>
  <c r="Z1215" i="6" s="1"/>
  <c r="Z1277" i="6" s="1"/>
  <c r="Z1627" i="6" s="1"/>
  <c r="AB1162" i="6"/>
  <c r="AB1165" i="6" s="1"/>
  <c r="AB896" i="1"/>
  <c r="AB1090" i="6"/>
  <c r="AB1096" i="6" s="1"/>
  <c r="AB836" i="1"/>
  <c r="AA1061" i="6"/>
  <c r="AA1068" i="6" s="1"/>
  <c r="AA812" i="1"/>
  <c r="AA935" i="6"/>
  <c r="AA942" i="6" s="1"/>
  <c r="AA712" i="1"/>
  <c r="AA660" i="1"/>
  <c r="AA868" i="6"/>
  <c r="AA877" i="6" s="1"/>
  <c r="AB851" i="6"/>
  <c r="AB853" i="6" s="1"/>
  <c r="AB642" i="1"/>
  <c r="N1198" i="1"/>
  <c r="N1570" i="6" s="1"/>
  <c r="AB1570" i="6" s="1"/>
  <c r="Y1198" i="1"/>
  <c r="AO656" i="1"/>
  <c r="AP656" i="1" s="1"/>
  <c r="AI656" i="1"/>
  <c r="AG668" i="1"/>
  <c r="AI739" i="6"/>
  <c r="AI757" i="6" s="1"/>
  <c r="AG757" i="6"/>
  <c r="Z257" i="1"/>
  <c r="Z260" i="1" s="1"/>
  <c r="Y260" i="1"/>
  <c r="AA216" i="1"/>
  <c r="AA272" i="6"/>
  <c r="AA289" i="6" s="1"/>
  <c r="N1580" i="6"/>
  <c r="AB1580" i="6" s="1"/>
  <c r="AB1207" i="1"/>
  <c r="O1548" i="6"/>
  <c r="O1586" i="6" s="1"/>
  <c r="O1213" i="1"/>
  <c r="AO892" i="1"/>
  <c r="AN892" i="1"/>
  <c r="AL899" i="1"/>
  <c r="AB1127" i="6"/>
  <c r="AB1131" i="6" s="1"/>
  <c r="AB868" i="1"/>
  <c r="AB1070" i="6"/>
  <c r="AB1076" i="6" s="1"/>
  <c r="AB821" i="1"/>
  <c r="AA1070" i="6"/>
  <c r="AA1076" i="6" s="1"/>
  <c r="AA821" i="1"/>
  <c r="AA1039" i="6"/>
  <c r="AA1041" i="6" s="1"/>
  <c r="AA788" i="1"/>
  <c r="AB730" i="1"/>
  <c r="AB958" i="6"/>
  <c r="AB962" i="6" s="1"/>
  <c r="AA905" i="6"/>
  <c r="AB905" i="6"/>
  <c r="AB857" i="6"/>
  <c r="AB862" i="6" s="1"/>
  <c r="AB649" i="1"/>
  <c r="AB820" i="6"/>
  <c r="AB826" i="6" s="1"/>
  <c r="AB623" i="1"/>
  <c r="X810" i="6"/>
  <c r="AA610" i="1"/>
  <c r="AA810" i="6" s="1"/>
  <c r="AB610" i="1"/>
  <c r="AB810" i="6" s="1"/>
  <c r="AB764" i="6"/>
  <c r="N677" i="6"/>
  <c r="N686" i="6" s="1"/>
  <c r="AB514" i="1"/>
  <c r="AA514" i="1"/>
  <c r="N521" i="1"/>
  <c r="AA638" i="6"/>
  <c r="AA648" i="6" s="1"/>
  <c r="AA487" i="1"/>
  <c r="AB603" i="6"/>
  <c r="AB608" i="6" s="1"/>
  <c r="AB447" i="1"/>
  <c r="AB587" i="6"/>
  <c r="AB589" i="6" s="1"/>
  <c r="AB431" i="1"/>
  <c r="AB435" i="6"/>
  <c r="AB443" i="6" s="1"/>
  <c r="AB330" i="1"/>
  <c r="AB174" i="6"/>
  <c r="AB183" i="6" s="1"/>
  <c r="AB140" i="1"/>
  <c r="AB84" i="6"/>
  <c r="AB93" i="6" s="1"/>
  <c r="AB72" i="1"/>
  <c r="AA1348" i="6"/>
  <c r="AA1351" i="6" s="1"/>
  <c r="AA1015" i="1"/>
  <c r="AP1144" i="1"/>
  <c r="AP1154" i="1" s="1"/>
  <c r="AO1154" i="1"/>
  <c r="X1185" i="1"/>
  <c r="X1555" i="6" s="1"/>
  <c r="Y1185" i="1"/>
  <c r="Z1185" i="1" s="1"/>
  <c r="AA1210" i="6"/>
  <c r="AA1215" i="6" s="1"/>
  <c r="AA934" i="1"/>
  <c r="AB1210" i="6"/>
  <c r="AB1215" i="6" s="1"/>
  <c r="AB934" i="1"/>
  <c r="AB1179" i="6"/>
  <c r="AB1182" i="6" s="1"/>
  <c r="AB909" i="1"/>
  <c r="AQ845" i="1"/>
  <c r="I1190" i="1"/>
  <c r="I1560" i="6" s="1"/>
  <c r="N1190" i="1"/>
  <c r="Z563" i="1"/>
  <c r="Z565" i="1" s="1"/>
  <c r="Y565" i="1"/>
  <c r="N1210" i="1"/>
  <c r="I1210" i="1"/>
  <c r="I1583" i="6" s="1"/>
  <c r="AQ447" i="1"/>
  <c r="AA338" i="6"/>
  <c r="H1249" i="1"/>
  <c r="H1275" i="1" s="1"/>
  <c r="H1156" i="1"/>
  <c r="AQ122" i="1"/>
  <c r="AQ127" i="1" s="1"/>
  <c r="I1209" i="1"/>
  <c r="I1582" i="6" s="1"/>
  <c r="N1209" i="1"/>
  <c r="AN974" i="3"/>
  <c r="AO974" i="3"/>
  <c r="AP974" i="3" s="1"/>
  <c r="AL976" i="3"/>
  <c r="AO976" i="3" s="1"/>
  <c r="AN849" i="3"/>
  <c r="AQ849" i="3" s="1"/>
  <c r="AO849" i="3"/>
  <c r="AP849" i="3" s="1"/>
  <c r="R1131" i="3"/>
  <c r="Y1131" i="3" s="1"/>
  <c r="Z168" i="3"/>
  <c r="Z172" i="3" s="1"/>
  <c r="Y172" i="3"/>
  <c r="AP107" i="3"/>
  <c r="AP119" i="3" s="1"/>
  <c r="AO119" i="3"/>
  <c r="AQ107" i="3"/>
  <c r="AQ119" i="3" s="1"/>
  <c r="AI119" i="3"/>
  <c r="Z712" i="3"/>
  <c r="Z714" i="3" s="1"/>
  <c r="Z717" i="3" s="1"/>
  <c r="Z1210" i="3" s="1"/>
  <c r="Y714" i="3"/>
  <c r="Y717" i="3" s="1"/>
  <c r="Y1210" i="3" s="1"/>
  <c r="H1164" i="3"/>
  <c r="X1196" i="3"/>
  <c r="AB1194" i="1"/>
  <c r="N1566" i="6"/>
  <c r="AB1566" i="6" s="1"/>
  <c r="Z749" i="1"/>
  <c r="Z751" i="1" s="1"/>
  <c r="Y751" i="1"/>
  <c r="X952" i="6"/>
  <c r="X954" i="6" s="1"/>
  <c r="AA719" i="1"/>
  <c r="AB719" i="1"/>
  <c r="X721" i="1"/>
  <c r="AN747" i="1"/>
  <c r="AO747" i="1"/>
  <c r="AP747" i="1" s="1"/>
  <c r="AL754" i="1"/>
  <c r="Z851" i="6"/>
  <c r="Z853" i="6" s="1"/>
  <c r="Z642" i="1"/>
  <c r="AN573" i="1"/>
  <c r="R1203" i="1"/>
  <c r="AL576" i="1"/>
  <c r="AO573" i="1"/>
  <c r="AP573" i="1" s="1"/>
  <c r="AA592" i="6"/>
  <c r="AA599" i="6" s="1"/>
  <c r="AA438" i="1"/>
  <c r="AB400" i="1"/>
  <c r="AB531" i="6"/>
  <c r="AB543" i="6" s="1"/>
  <c r="AB493" i="6"/>
  <c r="AB410" i="6"/>
  <c r="AB417" i="6" s="1"/>
  <c r="AB310" i="1"/>
  <c r="AA378" i="6"/>
  <c r="AA383" i="6" s="1"/>
  <c r="AA291" i="1"/>
  <c r="AA127" i="6"/>
  <c r="AA129" i="6" s="1"/>
  <c r="AA107" i="1"/>
  <c r="AB60" i="6"/>
  <c r="AB81" i="6" s="1"/>
  <c r="AB60" i="1"/>
  <c r="AA32" i="6"/>
  <c r="AA48" i="6" s="1"/>
  <c r="AA39" i="1"/>
  <c r="AA21" i="6"/>
  <c r="AA25" i="6" s="1"/>
  <c r="AA27" i="1"/>
  <c r="D1213" i="1"/>
  <c r="AL1167" i="6"/>
  <c r="AN1160" i="6"/>
  <c r="Z770" i="1"/>
  <c r="Z773" i="1" s="1"/>
  <c r="Y773" i="1"/>
  <c r="AA980" i="6"/>
  <c r="AA982" i="6" s="1"/>
  <c r="AA745" i="1"/>
  <c r="AA596" i="1"/>
  <c r="AA784" i="6"/>
  <c r="AA790" i="6" s="1"/>
  <c r="Z551" i="1"/>
  <c r="Z555" i="1" s="1"/>
  <c r="Y555" i="1"/>
  <c r="AA703" i="6"/>
  <c r="AA465" i="6"/>
  <c r="AA475" i="6" s="1"/>
  <c r="AA354" i="1"/>
  <c r="AA339" i="1"/>
  <c r="AA446" i="6"/>
  <c r="AA454" i="6" s="1"/>
  <c r="AA318" i="1"/>
  <c r="AA421" i="6"/>
  <c r="AA426" i="6" s="1"/>
  <c r="AA399" i="6"/>
  <c r="AA404" i="6" s="1"/>
  <c r="AA299" i="1"/>
  <c r="AA324" i="6"/>
  <c r="AA329" i="6" s="1"/>
  <c r="AA248" i="1"/>
  <c r="AB160" i="6"/>
  <c r="AB162" i="6" s="1"/>
  <c r="AB125" i="1"/>
  <c r="AA1241" i="6"/>
  <c r="AA1244" i="6" s="1"/>
  <c r="AA953" i="1"/>
  <c r="X1561" i="6"/>
  <c r="AB1561" i="6" s="1"/>
  <c r="AB1191" i="1"/>
  <c r="AN1247" i="6"/>
  <c r="AL1276" i="6"/>
  <c r="AQ838" i="1"/>
  <c r="AQ846" i="1" s="1"/>
  <c r="AI846" i="1"/>
  <c r="AN668" i="1"/>
  <c r="AQ652" i="1"/>
  <c r="AA832" i="6"/>
  <c r="AA839" i="6" s="1"/>
  <c r="AA631" i="1"/>
  <c r="N1573" i="6"/>
  <c r="AB1573" i="6" s="1"/>
  <c r="AB1200" i="1"/>
  <c r="X651" i="6"/>
  <c r="X660" i="6" s="1"/>
  <c r="X498" i="1"/>
  <c r="Z384" i="1"/>
  <c r="Z390" i="1" s="1"/>
  <c r="Y390" i="1"/>
  <c r="X498" i="6"/>
  <c r="X502" i="6" s="1"/>
  <c r="AA368" i="1"/>
  <c r="AA498" i="6" s="1"/>
  <c r="AB368" i="1"/>
  <c r="AB498" i="6" s="1"/>
  <c r="Z1192" i="1"/>
  <c r="Z1198" i="1"/>
  <c r="AA112" i="6"/>
  <c r="AA120" i="6" s="1"/>
  <c r="AA99" i="1"/>
  <c r="AA127" i="1" s="1"/>
  <c r="AA1247" i="1" s="1"/>
  <c r="AP82" i="6"/>
  <c r="AS81" i="6" s="1"/>
  <c r="AQ82" i="6"/>
  <c r="AR82" i="6" s="1"/>
  <c r="AP120" i="1"/>
  <c r="AP127" i="1" s="1"/>
  <c r="AO127" i="1"/>
  <c r="AN95" i="6"/>
  <c r="AP81" i="6"/>
  <c r="AP95" i="6" s="1"/>
  <c r="Y1136" i="3"/>
  <c r="Z1136" i="3" s="1"/>
  <c r="N1136" i="3"/>
  <c r="AB1136" i="3" s="1"/>
  <c r="Z1137" i="3"/>
  <c r="AB1137" i="3"/>
  <c r="D1164" i="3"/>
  <c r="Z520" i="3"/>
  <c r="Z522" i="3" s="1"/>
  <c r="Z549" i="3" s="1"/>
  <c r="Z1206" i="3" s="1"/>
  <c r="Y522" i="3"/>
  <c r="Y549" i="3" s="1"/>
  <c r="Y1206" i="3" s="1"/>
  <c r="AA231" i="3"/>
  <c r="AA234" i="3" s="1"/>
  <c r="X234" i="3"/>
  <c r="X323" i="3" s="1"/>
  <c r="X1202" i="3" s="1"/>
  <c r="AB231" i="3"/>
  <c r="AB234" i="3" s="1"/>
  <c r="Z1196" i="3"/>
  <c r="AB1348" i="6"/>
  <c r="AB1351" i="6" s="1"/>
  <c r="AB1015" i="1"/>
  <c r="V1568" i="6"/>
  <c r="X1196" i="1"/>
  <c r="X1568" i="6" s="1"/>
  <c r="AB1568" i="6" s="1"/>
  <c r="AB1039" i="6"/>
  <c r="AB1041" i="6" s="1"/>
  <c r="AB788" i="1"/>
  <c r="AA1162" i="6"/>
  <c r="AA1165" i="6" s="1"/>
  <c r="AA896" i="1"/>
  <c r="AI1158" i="6"/>
  <c r="AI1167" i="6" s="1"/>
  <c r="AG1167" i="6"/>
  <c r="E1556" i="6" s="1"/>
  <c r="AA1090" i="6"/>
  <c r="AA1096" i="6" s="1"/>
  <c r="AA836" i="1"/>
  <c r="AB1061" i="6"/>
  <c r="AB1068" i="6" s="1"/>
  <c r="AB812" i="1"/>
  <c r="AB935" i="6"/>
  <c r="AB942" i="6" s="1"/>
  <c r="AB712" i="1"/>
  <c r="AB660" i="1"/>
  <c r="AB868" i="6"/>
  <c r="AB877" i="6" s="1"/>
  <c r="AA851" i="6"/>
  <c r="AA853" i="6" s="1"/>
  <c r="AA642" i="1"/>
  <c r="AA629" i="6"/>
  <c r="AA633" i="6" s="1"/>
  <c r="AA464" i="1"/>
  <c r="AI441" i="1"/>
  <c r="AO441" i="1"/>
  <c r="AG454" i="1"/>
  <c r="X339" i="6"/>
  <c r="X342" i="6" s="1"/>
  <c r="X260" i="1"/>
  <c r="AA257" i="1"/>
  <c r="AA339" i="6" s="1"/>
  <c r="AB257" i="1"/>
  <c r="AB339" i="6" s="1"/>
  <c r="AB216" i="1"/>
  <c r="AB272" i="6"/>
  <c r="AB289" i="6" s="1"/>
  <c r="AB200" i="1"/>
  <c r="AB259" i="6"/>
  <c r="AB265" i="6" s="1"/>
  <c r="J1548" i="6"/>
  <c r="J1213" i="1"/>
  <c r="AA1127" i="6"/>
  <c r="AA1131" i="6" s="1"/>
  <c r="AA868" i="1"/>
  <c r="AA1086" i="6"/>
  <c r="AA1088" i="6" s="1"/>
  <c r="AA828" i="1"/>
  <c r="AB1086" i="6"/>
  <c r="AB1088" i="6" s="1"/>
  <c r="AB828" i="1"/>
  <c r="AA958" i="6"/>
  <c r="AA962" i="6" s="1"/>
  <c r="AA730" i="1"/>
  <c r="AA857" i="6"/>
  <c r="AA862" i="6" s="1"/>
  <c r="AA649" i="1"/>
  <c r="AA820" i="6"/>
  <c r="AA826" i="6" s="1"/>
  <c r="AA623" i="1"/>
  <c r="AA764" i="6"/>
  <c r="AQ558" i="1"/>
  <c r="AI576" i="1"/>
  <c r="N1205" i="1"/>
  <c r="Y677" i="6"/>
  <c r="Y686" i="6" s="1"/>
  <c r="Y758" i="6" s="1"/>
  <c r="Z514" i="1"/>
  <c r="Y521" i="1"/>
  <c r="AB638" i="6"/>
  <c r="AB648" i="6" s="1"/>
  <c r="AB487" i="1"/>
  <c r="AA603" i="6"/>
  <c r="AA608" i="6" s="1"/>
  <c r="AA447" i="1"/>
  <c r="AA587" i="6"/>
  <c r="AA589" i="6" s="1"/>
  <c r="AA431" i="1"/>
  <c r="AA435" i="6"/>
  <c r="AA443" i="6" s="1"/>
  <c r="AA330" i="1"/>
  <c r="AB188" i="6"/>
  <c r="AB203" i="6" s="1"/>
  <c r="AB150" i="1"/>
  <c r="AB200" i="6" s="1"/>
  <c r="AA84" i="6"/>
  <c r="AA93" i="6" s="1"/>
  <c r="AA72" i="1"/>
  <c r="AN1154" i="1"/>
  <c r="AQ1144" i="1"/>
  <c r="AQ1154" i="1" s="1"/>
  <c r="Y1184" i="1"/>
  <c r="Z1184" i="1" s="1"/>
  <c r="X1184" i="1"/>
  <c r="X1132" i="1"/>
  <c r="X1153" i="1" s="1"/>
  <c r="X1273" i="1" s="1"/>
  <c r="AB1127" i="1"/>
  <c r="X1484" i="6"/>
  <c r="X1491" i="6" s="1"/>
  <c r="X1519" i="6" s="1"/>
  <c r="X1635" i="6" s="1"/>
  <c r="AA1127" i="1"/>
  <c r="Y1132" i="1"/>
  <c r="Y1153" i="1" s="1"/>
  <c r="Y1273" i="1" s="1"/>
  <c r="Z1127" i="1"/>
  <c r="Z1132" i="1" s="1"/>
  <c r="Z1153" i="1" s="1"/>
  <c r="Z1273" i="1" s="1"/>
  <c r="AI1106" i="1"/>
  <c r="AO1106" i="1"/>
  <c r="AG1112" i="1"/>
  <c r="AN1016" i="1"/>
  <c r="AL1024" i="1"/>
  <c r="AO1016" i="1"/>
  <c r="AA1179" i="6"/>
  <c r="AA1182" i="6" s="1"/>
  <c r="AA909" i="1"/>
  <c r="AN752" i="1"/>
  <c r="AQ752" i="1" s="1"/>
  <c r="AO752" i="1"/>
  <c r="AP752" i="1" s="1"/>
  <c r="R1204" i="1"/>
  <c r="Z972" i="6"/>
  <c r="Z974" i="6" s="1"/>
  <c r="Z738" i="1"/>
  <c r="X1189" i="1"/>
  <c r="Y1189" i="1"/>
  <c r="Z1189" i="1" s="1"/>
  <c r="N776" i="6"/>
  <c r="N781" i="6" s="1"/>
  <c r="N889" i="6" s="1"/>
  <c r="N1619" i="6" s="1"/>
  <c r="N589" i="1"/>
  <c r="N668" i="1" s="1"/>
  <c r="N1257" i="1" s="1"/>
  <c r="AB585" i="1"/>
  <c r="AB776" i="6" s="1"/>
  <c r="AA585" i="1"/>
  <c r="AA776" i="6" s="1"/>
  <c r="AB563" i="1"/>
  <c r="X742" i="6"/>
  <c r="X744" i="6" s="1"/>
  <c r="X565" i="1"/>
  <c r="X576" i="1" s="1"/>
  <c r="X1255" i="1" s="1"/>
  <c r="AA563" i="1"/>
  <c r="AB536" i="1"/>
  <c r="AB705" i="6" s="1"/>
  <c r="X705" i="6"/>
  <c r="X708" i="6" s="1"/>
  <c r="AA536" i="1"/>
  <c r="AA705" i="6" s="1"/>
  <c r="N651" i="6"/>
  <c r="N660" i="6" s="1"/>
  <c r="N498" i="1"/>
  <c r="AA491" i="1"/>
  <c r="AB491" i="1"/>
  <c r="N1567" i="6"/>
  <c r="AB1567" i="6" s="1"/>
  <c r="AB1195" i="1"/>
  <c r="N1555" i="6"/>
  <c r="AB1555" i="6" s="1"/>
  <c r="AB1185" i="1"/>
  <c r="AN329" i="1"/>
  <c r="R1201" i="1"/>
  <c r="X1201" i="1" s="1"/>
  <c r="X1574" i="6" s="1"/>
  <c r="AO329" i="1"/>
  <c r="AP329" i="1" s="1"/>
  <c r="AL341" i="1"/>
  <c r="AB338" i="6"/>
  <c r="AB260" i="1"/>
  <c r="X296" i="6"/>
  <c r="X299" i="6" s="1"/>
  <c r="AB223" i="1"/>
  <c r="AB296" i="6" s="1"/>
  <c r="AA223" i="1"/>
  <c r="AA296" i="6" s="1"/>
  <c r="Z223" i="1"/>
  <c r="Y296" i="6"/>
  <c r="Y299" i="6" s="1"/>
  <c r="Y226" i="1"/>
  <c r="AP192" i="1"/>
  <c r="AP202" i="1" s="1"/>
  <c r="AO202" i="1"/>
  <c r="AB177" i="1"/>
  <c r="N183" i="1"/>
  <c r="N202" i="1" s="1"/>
  <c r="N1249" i="1" s="1"/>
  <c r="N241" i="6"/>
  <c r="N247" i="6" s="1"/>
  <c r="N267" i="6" s="1"/>
  <c r="N1611" i="6" s="1"/>
  <c r="AN856" i="3"/>
  <c r="AQ856" i="3" s="1"/>
  <c r="AO856" i="3"/>
  <c r="AP856" i="3" s="1"/>
  <c r="X172" i="3"/>
  <c r="X189" i="3" s="1"/>
  <c r="X1200" i="3" s="1"/>
  <c r="AB168" i="3"/>
  <c r="AB172" i="3" s="1"/>
  <c r="AB189" i="3" s="1"/>
  <c r="AB1200" i="3" s="1"/>
  <c r="N714" i="3"/>
  <c r="N717" i="3" s="1"/>
  <c r="N1210" i="3" s="1"/>
  <c r="AB712" i="3"/>
  <c r="AB714" i="3" s="1"/>
  <c r="AB717" i="3" s="1"/>
  <c r="AB1210" i="3" s="1"/>
  <c r="AA712" i="3"/>
  <c r="AA714" i="3" s="1"/>
  <c r="AA717" i="3" s="1"/>
  <c r="AA1210" i="3" s="1"/>
  <c r="AP59" i="3"/>
  <c r="AP69" i="3" s="1"/>
  <c r="AO69" i="3"/>
  <c r="AQ59" i="3"/>
  <c r="AQ69" i="3" s="1"/>
  <c r="N1131" i="3"/>
  <c r="AI69" i="3"/>
  <c r="I1131" i="3"/>
  <c r="Y456" i="6"/>
  <c r="Y1362" i="6"/>
  <c r="AA1024" i="1"/>
  <c r="AA1267" i="1" s="1"/>
  <c r="R846" i="1"/>
  <c r="R1261" i="1" s="1"/>
  <c r="R1275" i="1" s="1"/>
  <c r="X528" i="6"/>
  <c r="X454" i="1"/>
  <c r="X1253" i="1" s="1"/>
  <c r="X341" i="1"/>
  <c r="X1251" i="1" s="1"/>
  <c r="X329" i="6"/>
  <c r="Y202" i="1"/>
  <c r="Y1249" i="1" s="1"/>
  <c r="X797" i="1"/>
  <c r="Z846" i="1"/>
  <c r="Z1261" i="1" s="1"/>
  <c r="AD1156" i="1"/>
  <c r="X127" i="1"/>
  <c r="X1247" i="1" s="1"/>
  <c r="Z323" i="3"/>
  <c r="Z1202" i="3" s="1"/>
  <c r="X633" i="3"/>
  <c r="X1208" i="3" s="1"/>
  <c r="AI1276" i="6"/>
  <c r="AO1074" i="1"/>
  <c r="AB953" i="1"/>
  <c r="AB1075" i="1"/>
  <c r="AB1269" i="1" s="1"/>
  <c r="N846" i="1"/>
  <c r="N1261" i="1" s="1"/>
  <c r="Y372" i="1"/>
  <c r="Y454" i="1" s="1"/>
  <c r="Y1253" i="1" s="1"/>
  <c r="N75" i="1"/>
  <c r="AN127" i="1"/>
  <c r="X668" i="1"/>
  <c r="X1257" i="1" s="1"/>
  <c r="AO576" i="1"/>
  <c r="X203" i="6"/>
  <c r="X202" i="1"/>
  <c r="X1249" i="1" s="1"/>
  <c r="X75" i="1"/>
  <c r="AA860" i="1"/>
  <c r="N341" i="1"/>
  <c r="N1251" i="1" s="1"/>
  <c r="AQ202" i="1"/>
  <c r="Z127" i="1"/>
  <c r="Z1247" i="1" s="1"/>
  <c r="E1275" i="1"/>
  <c r="AI127" i="1"/>
  <c r="O1156" i="1"/>
  <c r="AA312" i="3"/>
  <c r="AB312" i="3"/>
  <c r="AB323" i="3" s="1"/>
  <c r="AB1202" i="3" s="1"/>
  <c r="J1164" i="3"/>
  <c r="AB805" i="3"/>
  <c r="AB1212" i="3" s="1"/>
  <c r="Y633" i="3"/>
  <c r="Y1208" i="3" s="1"/>
  <c r="X549" i="3"/>
  <c r="X1206" i="3" s="1"/>
  <c r="Y119" i="3"/>
  <c r="Y1198" i="3" s="1"/>
  <c r="AB69" i="3"/>
  <c r="Z189" i="3"/>
  <c r="Z1200" i="3" s="1"/>
  <c r="V1526" i="6"/>
  <c r="P1639" i="6"/>
  <c r="AN888" i="6"/>
  <c r="U1526" i="6"/>
  <c r="E1549" i="6"/>
  <c r="Y432" i="3"/>
  <c r="Y1204" i="3" s="1"/>
  <c r="N189" i="3"/>
  <c r="N1200" i="3" s="1"/>
  <c r="Y899" i="1"/>
  <c r="Y1263" i="1" s="1"/>
  <c r="AA805" i="3"/>
  <c r="AA1212" i="3" s="1"/>
  <c r="AQ1074" i="1"/>
  <c r="N81" i="6"/>
  <c r="N96" i="6" s="1"/>
  <c r="X48" i="6"/>
  <c r="X96" i="6" s="1"/>
  <c r="X1607" i="6" s="1"/>
  <c r="X754" i="1"/>
  <c r="X1259" i="1" s="1"/>
  <c r="Y686" i="1"/>
  <c r="Y589" i="1"/>
  <c r="Y668" i="1" s="1"/>
  <c r="Y1257" i="1" s="1"/>
  <c r="X720" i="6"/>
  <c r="X475" i="6"/>
  <c r="X454" i="6"/>
  <c r="X404" i="6"/>
  <c r="E1213" i="1"/>
  <c r="Z202" i="1"/>
  <c r="Z1249" i="1" s="1"/>
  <c r="Y75" i="1"/>
  <c r="Y846" i="1"/>
  <c r="Y1261" i="1" s="1"/>
  <c r="H1180" i="1"/>
  <c r="Y1180" i="1" s="1"/>
  <c r="Z1180" i="1" s="1"/>
  <c r="X120" i="6"/>
  <c r="X164" i="6" s="1"/>
  <c r="X1609" i="6" s="1"/>
  <c r="I1202" i="1"/>
  <c r="I1575" i="6" s="1"/>
  <c r="Z1062" i="3"/>
  <c r="Z1222" i="3" s="1"/>
  <c r="N323" i="3"/>
  <c r="N1202" i="3" s="1"/>
  <c r="Y323" i="3"/>
  <c r="Y1202" i="3" s="1"/>
  <c r="AA223" i="3"/>
  <c r="AB1244" i="6"/>
  <c r="L1586" i="6"/>
  <c r="X899" i="1"/>
  <c r="X1263" i="1" s="1"/>
  <c r="X1131" i="6"/>
  <c r="X1168" i="6" s="1"/>
  <c r="X1625" i="6" s="1"/>
  <c r="Z372" i="1"/>
  <c r="Z454" i="1" s="1"/>
  <c r="Z1253" i="1" s="1"/>
  <c r="AB192" i="1"/>
  <c r="X1096" i="6"/>
  <c r="X686" i="1"/>
  <c r="X826" i="6"/>
  <c r="AG576" i="1"/>
  <c r="AG1156" i="1" s="1"/>
  <c r="Z539" i="1"/>
  <c r="Y341" i="1"/>
  <c r="Y1251" i="1" s="1"/>
  <c r="X183" i="6"/>
  <c r="AQ1104" i="3"/>
  <c r="AA1123" i="6"/>
  <c r="Z1024" i="1"/>
  <c r="Z1267" i="1" s="1"/>
  <c r="X1277" i="6"/>
  <c r="X1627" i="6" s="1"/>
  <c r="Y797" i="1"/>
  <c r="Z606" i="1"/>
  <c r="Z668" i="1" s="1"/>
  <c r="Z1257" i="1" s="1"/>
  <c r="N456" i="6"/>
  <c r="N1613" i="6" s="1"/>
  <c r="R1179" i="1"/>
  <c r="AN202" i="1"/>
  <c r="Y127" i="1"/>
  <c r="Y1247" i="1" s="1"/>
  <c r="E1156" i="1"/>
  <c r="Y93" i="6"/>
  <c r="Y96" i="6" s="1"/>
  <c r="Z969" i="1"/>
  <c r="Z1265" i="1" s="1"/>
  <c r="Y1209" i="1"/>
  <c r="Z1209" i="1" s="1"/>
  <c r="O1275" i="1"/>
  <c r="AB1059" i="3"/>
  <c r="AB1062" i="3" s="1"/>
  <c r="AB1222" i="3" s="1"/>
  <c r="AA1059" i="3"/>
  <c r="AA1062" i="3" s="1"/>
  <c r="AA1222" i="3" s="1"/>
  <c r="AQ925" i="3"/>
  <c r="AA293" i="3"/>
  <c r="Y1103" i="3"/>
  <c r="Y1224" i="3" s="1"/>
  <c r="AD1106" i="3"/>
  <c r="O1164" i="3"/>
  <c r="N69" i="3"/>
  <c r="Z633" i="3"/>
  <c r="Z1208" i="3" s="1"/>
  <c r="Z119" i="3"/>
  <c r="Z1198" i="3" s="1"/>
  <c r="AA69" i="3"/>
  <c r="Y189" i="3"/>
  <c r="Y1200" i="3" s="1"/>
  <c r="Y1194" i="1"/>
  <c r="Z1194" i="1" s="1"/>
  <c r="R1106" i="3"/>
  <c r="H1106" i="3"/>
  <c r="O1609" i="6"/>
  <c r="O1637" i="6" s="1"/>
  <c r="AQ735" i="6"/>
  <c r="AK735" i="6"/>
  <c r="AR866" i="6"/>
  <c r="AN1107" i="6"/>
  <c r="AP1097" i="6"/>
  <c r="AP1107" i="6" s="1"/>
  <c r="AP141" i="6"/>
  <c r="AN163" i="6"/>
  <c r="AQ1099" i="6"/>
  <c r="AR1099" i="6" s="1"/>
  <c r="AK1099" i="6"/>
  <c r="AS1098" i="6" s="1"/>
  <c r="AK1161" i="6"/>
  <c r="AQ1161" i="6"/>
  <c r="AN455" i="6"/>
  <c r="AK1509" i="6"/>
  <c r="AQ1509" i="6"/>
  <c r="AR1509" i="6" s="1"/>
  <c r="AI1519" i="6"/>
  <c r="AK141" i="6"/>
  <c r="AQ141" i="6"/>
  <c r="AI163" i="6"/>
  <c r="AR980" i="6"/>
  <c r="AK610" i="6"/>
  <c r="AS609" i="6" s="1"/>
  <c r="AQ610" i="6"/>
  <c r="AR610" i="6" s="1"/>
  <c r="AQ83" i="6"/>
  <c r="AR83" i="6" s="1"/>
  <c r="AK83" i="6"/>
  <c r="AS82" i="6" s="1"/>
  <c r="AK985" i="6"/>
  <c r="AS984" i="6" s="1"/>
  <c r="AQ985" i="6"/>
  <c r="AR985" i="6" s="1"/>
  <c r="L1609" i="6"/>
  <c r="AJ160" i="6"/>
  <c r="AK160" i="6" s="1"/>
  <c r="AS159" i="6" s="1"/>
  <c r="AK146" i="6"/>
  <c r="AS145" i="6" s="1"/>
  <c r="AQ146" i="6"/>
  <c r="AR146" i="6" s="1"/>
  <c r="AP986" i="6"/>
  <c r="AP993" i="6" s="1"/>
  <c r="AN993" i="6"/>
  <c r="AS1409" i="6"/>
  <c r="AP1505" i="6"/>
  <c r="AS1504" i="6" s="1"/>
  <c r="AQ1505" i="6"/>
  <c r="AK1349" i="6"/>
  <c r="AS1348" i="6" s="1"/>
  <c r="AQ1349" i="6"/>
  <c r="AR1349" i="6" s="1"/>
  <c r="AK264" i="6"/>
  <c r="AS263" i="6" s="1"/>
  <c r="AQ264" i="6"/>
  <c r="AR264" i="6" s="1"/>
  <c r="F1561" i="6"/>
  <c r="AH1525" i="6"/>
  <c r="F1558" i="6" s="1"/>
  <c r="AK874" i="6"/>
  <c r="AS873" i="6" s="1"/>
  <c r="AQ874" i="6"/>
  <c r="AR874" i="6" s="1"/>
  <c r="L1607" i="6"/>
  <c r="L1526" i="6"/>
  <c r="AS863" i="6"/>
  <c r="AS1452" i="6"/>
  <c r="AK95" i="6"/>
  <c r="AQ445" i="6"/>
  <c r="AR445" i="6" s="1"/>
  <c r="AK445" i="6"/>
  <c r="AS444" i="6" s="1"/>
  <c r="AP1361" i="6"/>
  <c r="Z1108" i="6"/>
  <c r="AI1107" i="6"/>
  <c r="Z619" i="6"/>
  <c r="Z1615" i="6" s="1"/>
  <c r="AN266" i="6"/>
  <c r="F1526" i="6"/>
  <c r="AP618" i="6"/>
  <c r="AQ986" i="6"/>
  <c r="AR986" i="6" s="1"/>
  <c r="AN1519" i="6"/>
  <c r="Y1108" i="6"/>
  <c r="AO432" i="6"/>
  <c r="AO455" i="6" s="1"/>
  <c r="AO458" i="6" s="1"/>
  <c r="AQ1097" i="6"/>
  <c r="Y619" i="6"/>
  <c r="F1557" i="6"/>
  <c r="S1526" i="6"/>
  <c r="J1526" i="6"/>
  <c r="AS600" i="6"/>
  <c r="AI455" i="6"/>
  <c r="AK432" i="6"/>
  <c r="AQ432" i="6"/>
  <c r="AP1463" i="6"/>
  <c r="AS1462" i="6" s="1"/>
  <c r="AN1465" i="6"/>
  <c r="AQ1463" i="6"/>
  <c r="AR1463" i="6" s="1"/>
  <c r="AK93" i="6"/>
  <c r="AS92" i="6" s="1"/>
  <c r="AQ93" i="6"/>
  <c r="AR93" i="6" s="1"/>
  <c r="AI1361" i="6"/>
  <c r="AQ1348" i="6"/>
  <c r="AK1348" i="6"/>
  <c r="AS978" i="6"/>
  <c r="AK255" i="6"/>
  <c r="AQ255" i="6"/>
  <c r="AR255" i="6" s="1"/>
  <c r="AI266" i="6"/>
  <c r="P1526" i="6"/>
  <c r="K1526" i="6"/>
  <c r="Z1425" i="6"/>
  <c r="Z1631" i="6" s="1"/>
  <c r="T1637" i="6"/>
  <c r="AI618" i="6"/>
  <c r="AA815" i="6"/>
  <c r="AM1525" i="6"/>
  <c r="AQ432" i="3" l="1"/>
  <c r="Y1201" i="1"/>
  <c r="Z1201" i="1" s="1"/>
  <c r="AB127" i="1"/>
  <c r="AB1247" i="1" s="1"/>
  <c r="AB625" i="6"/>
  <c r="AB633" i="6" s="1"/>
  <c r="AB464" i="1"/>
  <c r="AN969" i="1"/>
  <c r="AQ957" i="1"/>
  <c r="AQ969" i="1" s="1"/>
  <c r="AB1114" i="6"/>
  <c r="AB1123" i="6" s="1"/>
  <c r="AB860" i="1"/>
  <c r="Z925" i="6"/>
  <c r="Z931" i="6" s="1"/>
  <c r="Y931" i="6"/>
  <c r="Y994" i="6" s="1"/>
  <c r="AB483" i="6"/>
  <c r="AB487" i="6" s="1"/>
  <c r="AB363" i="1"/>
  <c r="AB1430" i="6"/>
  <c r="AB1442" i="6" s="1"/>
  <c r="AB1466" i="6" s="1"/>
  <c r="AB1633" i="6" s="1"/>
  <c r="AB1090" i="1"/>
  <c r="AB1112" i="1" s="1"/>
  <c r="AB1271" i="1" s="1"/>
  <c r="AB689" i="6"/>
  <c r="AB699" i="6" s="1"/>
  <c r="AB530" i="1"/>
  <c r="AB1217" i="6"/>
  <c r="AB1231" i="6" s="1"/>
  <c r="AB943" i="1"/>
  <c r="Y1148" i="3"/>
  <c r="Z1148" i="3" s="1"/>
  <c r="AA567" i="6"/>
  <c r="AA578" i="6" s="1"/>
  <c r="AA425" i="1"/>
  <c r="Y1202" i="1"/>
  <c r="Z1202" i="1" s="1"/>
  <c r="Z994" i="6"/>
  <c r="Z1621" i="6" s="1"/>
  <c r="AP428" i="3"/>
  <c r="AP432" i="3" s="1"/>
  <c r="AO432" i="3"/>
  <c r="N1203" i="1"/>
  <c r="N1576" i="6" s="1"/>
  <c r="AQ450" i="1"/>
  <c r="I1203" i="1"/>
  <c r="I1576" i="6" s="1"/>
  <c r="AN1062" i="3"/>
  <c r="AA925" i="6"/>
  <c r="AA931" i="6" s="1"/>
  <c r="AA703" i="1"/>
  <c r="AP921" i="3"/>
  <c r="AP925" i="3" s="1"/>
  <c r="AO925" i="3"/>
  <c r="V1562" i="6"/>
  <c r="X1192" i="1"/>
  <c r="V1213" i="1"/>
  <c r="AA483" i="6"/>
  <c r="AA487" i="6" s="1"/>
  <c r="AA363" i="1"/>
  <c r="AA1090" i="1"/>
  <c r="AA1112" i="1" s="1"/>
  <c r="AA1271" i="1" s="1"/>
  <c r="AA1430" i="6"/>
  <c r="AA1442" i="6" s="1"/>
  <c r="AA1466" i="6" s="1"/>
  <c r="AA1633" i="6" s="1"/>
  <c r="AP546" i="3"/>
  <c r="AP549" i="3" s="1"/>
  <c r="AO549" i="3"/>
  <c r="AA943" i="1"/>
  <c r="AA1217" i="6"/>
  <c r="AA1231" i="6" s="1"/>
  <c r="AQ1104" i="1"/>
  <c r="AN1112" i="1"/>
  <c r="AA969" i="1"/>
  <c r="AA1265" i="1" s="1"/>
  <c r="AQ428" i="3"/>
  <c r="AN432" i="3"/>
  <c r="AP957" i="1"/>
  <c r="AP969" i="1" s="1"/>
  <c r="AO969" i="1"/>
  <c r="AB1357" i="6"/>
  <c r="AB1360" i="6" s="1"/>
  <c r="AB1022" i="1"/>
  <c r="AB1024" i="1" s="1"/>
  <c r="AB1267" i="1" s="1"/>
  <c r="AO717" i="3"/>
  <c r="AB925" i="6"/>
  <c r="AB931" i="6" s="1"/>
  <c r="AB703" i="1"/>
  <c r="AM344" i="1"/>
  <c r="AM1156" i="1"/>
  <c r="AA689" i="6"/>
  <c r="AA699" i="6" s="1"/>
  <c r="AA530" i="1"/>
  <c r="AQ546" i="3"/>
  <c r="AQ549" i="3" s="1"/>
  <c r="AN549" i="3"/>
  <c r="AB375" i="6"/>
  <c r="AB383" i="6" s="1"/>
  <c r="AB291" i="1"/>
  <c r="AO323" i="3"/>
  <c r="V1586" i="6"/>
  <c r="AA686" i="1"/>
  <c r="AA797" i="1"/>
  <c r="AQ709" i="3"/>
  <c r="AQ717" i="3" s="1"/>
  <c r="I1132" i="3"/>
  <c r="N1132" i="3"/>
  <c r="AB1132" i="3" s="1"/>
  <c r="AI717" i="3"/>
  <c r="I1150" i="3" s="1"/>
  <c r="N1579" i="6"/>
  <c r="AB1579" i="6" s="1"/>
  <c r="AB1206" i="1"/>
  <c r="AQ308" i="3"/>
  <c r="AQ323" i="3" s="1"/>
  <c r="AI323" i="3"/>
  <c r="Z1569" i="6"/>
  <c r="Z1586" i="6" s="1"/>
  <c r="Y1586" i="6"/>
  <c r="AB567" i="6"/>
  <c r="AB578" i="6" s="1"/>
  <c r="AB425" i="1"/>
  <c r="AN925" i="3"/>
  <c r="Y1526" i="6"/>
  <c r="H1526" i="6"/>
  <c r="Y1613" i="6"/>
  <c r="Y1637" i="6" s="1"/>
  <c r="AB1362" i="6"/>
  <c r="AB1629" i="6" s="1"/>
  <c r="L1637" i="6"/>
  <c r="AP266" i="6"/>
  <c r="AS1456" i="6"/>
  <c r="AS1464" i="6" s="1"/>
  <c r="Z889" i="6"/>
  <c r="Z1619" i="6" s="1"/>
  <c r="R1637" i="6"/>
  <c r="AP888" i="6"/>
  <c r="AQ1423" i="6"/>
  <c r="AS1411" i="6"/>
  <c r="AK1423" i="6"/>
  <c r="E1526" i="6"/>
  <c r="AP163" i="6"/>
  <c r="T1591" i="6"/>
  <c r="AB911" i="6"/>
  <c r="AQ95" i="6"/>
  <c r="AS80" i="6"/>
  <c r="AS94" i="6" s="1"/>
  <c r="X889" i="6"/>
  <c r="X1619" i="6" s="1"/>
  <c r="AB342" i="6"/>
  <c r="O1526" i="6"/>
  <c r="V1591" i="6"/>
  <c r="AA1362" i="6"/>
  <c r="AA1629" i="6" s="1"/>
  <c r="AK618" i="6"/>
  <c r="AL1525" i="6"/>
  <c r="AG1525" i="6"/>
  <c r="E1558" i="6" s="1"/>
  <c r="AS887" i="6"/>
  <c r="AS1422" i="6"/>
  <c r="X758" i="6"/>
  <c r="X1617" i="6" s="1"/>
  <c r="AS617" i="6"/>
  <c r="U1591" i="6"/>
  <c r="E1564" i="6"/>
  <c r="J1586" i="6"/>
  <c r="AA911" i="6"/>
  <c r="AA1051" i="6"/>
  <c r="X456" i="6"/>
  <c r="X1613" i="6" s="1"/>
  <c r="AQ618" i="6"/>
  <c r="AP432" i="6"/>
  <c r="AP455" i="6" s="1"/>
  <c r="AP1465" i="6"/>
  <c r="AA708" i="6"/>
  <c r="AB1206" i="3"/>
  <c r="AQ551" i="3"/>
  <c r="N1196" i="3"/>
  <c r="N1226" i="3" s="1"/>
  <c r="N1106" i="3"/>
  <c r="Y1245" i="1"/>
  <c r="N1607" i="6"/>
  <c r="AB1106" i="3"/>
  <c r="AB1196" i="3"/>
  <c r="I1134" i="3"/>
  <c r="I1164" i="3" s="1"/>
  <c r="AI1106" i="3"/>
  <c r="AB241" i="6"/>
  <c r="AB247" i="6" s="1"/>
  <c r="AB267" i="6" s="1"/>
  <c r="AB1611" i="6" s="1"/>
  <c r="AB183" i="1"/>
  <c r="AQ329" i="1"/>
  <c r="AN341" i="1"/>
  <c r="AA651" i="6"/>
  <c r="AA660" i="6" s="1"/>
  <c r="AA498" i="1"/>
  <c r="AA742" i="6"/>
  <c r="AA744" i="6" s="1"/>
  <c r="AA565" i="1"/>
  <c r="X1204" i="1"/>
  <c r="Y1204" i="1"/>
  <c r="Z1204" i="1" s="1"/>
  <c r="AQ1106" i="1"/>
  <c r="AQ1112" i="1" s="1"/>
  <c r="AI1112" i="1"/>
  <c r="Z677" i="6"/>
  <c r="Z686" i="6" s="1"/>
  <c r="Z758" i="6" s="1"/>
  <c r="Z1617" i="6" s="1"/>
  <c r="Z521" i="1"/>
  <c r="AB1205" i="1"/>
  <c r="N1578" i="6"/>
  <c r="AB1578" i="6" s="1"/>
  <c r="AP441" i="1"/>
  <c r="AP454" i="1" s="1"/>
  <c r="AO454" i="1"/>
  <c r="AP1247" i="6"/>
  <c r="AQ1247" i="6"/>
  <c r="AN1276" i="6"/>
  <c r="X1203" i="1"/>
  <c r="Y1203" i="1"/>
  <c r="Z1203" i="1" s="1"/>
  <c r="AN754" i="1"/>
  <c r="AQ747" i="1"/>
  <c r="AB952" i="6"/>
  <c r="AB954" i="6" s="1"/>
  <c r="AB721" i="1"/>
  <c r="Z1131" i="3"/>
  <c r="Z1164" i="3" s="1"/>
  <c r="Y1164" i="3"/>
  <c r="AQ974" i="3"/>
  <c r="AQ976" i="3" s="1"/>
  <c r="AN976" i="3"/>
  <c r="N1583" i="6"/>
  <c r="AB1583" i="6" s="1"/>
  <c r="AB1210" i="1"/>
  <c r="AB677" i="6"/>
  <c r="AB686" i="6" s="1"/>
  <c r="AB521" i="1"/>
  <c r="AQ892" i="1"/>
  <c r="AQ899" i="1" s="1"/>
  <c r="AN899" i="1"/>
  <c r="AQ183" i="3"/>
  <c r="AQ189" i="3" s="1"/>
  <c r="AQ192" i="3" s="1"/>
  <c r="AN189" i="3"/>
  <c r="AN1106" i="3" s="1"/>
  <c r="AP183" i="3"/>
  <c r="AP189" i="3" s="1"/>
  <c r="AO189" i="3"/>
  <c r="X1193" i="1"/>
  <c r="Y1193" i="1"/>
  <c r="Z1193" i="1" s="1"/>
  <c r="AA519" i="6"/>
  <c r="AA528" i="6" s="1"/>
  <c r="AA390" i="1"/>
  <c r="AA797" i="6"/>
  <c r="AA804" i="6" s="1"/>
  <c r="AA606" i="1"/>
  <c r="AB1208" i="1"/>
  <c r="N1581" i="6"/>
  <c r="AB1581" i="6" s="1"/>
  <c r="Y1179" i="1"/>
  <c r="H1213" i="1"/>
  <c r="AP327" i="1"/>
  <c r="AP341" i="1" s="1"/>
  <c r="AO341" i="1"/>
  <c r="AO344" i="1" s="1"/>
  <c r="AP746" i="1"/>
  <c r="AP754" i="1" s="1"/>
  <c r="AO754" i="1"/>
  <c r="AA1015" i="6"/>
  <c r="AA1018" i="6" s="1"/>
  <c r="AA773" i="1"/>
  <c r="AA846" i="1" s="1"/>
  <c r="AA1261" i="1" s="1"/>
  <c r="AB1048" i="6"/>
  <c r="AB1051" i="6" s="1"/>
  <c r="AB797" i="1"/>
  <c r="AS1253" i="6"/>
  <c r="AK1276" i="6"/>
  <c r="AA323" i="3"/>
  <c r="AA1202" i="3" s="1"/>
  <c r="AQ1106" i="3"/>
  <c r="AA781" i="6"/>
  <c r="AA899" i="1"/>
  <c r="AA1263" i="1" s="1"/>
  <c r="Z1106" i="3"/>
  <c r="AB372" i="1"/>
  <c r="X994" i="6"/>
  <c r="X1621" i="6" s="1"/>
  <c r="Z754" i="1"/>
  <c r="Z1259" i="1" s="1"/>
  <c r="X1226" i="3"/>
  <c r="AA260" i="1"/>
  <c r="Z576" i="1"/>
  <c r="Z1255" i="1" s="1"/>
  <c r="AB969" i="1"/>
  <c r="AB75" i="1"/>
  <c r="AB202" i="1"/>
  <c r="AB1249" i="1" s="1"/>
  <c r="N576" i="1"/>
  <c r="N1255" i="1" s="1"/>
  <c r="AB589" i="1"/>
  <c r="AB1168" i="6"/>
  <c r="AB1625" i="6" s="1"/>
  <c r="Y1226" i="3"/>
  <c r="AL1156" i="1"/>
  <c r="I1180" i="1"/>
  <c r="I1549" i="6" s="1"/>
  <c r="AO668" i="1"/>
  <c r="AB708" i="6"/>
  <c r="AB226" i="1"/>
  <c r="AB341" i="1" s="1"/>
  <c r="AB1251" i="1" s="1"/>
  <c r="AA226" i="1"/>
  <c r="AA372" i="1"/>
  <c r="AB1196" i="1"/>
  <c r="AA1196" i="3"/>
  <c r="AA1226" i="3" s="1"/>
  <c r="X1179" i="1"/>
  <c r="R1213" i="1"/>
  <c r="X1245" i="1"/>
  <c r="N1245" i="1"/>
  <c r="N1275" i="1" s="1"/>
  <c r="N1156" i="1"/>
  <c r="N1164" i="3"/>
  <c r="Z296" i="6"/>
  <c r="Z299" i="6" s="1"/>
  <c r="Z456" i="6" s="1"/>
  <c r="Z1613" i="6" s="1"/>
  <c r="Z226" i="1"/>
  <c r="Z341" i="1" s="1"/>
  <c r="Z1251" i="1" s="1"/>
  <c r="Z1275" i="1" s="1"/>
  <c r="AB651" i="6"/>
  <c r="AB660" i="6" s="1"/>
  <c r="AB498" i="1"/>
  <c r="AB742" i="6"/>
  <c r="AB744" i="6" s="1"/>
  <c r="AB565" i="1"/>
  <c r="X1559" i="6"/>
  <c r="AB1559" i="6" s="1"/>
  <c r="AB1189" i="1"/>
  <c r="AP1016" i="1"/>
  <c r="AP1024" i="1" s="1"/>
  <c r="AO1024" i="1"/>
  <c r="AQ1016" i="1"/>
  <c r="AQ1024" i="1" s="1"/>
  <c r="AN1024" i="1"/>
  <c r="AP1106" i="1"/>
  <c r="AP1112" i="1" s="1"/>
  <c r="AO1112" i="1"/>
  <c r="AA1132" i="1"/>
  <c r="AA1153" i="1" s="1"/>
  <c r="AA1273" i="1" s="1"/>
  <c r="AA1484" i="6"/>
  <c r="AA1491" i="6" s="1"/>
  <c r="AA1519" i="6" s="1"/>
  <c r="AA1635" i="6" s="1"/>
  <c r="AB1484" i="6"/>
  <c r="AB1491" i="6" s="1"/>
  <c r="AB1519" i="6" s="1"/>
  <c r="AB1635" i="6" s="1"/>
  <c r="AB1132" i="1"/>
  <c r="AB1153" i="1" s="1"/>
  <c r="AB1273" i="1" s="1"/>
  <c r="X1554" i="6"/>
  <c r="AB1554" i="6" s="1"/>
  <c r="AB1184" i="1"/>
  <c r="AQ441" i="1"/>
  <c r="AQ454" i="1" s="1"/>
  <c r="AI454" i="1"/>
  <c r="AK1158" i="6"/>
  <c r="AS1157" i="6" s="1"/>
  <c r="AQ1158" i="6"/>
  <c r="AR1158" i="6" s="1"/>
  <c r="AP1160" i="6"/>
  <c r="AN1167" i="6"/>
  <c r="AQ1160" i="6"/>
  <c r="AR1160" i="6" s="1"/>
  <c r="AQ573" i="1"/>
  <c r="AQ576" i="1" s="1"/>
  <c r="AN576" i="1"/>
  <c r="AA952" i="6"/>
  <c r="AA954" i="6" s="1"/>
  <c r="AA721" i="1"/>
  <c r="X1131" i="3"/>
  <c r="X1164" i="3" s="1"/>
  <c r="R1164" i="3"/>
  <c r="AB1209" i="1"/>
  <c r="N1582" i="6"/>
  <c r="AB1582" i="6" s="1"/>
  <c r="AB1190" i="1"/>
  <c r="N1560" i="6"/>
  <c r="AB1560" i="6" s="1"/>
  <c r="AA677" i="6"/>
  <c r="AA686" i="6" s="1"/>
  <c r="AA521" i="1"/>
  <c r="AP892" i="1"/>
  <c r="AP899" i="1" s="1"/>
  <c r="AO899" i="1"/>
  <c r="AK739" i="6"/>
  <c r="AK757" i="6" s="1"/>
  <c r="AQ739" i="6"/>
  <c r="AR739" i="6" s="1"/>
  <c r="AR757" i="6" s="1"/>
  <c r="AQ656" i="1"/>
  <c r="AI668" i="1"/>
  <c r="X1155" i="3"/>
  <c r="AB1155" i="3" s="1"/>
  <c r="Y1155" i="3"/>
  <c r="Z1155" i="3" s="1"/>
  <c r="X1156" i="3"/>
  <c r="AB1156" i="3" s="1"/>
  <c r="Y1156" i="3"/>
  <c r="Z1156" i="3" s="1"/>
  <c r="AP62" i="1"/>
  <c r="AP75" i="1" s="1"/>
  <c r="AO75" i="1"/>
  <c r="AQ62" i="1"/>
  <c r="AQ75" i="1" s="1"/>
  <c r="AN75" i="1"/>
  <c r="AB390" i="1"/>
  <c r="AB519" i="6"/>
  <c r="AB528" i="6" s="1"/>
  <c r="AB797" i="6"/>
  <c r="AB804" i="6" s="1"/>
  <c r="AB606" i="1"/>
  <c r="N1574" i="6"/>
  <c r="AB1574" i="6" s="1"/>
  <c r="AB1201" i="1"/>
  <c r="AQ327" i="1"/>
  <c r="AQ341" i="1" s="1"/>
  <c r="N1179" i="1"/>
  <c r="I1179" i="1"/>
  <c r="AI341" i="1"/>
  <c r="AI1156" i="1" s="1"/>
  <c r="AB723" i="6"/>
  <c r="AB730" i="6" s="1"/>
  <c r="AB555" i="1"/>
  <c r="AA723" i="6"/>
  <c r="AA730" i="6" s="1"/>
  <c r="AA555" i="1"/>
  <c r="AQ746" i="1"/>
  <c r="AQ754" i="1" s="1"/>
  <c r="AI754" i="1"/>
  <c r="I1198" i="1" s="1"/>
  <c r="I1570" i="6" s="1"/>
  <c r="AQ982" i="6"/>
  <c r="AR982" i="6" s="1"/>
  <c r="AR993" i="6" s="1"/>
  <c r="AK982" i="6"/>
  <c r="AI993" i="6"/>
  <c r="AI1525" i="6" s="1"/>
  <c r="AB1015" i="6"/>
  <c r="AB1018" i="6" s="1"/>
  <c r="AB773" i="1"/>
  <c r="AB846" i="1" s="1"/>
  <c r="AB1261" i="1" s="1"/>
  <c r="AB986" i="6"/>
  <c r="AB988" i="6" s="1"/>
  <c r="AB751" i="1"/>
  <c r="AA986" i="6"/>
  <c r="AA988" i="6" s="1"/>
  <c r="AA751" i="1"/>
  <c r="AN757" i="6"/>
  <c r="AP739" i="6"/>
  <c r="AR266" i="6"/>
  <c r="AR618" i="6"/>
  <c r="AQ888" i="6"/>
  <c r="AO1525" i="6"/>
  <c r="X1108" i="6"/>
  <c r="X1623" i="6" s="1"/>
  <c r="X619" i="6"/>
  <c r="X1615" i="6" s="1"/>
  <c r="X267" i="6"/>
  <c r="AO1106" i="3"/>
  <c r="AA75" i="1"/>
  <c r="AA589" i="1"/>
  <c r="AA668" i="1" s="1"/>
  <c r="AA1257" i="1" s="1"/>
  <c r="AA1168" i="6"/>
  <c r="AA1625" i="6" s="1"/>
  <c r="Z1226" i="3"/>
  <c r="AB1198" i="1"/>
  <c r="AQ668" i="1"/>
  <c r="AA539" i="1"/>
  <c r="AA96" i="6"/>
  <c r="AA1607" i="6" s="1"/>
  <c r="AB96" i="6"/>
  <c r="AB1607" i="6" s="1"/>
  <c r="AA164" i="6"/>
  <c r="AA1609" i="6" s="1"/>
  <c r="AB502" i="6"/>
  <c r="Y754" i="1"/>
  <c r="Y1259" i="1" s="1"/>
  <c r="X1106" i="3"/>
  <c r="AP976" i="3"/>
  <c r="AP1106" i="3" s="1"/>
  <c r="AP1163" i="3" s="1"/>
  <c r="AA342" i="6"/>
  <c r="Y576" i="1"/>
  <c r="Y1255" i="1" s="1"/>
  <c r="AB1277" i="6"/>
  <c r="AB1627" i="6" s="1"/>
  <c r="AA1277" i="6"/>
  <c r="AA1627" i="6" s="1"/>
  <c r="N758" i="6"/>
  <c r="N1617" i="6" s="1"/>
  <c r="AB781" i="6"/>
  <c r="AB686" i="1"/>
  <c r="AB899" i="1"/>
  <c r="AB1263" i="1" s="1"/>
  <c r="Y1106" i="3"/>
  <c r="AL1106" i="3"/>
  <c r="AB164" i="6"/>
  <c r="AB1609" i="6" s="1"/>
  <c r="N1180" i="1"/>
  <c r="AP668" i="1"/>
  <c r="AB539" i="1"/>
  <c r="X846" i="1"/>
  <c r="X1261" i="1" s="1"/>
  <c r="AB299" i="6"/>
  <c r="AA299" i="6"/>
  <c r="AA456" i="6" s="1"/>
  <c r="AA1613" i="6" s="1"/>
  <c r="AA502" i="6"/>
  <c r="AP576" i="1"/>
  <c r="R1156" i="1"/>
  <c r="AB815" i="6"/>
  <c r="P1591" i="6"/>
  <c r="AR432" i="6"/>
  <c r="AR455" i="6" s="1"/>
  <c r="AQ455" i="6"/>
  <c r="AQ458" i="6" s="1"/>
  <c r="AR1097" i="6"/>
  <c r="AR1107" i="6" s="1"/>
  <c r="AQ1107" i="6"/>
  <c r="K1591" i="6"/>
  <c r="AQ1361" i="6"/>
  <c r="AR1348" i="6"/>
  <c r="AR1361" i="6" s="1"/>
  <c r="L1591" i="6"/>
  <c r="AS140" i="6"/>
  <c r="AS162" i="6" s="1"/>
  <c r="AK163" i="6"/>
  <c r="AS1160" i="6"/>
  <c r="AS733" i="6"/>
  <c r="AK1361" i="6"/>
  <c r="AS1342" i="6"/>
  <c r="AS1360" i="6" s="1"/>
  <c r="AR141" i="6"/>
  <c r="AR163" i="6" s="1"/>
  <c r="AQ163" i="6"/>
  <c r="AS1508" i="6"/>
  <c r="AS1518" i="6" s="1"/>
  <c r="AK1519" i="6"/>
  <c r="AR1161" i="6"/>
  <c r="AS254" i="6"/>
  <c r="AS265" i="6" s="1"/>
  <c r="AK266" i="6"/>
  <c r="AK455" i="6"/>
  <c r="S1591" i="6"/>
  <c r="AR1505" i="6"/>
  <c r="AR1519" i="6" s="1"/>
  <c r="AQ1519" i="6"/>
  <c r="AR1465" i="6"/>
  <c r="AK1107" i="6"/>
  <c r="AQ266" i="6"/>
  <c r="AQ1465" i="6"/>
  <c r="AS985" i="6"/>
  <c r="AP1519" i="6"/>
  <c r="AK888" i="6"/>
  <c r="AR888" i="6"/>
  <c r="AS1096" i="6"/>
  <c r="AS1106" i="6" s="1"/>
  <c r="AA754" i="1" l="1"/>
  <c r="AA1259" i="1" s="1"/>
  <c r="AB668" i="1"/>
  <c r="AB1257" i="1" s="1"/>
  <c r="AA454" i="1"/>
  <c r="AA1253" i="1" s="1"/>
  <c r="AA341" i="1"/>
  <c r="AA1251" i="1" s="1"/>
  <c r="AB454" i="1"/>
  <c r="AB1253" i="1" s="1"/>
  <c r="Y1275" i="1"/>
  <c r="X1562" i="6"/>
  <c r="AB1562" i="6" s="1"/>
  <c r="AB1192" i="1"/>
  <c r="AA889" i="6"/>
  <c r="AA1619" i="6" s="1"/>
  <c r="AA1108" i="6"/>
  <c r="AA1623" i="6" s="1"/>
  <c r="Z1637" i="6"/>
  <c r="AQ993" i="6"/>
  <c r="AB456" i="6"/>
  <c r="AB1613" i="6" s="1"/>
  <c r="O1591" i="6"/>
  <c r="J1591" i="6"/>
  <c r="AQ757" i="6"/>
  <c r="AB758" i="6"/>
  <c r="AB1617" i="6" s="1"/>
  <c r="AA619" i="6"/>
  <c r="AA1615" i="6" s="1"/>
  <c r="AB619" i="6"/>
  <c r="AB1615" i="6" s="1"/>
  <c r="AS431" i="6"/>
  <c r="AS454" i="6" s="1"/>
  <c r="AR1167" i="6"/>
  <c r="AK1167" i="6"/>
  <c r="AA758" i="6"/>
  <c r="AA1617" i="6" s="1"/>
  <c r="AN1525" i="6"/>
  <c r="Z1526" i="6"/>
  <c r="X1611" i="6"/>
  <c r="X1637" i="6" s="1"/>
  <c r="X1526" i="6"/>
  <c r="AS738" i="6"/>
  <c r="AS756" i="6" s="1"/>
  <c r="AP757" i="6"/>
  <c r="I1548" i="6"/>
  <c r="I1586" i="6" s="1"/>
  <c r="I1213" i="1"/>
  <c r="AB1265" i="1"/>
  <c r="AQ971" i="1"/>
  <c r="AS1246" i="6"/>
  <c r="AS1275" i="6" s="1"/>
  <c r="AS1277" i="6" s="1"/>
  <c r="AP1276" i="6"/>
  <c r="X1577" i="6"/>
  <c r="AB1577" i="6" s="1"/>
  <c r="AB1204" i="1"/>
  <c r="N1549" i="6"/>
  <c r="AB1549" i="6" s="1"/>
  <c r="AB1180" i="1"/>
  <c r="AA1245" i="1"/>
  <c r="AS981" i="6"/>
  <c r="AS989" i="6" s="1"/>
  <c r="AK993" i="6"/>
  <c r="N1548" i="6"/>
  <c r="AB1179" i="1"/>
  <c r="N1213" i="1"/>
  <c r="AP1167" i="6"/>
  <c r="AS1159" i="6"/>
  <c r="AS1166" i="6" s="1"/>
  <c r="X1548" i="6"/>
  <c r="X1213" i="1"/>
  <c r="AB1245" i="1"/>
  <c r="Y1213" i="1"/>
  <c r="Z1179" i="1"/>
  <c r="Z1213" i="1" s="1"/>
  <c r="X1564" i="6"/>
  <c r="AB1564" i="6" s="1"/>
  <c r="AB1193" i="1"/>
  <c r="X1576" i="6"/>
  <c r="AB1576" i="6" s="1"/>
  <c r="AB1203" i="1"/>
  <c r="AR1247" i="6"/>
  <c r="AR1276" i="6" s="1"/>
  <c r="AQ1276" i="6"/>
  <c r="AS268" i="6"/>
  <c r="AB1637" i="6"/>
  <c r="AB754" i="1"/>
  <c r="AB1259" i="1" s="1"/>
  <c r="AQ1156" i="1"/>
  <c r="AP1156" i="1"/>
  <c r="AB576" i="1"/>
  <c r="X1156" i="1"/>
  <c r="AQ205" i="1"/>
  <c r="N1637" i="6"/>
  <c r="AQ1167" i="6"/>
  <c r="AB889" i="6"/>
  <c r="AB1619" i="6" s="1"/>
  <c r="AA1637" i="6"/>
  <c r="AA994" i="6"/>
  <c r="AA1621" i="6" s="1"/>
  <c r="AN1156" i="1"/>
  <c r="AO1156" i="1"/>
  <c r="AB1131" i="3"/>
  <c r="AB1164" i="3" s="1"/>
  <c r="X1275" i="1"/>
  <c r="AA1106" i="3"/>
  <c r="AA1166" i="3" s="1"/>
  <c r="Z1156" i="1"/>
  <c r="AB1108" i="6"/>
  <c r="AB1623" i="6" s="1"/>
  <c r="AB994" i="6"/>
  <c r="AB1621" i="6" s="1"/>
  <c r="AA576" i="1"/>
  <c r="AA1255" i="1" s="1"/>
  <c r="AB1226" i="3"/>
  <c r="N1526" i="6"/>
  <c r="Y1156" i="1"/>
  <c r="AS758" i="6" l="1"/>
  <c r="AR1525" i="6"/>
  <c r="AR1584" i="6" s="1"/>
  <c r="AP1525" i="6"/>
  <c r="AB1526" i="6"/>
  <c r="AS1520" i="6"/>
  <c r="AK1525" i="6"/>
  <c r="AA1526" i="6"/>
  <c r="AQ1525" i="6"/>
  <c r="AQ578" i="1"/>
  <c r="AB1255" i="1"/>
  <c r="AB1275" i="1"/>
  <c r="X1586" i="6"/>
  <c r="AB1213" i="1"/>
  <c r="AA1156" i="1"/>
  <c r="AB1548" i="6"/>
  <c r="AB1586" i="6" s="1"/>
  <c r="N1586" i="6"/>
  <c r="I1591" i="6"/>
  <c r="AP1212" i="1"/>
  <c r="AB1156" i="1"/>
  <c r="AA1275" i="1"/>
  <c r="X1591" i="6" l="1"/>
  <c r="N1591" i="6"/>
</calcChain>
</file>

<file path=xl/sharedStrings.xml><?xml version="1.0" encoding="utf-8"?>
<sst xmlns="http://schemas.openxmlformats.org/spreadsheetml/2006/main" count="20424" uniqueCount="489">
  <si>
    <t>RELEASES STILL TO BE PAID BY ECs</t>
  </si>
  <si>
    <t>PESO</t>
  </si>
  <si>
    <t>ALLOCATION</t>
  </si>
  <si>
    <t>TOTAL</t>
  </si>
  <si>
    <t>TOTAL PESO</t>
  </si>
  <si>
    <t xml:space="preserve">     E/M</t>
  </si>
  <si>
    <t xml:space="preserve">  TOTAL E/M</t>
  </si>
  <si>
    <t xml:space="preserve">    TOTAL</t>
  </si>
  <si>
    <t>LOAN</t>
  </si>
  <si>
    <t>BALANCE OF</t>
  </si>
  <si>
    <t>PESO RELEASES</t>
  </si>
  <si>
    <t>RELEASES</t>
  </si>
  <si>
    <t>LAST</t>
  </si>
  <si>
    <t>RELEASED</t>
  </si>
  <si>
    <t>THIS</t>
  </si>
  <si>
    <t xml:space="preserve">  RELEASES</t>
  </si>
  <si>
    <t>E/M RELEASES</t>
  </si>
  <si>
    <t>E/M</t>
  </si>
  <si>
    <t>BALANCE</t>
  </si>
  <si>
    <t>COOPERATIVE</t>
  </si>
  <si>
    <t>APPROVED LOANS</t>
  </si>
  <si>
    <t>THIS MONTH</t>
  </si>
  <si>
    <t>T O T A L</t>
  </si>
  <si>
    <t>MONTH</t>
  </si>
  <si>
    <t>W / CHECK</t>
  </si>
  <si>
    <t xml:space="preserve"> WITH ALLOC.</t>
  </si>
  <si>
    <t xml:space="preserve"> T O T A L</t>
  </si>
  <si>
    <t>LAST MONTH</t>
  </si>
  <si>
    <t>W / JV</t>
  </si>
  <si>
    <t>WITH ALLOC.</t>
  </si>
  <si>
    <t>ACTUAL</t>
  </si>
  <si>
    <t>W/ALLOC.</t>
  </si>
  <si>
    <t xml:space="preserve">     --------</t>
  </si>
  <si>
    <t>REGION I</t>
  </si>
  <si>
    <t>ILOCOS NORTE</t>
  </si>
  <si>
    <t>RURAL ELEC.</t>
  </si>
  <si>
    <t>RE-HQ</t>
  </si>
  <si>
    <t>WB-RERP(RE)</t>
  </si>
  <si>
    <t>LOGISTICAL</t>
  </si>
  <si>
    <t>WB-RERP(LOG)</t>
  </si>
  <si>
    <t>-</t>
  </si>
  <si>
    <t>ILOCOS SUR</t>
  </si>
  <si>
    <t>LA UNION</t>
  </si>
  <si>
    <t>RE-IRTC-HQ</t>
  </si>
  <si>
    <t>RELENDING</t>
  </si>
  <si>
    <t>PANGASINAN I</t>
  </si>
  <si>
    <t>CENPELCO</t>
  </si>
  <si>
    <t>RE</t>
  </si>
  <si>
    <t>R2 (EL-REL)</t>
  </si>
  <si>
    <t>PANG. III</t>
  </si>
  <si>
    <t>=</t>
  </si>
  <si>
    <t>C A R (Cordillera Autonomous Region)</t>
  </si>
  <si>
    <t>ABRA</t>
  </si>
  <si>
    <t>OECF-RE</t>
  </si>
  <si>
    <t>OECF-LOG</t>
  </si>
  <si>
    <t>BENGUET</t>
  </si>
  <si>
    <t>SEP (SOLAR)</t>
  </si>
  <si>
    <t>MT. PROVINCE</t>
  </si>
  <si>
    <t>REGION III</t>
  </si>
  <si>
    <t>AURORA</t>
  </si>
  <si>
    <t>PENINSULA/</t>
  </si>
  <si>
    <t xml:space="preserve"> BATELCO</t>
  </si>
  <si>
    <t>EL-RELENDING</t>
  </si>
  <si>
    <t xml:space="preserve">  </t>
  </si>
  <si>
    <t>PAMPANGA I</t>
  </si>
  <si>
    <t>R2</t>
  </si>
  <si>
    <t>PAMPANGA II</t>
  </si>
  <si>
    <t>PAMPANGA III</t>
  </si>
  <si>
    <t>PRESCO</t>
  </si>
  <si>
    <t>SAN JOSE</t>
  </si>
  <si>
    <t>TARLAC I</t>
  </si>
  <si>
    <t>TARLAC II</t>
  </si>
  <si>
    <t>RELENDING 1</t>
  </si>
  <si>
    <t>ZAMBALES I</t>
  </si>
  <si>
    <t xml:space="preserve">RURAL ELEC. </t>
  </si>
  <si>
    <t>ZAMBALES II</t>
  </si>
  <si>
    <t>WB-ESL (RE)</t>
  </si>
  <si>
    <t>REGION V</t>
  </si>
  <si>
    <t>ALBAY I</t>
  </si>
  <si>
    <t>ALBAY II</t>
  </si>
  <si>
    <t>RELENDING 2</t>
  </si>
  <si>
    <t>ALBAY III</t>
  </si>
  <si>
    <t>CAM. SUR I</t>
  </si>
  <si>
    <t>CAM. SUR II</t>
  </si>
  <si>
    <t>CAM. SUR III</t>
  </si>
  <si>
    <t>CAM. SUR IV</t>
  </si>
  <si>
    <t>CAM. NORTE</t>
  </si>
  <si>
    <t>F.CATANDUANES RURAL ELEC</t>
  </si>
  <si>
    <t>MASBATE</t>
  </si>
  <si>
    <t>TICAO</t>
  </si>
  <si>
    <t>RE-ADD-ONS</t>
  </si>
  <si>
    <t>SORSOGON I</t>
  </si>
  <si>
    <t xml:space="preserve">OECF-RE     </t>
  </si>
  <si>
    <t>SORSOGON II</t>
  </si>
  <si>
    <t>REGION VII</t>
  </si>
  <si>
    <t>BOHOL I</t>
  </si>
  <si>
    <t>BOHOL II</t>
  </si>
  <si>
    <t>CEBU I</t>
  </si>
  <si>
    <t>CEBU II</t>
  </si>
  <si>
    <t>CEBU III</t>
  </si>
  <si>
    <t>NEGROS OR. I</t>
  </si>
  <si>
    <t>NEGROS OR. II</t>
  </si>
  <si>
    <t>BANTAYAN IS.</t>
  </si>
  <si>
    <t>CAMOTES IS.</t>
  </si>
  <si>
    <t>SIQUIJOR IS.</t>
  </si>
  <si>
    <t>REGION IX</t>
  </si>
  <si>
    <t>ZAMB. CITY</t>
  </si>
  <si>
    <t>ZAMB. NORTE</t>
  </si>
  <si>
    <t>ZAMB. SUR I</t>
  </si>
  <si>
    <t xml:space="preserve">ZAMB. SUR II </t>
  </si>
  <si>
    <t>BASILAN</t>
  </si>
  <si>
    <t>A R M M (Autonomous Region of Muslim Mindanao)</t>
  </si>
  <si>
    <t>SULU</t>
  </si>
  <si>
    <t>TAWI-TAWI</t>
  </si>
  <si>
    <t>CAG.DE SULU</t>
  </si>
  <si>
    <t>SIASI</t>
  </si>
  <si>
    <t>LANAO SUR</t>
  </si>
  <si>
    <t>MAGUINDANAO</t>
  </si>
  <si>
    <t>A R M M</t>
  </si>
  <si>
    <t>REGION XI</t>
  </si>
  <si>
    <t>DAVAO NORTE</t>
  </si>
  <si>
    <t>DAVAO SUR</t>
  </si>
  <si>
    <t>DAVAO OR.</t>
  </si>
  <si>
    <t>REGION XII</t>
  </si>
  <si>
    <t>SOCOTECO I</t>
  </si>
  <si>
    <t>SOCOTECO II</t>
  </si>
  <si>
    <t>NO. COTABATO</t>
  </si>
  <si>
    <t xml:space="preserve"> GRAND TOTAL</t>
  </si>
  <si>
    <t>v</t>
  </si>
  <si>
    <t>SUMMARY:</t>
  </si>
  <si>
    <t>RURAL ELEC.- IRTC HQ</t>
  </si>
  <si>
    <t>RURAL ELEC.-ADD-ONS</t>
  </si>
  <si>
    <t>WORLD BANK-ESL (RE)</t>
  </si>
  <si>
    <t>EL-CONCESSIONAL</t>
  </si>
  <si>
    <t>WB-RERP (STAGING AREA)</t>
  </si>
  <si>
    <t>WB-RERP (RE)</t>
  </si>
  <si>
    <t>WB-RERP (LOGISTICAL)</t>
  </si>
  <si>
    <t>OECF-LOGISTICAL</t>
  </si>
  <si>
    <t>Prepared by:</t>
  </si>
  <si>
    <t xml:space="preserve">SUMMARY OF LOAN RELEASES </t>
  </si>
  <si>
    <t>SULTAN KUDARAT</t>
  </si>
  <si>
    <t>ACCOUNTING REPORT - LOAN RELEASES</t>
  </si>
  <si>
    <t xml:space="preserve">WB-RERP(RE) </t>
  </si>
  <si>
    <t>EL-EQ (HQ)</t>
  </si>
  <si>
    <t>EL-EARTHQUAKE  (HQ)</t>
  </si>
  <si>
    <t xml:space="preserve"> </t>
  </si>
  <si>
    <t>Accounts Management Specialist</t>
  </si>
  <si>
    <t xml:space="preserve">   MA. ROSARIO P. ROSALES</t>
  </si>
  <si>
    <t xml:space="preserve">         Manager, Accounts Servicing Div.</t>
  </si>
  <si>
    <t xml:space="preserve">                 LIDA E. DELA MERCED</t>
  </si>
  <si>
    <t>IFUGAO</t>
  </si>
  <si>
    <t>KAELCO</t>
  </si>
  <si>
    <t>(A)</t>
  </si>
  <si>
    <t>(B)</t>
  </si>
  <si>
    <t>(C)</t>
  </si>
  <si>
    <t>(E=C+D)</t>
  </si>
  <si>
    <t>(F)</t>
  </si>
  <si>
    <t>(G=E+F)</t>
  </si>
  <si>
    <t>(H)</t>
  </si>
  <si>
    <t>(I)</t>
  </si>
  <si>
    <t>(J=H+I)</t>
  </si>
  <si>
    <t>(K)</t>
  </si>
  <si>
    <t>(L=J+K)</t>
  </si>
  <si>
    <t>(N=B-M)</t>
  </si>
  <si>
    <t>(D)</t>
  </si>
  <si>
    <t>------------------------</t>
  </si>
  <si>
    <t>===============</t>
  </si>
  <si>
    <t>SEP</t>
  </si>
  <si>
    <t>REGION II</t>
  </si>
  <si>
    <t>CAGAYAN I</t>
  </si>
  <si>
    <t>CAGAYAN II</t>
  </si>
  <si>
    <t>ISABELA I</t>
  </si>
  <si>
    <t>ISABELA II</t>
  </si>
  <si>
    <t>EL-HARUROT</t>
  </si>
  <si>
    <t>NUVELCO</t>
  </si>
  <si>
    <t>QUIRINO</t>
  </si>
  <si>
    <t>BATANES</t>
  </si>
  <si>
    <t xml:space="preserve">TOTAL </t>
  </si>
  <si>
    <t>REGION IV</t>
  </si>
  <si>
    <t>BATANGAS I</t>
  </si>
  <si>
    <t>WB-RERP -RE</t>
  </si>
  <si>
    <t>WB-RERP -LOG</t>
  </si>
  <si>
    <t>BATANGAS II</t>
  </si>
  <si>
    <t>WB-RERP-RE</t>
  </si>
  <si>
    <t>WB-RERP-LOG</t>
  </si>
  <si>
    <t>MARINDUQUE</t>
  </si>
  <si>
    <t>OCC. MINDORO</t>
  </si>
  <si>
    <t>OR. MINDORO</t>
  </si>
  <si>
    <t>PALAWAN</t>
  </si>
  <si>
    <t>QUEZON I</t>
  </si>
  <si>
    <t>QUEZON II</t>
  </si>
  <si>
    <t>POLILLIO IS.</t>
  </si>
  <si>
    <t xml:space="preserve">LUBANG </t>
  </si>
  <si>
    <t>BUSUANGA IS.</t>
  </si>
  <si>
    <t>TABLAS IS.</t>
  </si>
  <si>
    <t>ROMBLON</t>
  </si>
  <si>
    <t>REGION VI</t>
  </si>
  <si>
    <t>AKLAN</t>
  </si>
  <si>
    <t>WB-ESL(RE)</t>
  </si>
  <si>
    <t>ANTIQUE</t>
  </si>
  <si>
    <t>CAPIZ</t>
  </si>
  <si>
    <t>ILOILO I</t>
  </si>
  <si>
    <t>ILOILO II</t>
  </si>
  <si>
    <t>ILOILO III</t>
  </si>
  <si>
    <t>CENECO</t>
  </si>
  <si>
    <t xml:space="preserve">NOCECO </t>
  </si>
  <si>
    <t>VRESCO</t>
  </si>
  <si>
    <t>RE-RELENDING</t>
  </si>
  <si>
    <t>WB-ESL-RE</t>
  </si>
  <si>
    <t>GUIMARAS</t>
  </si>
  <si>
    <t>REGION VIII</t>
  </si>
  <si>
    <t>LEYTE</t>
  </si>
  <si>
    <t>LEYTE II</t>
  </si>
  <si>
    <t>LEYTE III</t>
  </si>
  <si>
    <t>LEYTE IV</t>
  </si>
  <si>
    <t>LEYTE V</t>
  </si>
  <si>
    <t>SOLECO</t>
  </si>
  <si>
    <t>SAMAR I</t>
  </si>
  <si>
    <t>SAMAR II</t>
  </si>
  <si>
    <t>ESAMELCO</t>
  </si>
  <si>
    <t>NORSAMELCO</t>
  </si>
  <si>
    <t>OECFLOG</t>
  </si>
  <si>
    <t>BILIRAN</t>
  </si>
  <si>
    <t>REGION X</t>
  </si>
  <si>
    <t>BUKIDNON I</t>
  </si>
  <si>
    <t>BUKIDNON II</t>
  </si>
  <si>
    <t>MOELCI I</t>
  </si>
  <si>
    <t>MOELCI II</t>
  </si>
  <si>
    <t>MORESCO I</t>
  </si>
  <si>
    <t>CAMIGUIN IS.</t>
  </si>
  <si>
    <t>LANECO</t>
  </si>
  <si>
    <t>MORESCO II</t>
  </si>
  <si>
    <t>CARAGA</t>
  </si>
  <si>
    <t>AGUSAN NORTE</t>
  </si>
  <si>
    <t>AGUSAN SUR</t>
  </si>
  <si>
    <t>SURNECO</t>
  </si>
  <si>
    <t>SIARGAO IS.</t>
  </si>
  <si>
    <t>DINAGAT IS.</t>
  </si>
  <si>
    <t>SURIGAO SUR I</t>
  </si>
  <si>
    <t>SURIGAO SUR II</t>
  </si>
  <si>
    <t>CAR</t>
  </si>
  <si>
    <t>RURAL ELECTIFICATION</t>
  </si>
  <si>
    <t>RE-ITC</t>
  </si>
  <si>
    <t>RELENDING-EL</t>
  </si>
  <si>
    <t>RELENDING-RE</t>
  </si>
  <si>
    <t>EL-TYPHOON</t>
  </si>
  <si>
    <t>NUEVA ECIJA I</t>
  </si>
  <si>
    <t>WB-RERP-STAGING AREA</t>
  </si>
  <si>
    <t xml:space="preserve">GRAND TOTAL </t>
  </si>
  <si>
    <t>POLLILIO IS.</t>
  </si>
  <si>
    <t>ARMM</t>
  </si>
  <si>
    <t>(M=E+J)</t>
  </si>
  <si>
    <t>(O=B-G-L)</t>
  </si>
  <si>
    <t xml:space="preserve">FIRST LAGUNA </t>
  </si>
  <si>
    <t>HQ LOAN</t>
  </si>
  <si>
    <t>EL-T (HARUROT)</t>
  </si>
  <si>
    <t>T-HARUROT</t>
  </si>
  <si>
    <t>HQ-LOAN</t>
  </si>
  <si>
    <t>WB-RERP- STNG. AREA</t>
  </si>
  <si>
    <t>WB-ST</t>
  </si>
  <si>
    <t>R2 RELENDING</t>
  </si>
  <si>
    <t>EL-CON</t>
  </si>
  <si>
    <t xml:space="preserve">RELENDING </t>
  </si>
  <si>
    <t>EL RELENDING</t>
  </si>
  <si>
    <t>WB-ESL</t>
  </si>
  <si>
    <t>POLLILIO IS</t>
  </si>
  <si>
    <t>WB-RERP-STGNG AREA</t>
  </si>
  <si>
    <t>WB-SA</t>
  </si>
  <si>
    <t>RE ADD-ONS</t>
  </si>
  <si>
    <t xml:space="preserve">                                   EL-TYPHOON-NANANG</t>
  </si>
  <si>
    <t>RE RELENDING</t>
  </si>
  <si>
    <t>EL-T-NANANG</t>
  </si>
  <si>
    <t>EL-NANANG</t>
  </si>
  <si>
    <t xml:space="preserve">                                   REL-UNSANG &amp; YONING</t>
  </si>
  <si>
    <t>REL. UNSANG &amp; YONING</t>
  </si>
  <si>
    <t>WBRERP-LOG</t>
  </si>
  <si>
    <t>RE ITC</t>
  </si>
  <si>
    <t>GRAND TOTAL</t>
  </si>
  <si>
    <t>DM/CM</t>
  </si>
  <si>
    <t>`</t>
  </si>
  <si>
    <t>RURAL RELECTRIFICATION-HQ</t>
  </si>
  <si>
    <t>RELENDING I</t>
  </si>
  <si>
    <t>REL-UNSANG &amp; YONING</t>
  </si>
  <si>
    <t>SL ADJMNT</t>
  </si>
  <si>
    <t>MTLR</t>
  </si>
  <si>
    <t>Checked by:</t>
  </si>
  <si>
    <t>EVANGELINE V. ENTERESO</t>
  </si>
  <si>
    <t xml:space="preserve">    Loan Management Chief</t>
  </si>
  <si>
    <t>Certified Correct by:</t>
  </si>
  <si>
    <t>EL-HQ</t>
  </si>
  <si>
    <t>ST CREDIT FACILITY</t>
  </si>
  <si>
    <t>SHORT TERM CREDIT FACILITY</t>
  </si>
  <si>
    <t>CHARGED TO EXCESS PAYMENT</t>
  </si>
  <si>
    <t xml:space="preserve">TARLAC II-IFB 72 </t>
  </si>
  <si>
    <t>EXCESS PAYMENT</t>
  </si>
  <si>
    <t>TOTAL-CHARGED TO EXCESS PYMNT</t>
  </si>
  <si>
    <t>FUNDING REQUIREMENT</t>
  </si>
  <si>
    <t>FR</t>
  </si>
  <si>
    <t>EFSEC</t>
  </si>
  <si>
    <t xml:space="preserve">LOGISTICAL  </t>
  </si>
  <si>
    <t xml:space="preserve">OECF-LOG    </t>
  </si>
  <si>
    <t>rr*35</t>
  </si>
  <si>
    <t>ST. CREDIT FACILITY</t>
  </si>
  <si>
    <t>STCF</t>
  </si>
  <si>
    <t>MODIFIED RELENDING</t>
  </si>
  <si>
    <t>MOD RELENDING</t>
  </si>
  <si>
    <t>MODEFIED RELENDING</t>
  </si>
  <si>
    <t>ADD'L LOAN</t>
  </si>
  <si>
    <t xml:space="preserve">CAGELCO II </t>
  </si>
  <si>
    <t>PENINSULA</t>
  </si>
  <si>
    <t>ZAMB. SUR II</t>
  </si>
  <si>
    <t>CEBECO I</t>
  </si>
  <si>
    <t>ZAMB. CITY I</t>
  </si>
  <si>
    <t>MOD. RELENDING</t>
  </si>
  <si>
    <t>RE-TRANNING FCLTY</t>
  </si>
  <si>
    <t>RE-T. FACILITY</t>
  </si>
  <si>
    <t>RE-TRAINNING FACILITY</t>
  </si>
  <si>
    <t>SINGLE DIGIT</t>
  </si>
  <si>
    <t>SINGLE DIGIT SL</t>
  </si>
  <si>
    <t>SINGLE DIGIT SYSTEM LOSS</t>
  </si>
  <si>
    <t>CHARGED TO EXCESS PYMNT</t>
  </si>
  <si>
    <t>#</t>
  </si>
  <si>
    <t>CHARGED EXCESS PAYMENT</t>
  </si>
  <si>
    <t>SHORT TERM</t>
  </si>
  <si>
    <t xml:space="preserve">SINGLE DIGIT </t>
  </si>
  <si>
    <t xml:space="preserve">NUEVA ECIJA II     </t>
  </si>
  <si>
    <t># DIRECT PAYMENT</t>
  </si>
  <si>
    <t>ST</t>
  </si>
  <si>
    <t xml:space="preserve">#CALAMITY LOAN </t>
  </si>
  <si>
    <t>CALAMITY LOAN</t>
  </si>
  <si>
    <t>AS OF 12/31/05</t>
  </si>
  <si>
    <t>TEMP. CHRGD TO RE</t>
  </si>
  <si>
    <t>TEMP. CHRGD TO</t>
  </si>
  <si>
    <t xml:space="preserve">TEMP. CHRGD TO </t>
  </si>
  <si>
    <t>LOG (TO BE APPROVED)</t>
  </si>
  <si>
    <t>As of JANUARY 31, 2005</t>
  </si>
  <si>
    <t>JV</t>
  </si>
  <si>
    <t>LTLR</t>
  </si>
  <si>
    <t>TRANSFER TO EXCESS PYMNT</t>
  </si>
  <si>
    <t>A</t>
  </si>
  <si>
    <t>ADDL LOAN</t>
  </si>
  <si>
    <t>CEBECO III</t>
  </si>
  <si>
    <t>CALAMITY LOAN (T-YOYONG)</t>
  </si>
  <si>
    <t>CALAMITY LOAN (T-HARUROT)</t>
  </si>
  <si>
    <t xml:space="preserve">CALAMITY LOAN </t>
  </si>
  <si>
    <t>CALAMITY LOAN-</t>
  </si>
  <si>
    <t>CALAMITY LOAN (T-UNDING)</t>
  </si>
  <si>
    <t>CLAMITY LOAN</t>
  </si>
  <si>
    <t>PANGASINAN III</t>
  </si>
  <si>
    <t>LEYTE/DORELCO</t>
  </si>
  <si>
    <t>SIGLE DIGIT</t>
  </si>
  <si>
    <t xml:space="preserve">   </t>
  </si>
  <si>
    <t>RE; 163,015.00 - LOG (VEHICLE)</t>
  </si>
  <si>
    <t># FOR RESTRUCTURING</t>
  </si>
  <si>
    <t>F.CATANDUANES</t>
  </si>
  <si>
    <t xml:space="preserve">       NOTE:SINGLE DIGIT P3,347,773.75 HOLD FOR RESTRUCTURING</t>
  </si>
  <si>
    <t>As of December 31, 2005</t>
  </si>
  <si>
    <t>AS OF 11/30/05</t>
  </si>
  <si>
    <t>NORECO I-SD-RECLASS</t>
  </si>
  <si>
    <t>APPROVED</t>
  </si>
  <si>
    <t>EM</t>
  </si>
  <si>
    <t xml:space="preserve">           R E L E A S E S</t>
  </si>
  <si>
    <t>TYPE OF LOAN</t>
  </si>
  <si>
    <t>EC</t>
  </si>
  <si>
    <t>(IN THOUSAND PESOS )</t>
  </si>
  <si>
    <t>SINGLE DIGIT (2004)</t>
  </si>
  <si>
    <t>SINGLE DIGIT (2006)</t>
  </si>
  <si>
    <t>SINGLE DIGIT(2006)</t>
  </si>
  <si>
    <t xml:space="preserve">ALBAY </t>
  </si>
  <si>
    <t>CALAMITY LOAN  T-PAENG</t>
  </si>
  <si>
    <t xml:space="preserve">NUEVA ECIJA II -    </t>
  </si>
  <si>
    <t>AREA I</t>
  </si>
  <si>
    <t>AREA II</t>
  </si>
  <si>
    <t>MACTAN</t>
  </si>
  <si>
    <t>SINGLE DIGIT (2007)</t>
  </si>
  <si>
    <t>SINGLE DIGIT (2005)</t>
  </si>
  <si>
    <t>payment</t>
  </si>
  <si>
    <t># paid  OR#9688044</t>
  </si>
  <si>
    <t xml:space="preserve">      dtd 10/16/06</t>
  </si>
  <si>
    <t># charged to advance</t>
  </si>
  <si>
    <t>SINGLE DIGIT(2005)</t>
  </si>
  <si>
    <t>SINGLE DIGIT(2007)</t>
  </si>
  <si>
    <t>SINGLE DIGIT(2008)</t>
  </si>
  <si>
    <t>SINGLE DIGIT(2004)</t>
  </si>
  <si>
    <t>DINAGAT</t>
  </si>
  <si>
    <t>ZANECO</t>
  </si>
  <si>
    <t>ZAM. SUR I</t>
  </si>
  <si>
    <t>SINGLE DIGIT (2008)</t>
  </si>
  <si>
    <t>69 KV</t>
  </si>
  <si>
    <t>69KV</t>
  </si>
  <si>
    <t>EFSEC (2005)</t>
  </si>
  <si>
    <t xml:space="preserve">               R E L E A S E S</t>
  </si>
  <si>
    <t>CALAMITY LOAN (T-CALOY- 06)</t>
  </si>
  <si>
    <t xml:space="preserve"># Charged to advance payment </t>
  </si>
  <si>
    <t xml:space="preserve">    per JEV#08-03-0882 dtd 03/03/08</t>
  </si>
  <si>
    <t># Restructured</t>
  </si>
  <si>
    <t>#Paid per JEV#08-02-0901</t>
  </si>
  <si>
    <t>CALAMITY LOAN T-COSME (2008)</t>
  </si>
  <si>
    <t>CALAMITY LOAN T-FRANK (2008)</t>
  </si>
  <si>
    <t>CALAMITY LOAN T-CALOY (2006)</t>
  </si>
  <si>
    <t>CALAMITY LOAN T-YOYONG (2005)</t>
  </si>
  <si>
    <t>CAL LOAN T-LANDO &amp; MINA (2008)</t>
  </si>
  <si>
    <t>CALAMITY LOAN T- KABAYAN (2008)</t>
  </si>
  <si>
    <t>CALAMITY LOAN T-MILENYO</t>
  </si>
  <si>
    <t>CALAMITY LOAN T-UNDING</t>
  </si>
  <si>
    <t>CALAMITY LOAN T- FRANK (2008)</t>
  </si>
  <si>
    <t>CALAMITY LOAN -T- FRANK (2008)</t>
  </si>
  <si>
    <t>CONCESSIONAL</t>
  </si>
  <si>
    <t>CALAMITY LOAN - FRANK (2008)</t>
  </si>
  <si>
    <t># Direct payment  P517</t>
  </si>
  <si>
    <t>SINGLE DIGIT(2006/2007)</t>
  </si>
  <si>
    <t>SINGLE DIGIT  (2008)</t>
  </si>
  <si>
    <t>CONCESSIONAL LOAN</t>
  </si>
  <si>
    <t>SINGLE DIGIT (2009)</t>
  </si>
  <si>
    <t>SINGLE DIGIT  (2009)</t>
  </si>
  <si>
    <t>CALAMITY LOAN T-COSME (2009)</t>
  </si>
  <si>
    <t>STAND-BY CREDIT</t>
  </si>
  <si>
    <t># charged to FR (EM)</t>
  </si>
  <si>
    <t>#paid per OR#7532320 dtd10/02/08 P17,571.00</t>
  </si>
  <si>
    <t>#paid per OR#7352307 dtd09/02/08 P45,610.00</t>
  </si>
  <si>
    <t xml:space="preserve">#P56,377.50 paid per OR#7351082 dtd 3/03/08 </t>
  </si>
  <si>
    <t xml:space="preserve">  P30,000.00 paid per OR#7351169 dtd 3/24/08</t>
  </si>
  <si>
    <t xml:space="preserve">  P53,410.30 paid per OR#7352933 dtd 1/27/09</t>
  </si>
  <si>
    <t>P100,000.00 paid per OR#7352994 dtd 2/02/09</t>
  </si>
  <si>
    <t>P100,000.00 paid per OR#7353106 dtd 3/09/09</t>
  </si>
  <si>
    <t>STAND-BY-CREDIT</t>
  </si>
  <si>
    <t>SINGLE DIFIT (2009)</t>
  </si>
  <si>
    <t>SINGLE DIGIT(2009)</t>
  </si>
  <si>
    <t>CALAMITY LOAN T-KIKO (2009)</t>
  </si>
  <si>
    <t>CALAMITY LOAN - FERIA (2009)</t>
  </si>
  <si>
    <t>CALAMITY LOAN T-PEPENG (2009)</t>
  </si>
  <si>
    <t xml:space="preserve">       charged to excess payment</t>
  </si>
  <si>
    <t>CAL LOAN T-ONDOY &amp; PEPENG (2009)</t>
  </si>
  <si>
    <t>CONCESSIONAL LOAN (2009)</t>
  </si>
  <si>
    <t>CALAMITY LOAN-PEPENG (2009)</t>
  </si>
  <si>
    <t>CALAMITY LOAN-KAREN (2008)</t>
  </si>
  <si>
    <t>RE-WORKING CAPITAL (ADDITIONAL)</t>
  </si>
  <si>
    <t>SINGLE DIGIT (2010)</t>
  </si>
  <si>
    <t>CALAMITY LOAN - TYPHOON SANTI</t>
  </si>
  <si>
    <t>CONCESSIONAL LOAN (2010)</t>
  </si>
  <si>
    <t>CONCESSIONAL LOAN(09/10)</t>
  </si>
  <si>
    <t>CONCESSIONAL (2010)</t>
  </si>
  <si>
    <t>#Paid per OR#6339066 dated 04/19/10</t>
  </si>
  <si>
    <t>SINGLE DIGIT(2010)</t>
  </si>
  <si>
    <t>RE-WORKING CAPITAL (2010)</t>
  </si>
  <si>
    <t>CALAMITY LOAN T-JUAN (2010)</t>
  </si>
  <si>
    <t>CALAMITY LOAN-T-JUAN (2010)</t>
  </si>
  <si>
    <t>CAL LOAN T-JUAN (2011)</t>
  </si>
  <si>
    <t>SINGLE DIGIT(2011)</t>
  </si>
  <si>
    <t>CALAMITY LOAN-JUAN (2011)</t>
  </si>
  <si>
    <t>SINGLE DIGIT (2011)</t>
  </si>
  <si>
    <t># Paid per OR#6337884 10/20/09</t>
  </si>
  <si>
    <t>@</t>
  </si>
  <si>
    <t>@ w/ amortization</t>
  </si>
  <si>
    <t>RE-WORKING CAPITAL (2011)</t>
  </si>
  <si>
    <t>CALAMITY LOAN T-JUAN (2011)</t>
  </si>
  <si>
    <t>FUNDING REQUIREMENT (2011)</t>
  </si>
  <si>
    <t>FUNDING REQUIREMENT (2008)</t>
  </si>
  <si>
    <t>FUNDING REQUIREMENT (2010)</t>
  </si>
  <si>
    <t>FUNDING REQUIREMENT (2009)</t>
  </si>
  <si>
    <t>RE-WORKING CAPITAL</t>
  </si>
  <si>
    <t>RE-WORKING CAPITAL (2009)</t>
  </si>
  <si>
    <t>EL-TYPHOON-NANANG</t>
  </si>
  <si>
    <t>RE-WORKING CAPITAL(2011</t>
  </si>
  <si>
    <t>CALAMITY LOAN  T-PIDRING &amp; QUIEL (2011)</t>
  </si>
  <si>
    <t>CALAMITY LOAN-MINA (2011)</t>
  </si>
  <si>
    <t>CALAMITY LOAN T- PEDRING &amp; QUIEL (2011)</t>
  </si>
  <si>
    <t>CALAMITY LOAN T-SENDONG (2011)</t>
  </si>
  <si>
    <t>RE-WORKING CAPITAL (2012)</t>
  </si>
  <si>
    <t>FUNDING REQUIREMENT (2004)</t>
  </si>
  <si>
    <t>CALAMITY LOAN-T-PEDRING &amp; QUIEL (2012)</t>
  </si>
  <si>
    <t>CALAMITY LOAN - T. SENDONG (2012)</t>
  </si>
  <si>
    <t>#Paid per JEV#2011-06-003901 dated 06/09/11 in the amount of P332,837.45 (bal. P7,162.55)</t>
  </si>
  <si>
    <t>SINGLE DIGIT (2012)</t>
  </si>
  <si>
    <t>SINGLE DIGIT(2012)</t>
  </si>
  <si>
    <t>RURAL ELEC. 2012 (COA AOM)</t>
  </si>
  <si>
    <t>CONCESSIONAL (2012-negative loan bal)</t>
  </si>
  <si>
    <t>CONCESSIONAL (2012-COA AOM)</t>
  </si>
  <si>
    <t>FUNDING REQUIREMENT (2012)</t>
  </si>
  <si>
    <t>CONCESSIONAL (2012)</t>
  </si>
  <si>
    <t>CONCESSIONAL LOAN (2012)</t>
  </si>
  <si>
    <t>RE- WORKING CAPITAL (2012)</t>
  </si>
  <si>
    <t xml:space="preserve">SINGLE DIGIT (2012) </t>
  </si>
  <si>
    <t>RE-WORKING CAPITAL (2013)</t>
  </si>
  <si>
    <t>CALAMITY LOAN - T.  PABLO (2013)</t>
  </si>
  <si>
    <t>CALAMITY LOAN T-SENDONG (2012)</t>
  </si>
  <si>
    <t>CALAMITY LOAN T-PABLO (2013)</t>
  </si>
  <si>
    <t>FUNDING REQUIREMENT (2013)</t>
  </si>
  <si>
    <t>as of  March 31,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</si>
</sst>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;;;"/>
    <numFmt numFmtId="165" formatCode="#,##0.00;\(#,##0.00\)"/>
    <numFmt numFmtId="166" formatCode="#,##0.0_);\(#,##0.0\)"/>
    <numFmt numFmtId="167" formatCode="#,##0;\(#,##0\)"/>
  </numFmts>
  <fonts count="25" x14ac:knownFonts="1">
    <font>
      <sz val="12"/>
      <name val="Helv"/>
    </font>
    <font>
      <sz val="10"/>
      <name val="Arial"/>
      <family val="2"/>
    </font>
    <font>
      <b/>
      <sz val="12"/>
      <name val="Helv"/>
    </font>
    <font>
      <sz val="12"/>
      <name val="Helv"/>
    </font>
    <font>
      <b/>
      <sz val="12"/>
      <name val="Arial"/>
      <family val="2"/>
    </font>
    <font>
      <b/>
      <sz val="11"/>
      <name val="Helv"/>
    </font>
    <font>
      <b/>
      <sz val="12"/>
      <name val="Helv"/>
      <family val="2"/>
    </font>
    <font>
      <b/>
      <sz val="11"/>
      <name val="Helv"/>
      <family val="2"/>
    </font>
    <font>
      <b/>
      <sz val="10"/>
      <name val="Helv"/>
      <family val="2"/>
    </font>
    <font>
      <sz val="12"/>
      <name val="Helv"/>
      <family val="2"/>
    </font>
    <font>
      <b/>
      <sz val="14"/>
      <name val="Helv"/>
      <family val="2"/>
    </font>
    <font>
      <b/>
      <sz val="9"/>
      <name val="Helv"/>
    </font>
    <font>
      <b/>
      <sz val="10"/>
      <name val="Helv"/>
    </font>
    <font>
      <sz val="10"/>
      <name val="Helv"/>
    </font>
    <font>
      <b/>
      <sz val="16"/>
      <name val="Helv"/>
    </font>
    <font>
      <sz val="8"/>
      <name val="Helv"/>
    </font>
    <font>
      <b/>
      <sz val="14"/>
      <name val="Helv"/>
    </font>
    <font>
      <b/>
      <sz val="8"/>
      <name val="Helv"/>
    </font>
    <font>
      <sz val="14"/>
      <name val="Helv"/>
    </font>
    <font>
      <sz val="12"/>
      <name val="Arial"/>
      <family val="2"/>
    </font>
    <font>
      <sz val="14"/>
      <name val="Arial"/>
      <family val="2"/>
    </font>
    <font>
      <sz val="12"/>
      <color indexed="10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12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2">
    <xf numFmtId="37" fontId="0" fillId="0" borderId="0"/>
    <xf numFmtId="43" fontId="1" fillId="0" borderId="0" applyFont="0" applyFill="0" applyBorder="0" applyAlignment="0" applyProtection="0"/>
  </cellStyleXfs>
  <cellXfs count="261">
    <xf numFmtId="37" fontId="0" fillId="0" borderId="0" xfId="0"/>
    <xf numFmtId="37" fontId="0" fillId="0" borderId="0" xfId="0" applyAlignment="1" applyProtection="1">
      <alignment horizontal="left"/>
    </xf>
    <xf numFmtId="39" fontId="2" fillId="0" borderId="0" xfId="0" applyNumberFormat="1" applyFont="1" applyAlignment="1" applyProtection="1">
      <alignment horizontal="left"/>
    </xf>
    <xf numFmtId="37" fontId="2" fillId="0" borderId="0" xfId="0" applyFont="1" applyAlignment="1" applyProtection="1">
      <alignment horizontal="left"/>
    </xf>
    <xf numFmtId="37" fontId="2" fillId="0" borderId="0" xfId="0" applyFont="1"/>
    <xf numFmtId="39" fontId="2" fillId="0" borderId="0" xfId="0" applyNumberFormat="1" applyFont="1" applyProtection="1"/>
    <xf numFmtId="37" fontId="3" fillId="0" borderId="0" xfId="0" applyFont="1"/>
    <xf numFmtId="39" fontId="2" fillId="0" borderId="0" xfId="0" applyNumberFormat="1" applyFont="1" applyAlignment="1" applyProtection="1">
      <alignment horizontal="center"/>
    </xf>
    <xf numFmtId="39" fontId="2" fillId="0" borderId="0" xfId="0" applyNumberFormat="1" applyFont="1" applyAlignment="1" applyProtection="1">
      <alignment horizontal="left" shrinkToFit="1"/>
    </xf>
    <xf numFmtId="37" fontId="2" fillId="0" borderId="0" xfId="0" applyFont="1" applyAlignment="1" applyProtection="1">
      <alignment horizontal="left" shrinkToFit="1"/>
    </xf>
    <xf numFmtId="39" fontId="2" fillId="0" borderId="0" xfId="0" applyNumberFormat="1" applyFont="1" applyBorder="1" applyAlignment="1" applyProtection="1">
      <alignment horizontal="center"/>
    </xf>
    <xf numFmtId="37" fontId="2" fillId="0" borderId="0" xfId="0" applyFont="1" applyBorder="1"/>
    <xf numFmtId="39" fontId="2" fillId="0" borderId="1" xfId="0" applyNumberFormat="1" applyFont="1" applyBorder="1" applyAlignment="1" applyProtection="1">
      <alignment horizontal="center"/>
    </xf>
    <xf numFmtId="39" fontId="4" fillId="0" borderId="0" xfId="0" applyNumberFormat="1" applyFont="1" applyAlignment="1" applyProtection="1">
      <alignment horizontal="fill"/>
    </xf>
    <xf numFmtId="37" fontId="4" fillId="0" borderId="0" xfId="0" applyFont="1"/>
    <xf numFmtId="39" fontId="4" fillId="0" borderId="0" xfId="0" applyNumberFormat="1" applyFont="1" applyProtection="1"/>
    <xf numFmtId="39" fontId="4" fillId="0" borderId="0" xfId="0" applyNumberFormat="1" applyFont="1" applyAlignment="1" applyProtection="1">
      <alignment horizontal="left"/>
    </xf>
    <xf numFmtId="37" fontId="4" fillId="0" borderId="0" xfId="0" applyFont="1" applyProtection="1"/>
    <xf numFmtId="39" fontId="4" fillId="0" borderId="0" xfId="0" applyNumberFormat="1" applyFont="1" applyAlignment="1" applyProtection="1"/>
    <xf numFmtId="37" fontId="2" fillId="0" borderId="0" xfId="0" applyFont="1" applyAlignment="1"/>
    <xf numFmtId="37" fontId="2" fillId="0" borderId="0" xfId="0" applyFont="1" applyAlignment="1">
      <alignment horizontal="right"/>
    </xf>
    <xf numFmtId="37" fontId="2" fillId="0" borderId="0" xfId="0" applyFont="1" applyAlignment="1">
      <alignment horizontal="center"/>
    </xf>
    <xf numFmtId="37" fontId="5" fillId="0" borderId="0" xfId="0" applyFont="1"/>
    <xf numFmtId="39" fontId="6" fillId="0" borderId="0" xfId="0" applyNumberFormat="1" applyFont="1" applyAlignment="1" applyProtection="1">
      <alignment horizontal="left"/>
    </xf>
    <xf numFmtId="39" fontId="7" fillId="0" borderId="0" xfId="0" applyNumberFormat="1" applyFont="1" applyAlignment="1" applyProtection="1">
      <alignment horizontal="left"/>
    </xf>
    <xf numFmtId="39" fontId="8" fillId="0" borderId="0" xfId="0" applyNumberFormat="1" applyFont="1" applyAlignment="1" applyProtection="1">
      <alignment horizontal="left"/>
    </xf>
    <xf numFmtId="37" fontId="6" fillId="0" borderId="0" xfId="0" applyFont="1"/>
    <xf numFmtId="37" fontId="7" fillId="0" borderId="0" xfId="0" applyFont="1"/>
    <xf numFmtId="37" fontId="7" fillId="0" borderId="0" xfId="0" applyFont="1" applyAlignment="1" applyProtection="1">
      <alignment horizontal="left"/>
    </xf>
    <xf numFmtId="37" fontId="8" fillId="0" borderId="0" xfId="0" applyFont="1"/>
    <xf numFmtId="39" fontId="6" fillId="0" borderId="0" xfId="0" applyNumberFormat="1" applyFont="1" applyProtection="1"/>
    <xf numFmtId="37" fontId="9" fillId="0" borderId="0" xfId="0" applyFont="1"/>
    <xf numFmtId="39" fontId="6" fillId="0" borderId="0" xfId="0" applyNumberFormat="1" applyFont="1" applyAlignment="1" applyProtection="1">
      <alignment horizontal="right"/>
    </xf>
    <xf numFmtId="164" fontId="6" fillId="0" borderId="0" xfId="0" applyNumberFormat="1" applyFont="1" applyProtection="1"/>
    <xf numFmtId="37" fontId="6" fillId="0" borderId="0" xfId="0" applyFont="1" applyAlignment="1">
      <alignment horizontal="left"/>
    </xf>
    <xf numFmtId="37" fontId="6" fillId="0" borderId="0" xfId="0" applyFont="1" applyAlignment="1" applyProtection="1">
      <alignment horizontal="left"/>
    </xf>
    <xf numFmtId="37" fontId="6" fillId="0" borderId="0" xfId="0" applyFont="1" applyAlignment="1">
      <alignment horizontal="center"/>
    </xf>
    <xf numFmtId="39" fontId="6" fillId="0" borderId="0" xfId="0" applyNumberFormat="1" applyFont="1" applyAlignment="1" applyProtection="1">
      <alignment horizontal="center"/>
    </xf>
    <xf numFmtId="39" fontId="6" fillId="0" borderId="0" xfId="0" applyNumberFormat="1" applyFont="1" applyAlignment="1" applyProtection="1">
      <alignment horizontal="left" shrinkToFit="1"/>
    </xf>
    <xf numFmtId="37" fontId="6" fillId="0" borderId="0" xfId="0" applyFont="1" applyAlignment="1" applyProtection="1">
      <alignment horizontal="left" shrinkToFit="1"/>
    </xf>
    <xf numFmtId="37" fontId="10" fillId="0" borderId="0" xfId="0" applyFont="1"/>
    <xf numFmtId="37" fontId="2" fillId="0" borderId="1" xfId="0" applyFont="1" applyBorder="1"/>
    <xf numFmtId="39" fontId="11" fillId="0" borderId="0" xfId="0" applyNumberFormat="1" applyFont="1" applyAlignment="1" applyProtection="1">
      <alignment horizontal="left"/>
    </xf>
    <xf numFmtId="0" fontId="0" fillId="0" borderId="0" xfId="0" applyNumberFormat="1"/>
    <xf numFmtId="37" fontId="13" fillId="0" borderId="0" xfId="0" applyFont="1"/>
    <xf numFmtId="0" fontId="3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39" fontId="14" fillId="0" borderId="0" xfId="0" applyNumberFormat="1" applyFont="1" applyAlignment="1" applyProtection="1">
      <alignment horizontal="left"/>
    </xf>
    <xf numFmtId="37" fontId="14" fillId="0" borderId="0" xfId="0" applyFont="1"/>
    <xf numFmtId="37" fontId="0" fillId="0" borderId="0" xfId="0" applyAlignment="1">
      <alignment horizontal="right"/>
    </xf>
    <xf numFmtId="37" fontId="3" fillId="0" borderId="0" xfId="0" applyFont="1" applyAlignment="1">
      <alignment horizontal="right"/>
    </xf>
    <xf numFmtId="37" fontId="3" fillId="0" borderId="0" xfId="0" applyFont="1" applyAlignment="1" applyProtection="1">
      <alignment horizontal="right"/>
    </xf>
    <xf numFmtId="39" fontId="3" fillId="0" borderId="0" xfId="0" applyNumberFormat="1" applyFont="1" applyAlignment="1" applyProtection="1">
      <alignment horizontal="right"/>
    </xf>
    <xf numFmtId="37" fontId="15" fillId="0" borderId="0" xfId="0" applyFont="1" applyAlignment="1">
      <alignment horizontal="right"/>
    </xf>
    <xf numFmtId="37" fontId="12" fillId="0" borderId="0" xfId="0" applyFont="1"/>
    <xf numFmtId="165" fontId="2" fillId="0" borderId="0" xfId="0" applyNumberFormat="1" applyFont="1"/>
    <xf numFmtId="165" fontId="0" fillId="0" borderId="0" xfId="0" applyNumberFormat="1"/>
    <xf numFmtId="165" fontId="2" fillId="0" borderId="0" xfId="0" applyNumberFormat="1" applyFont="1" applyAlignment="1" applyProtection="1">
      <alignment horizontal="center"/>
    </xf>
    <xf numFmtId="165" fontId="2" fillId="0" borderId="0" xfId="0" applyNumberFormat="1" applyFont="1" applyProtection="1"/>
    <xf numFmtId="165" fontId="2" fillId="0" borderId="0" xfId="0" applyNumberFormat="1" applyFont="1" applyBorder="1" applyAlignment="1" applyProtection="1">
      <alignment horizontal="center"/>
    </xf>
    <xf numFmtId="165" fontId="2" fillId="0" borderId="1" xfId="0" applyNumberFormat="1" applyFont="1" applyBorder="1" applyAlignment="1" applyProtection="1">
      <alignment horizontal="center"/>
    </xf>
    <xf numFmtId="165" fontId="2" fillId="0" borderId="0" xfId="0" applyNumberFormat="1" applyFont="1" applyAlignment="1" applyProtection="1">
      <alignment horizontal="fill"/>
    </xf>
    <xf numFmtId="165" fontId="2" fillId="0" borderId="0" xfId="0" applyNumberFormat="1" applyFont="1" applyAlignment="1" applyProtection="1">
      <alignment horizontal="right"/>
    </xf>
    <xf numFmtId="165" fontId="2" fillId="0" borderId="0" xfId="0" applyNumberFormat="1" applyFont="1" applyBorder="1"/>
    <xf numFmtId="165" fontId="2" fillId="0" borderId="0" xfId="0" applyNumberFormat="1" applyFont="1" applyBorder="1" applyProtection="1"/>
    <xf numFmtId="165" fontId="2" fillId="0" borderId="0" xfId="0" quotePrefix="1" applyNumberFormat="1" applyFont="1" applyAlignment="1" applyProtection="1">
      <alignment horizontal="center"/>
    </xf>
    <xf numFmtId="165" fontId="4" fillId="0" borderId="0" xfId="0" applyNumberFormat="1" applyFont="1"/>
    <xf numFmtId="165" fontId="6" fillId="0" borderId="0" xfId="0" applyNumberFormat="1" applyFont="1" applyProtection="1"/>
    <xf numFmtId="165" fontId="6" fillId="0" borderId="0" xfId="0" applyNumberFormat="1" applyFont="1"/>
    <xf numFmtId="165" fontId="6" fillId="0" borderId="0" xfId="0" applyNumberFormat="1" applyFont="1" applyBorder="1" applyProtection="1"/>
    <xf numFmtId="165" fontId="6" fillId="0" borderId="0" xfId="0" applyNumberFormat="1" applyFont="1" applyAlignment="1" applyProtection="1">
      <alignment horizontal="fill"/>
    </xf>
    <xf numFmtId="165" fontId="6" fillId="0" borderId="0" xfId="0" quotePrefix="1" applyNumberFormat="1" applyFont="1" applyAlignment="1" applyProtection="1">
      <alignment horizontal="center"/>
    </xf>
    <xf numFmtId="165" fontId="6" fillId="0" borderId="0" xfId="0" applyNumberFormat="1" applyFont="1" applyAlignment="1" applyProtection="1">
      <alignment horizontal="right"/>
    </xf>
    <xf numFmtId="165" fontId="6" fillId="0" borderId="0" xfId="0" applyNumberFormat="1" applyFont="1" applyAlignment="1">
      <alignment horizontal="right"/>
    </xf>
    <xf numFmtId="165" fontId="6" fillId="0" borderId="0" xfId="0" quotePrefix="1" applyNumberFormat="1" applyFont="1" applyAlignment="1">
      <alignment horizontal="right"/>
    </xf>
    <xf numFmtId="165" fontId="9" fillId="0" borderId="0" xfId="0" applyNumberFormat="1" applyFont="1"/>
    <xf numFmtId="165" fontId="6" fillId="0" borderId="0" xfId="0" quotePrefix="1" applyNumberFormat="1" applyFont="1" applyAlignment="1" applyProtection="1">
      <alignment horizontal="left"/>
    </xf>
    <xf numFmtId="165" fontId="12" fillId="0" borderId="0" xfId="0" quotePrefix="1" applyNumberFormat="1" applyFont="1" applyAlignment="1" applyProtection="1">
      <alignment horizontal="left"/>
    </xf>
    <xf numFmtId="165" fontId="6" fillId="0" borderId="0" xfId="0" quotePrefix="1" applyNumberFormat="1" applyFont="1"/>
    <xf numFmtId="165" fontId="6" fillId="0" borderId="0" xfId="0" applyNumberFormat="1" applyFont="1" applyAlignment="1" applyProtection="1">
      <alignment horizontal="left"/>
    </xf>
    <xf numFmtId="165" fontId="5" fillId="0" borderId="0" xfId="0" quotePrefix="1" applyNumberFormat="1" applyFont="1"/>
    <xf numFmtId="165" fontId="12" fillId="0" borderId="0" xfId="0" applyNumberFormat="1" applyFont="1" applyProtection="1"/>
    <xf numFmtId="165" fontId="12" fillId="0" borderId="0" xfId="0" applyNumberFormat="1" applyFont="1" applyAlignment="1" applyProtection="1">
      <alignment horizontal="left"/>
    </xf>
    <xf numFmtId="165" fontId="12" fillId="0" borderId="0" xfId="0" applyNumberFormat="1" applyFont="1"/>
    <xf numFmtId="165" fontId="2" fillId="0" borderId="0" xfId="0" applyNumberFormat="1" applyFont="1" applyAlignment="1" applyProtection="1">
      <alignment horizontal="left"/>
    </xf>
    <xf numFmtId="165" fontId="2" fillId="0" borderId="1" xfId="0" applyNumberFormat="1" applyFont="1" applyBorder="1" applyAlignment="1" applyProtection="1">
      <alignment horizontal="left"/>
    </xf>
    <xf numFmtId="165" fontId="2" fillId="0" borderId="1" xfId="0" applyNumberFormat="1" applyFont="1" applyBorder="1" applyAlignment="1" applyProtection="1">
      <alignment horizontal="right"/>
    </xf>
    <xf numFmtId="165" fontId="2" fillId="0" borderId="2" xfId="0" applyNumberFormat="1" applyFont="1" applyBorder="1"/>
    <xf numFmtId="165" fontId="0" fillId="0" borderId="0" xfId="0" applyNumberFormat="1" applyAlignment="1" applyProtection="1">
      <alignment horizontal="fill"/>
    </xf>
    <xf numFmtId="165" fontId="16" fillId="0" borderId="0" xfId="0" applyNumberFormat="1" applyFont="1" applyAlignment="1" applyProtection="1">
      <alignment horizontal="fill"/>
    </xf>
    <xf numFmtId="165" fontId="16" fillId="0" borderId="0" xfId="0" quotePrefix="1" applyNumberFormat="1" applyFont="1"/>
    <xf numFmtId="165" fontId="16" fillId="0" borderId="0" xfId="0" applyNumberFormat="1" applyFont="1"/>
    <xf numFmtId="165" fontId="16" fillId="0" borderId="0" xfId="0" applyNumberFormat="1" applyFont="1" applyAlignment="1" applyProtection="1">
      <alignment horizontal="left"/>
    </xf>
    <xf numFmtId="165" fontId="6" fillId="0" borderId="0" xfId="0" quotePrefix="1" applyNumberFormat="1" applyFont="1" applyAlignment="1" applyProtection="1"/>
    <xf numFmtId="39" fontId="0" fillId="0" borderId="0" xfId="0" applyNumberFormat="1"/>
    <xf numFmtId="39" fontId="2" fillId="0" borderId="0" xfId="0" applyNumberFormat="1" applyFont="1"/>
    <xf numFmtId="166" fontId="0" fillId="0" borderId="0" xfId="0" applyNumberFormat="1"/>
    <xf numFmtId="39" fontId="3" fillId="0" borderId="0" xfId="0" applyNumberFormat="1" applyFont="1"/>
    <xf numFmtId="165" fontId="6" fillId="0" borderId="0" xfId="0" quotePrefix="1" applyNumberFormat="1" applyFont="1" applyProtection="1"/>
    <xf numFmtId="165" fontId="2" fillId="0" borderId="0" xfId="0" quotePrefix="1" applyNumberFormat="1" applyFont="1" applyAlignment="1" applyProtection="1">
      <alignment horizontal="left"/>
    </xf>
    <xf numFmtId="165" fontId="2" fillId="0" borderId="0" xfId="0" quotePrefix="1" applyNumberFormat="1" applyFont="1"/>
    <xf numFmtId="165" fontId="3" fillId="0" borderId="0" xfId="0" applyNumberFormat="1" applyFont="1"/>
    <xf numFmtId="165" fontId="6" fillId="0" borderId="0" xfId="0" quotePrefix="1" applyNumberFormat="1" applyFont="1" applyAlignment="1" applyProtection="1">
      <alignment horizontal="fill"/>
    </xf>
    <xf numFmtId="39" fontId="6" fillId="0" borderId="1" xfId="0" applyNumberFormat="1" applyFont="1" applyBorder="1" applyAlignment="1" applyProtection="1">
      <alignment horizontal="center"/>
    </xf>
    <xf numFmtId="165" fontId="6" fillId="0" borderId="0" xfId="0" applyNumberFormat="1" applyFont="1" applyBorder="1" applyAlignment="1" applyProtection="1">
      <alignment horizontal="right"/>
    </xf>
    <xf numFmtId="165" fontId="6" fillId="0" borderId="0" xfId="0" applyNumberFormat="1" applyFont="1" applyBorder="1" applyAlignment="1" applyProtection="1">
      <alignment horizontal="fill"/>
    </xf>
    <xf numFmtId="37" fontId="13" fillId="0" borderId="0" xfId="0" applyFont="1" applyAlignment="1">
      <alignment horizontal="right"/>
    </xf>
    <xf numFmtId="0" fontId="2" fillId="0" borderId="0" xfId="0" applyNumberFormat="1" applyFont="1" applyAlignment="1">
      <alignment horizontal="right"/>
    </xf>
    <xf numFmtId="37" fontId="17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165" fontId="6" fillId="0" borderId="0" xfId="0" quotePrefix="1" applyNumberFormat="1" applyFont="1" applyAlignment="1" applyProtection="1">
      <alignment horizontal="right"/>
    </xf>
    <xf numFmtId="0" fontId="2" fillId="0" borderId="0" xfId="0" applyNumberFormat="1" applyFont="1" applyAlignment="1">
      <alignment horizontal="center"/>
    </xf>
    <xf numFmtId="37" fontId="2" fillId="0" borderId="0" xfId="0" applyFont="1" applyAlignment="1">
      <alignment horizontal="left"/>
    </xf>
    <xf numFmtId="165" fontId="6" fillId="0" borderId="2" xfId="0" applyNumberFormat="1" applyFont="1" applyBorder="1" applyAlignment="1" applyProtection="1">
      <alignment horizontal="right"/>
    </xf>
    <xf numFmtId="165" fontId="2" fillId="0" borderId="2" xfId="0" applyNumberFormat="1" applyFont="1" applyBorder="1" applyAlignment="1" applyProtection="1">
      <alignment horizontal="right"/>
    </xf>
    <xf numFmtId="39" fontId="6" fillId="0" borderId="0" xfId="0" applyNumberFormat="1" applyFont="1" applyBorder="1" applyAlignment="1" applyProtection="1">
      <alignment horizontal="center"/>
    </xf>
    <xf numFmtId="165" fontId="12" fillId="0" borderId="3" xfId="0" applyNumberFormat="1" applyFont="1" applyBorder="1"/>
    <xf numFmtId="165" fontId="0" fillId="0" borderId="0" xfId="0" applyNumberFormat="1" applyBorder="1"/>
    <xf numFmtId="165" fontId="2" fillId="0" borderId="0" xfId="0" applyNumberFormat="1" applyFont="1" applyBorder="1" applyAlignment="1" applyProtection="1">
      <alignment horizontal="right"/>
    </xf>
    <xf numFmtId="165" fontId="6" fillId="0" borderId="0" xfId="0" applyNumberFormat="1" applyFont="1" applyBorder="1" applyAlignment="1" applyProtection="1">
      <alignment horizontal="left"/>
    </xf>
    <xf numFmtId="37" fontId="12" fillId="0" borderId="0" xfId="0" applyFont="1" applyAlignment="1" applyProtection="1">
      <alignment horizontal="left"/>
    </xf>
    <xf numFmtId="39" fontId="2" fillId="0" borderId="0" xfId="0" applyNumberFormat="1" applyFont="1" applyAlignment="1">
      <alignment horizontal="right"/>
    </xf>
    <xf numFmtId="39" fontId="2" fillId="0" borderId="0" xfId="0" applyNumberFormat="1" applyFont="1" applyAlignment="1"/>
    <xf numFmtId="39" fontId="3" fillId="0" borderId="0" xfId="0" applyNumberFormat="1" applyFont="1" applyAlignment="1">
      <alignment horizontal="right"/>
    </xf>
    <xf numFmtId="165" fontId="3" fillId="0" borderId="0" xfId="0" applyNumberFormat="1" applyFont="1" applyAlignment="1" applyProtection="1">
      <alignment horizontal="right"/>
    </xf>
    <xf numFmtId="165" fontId="2" fillId="0" borderId="0" xfId="0" applyNumberFormat="1" applyFont="1" applyBorder="1" applyAlignment="1" applyProtection="1">
      <alignment horizontal="left"/>
    </xf>
    <xf numFmtId="165" fontId="2" fillId="0" borderId="0" xfId="0" applyNumberFormat="1" applyFont="1" applyBorder="1" applyAlignment="1" applyProtection="1">
      <alignment horizontal="fill"/>
    </xf>
    <xf numFmtId="165" fontId="6" fillId="0" borderId="0" xfId="0" quotePrefix="1" applyNumberFormat="1" applyFont="1" applyBorder="1"/>
    <xf numFmtId="165" fontId="6" fillId="0" borderId="0" xfId="0" applyNumberFormat="1" applyFont="1" applyBorder="1"/>
    <xf numFmtId="165" fontId="6" fillId="0" borderId="0" xfId="0" quotePrefix="1" applyNumberFormat="1" applyFont="1" applyBorder="1" applyAlignment="1" applyProtection="1">
      <alignment horizontal="left"/>
    </xf>
    <xf numFmtId="165" fontId="6" fillId="0" borderId="2" xfId="0" applyNumberFormat="1" applyFont="1" applyBorder="1" applyProtection="1"/>
    <xf numFmtId="165" fontId="6" fillId="0" borderId="2" xfId="0" applyNumberFormat="1" applyFont="1" applyBorder="1"/>
    <xf numFmtId="165" fontId="12" fillId="0" borderId="4" xfId="0" applyNumberFormat="1" applyFont="1" applyBorder="1"/>
    <xf numFmtId="43" fontId="6" fillId="0" borderId="0" xfId="1" applyFont="1" applyAlignment="1" applyProtection="1">
      <alignment horizontal="right"/>
    </xf>
    <xf numFmtId="43" fontId="0" fillId="0" borderId="0" xfId="1" applyFont="1" applyAlignment="1">
      <alignment horizontal="right"/>
    </xf>
    <xf numFmtId="43" fontId="6" fillId="0" borderId="2" xfId="1" applyFont="1" applyBorder="1" applyAlignment="1" applyProtection="1">
      <alignment horizontal="right"/>
    </xf>
    <xf numFmtId="43" fontId="6" fillId="0" borderId="0" xfId="1" applyFont="1" applyBorder="1" applyAlignment="1" applyProtection="1">
      <alignment horizontal="right"/>
    </xf>
    <xf numFmtId="165" fontId="12" fillId="0" borderId="0" xfId="0" applyNumberFormat="1" applyFont="1" applyBorder="1" applyProtection="1"/>
    <xf numFmtId="43" fontId="3" fillId="0" borderId="0" xfId="1" applyFont="1"/>
    <xf numFmtId="165" fontId="12" fillId="0" borderId="1" xfId="0" applyNumberFormat="1" applyFont="1" applyBorder="1" applyProtection="1"/>
    <xf numFmtId="165" fontId="6" fillId="0" borderId="0" xfId="0" applyNumberFormat="1" applyFont="1" applyBorder="1" applyAlignment="1" applyProtection="1">
      <alignment horizontal="center"/>
    </xf>
    <xf numFmtId="165" fontId="16" fillId="0" borderId="2" xfId="0" quotePrefix="1" applyNumberFormat="1" applyFont="1" applyBorder="1"/>
    <xf numFmtId="165" fontId="13" fillId="0" borderId="0" xfId="0" applyNumberFormat="1" applyFont="1"/>
    <xf numFmtId="165" fontId="12" fillId="0" borderId="0" xfId="0" applyNumberFormat="1" applyFont="1" applyBorder="1"/>
    <xf numFmtId="37" fontId="2" fillId="0" borderId="0" xfId="0" applyFont="1" applyBorder="1" applyAlignment="1">
      <alignment horizontal="right"/>
    </xf>
    <xf numFmtId="37" fontId="0" fillId="0" borderId="0" xfId="0" applyNumberFormat="1"/>
    <xf numFmtId="39" fontId="12" fillId="0" borderId="0" xfId="0" applyNumberFormat="1" applyFont="1"/>
    <xf numFmtId="165" fontId="6" fillId="0" borderId="2" xfId="0" applyNumberFormat="1" applyFont="1" applyBorder="1" applyAlignment="1" applyProtection="1">
      <alignment horizontal="left"/>
    </xf>
    <xf numFmtId="165" fontId="6" fillId="0" borderId="2" xfId="0" applyNumberFormat="1" applyFont="1" applyBorder="1" applyAlignment="1" applyProtection="1">
      <alignment horizontal="fill"/>
    </xf>
    <xf numFmtId="165" fontId="6" fillId="0" borderId="2" xfId="0" applyNumberFormat="1" applyFont="1" applyBorder="1" applyAlignment="1" applyProtection="1">
      <alignment horizontal="center"/>
    </xf>
    <xf numFmtId="39" fontId="12" fillId="0" borderId="1" xfId="0" applyNumberFormat="1" applyFont="1" applyBorder="1"/>
    <xf numFmtId="39" fontId="12" fillId="0" borderId="0" xfId="0" applyNumberFormat="1" applyFont="1" applyAlignment="1">
      <alignment horizontal="left"/>
    </xf>
    <xf numFmtId="165" fontId="6" fillId="0" borderId="0" xfId="0" applyNumberFormat="1" applyFont="1" applyAlignment="1" applyProtection="1"/>
    <xf numFmtId="165" fontId="6" fillId="0" borderId="2" xfId="0" applyNumberFormat="1" applyFont="1" applyBorder="1" applyAlignment="1" applyProtection="1"/>
    <xf numFmtId="165" fontId="0" fillId="0" borderId="2" xfId="0" applyNumberFormat="1" applyBorder="1"/>
    <xf numFmtId="39" fontId="12" fillId="0" borderId="0" xfId="0" applyNumberFormat="1" applyFont="1" applyAlignment="1" applyProtection="1">
      <alignment horizontal="left"/>
    </xf>
    <xf numFmtId="165" fontId="6" fillId="0" borderId="0" xfId="0" applyNumberFormat="1" applyFont="1" applyBorder="1" applyAlignment="1" applyProtection="1"/>
    <xf numFmtId="165" fontId="2" fillId="0" borderId="0" xfId="0" quotePrefix="1" applyNumberFormat="1" applyFont="1" applyBorder="1" applyAlignment="1" applyProtection="1">
      <alignment horizontal="right"/>
    </xf>
    <xf numFmtId="165" fontId="16" fillId="0" borderId="0" xfId="0" quotePrefix="1" applyNumberFormat="1" applyFont="1" applyBorder="1"/>
    <xf numFmtId="165" fontId="6" fillId="0" borderId="0" xfId="0" applyNumberFormat="1" applyFont="1" applyBorder="1" applyAlignment="1">
      <alignment horizontal="right"/>
    </xf>
    <xf numFmtId="165" fontId="18" fillId="0" borderId="0" xfId="0" applyNumberFormat="1" applyFont="1"/>
    <xf numFmtId="39" fontId="6" fillId="0" borderId="0" xfId="0" applyNumberFormat="1" applyFont="1"/>
    <xf numFmtId="165" fontId="11" fillId="0" borderId="0" xfId="0" applyNumberFormat="1" applyFont="1"/>
    <xf numFmtId="39" fontId="6" fillId="0" borderId="0" xfId="0" applyNumberFormat="1" applyFont="1" applyAlignment="1" applyProtection="1"/>
    <xf numFmtId="43" fontId="12" fillId="0" borderId="0" xfId="1" applyFont="1" applyBorder="1"/>
    <xf numFmtId="37" fontId="19" fillId="0" borderId="0" xfId="0" applyFont="1"/>
    <xf numFmtId="39" fontId="19" fillId="0" borderId="0" xfId="0" applyNumberFormat="1" applyFont="1" applyAlignment="1" applyProtection="1">
      <alignment horizontal="left"/>
    </xf>
    <xf numFmtId="165" fontId="19" fillId="0" borderId="0" xfId="0" applyNumberFormat="1" applyFont="1"/>
    <xf numFmtId="37" fontId="19" fillId="0" borderId="0" xfId="0" applyFont="1" applyAlignment="1" applyProtection="1">
      <alignment horizontal="left"/>
    </xf>
    <xf numFmtId="165" fontId="19" fillId="0" borderId="0" xfId="0" applyNumberFormat="1" applyFont="1" applyAlignment="1" applyProtection="1">
      <alignment horizontal="center"/>
    </xf>
    <xf numFmtId="165" fontId="19" fillId="0" borderId="0" xfId="0" applyNumberFormat="1" applyFont="1" applyProtection="1"/>
    <xf numFmtId="39" fontId="19" fillId="0" borderId="0" xfId="0" applyNumberFormat="1" applyFont="1" applyAlignment="1" applyProtection="1">
      <alignment horizontal="center"/>
    </xf>
    <xf numFmtId="39" fontId="19" fillId="0" borderId="0" xfId="0" applyNumberFormat="1" applyFont="1" applyProtection="1"/>
    <xf numFmtId="39" fontId="19" fillId="0" borderId="0" xfId="0" applyNumberFormat="1" applyFont="1" applyBorder="1" applyAlignment="1" applyProtection="1">
      <alignment horizontal="center"/>
    </xf>
    <xf numFmtId="37" fontId="19" fillId="0" borderId="0" xfId="0" applyFont="1" applyBorder="1"/>
    <xf numFmtId="165" fontId="19" fillId="0" borderId="0" xfId="0" applyNumberFormat="1" applyFont="1" applyBorder="1" applyAlignment="1" applyProtection="1">
      <alignment horizontal="center"/>
    </xf>
    <xf numFmtId="165" fontId="19" fillId="0" borderId="0" xfId="0" applyNumberFormat="1" applyFont="1" applyBorder="1" applyAlignment="1" applyProtection="1">
      <alignment horizontal="left"/>
    </xf>
    <xf numFmtId="39" fontId="19" fillId="0" borderId="1" xfId="0" applyNumberFormat="1" applyFont="1" applyBorder="1" applyAlignment="1" applyProtection="1">
      <alignment horizontal="center"/>
    </xf>
    <xf numFmtId="37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 applyProtection="1">
      <alignment horizontal="center"/>
    </xf>
    <xf numFmtId="0" fontId="19" fillId="0" borderId="0" xfId="0" applyNumberFormat="1" applyFont="1" applyAlignment="1">
      <alignment horizontal="left"/>
    </xf>
    <xf numFmtId="167" fontId="19" fillId="0" borderId="0" xfId="0" applyNumberFormat="1" applyFont="1" applyProtection="1"/>
    <xf numFmtId="167" fontId="19" fillId="0" borderId="0" xfId="0" applyNumberFormat="1" applyFont="1" applyAlignment="1" applyProtection="1">
      <alignment horizontal="fill"/>
    </xf>
    <xf numFmtId="37" fontId="19" fillId="0" borderId="0" xfId="0" applyFont="1" applyAlignment="1">
      <alignment horizontal="left"/>
    </xf>
    <xf numFmtId="167" fontId="19" fillId="0" borderId="2" xfId="0" applyNumberFormat="1" applyFont="1" applyBorder="1" applyProtection="1"/>
    <xf numFmtId="167" fontId="19" fillId="0" borderId="2" xfId="0" applyNumberFormat="1" applyFont="1" applyBorder="1" applyAlignment="1" applyProtection="1">
      <alignment horizontal="right"/>
    </xf>
    <xf numFmtId="37" fontId="19" fillId="0" borderId="0" xfId="0" applyFont="1" applyAlignment="1">
      <alignment horizontal="right"/>
    </xf>
    <xf numFmtId="0" fontId="19" fillId="0" borderId="0" xfId="0" applyNumberFormat="1" applyFont="1" applyAlignment="1">
      <alignment horizontal="right"/>
    </xf>
    <xf numFmtId="167" fontId="19" fillId="0" borderId="0" xfId="0" applyNumberFormat="1" applyFont="1" applyBorder="1" applyAlignment="1" applyProtection="1">
      <alignment horizontal="left"/>
    </xf>
    <xf numFmtId="167" fontId="19" fillId="0" borderId="0" xfId="0" applyNumberFormat="1" applyFont="1" applyBorder="1" applyAlignment="1" applyProtection="1">
      <alignment horizontal="fill"/>
    </xf>
    <xf numFmtId="167" fontId="19" fillId="0" borderId="0" xfId="0" applyNumberFormat="1" applyFont="1" applyAlignment="1" applyProtection="1">
      <alignment horizontal="left"/>
    </xf>
    <xf numFmtId="167" fontId="19" fillId="0" borderId="0" xfId="0" applyNumberFormat="1" applyFont="1"/>
    <xf numFmtId="39" fontId="19" fillId="0" borderId="0" xfId="0" applyNumberFormat="1" applyFont="1" applyAlignment="1" applyProtection="1">
      <alignment horizontal="left" shrinkToFit="1"/>
    </xf>
    <xf numFmtId="39" fontId="19" fillId="0" borderId="0" xfId="0" applyNumberFormat="1" applyFont="1" applyAlignment="1">
      <alignment horizontal="right"/>
    </xf>
    <xf numFmtId="165" fontId="19" fillId="0" borderId="0" xfId="0" applyNumberFormat="1" applyFont="1" applyAlignment="1" applyProtection="1">
      <alignment horizontal="right"/>
    </xf>
    <xf numFmtId="39" fontId="19" fillId="0" borderId="0" xfId="0" applyNumberFormat="1" applyFont="1"/>
    <xf numFmtId="167" fontId="19" fillId="0" borderId="0" xfId="0" applyNumberFormat="1" applyFont="1" applyAlignment="1" applyProtection="1">
      <alignment horizontal="right"/>
    </xf>
    <xf numFmtId="37" fontId="19" fillId="0" borderId="0" xfId="0" applyFont="1" applyAlignment="1" applyProtection="1">
      <alignment horizontal="right"/>
    </xf>
    <xf numFmtId="167" fontId="19" fillId="0" borderId="2" xfId="0" applyNumberFormat="1" applyFont="1" applyBorder="1"/>
    <xf numFmtId="167" fontId="19" fillId="0" borderId="0" xfId="0" applyNumberFormat="1" applyFont="1" applyBorder="1"/>
    <xf numFmtId="37" fontId="19" fillId="0" borderId="0" xfId="0" applyNumberFormat="1" applyFont="1"/>
    <xf numFmtId="167" fontId="19" fillId="0" borderId="0" xfId="0" quotePrefix="1" applyNumberFormat="1" applyFont="1" applyAlignment="1" applyProtection="1">
      <alignment horizontal="center"/>
    </xf>
    <xf numFmtId="37" fontId="19" fillId="0" borderId="0" xfId="0" applyFont="1" applyAlignment="1">
      <alignment horizontal="center"/>
    </xf>
    <xf numFmtId="167" fontId="19" fillId="0" borderId="0" xfId="0" applyNumberFormat="1" applyFont="1" applyBorder="1" applyAlignment="1" applyProtection="1">
      <alignment horizontal="right"/>
    </xf>
    <xf numFmtId="39" fontId="19" fillId="0" borderId="0" xfId="0" applyNumberFormat="1" applyFont="1" applyAlignment="1" applyProtection="1">
      <alignment horizontal="right"/>
    </xf>
    <xf numFmtId="167" fontId="19" fillId="0" borderId="0" xfId="0" applyNumberFormat="1" applyFont="1" applyBorder="1" applyProtection="1"/>
    <xf numFmtId="39" fontId="19" fillId="0" borderId="0" xfId="0" applyNumberFormat="1" applyFont="1" applyAlignment="1" applyProtection="1">
      <alignment horizontal="fill"/>
    </xf>
    <xf numFmtId="167" fontId="19" fillId="0" borderId="0" xfId="0" applyNumberFormat="1" applyFont="1" applyAlignment="1">
      <alignment horizontal="right"/>
    </xf>
    <xf numFmtId="167" fontId="19" fillId="0" borderId="0" xfId="0" applyNumberFormat="1" applyFont="1" applyBorder="1" applyAlignment="1">
      <alignment horizontal="right"/>
    </xf>
    <xf numFmtId="37" fontId="19" fillId="0" borderId="0" xfId="0" applyFont="1" applyProtection="1"/>
    <xf numFmtId="39" fontId="19" fillId="0" borderId="0" xfId="0" applyNumberFormat="1" applyFont="1" applyAlignment="1" applyProtection="1"/>
    <xf numFmtId="37" fontId="19" fillId="0" borderId="0" xfId="0" applyFont="1" applyAlignment="1"/>
    <xf numFmtId="167" fontId="19" fillId="0" borderId="0" xfId="0" quotePrefix="1" applyNumberFormat="1" applyFont="1" applyAlignment="1">
      <alignment horizontal="right"/>
    </xf>
    <xf numFmtId="37" fontId="19" fillId="0" borderId="0" xfId="0" applyFont="1" applyAlignment="1" applyProtection="1">
      <alignment horizontal="left" shrinkToFit="1"/>
    </xf>
    <xf numFmtId="167" fontId="19" fillId="0" borderId="2" xfId="0" applyNumberFormat="1" applyFont="1" applyBorder="1" applyAlignment="1" applyProtection="1">
      <alignment horizontal="left"/>
    </xf>
    <xf numFmtId="37" fontId="19" fillId="0" borderId="2" xfId="0" applyFont="1" applyBorder="1"/>
    <xf numFmtId="0" fontId="19" fillId="0" borderId="0" xfId="0" applyNumberFormat="1" applyFont="1" applyAlignment="1">
      <alignment horizontal="center"/>
    </xf>
    <xf numFmtId="43" fontId="19" fillId="0" borderId="0" xfId="1" applyFont="1" applyAlignment="1">
      <alignment horizontal="right"/>
    </xf>
    <xf numFmtId="167" fontId="19" fillId="0" borderId="0" xfId="0" applyNumberFormat="1" applyFont="1" applyBorder="1" applyAlignment="1" applyProtection="1">
      <alignment horizontal="center"/>
    </xf>
    <xf numFmtId="167" fontId="19" fillId="0" borderId="0" xfId="0" applyNumberFormat="1" applyFont="1" applyAlignment="1" applyProtection="1">
      <alignment horizontal="center"/>
    </xf>
    <xf numFmtId="167" fontId="19" fillId="0" borderId="0" xfId="0" quotePrefix="1" applyNumberFormat="1" applyFont="1" applyAlignment="1" applyProtection="1">
      <alignment horizontal="left"/>
    </xf>
    <xf numFmtId="167" fontId="19" fillId="0" borderId="0" xfId="0" quotePrefix="1" applyNumberFormat="1" applyFont="1" applyBorder="1" applyAlignment="1" applyProtection="1">
      <alignment horizontal="left"/>
    </xf>
    <xf numFmtId="167" fontId="19" fillId="0" borderId="0" xfId="1" applyNumberFormat="1" applyFont="1" applyBorder="1" applyAlignment="1" applyProtection="1">
      <alignment horizontal="right"/>
    </xf>
    <xf numFmtId="167" fontId="19" fillId="0" borderId="0" xfId="0" quotePrefix="1" applyNumberFormat="1" applyFont="1"/>
    <xf numFmtId="43" fontId="19" fillId="0" borderId="0" xfId="1" applyFont="1"/>
    <xf numFmtId="167" fontId="19" fillId="0" borderId="0" xfId="0" quotePrefix="1" applyNumberFormat="1" applyFont="1" applyAlignment="1" applyProtection="1"/>
    <xf numFmtId="37" fontId="19" fillId="0" borderId="0" xfId="0" applyFont="1" applyBorder="1" applyAlignment="1">
      <alignment horizontal="left"/>
    </xf>
    <xf numFmtId="37" fontId="20" fillId="0" borderId="0" xfId="0" applyFont="1"/>
    <xf numFmtId="0" fontId="19" fillId="0" borderId="0" xfId="0" applyNumberFormat="1" applyFont="1" applyBorder="1" applyAlignment="1">
      <alignment horizontal="left"/>
    </xf>
    <xf numFmtId="167" fontId="19" fillId="0" borderId="0" xfId="0" quotePrefix="1" applyNumberFormat="1" applyFont="1" applyBorder="1"/>
    <xf numFmtId="167" fontId="19" fillId="0" borderId="0" xfId="0" quotePrefix="1" applyNumberFormat="1" applyFont="1" applyAlignment="1" applyProtection="1">
      <alignment horizontal="fill"/>
    </xf>
    <xf numFmtId="167" fontId="19" fillId="0" borderId="2" xfId="0" applyNumberFormat="1" applyFont="1" applyBorder="1" applyAlignment="1" applyProtection="1">
      <alignment horizontal="fill"/>
    </xf>
    <xf numFmtId="166" fontId="19" fillId="0" borderId="0" xfId="0" applyNumberFormat="1" applyFont="1"/>
    <xf numFmtId="167" fontId="21" fillId="0" borderId="0" xfId="0" applyNumberFormat="1" applyFont="1"/>
    <xf numFmtId="43" fontId="19" fillId="0" borderId="0" xfId="1" applyFont="1" applyBorder="1"/>
    <xf numFmtId="39" fontId="19" fillId="0" borderId="0" xfId="0" applyNumberFormat="1" applyFont="1" applyAlignment="1">
      <alignment horizontal="left"/>
    </xf>
    <xf numFmtId="37" fontId="19" fillId="0" borderId="0" xfId="0" applyFont="1" applyBorder="1" applyAlignment="1">
      <alignment horizontal="right"/>
    </xf>
    <xf numFmtId="39" fontId="19" fillId="0" borderId="1" xfId="0" applyNumberFormat="1" applyFont="1" applyBorder="1"/>
    <xf numFmtId="165" fontId="19" fillId="0" borderId="1" xfId="0" applyNumberFormat="1" applyFont="1" applyBorder="1" applyProtection="1"/>
    <xf numFmtId="165" fontId="19" fillId="0" borderId="0" xfId="0" applyNumberFormat="1" applyFont="1" applyAlignment="1" applyProtection="1">
      <alignment horizontal="left"/>
    </xf>
    <xf numFmtId="165" fontId="19" fillId="0" borderId="0" xfId="0" applyNumberFormat="1" applyFont="1" applyBorder="1"/>
    <xf numFmtId="165" fontId="19" fillId="0" borderId="3" xfId="0" applyNumberFormat="1" applyFont="1" applyBorder="1"/>
    <xf numFmtId="165" fontId="19" fillId="0" borderId="4" xfId="0" applyNumberFormat="1" applyFont="1" applyBorder="1"/>
    <xf numFmtId="165" fontId="19" fillId="0" borderId="0" xfId="0" applyNumberFormat="1" applyFont="1" applyAlignment="1" applyProtection="1">
      <alignment horizontal="fill"/>
    </xf>
    <xf numFmtId="165" fontId="19" fillId="0" borderId="2" xfId="0" applyNumberFormat="1" applyFont="1" applyBorder="1"/>
    <xf numFmtId="167" fontId="19" fillId="0" borderId="1" xfId="0" applyNumberFormat="1" applyFont="1" applyBorder="1" applyAlignment="1" applyProtection="1">
      <alignment horizontal="right"/>
    </xf>
    <xf numFmtId="167" fontId="19" fillId="0" borderId="1" xfId="0" applyNumberFormat="1" applyFont="1" applyBorder="1" applyProtection="1"/>
    <xf numFmtId="165" fontId="19" fillId="0" borderId="1" xfId="0" applyNumberFormat="1" applyFont="1" applyBorder="1" applyAlignment="1" applyProtection="1">
      <alignment horizontal="right"/>
    </xf>
    <xf numFmtId="165" fontId="19" fillId="0" borderId="0" xfId="0" applyNumberFormat="1" applyFont="1" applyBorder="1" applyAlignment="1" applyProtection="1">
      <alignment horizontal="right"/>
    </xf>
    <xf numFmtId="167" fontId="19" fillId="0" borderId="5" xfId="0" applyNumberFormat="1" applyFont="1" applyBorder="1" applyProtection="1"/>
    <xf numFmtId="165" fontId="19" fillId="0" borderId="0" xfId="0" quotePrefix="1" applyNumberFormat="1" applyFont="1"/>
    <xf numFmtId="37" fontId="19" fillId="0" borderId="0" xfId="0" quotePrefix="1" applyFont="1"/>
    <xf numFmtId="167" fontId="22" fillId="0" borderId="0" xfId="0" applyNumberFormat="1" applyFont="1"/>
    <xf numFmtId="165" fontId="22" fillId="0" borderId="0" xfId="0" applyNumberFormat="1" applyFont="1"/>
    <xf numFmtId="37" fontId="23" fillId="0" borderId="0" xfId="0" applyFont="1"/>
    <xf numFmtId="167" fontId="23" fillId="0" borderId="2" xfId="0" applyNumberFormat="1" applyFont="1" applyBorder="1" applyAlignment="1" applyProtection="1">
      <alignment horizontal="fill"/>
    </xf>
    <xf numFmtId="39" fontId="20" fillId="0" borderId="0" xfId="0" applyNumberFormat="1" applyFont="1" applyAlignment="1" applyProtection="1">
      <alignment horizontal="left"/>
    </xf>
    <xf numFmtId="37" fontId="20" fillId="0" borderId="0" xfId="0" applyFont="1" applyAlignment="1" applyProtection="1">
      <alignment horizontal="left"/>
    </xf>
    <xf numFmtId="167" fontId="24" fillId="0" borderId="0" xfId="0" applyNumberFormat="1" applyFont="1"/>
    <xf numFmtId="165" fontId="24" fillId="0" borderId="0" xfId="0" applyNumberFormat="1" applyFont="1"/>
    <xf numFmtId="37" fontId="24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4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341261633919378E-2"/>
          <c:y val="1.6949152542372881E-2"/>
          <c:w val="0.97414684591520151"/>
          <c:h val="0.9661016949152542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76160"/>
        <c:axId val="101677696"/>
      </c:barChart>
      <c:catAx>
        <c:axId val="10167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77696"/>
        <c:crosses val="autoZero"/>
        <c:auto val="1"/>
        <c:lblAlgn val="ctr"/>
        <c:lblOffset val="100"/>
        <c:tickMarkSkip val="1"/>
        <c:noMultiLvlLbl val="0"/>
      </c:catAx>
      <c:valAx>
        <c:axId val="10167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761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9586347034762956"/>
          <c:y val="0.5"/>
          <c:w val="0.99586347034762956"/>
          <c:h val="0.501694915254237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2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536"/>
  <sheetViews>
    <sheetView workbookViewId="0">
      <selection sqref="A1:AQ65536"/>
    </sheetView>
  </sheetViews>
  <sheetFormatPr defaultRowHeight="15.75" x14ac:dyDescent="0.25"/>
  <cols>
    <col min="1" max="1" width="4.88671875" customWidth="1"/>
    <col min="2" max="2" width="15.5546875" customWidth="1"/>
    <col min="3" max="3" width="22.109375" style="6" customWidth="1"/>
    <col min="4" max="4" width="18.21875" style="56" customWidth="1"/>
    <col min="5" max="5" width="17.44140625" style="56" customWidth="1"/>
    <col min="6" max="6" width="14.33203125" style="56" customWidth="1"/>
    <col min="7" max="7" width="2" style="56" customWidth="1"/>
    <col min="8" max="8" width="15.77734375" style="56" customWidth="1"/>
    <col min="9" max="9" width="14.77734375" style="56" hidden="1" customWidth="1"/>
    <col min="10" max="10" width="13.77734375" style="56" hidden="1" customWidth="1"/>
    <col min="11" max="11" width="14.77734375" style="56" hidden="1" customWidth="1"/>
    <col min="12" max="12" width="16.77734375" style="56" customWidth="1"/>
    <col min="13" max="13" width="3.33203125" style="56" customWidth="1"/>
    <col min="14" max="15" width="15.77734375" style="56" customWidth="1"/>
    <col min="16" max="16" width="15.6640625" style="56" customWidth="1"/>
    <col min="17" max="17" width="2.77734375" style="56" customWidth="1"/>
    <col min="18" max="18" width="15.77734375" style="56" customWidth="1"/>
    <col min="19" max="20" width="14.77734375" style="56" hidden="1" customWidth="1"/>
    <col min="21" max="21" width="15.77734375" style="56" hidden="1" customWidth="1"/>
    <col min="22" max="22" width="16.21875" style="56" customWidth="1"/>
    <col min="23" max="23" width="3.5546875" style="56" customWidth="1"/>
    <col min="24" max="24" width="15.77734375" style="56" customWidth="1"/>
    <col min="25" max="26" width="17.77734375" style="56" customWidth="1"/>
    <col min="27" max="27" width="17.77734375" style="56" hidden="1" customWidth="1"/>
    <col min="28" max="28" width="17.77734375" style="56" customWidth="1"/>
    <col min="29" max="29" width="15" customWidth="1"/>
    <col min="30" max="30" width="16.88671875" customWidth="1"/>
    <col min="31" max="31" width="17.33203125" customWidth="1"/>
    <col min="32" max="32" width="15.33203125" customWidth="1"/>
    <col min="33" max="33" width="18.109375" customWidth="1"/>
    <col min="34" max="34" width="15.77734375" customWidth="1"/>
    <col min="35" max="35" width="16.77734375" customWidth="1"/>
    <col min="36" max="36" width="16.5546875" customWidth="1"/>
    <col min="37" max="37" width="14" customWidth="1"/>
    <col min="38" max="38" width="16" customWidth="1"/>
    <col min="39" max="39" width="15" customWidth="1"/>
    <col min="40" max="40" width="16.77734375" customWidth="1"/>
    <col min="41" max="42" width="17.88671875" customWidth="1"/>
    <col min="43" max="43" width="16.88671875" customWidth="1"/>
  </cols>
  <sheetData>
    <row r="1" spans="1:43" x14ac:dyDescent="0.25">
      <c r="B1" s="2" t="s">
        <v>141</v>
      </c>
      <c r="C1" s="4"/>
      <c r="D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43" x14ac:dyDescent="0.25">
      <c r="B2" s="3" t="s">
        <v>0</v>
      </c>
      <c r="C2" s="4"/>
      <c r="D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X2" s="55"/>
      <c r="Y2" s="55"/>
      <c r="Z2" s="55"/>
      <c r="AA2" s="55"/>
      <c r="AB2" s="55"/>
    </row>
    <row r="3" spans="1:43" x14ac:dyDescent="0.25">
      <c r="B3" s="3" t="s">
        <v>335</v>
      </c>
      <c r="C3" s="4"/>
      <c r="D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43" x14ac:dyDescent="0.25">
      <c r="B4" s="4"/>
      <c r="C4" s="4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43" x14ac:dyDescent="0.25">
      <c r="B5" s="4"/>
      <c r="C5" s="4"/>
      <c r="D5" s="55"/>
      <c r="E5" s="55"/>
      <c r="F5" s="57" t="s">
        <v>1</v>
      </c>
      <c r="G5" s="57"/>
      <c r="H5" s="58"/>
      <c r="I5" s="57" t="s">
        <v>2</v>
      </c>
      <c r="J5" s="55"/>
      <c r="K5" s="57" t="s">
        <v>2</v>
      </c>
      <c r="L5" s="57" t="s">
        <v>3</v>
      </c>
      <c r="M5" s="57"/>
      <c r="N5" s="57" t="s">
        <v>4</v>
      </c>
      <c r="O5" s="55"/>
      <c r="P5" s="57" t="s">
        <v>17</v>
      </c>
      <c r="Q5" s="57"/>
      <c r="R5" s="55"/>
      <c r="S5" s="55"/>
      <c r="T5" s="55"/>
      <c r="U5" s="57" t="s">
        <v>2</v>
      </c>
      <c r="V5" s="57" t="s">
        <v>3</v>
      </c>
      <c r="W5" s="57"/>
      <c r="X5" s="57" t="s">
        <v>6</v>
      </c>
      <c r="Y5" s="57" t="s">
        <v>7</v>
      </c>
      <c r="Z5" s="57" t="s">
        <v>8</v>
      </c>
      <c r="AA5" s="57" t="s">
        <v>3</v>
      </c>
      <c r="AB5" s="57" t="s">
        <v>8</v>
      </c>
      <c r="AC5" s="4"/>
      <c r="AE5" s="4"/>
      <c r="AF5" s="7" t="s">
        <v>1</v>
      </c>
      <c r="AG5" s="5"/>
      <c r="AH5" s="7" t="s">
        <v>3</v>
      </c>
      <c r="AI5" s="7" t="s">
        <v>4</v>
      </c>
      <c r="AJ5" s="4"/>
      <c r="AK5" s="7" t="s">
        <v>17</v>
      </c>
      <c r="AL5" s="4"/>
      <c r="AM5" s="7" t="s">
        <v>3</v>
      </c>
      <c r="AN5" s="7" t="s">
        <v>6</v>
      </c>
      <c r="AO5" s="7" t="s">
        <v>7</v>
      </c>
      <c r="AP5" s="7" t="s">
        <v>8</v>
      </c>
      <c r="AQ5" s="7" t="s">
        <v>8</v>
      </c>
    </row>
    <row r="6" spans="1:43" x14ac:dyDescent="0.25">
      <c r="B6" s="4"/>
      <c r="C6" s="4"/>
      <c r="D6" s="57" t="s">
        <v>9</v>
      </c>
      <c r="E6" s="57" t="s">
        <v>10</v>
      </c>
      <c r="F6" s="57" t="s">
        <v>11</v>
      </c>
      <c r="G6" s="57"/>
      <c r="H6" s="58"/>
      <c r="I6" s="57" t="s">
        <v>12</v>
      </c>
      <c r="J6" s="57" t="s">
        <v>13</v>
      </c>
      <c r="K6" s="57" t="s">
        <v>14</v>
      </c>
      <c r="L6" s="57" t="s">
        <v>1</v>
      </c>
      <c r="M6" s="57"/>
      <c r="N6" s="57" t="s">
        <v>15</v>
      </c>
      <c r="O6" s="57" t="s">
        <v>16</v>
      </c>
      <c r="P6" s="57" t="s">
        <v>11</v>
      </c>
      <c r="Q6" s="57"/>
      <c r="R6" s="58"/>
      <c r="S6" s="57" t="s">
        <v>2</v>
      </c>
      <c r="T6" s="57" t="s">
        <v>13</v>
      </c>
      <c r="U6" s="57" t="s">
        <v>14</v>
      </c>
      <c r="V6" s="57" t="s">
        <v>17</v>
      </c>
      <c r="W6" s="57"/>
      <c r="X6" s="57" t="s">
        <v>11</v>
      </c>
      <c r="Y6" s="57" t="s">
        <v>11</v>
      </c>
      <c r="Z6" s="57" t="s">
        <v>18</v>
      </c>
      <c r="AA6" s="57" t="s">
        <v>11</v>
      </c>
      <c r="AB6" s="57" t="s">
        <v>18</v>
      </c>
      <c r="AD6" s="7" t="s">
        <v>9</v>
      </c>
      <c r="AE6" s="7" t="s">
        <v>10</v>
      </c>
      <c r="AF6" s="7" t="s">
        <v>11</v>
      </c>
      <c r="AG6" s="5"/>
      <c r="AH6" s="7" t="s">
        <v>1</v>
      </c>
      <c r="AI6" s="7" t="s">
        <v>15</v>
      </c>
      <c r="AJ6" s="7" t="s">
        <v>16</v>
      </c>
      <c r="AK6" s="7" t="s">
        <v>11</v>
      </c>
      <c r="AL6" s="5"/>
      <c r="AM6" s="7" t="s">
        <v>17</v>
      </c>
      <c r="AN6" s="7" t="s">
        <v>11</v>
      </c>
      <c r="AO6" s="7" t="s">
        <v>11</v>
      </c>
      <c r="AP6" s="7" t="s">
        <v>18</v>
      </c>
      <c r="AQ6" s="7" t="s">
        <v>18</v>
      </c>
    </row>
    <row r="7" spans="1:43" x14ac:dyDescent="0.25">
      <c r="A7" s="44"/>
      <c r="B7" s="10" t="s">
        <v>19</v>
      </c>
      <c r="C7" s="11"/>
      <c r="D7" s="59" t="s">
        <v>20</v>
      </c>
      <c r="E7" s="59" t="s">
        <v>330</v>
      </c>
      <c r="F7" s="59" t="s">
        <v>21</v>
      </c>
      <c r="G7" s="59"/>
      <c r="H7" s="59" t="s">
        <v>22</v>
      </c>
      <c r="I7" s="59" t="s">
        <v>23</v>
      </c>
      <c r="J7" s="59" t="s">
        <v>24</v>
      </c>
      <c r="K7" s="59" t="s">
        <v>23</v>
      </c>
      <c r="L7" s="59" t="s">
        <v>2</v>
      </c>
      <c r="M7" s="59"/>
      <c r="N7" s="59" t="s">
        <v>25</v>
      </c>
      <c r="O7" s="59" t="str">
        <f>+E7</f>
        <v>AS OF 12/31/05</v>
      </c>
      <c r="P7" s="59" t="s">
        <v>21</v>
      </c>
      <c r="Q7" s="59"/>
      <c r="R7" s="59" t="s">
        <v>26</v>
      </c>
      <c r="S7" s="59" t="s">
        <v>27</v>
      </c>
      <c r="T7" s="59" t="s">
        <v>28</v>
      </c>
      <c r="U7" s="59" t="s">
        <v>23</v>
      </c>
      <c r="V7" s="59" t="s">
        <v>2</v>
      </c>
      <c r="W7" s="59"/>
      <c r="X7" s="59" t="s">
        <v>29</v>
      </c>
      <c r="Y7" s="59" t="s">
        <v>30</v>
      </c>
      <c r="Z7" s="59" t="s">
        <v>30</v>
      </c>
      <c r="AA7" s="59" t="s">
        <v>31</v>
      </c>
      <c r="AB7" s="59" t="s">
        <v>31</v>
      </c>
      <c r="AD7" s="10" t="s">
        <v>20</v>
      </c>
      <c r="AE7" s="10" t="str">
        <f>+O7</f>
        <v>AS OF 12/31/05</v>
      </c>
      <c r="AF7" s="10" t="s">
        <v>21</v>
      </c>
      <c r="AG7" s="10" t="s">
        <v>22</v>
      </c>
      <c r="AH7" s="10" t="s">
        <v>2</v>
      </c>
      <c r="AI7" s="10" t="s">
        <v>25</v>
      </c>
      <c r="AJ7" s="10" t="str">
        <f>+E7</f>
        <v>AS OF 12/31/05</v>
      </c>
      <c r="AK7" s="10" t="s">
        <v>21</v>
      </c>
      <c r="AL7" s="10" t="s">
        <v>26</v>
      </c>
      <c r="AM7" s="10" t="s">
        <v>2</v>
      </c>
      <c r="AN7" s="10" t="s">
        <v>29</v>
      </c>
      <c r="AO7" s="10" t="s">
        <v>30</v>
      </c>
      <c r="AP7" s="10" t="s">
        <v>30</v>
      </c>
      <c r="AQ7" s="10" t="s">
        <v>31</v>
      </c>
    </row>
    <row r="8" spans="1:43" x14ac:dyDescent="0.25">
      <c r="A8" s="44"/>
      <c r="B8" s="12" t="s">
        <v>152</v>
      </c>
      <c r="C8" s="41"/>
      <c r="D8" s="60" t="s">
        <v>153</v>
      </c>
      <c r="E8" s="60" t="s">
        <v>154</v>
      </c>
      <c r="F8" s="60" t="s">
        <v>164</v>
      </c>
      <c r="G8" s="60"/>
      <c r="H8" s="60" t="s">
        <v>155</v>
      </c>
      <c r="I8" s="60"/>
      <c r="J8" s="60"/>
      <c r="K8" s="60"/>
      <c r="L8" s="60" t="s">
        <v>156</v>
      </c>
      <c r="M8" s="60"/>
      <c r="N8" s="60" t="s">
        <v>157</v>
      </c>
      <c r="O8" s="60" t="s">
        <v>158</v>
      </c>
      <c r="P8" s="60" t="s">
        <v>159</v>
      </c>
      <c r="Q8" s="60"/>
      <c r="R8" s="60" t="s">
        <v>160</v>
      </c>
      <c r="S8" s="60"/>
      <c r="T8" s="60"/>
      <c r="U8" s="60"/>
      <c r="V8" s="60" t="s">
        <v>161</v>
      </c>
      <c r="W8" s="60"/>
      <c r="X8" s="60" t="s">
        <v>162</v>
      </c>
      <c r="Y8" s="60" t="s">
        <v>251</v>
      </c>
      <c r="Z8" s="60" t="s">
        <v>163</v>
      </c>
      <c r="AA8" s="60" t="s">
        <v>32</v>
      </c>
      <c r="AB8" s="60" t="s">
        <v>252</v>
      </c>
      <c r="AD8" s="12" t="s">
        <v>153</v>
      </c>
      <c r="AE8" s="12" t="s">
        <v>154</v>
      </c>
      <c r="AF8" s="12" t="s">
        <v>164</v>
      </c>
      <c r="AG8" s="12" t="s">
        <v>155</v>
      </c>
      <c r="AH8" s="12" t="s">
        <v>156</v>
      </c>
      <c r="AI8" s="12" t="s">
        <v>157</v>
      </c>
      <c r="AJ8" s="12" t="s">
        <v>158</v>
      </c>
      <c r="AK8" s="12" t="s">
        <v>159</v>
      </c>
      <c r="AL8" s="12" t="s">
        <v>160</v>
      </c>
      <c r="AM8" s="12" t="s">
        <v>161</v>
      </c>
      <c r="AN8" s="12" t="s">
        <v>162</v>
      </c>
      <c r="AO8" s="12" t="s">
        <v>251</v>
      </c>
      <c r="AP8" s="12" t="s">
        <v>163</v>
      </c>
      <c r="AQ8" s="12" t="s">
        <v>252</v>
      </c>
    </row>
    <row r="9" spans="1:43" x14ac:dyDescent="0.25">
      <c r="A9" s="44"/>
      <c r="B9" s="4"/>
      <c r="C9" s="4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43" ht="19.5" x14ac:dyDescent="0.35">
      <c r="A10" s="44"/>
      <c r="B10" s="47" t="s">
        <v>33</v>
      </c>
      <c r="C10" s="4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43" x14ac:dyDescent="0.25">
      <c r="A11" s="44"/>
      <c r="B11" s="2"/>
      <c r="C11" s="4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43" x14ac:dyDescent="0.25">
      <c r="A12" s="46">
        <v>1</v>
      </c>
      <c r="B12" s="2" t="s">
        <v>34</v>
      </c>
      <c r="C12" s="2" t="s">
        <v>35</v>
      </c>
      <c r="D12" s="58">
        <f>41585883.04+10000000</f>
        <v>51585883.039999999</v>
      </c>
      <c r="E12" s="58">
        <v>10000000</v>
      </c>
      <c r="F12" s="55"/>
      <c r="G12" s="55"/>
      <c r="H12" s="58">
        <f>E12+F12</f>
        <v>10000000</v>
      </c>
      <c r="I12" s="55"/>
      <c r="J12" s="55"/>
      <c r="K12" s="55"/>
      <c r="L12" s="58"/>
      <c r="M12" s="58"/>
      <c r="N12" s="58">
        <f>H12+L12</f>
        <v>10000000</v>
      </c>
      <c r="O12" s="58">
        <v>0</v>
      </c>
      <c r="P12" s="55"/>
      <c r="Q12" s="55"/>
      <c r="R12" s="58">
        <f>O12+P12</f>
        <v>0</v>
      </c>
      <c r="S12" s="55"/>
      <c r="T12" s="55"/>
      <c r="U12" s="55"/>
      <c r="V12" s="58"/>
      <c r="W12" s="58"/>
      <c r="X12" s="58">
        <f>R12+V12</f>
        <v>0</v>
      </c>
      <c r="Y12" s="58">
        <f>R12+H12</f>
        <v>10000000</v>
      </c>
      <c r="Z12" s="58">
        <f>D12-Y12</f>
        <v>41585883.039999999</v>
      </c>
      <c r="AA12" s="58">
        <f>N12+X12</f>
        <v>10000000</v>
      </c>
      <c r="AB12" s="58">
        <f>+D12-N12-X12</f>
        <v>41585883.039999999</v>
      </c>
    </row>
    <row r="13" spans="1:43" x14ac:dyDescent="0.25">
      <c r="A13" s="46"/>
      <c r="B13" s="4"/>
      <c r="C13" s="3" t="s">
        <v>36</v>
      </c>
      <c r="D13" s="58">
        <v>1485240.65</v>
      </c>
      <c r="E13" s="58">
        <v>1485240.65</v>
      </c>
      <c r="F13" s="55"/>
      <c r="G13" s="55"/>
      <c r="H13" s="58">
        <f>E13+F13</f>
        <v>1485240.65</v>
      </c>
      <c r="I13" s="55"/>
      <c r="J13" s="55"/>
      <c r="K13" s="55"/>
      <c r="L13" s="58"/>
      <c r="M13" s="58"/>
      <c r="N13" s="58">
        <f>H13+L13</f>
        <v>1485240.65</v>
      </c>
      <c r="O13" s="58">
        <v>0</v>
      </c>
      <c r="P13" s="55"/>
      <c r="Q13" s="55"/>
      <c r="R13" s="58">
        <f>O13+P13</f>
        <v>0</v>
      </c>
      <c r="S13" s="55"/>
      <c r="T13" s="55"/>
      <c r="U13" s="55"/>
      <c r="V13" s="58"/>
      <c r="W13" s="58"/>
      <c r="X13" s="58">
        <f>R13+V13</f>
        <v>0</v>
      </c>
      <c r="Y13" s="58">
        <f>R13+H13</f>
        <v>1485240.65</v>
      </c>
      <c r="Z13" s="58">
        <f>D13-Y13</f>
        <v>0</v>
      </c>
      <c r="AA13" s="58">
        <f>N13+X13</f>
        <v>1485240.65</v>
      </c>
      <c r="AB13" s="58">
        <f>+D13-N13-X13</f>
        <v>0</v>
      </c>
    </row>
    <row r="14" spans="1:43" x14ac:dyDescent="0.25">
      <c r="A14" s="46"/>
      <c r="B14" s="4"/>
      <c r="C14" s="2" t="s">
        <v>37</v>
      </c>
      <c r="D14" s="58">
        <v>49699845.5</v>
      </c>
      <c r="E14" s="58">
        <v>0</v>
      </c>
      <c r="F14" s="55"/>
      <c r="G14" s="55"/>
      <c r="H14" s="58">
        <f>E14+F14</f>
        <v>0</v>
      </c>
      <c r="I14" s="55"/>
      <c r="J14" s="55"/>
      <c r="K14" s="55"/>
      <c r="L14" s="58"/>
      <c r="M14" s="58"/>
      <c r="N14" s="58">
        <f>H14+L14</f>
        <v>0</v>
      </c>
      <c r="O14" s="58">
        <v>0</v>
      </c>
      <c r="P14" s="55"/>
      <c r="Q14" s="55"/>
      <c r="R14" s="58">
        <f>O14+P14</f>
        <v>0</v>
      </c>
      <c r="S14" s="55"/>
      <c r="T14" s="55"/>
      <c r="U14" s="55"/>
      <c r="V14" s="58"/>
      <c r="W14" s="58"/>
      <c r="X14" s="58">
        <f>R14+V14</f>
        <v>0</v>
      </c>
      <c r="Y14" s="58">
        <f>R14+H14</f>
        <v>0</v>
      </c>
      <c r="Z14" s="58">
        <f>D14-Y14</f>
        <v>49699845.5</v>
      </c>
      <c r="AA14" s="58">
        <f>N14+X14</f>
        <v>0</v>
      </c>
      <c r="AB14" s="58">
        <f>+D14-N14-X14</f>
        <v>49699845.5</v>
      </c>
    </row>
    <row r="15" spans="1:43" x14ac:dyDescent="0.25">
      <c r="A15" s="46"/>
      <c r="B15" s="4"/>
      <c r="C15" s="2" t="s">
        <v>38</v>
      </c>
      <c r="D15" s="58">
        <v>3930000</v>
      </c>
      <c r="E15" s="58">
        <v>0</v>
      </c>
      <c r="F15" s="55"/>
      <c r="G15" s="55"/>
      <c r="H15" s="58">
        <f>E15+F15</f>
        <v>0</v>
      </c>
      <c r="I15" s="55"/>
      <c r="J15" s="55"/>
      <c r="K15" s="55"/>
      <c r="L15" s="58"/>
      <c r="M15" s="58"/>
      <c r="N15" s="58">
        <f>H15+L15</f>
        <v>0</v>
      </c>
      <c r="O15" s="58">
        <v>0</v>
      </c>
      <c r="P15" s="55"/>
      <c r="Q15" s="55"/>
      <c r="R15" s="58">
        <f>O15+P15</f>
        <v>0</v>
      </c>
      <c r="S15" s="55"/>
      <c r="T15" s="55"/>
      <c r="U15" s="55"/>
      <c r="V15" s="58"/>
      <c r="W15" s="58"/>
      <c r="X15" s="58">
        <f>R15+V15</f>
        <v>0</v>
      </c>
      <c r="Y15" s="58">
        <f>R15+H15</f>
        <v>0</v>
      </c>
      <c r="Z15" s="58">
        <f>D15-Y15</f>
        <v>3930000</v>
      </c>
      <c r="AA15" s="58">
        <f>N15+X15</f>
        <v>0</v>
      </c>
      <c r="AB15" s="58">
        <f>+D15-N15-X15</f>
        <v>3930000</v>
      </c>
    </row>
    <row r="16" spans="1:43" x14ac:dyDescent="0.25">
      <c r="A16" s="46"/>
      <c r="B16" s="4"/>
      <c r="C16" s="2" t="s">
        <v>39</v>
      </c>
      <c r="D16" s="58">
        <v>5281344.55</v>
      </c>
      <c r="E16" s="58">
        <v>0</v>
      </c>
      <c r="F16" s="55"/>
      <c r="G16" s="55"/>
      <c r="H16" s="58">
        <f>E16+F16</f>
        <v>0</v>
      </c>
      <c r="I16" s="55"/>
      <c r="J16" s="55"/>
      <c r="K16" s="55"/>
      <c r="L16" s="58"/>
      <c r="M16" s="58"/>
      <c r="N16" s="58">
        <f>H16+L16</f>
        <v>0</v>
      </c>
      <c r="O16" s="58">
        <v>0</v>
      </c>
      <c r="P16" s="55"/>
      <c r="Q16" s="55"/>
      <c r="R16" s="58">
        <f>O16+P16</f>
        <v>0</v>
      </c>
      <c r="S16" s="55"/>
      <c r="T16" s="55"/>
      <c r="U16" s="55"/>
      <c r="V16" s="58"/>
      <c r="W16" s="58"/>
      <c r="X16" s="58">
        <f>R16+V16</f>
        <v>0</v>
      </c>
      <c r="Y16" s="58">
        <f>R16+H16</f>
        <v>0</v>
      </c>
      <c r="Z16" s="58">
        <f>D16-Y16</f>
        <v>5281344.55</v>
      </c>
      <c r="AA16" s="58">
        <f>N16+X16</f>
        <v>0</v>
      </c>
      <c r="AB16" s="58">
        <f>+D16-N16-X16</f>
        <v>5281344.55</v>
      </c>
    </row>
    <row r="17" spans="1:28" x14ac:dyDescent="0.25">
      <c r="A17" s="46"/>
      <c r="B17" s="4"/>
      <c r="C17" s="4"/>
      <c r="D17" s="61" t="s">
        <v>40</v>
      </c>
      <c r="E17" s="61" t="s">
        <v>40</v>
      </c>
      <c r="F17" s="61" t="s">
        <v>40</v>
      </c>
      <c r="G17" s="61"/>
      <c r="H17" s="61" t="s">
        <v>40</v>
      </c>
      <c r="I17" s="61" t="s">
        <v>40</v>
      </c>
      <c r="J17" s="61" t="s">
        <v>40</v>
      </c>
      <c r="K17" s="61" t="s">
        <v>40</v>
      </c>
      <c r="L17" s="61" t="s">
        <v>40</v>
      </c>
      <c r="M17" s="61"/>
      <c r="N17" s="61" t="s">
        <v>40</v>
      </c>
      <c r="O17" s="61" t="s">
        <v>40</v>
      </c>
      <c r="P17" s="61" t="s">
        <v>40</v>
      </c>
      <c r="Q17" s="61"/>
      <c r="R17" s="61" t="s">
        <v>40</v>
      </c>
      <c r="S17" s="61" t="s">
        <v>40</v>
      </c>
      <c r="T17" s="61" t="s">
        <v>40</v>
      </c>
      <c r="U17" s="61" t="s">
        <v>40</v>
      </c>
      <c r="V17" s="61" t="s">
        <v>40</v>
      </c>
      <c r="W17" s="61"/>
      <c r="X17" s="61" t="s">
        <v>40</v>
      </c>
      <c r="Y17" s="61" t="s">
        <v>40</v>
      </c>
      <c r="Z17" s="61" t="s">
        <v>40</v>
      </c>
      <c r="AA17" s="61" t="s">
        <v>40</v>
      </c>
      <c r="AB17" s="61" t="s">
        <v>40</v>
      </c>
    </row>
    <row r="18" spans="1:28" x14ac:dyDescent="0.25">
      <c r="A18" s="46"/>
      <c r="B18" s="4"/>
      <c r="C18" s="4"/>
      <c r="D18" s="58">
        <f t="shared" ref="D18:AB18" si="0">SUM(D12:D16)</f>
        <v>111982313.73999999</v>
      </c>
      <c r="E18" s="58">
        <f t="shared" si="0"/>
        <v>11485240.65</v>
      </c>
      <c r="F18" s="58">
        <f t="shared" si="0"/>
        <v>0</v>
      </c>
      <c r="G18" s="58"/>
      <c r="H18" s="58">
        <f t="shared" si="0"/>
        <v>11485240.65</v>
      </c>
      <c r="I18" s="58">
        <f t="shared" si="0"/>
        <v>0</v>
      </c>
      <c r="J18" s="58">
        <f t="shared" si="0"/>
        <v>0</v>
      </c>
      <c r="K18" s="58">
        <f t="shared" si="0"/>
        <v>0</v>
      </c>
      <c r="L18" s="58">
        <f t="shared" si="0"/>
        <v>0</v>
      </c>
      <c r="M18" s="58"/>
      <c r="N18" s="58">
        <f t="shared" si="0"/>
        <v>11485240.65</v>
      </c>
      <c r="O18" s="58">
        <f t="shared" si="0"/>
        <v>0</v>
      </c>
      <c r="P18" s="58">
        <f t="shared" si="0"/>
        <v>0</v>
      </c>
      <c r="Q18" s="58"/>
      <c r="R18" s="58">
        <f t="shared" si="0"/>
        <v>0</v>
      </c>
      <c r="S18" s="58">
        <f t="shared" si="0"/>
        <v>0</v>
      </c>
      <c r="T18" s="58">
        <f t="shared" si="0"/>
        <v>0</v>
      </c>
      <c r="U18" s="58">
        <f t="shared" si="0"/>
        <v>0</v>
      </c>
      <c r="V18" s="58">
        <f t="shared" si="0"/>
        <v>0</v>
      </c>
      <c r="W18" s="58"/>
      <c r="X18" s="58">
        <f t="shared" si="0"/>
        <v>0</v>
      </c>
      <c r="Y18" s="58">
        <f t="shared" si="0"/>
        <v>11485240.65</v>
      </c>
      <c r="Z18" s="58">
        <f t="shared" si="0"/>
        <v>100497073.08999999</v>
      </c>
      <c r="AA18" s="58">
        <f t="shared" si="0"/>
        <v>11485240.65</v>
      </c>
      <c r="AB18" s="58">
        <f t="shared" si="0"/>
        <v>100497073.08999999</v>
      </c>
    </row>
    <row r="19" spans="1:28" x14ac:dyDescent="0.25">
      <c r="A19" s="46"/>
      <c r="B19" s="4" t="str">
        <f>+B12</f>
        <v>ILOCOS NORTE</v>
      </c>
      <c r="C19" s="4"/>
      <c r="D19" s="61" t="s">
        <v>40</v>
      </c>
      <c r="E19" s="61" t="s">
        <v>40</v>
      </c>
      <c r="F19" s="61" t="s">
        <v>40</v>
      </c>
      <c r="G19" s="61"/>
      <c r="H19" s="61" t="s">
        <v>40</v>
      </c>
      <c r="I19" s="61" t="s">
        <v>40</v>
      </c>
      <c r="J19" s="61" t="s">
        <v>40</v>
      </c>
      <c r="K19" s="61" t="s">
        <v>40</v>
      </c>
      <c r="L19" s="61" t="s">
        <v>40</v>
      </c>
      <c r="M19" s="61"/>
      <c r="N19" s="61" t="s">
        <v>40</v>
      </c>
      <c r="O19" s="61" t="s">
        <v>40</v>
      </c>
      <c r="P19" s="61" t="s">
        <v>40</v>
      </c>
      <c r="Q19" s="61"/>
      <c r="R19" s="61" t="s">
        <v>40</v>
      </c>
      <c r="S19" s="61" t="s">
        <v>40</v>
      </c>
      <c r="T19" s="61" t="s">
        <v>40</v>
      </c>
      <c r="U19" s="61" t="s">
        <v>40</v>
      </c>
      <c r="V19" s="61" t="s">
        <v>40</v>
      </c>
      <c r="W19" s="61"/>
      <c r="X19" s="61" t="s">
        <v>40</v>
      </c>
      <c r="Y19" s="61" t="s">
        <v>40</v>
      </c>
      <c r="Z19" s="61" t="s">
        <v>40</v>
      </c>
      <c r="AA19" s="61" t="s">
        <v>40</v>
      </c>
      <c r="AB19" s="61" t="s">
        <v>40</v>
      </c>
    </row>
    <row r="20" spans="1:28" ht="16.5" thickBot="1" x14ac:dyDescent="0.3">
      <c r="A20" s="46"/>
      <c r="B20" s="112" t="s">
        <v>292</v>
      </c>
      <c r="C20" s="4"/>
      <c r="D20" s="114">
        <f>268103.72+183039.69+16263.55</f>
        <v>467406.95999999996</v>
      </c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114">
        <f>451143.41+16263.55</f>
        <v>467406.95999999996</v>
      </c>
      <c r="P20" s="118"/>
      <c r="Q20" s="61"/>
      <c r="R20" s="114">
        <f>+O20+P20</f>
        <v>467406.95999999996</v>
      </c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6.5" thickTop="1" x14ac:dyDescent="0.25">
      <c r="A21" s="46">
        <v>2</v>
      </c>
      <c r="B21" s="2" t="s">
        <v>41</v>
      </c>
      <c r="C21" s="2" t="s">
        <v>35</v>
      </c>
      <c r="D21" s="58">
        <f>62456960.5+3034770</f>
        <v>65491730.5</v>
      </c>
      <c r="E21" s="58">
        <v>0</v>
      </c>
      <c r="F21" s="55"/>
      <c r="G21" s="55"/>
      <c r="H21" s="58">
        <f>E21+F21</f>
        <v>0</v>
      </c>
      <c r="I21" s="55"/>
      <c r="J21" s="55"/>
      <c r="K21" s="55"/>
      <c r="L21" s="58"/>
      <c r="M21" s="58"/>
      <c r="N21" s="58">
        <f>H21+L21</f>
        <v>0</v>
      </c>
      <c r="O21" s="58">
        <v>0</v>
      </c>
      <c r="P21" s="55"/>
      <c r="Q21" s="55"/>
      <c r="R21" s="58">
        <f>O21+P21</f>
        <v>0</v>
      </c>
      <c r="S21" s="55"/>
      <c r="T21" s="55"/>
      <c r="U21" s="55"/>
      <c r="V21" s="58"/>
      <c r="W21" s="58"/>
      <c r="X21" s="58">
        <f>R21+V21</f>
        <v>0</v>
      </c>
      <c r="Y21" s="58">
        <f>R21+H21</f>
        <v>0</v>
      </c>
      <c r="Z21" s="58">
        <f>D21-Y21</f>
        <v>65491730.5</v>
      </c>
      <c r="AA21" s="58">
        <f>N21+X21</f>
        <v>0</v>
      </c>
      <c r="AB21" s="58">
        <f>+D21-N21-X21</f>
        <v>65491730.5</v>
      </c>
    </row>
    <row r="22" spans="1:28" x14ac:dyDescent="0.25">
      <c r="A22" s="46"/>
      <c r="B22" s="4"/>
      <c r="C22" s="3" t="s">
        <v>36</v>
      </c>
      <c r="D22" s="58">
        <v>2264731.2599999998</v>
      </c>
      <c r="E22" s="58">
        <v>2264731.2599999998</v>
      </c>
      <c r="F22" s="55"/>
      <c r="G22" s="55"/>
      <c r="H22" s="58">
        <f>E22+F22</f>
        <v>2264731.2599999998</v>
      </c>
      <c r="I22" s="55"/>
      <c r="J22" s="55"/>
      <c r="K22" s="55"/>
      <c r="L22" s="58"/>
      <c r="M22" s="58"/>
      <c r="N22" s="58">
        <f>H22+L22</f>
        <v>2264731.2599999998</v>
      </c>
      <c r="O22" s="58">
        <v>0</v>
      </c>
      <c r="P22" s="55"/>
      <c r="Q22" s="55"/>
      <c r="R22" s="58">
        <f>O22+P22</f>
        <v>0</v>
      </c>
      <c r="S22" s="55"/>
      <c r="T22" s="55"/>
      <c r="U22" s="55"/>
      <c r="V22" s="58"/>
      <c r="W22" s="58"/>
      <c r="X22" s="58">
        <f>R22+V22</f>
        <v>0</v>
      </c>
      <c r="Y22" s="58">
        <f>R22+H22</f>
        <v>2264731.2599999998</v>
      </c>
      <c r="Z22" s="58">
        <f>D22-Y22</f>
        <v>0</v>
      </c>
      <c r="AA22" s="58">
        <f>N22+X22</f>
        <v>2264731.2599999998</v>
      </c>
      <c r="AB22" s="58">
        <f>+D22-N22-X22</f>
        <v>0</v>
      </c>
    </row>
    <row r="23" spans="1:28" x14ac:dyDescent="0.25">
      <c r="A23" s="46"/>
      <c r="B23" s="4"/>
      <c r="C23" s="2" t="s">
        <v>37</v>
      </c>
      <c r="D23" s="58">
        <v>75920788.530000001</v>
      </c>
      <c r="E23" s="58">
        <v>0</v>
      </c>
      <c r="F23" s="55"/>
      <c r="G23" s="55"/>
      <c r="H23" s="58">
        <f>E23+F23</f>
        <v>0</v>
      </c>
      <c r="I23" s="55"/>
      <c r="J23" s="55"/>
      <c r="K23" s="55"/>
      <c r="L23" s="58"/>
      <c r="M23" s="58"/>
      <c r="N23" s="58">
        <f>H23+L23</f>
        <v>0</v>
      </c>
      <c r="O23" s="58">
        <v>0</v>
      </c>
      <c r="P23" s="55"/>
      <c r="Q23" s="55"/>
      <c r="R23" s="58">
        <f>O23+P23</f>
        <v>0</v>
      </c>
      <c r="S23" s="55"/>
      <c r="T23" s="55"/>
      <c r="U23" s="55"/>
      <c r="V23" s="58"/>
      <c r="W23" s="58"/>
      <c r="X23" s="58">
        <f>R23+V23</f>
        <v>0</v>
      </c>
      <c r="Y23" s="58">
        <f>R23+H23</f>
        <v>0</v>
      </c>
      <c r="Z23" s="58">
        <f>D23-Y23</f>
        <v>75920788.530000001</v>
      </c>
      <c r="AA23" s="58">
        <f>N23+X23</f>
        <v>0</v>
      </c>
      <c r="AB23" s="58">
        <f>+D23-N23-X23</f>
        <v>75920788.530000001</v>
      </c>
    </row>
    <row r="24" spans="1:28" x14ac:dyDescent="0.25">
      <c r="A24" s="46"/>
      <c r="B24" s="4"/>
      <c r="C24" s="2" t="s">
        <v>39</v>
      </c>
      <c r="D24" s="58">
        <v>2636031.41</v>
      </c>
      <c r="E24" s="58">
        <v>0</v>
      </c>
      <c r="F24" s="55"/>
      <c r="G24" s="55"/>
      <c r="H24" s="58">
        <f>E24+F24</f>
        <v>0</v>
      </c>
      <c r="I24" s="55"/>
      <c r="J24" s="55"/>
      <c r="K24" s="55"/>
      <c r="L24" s="58"/>
      <c r="M24" s="58"/>
      <c r="N24" s="58">
        <f>H24+L24</f>
        <v>0</v>
      </c>
      <c r="O24" s="58">
        <v>0</v>
      </c>
      <c r="P24" s="55"/>
      <c r="Q24" s="55"/>
      <c r="R24" s="58">
        <f>O24+P24</f>
        <v>0</v>
      </c>
      <c r="S24" s="55"/>
      <c r="T24" s="55"/>
      <c r="U24" s="55"/>
      <c r="V24" s="58"/>
      <c r="W24" s="58"/>
      <c r="X24" s="58">
        <f>R24+V24</f>
        <v>0</v>
      </c>
      <c r="Y24" s="58">
        <f>R24+H24</f>
        <v>0</v>
      </c>
      <c r="Z24" s="58">
        <f>D24-Y24</f>
        <v>2636031.41</v>
      </c>
      <c r="AA24" s="58">
        <f>N24+X24</f>
        <v>0</v>
      </c>
      <c r="AB24" s="58">
        <f>+D24-N24-X24</f>
        <v>2636031.41</v>
      </c>
    </row>
    <row r="25" spans="1:28" x14ac:dyDescent="0.25">
      <c r="A25" s="46"/>
      <c r="B25" s="4"/>
      <c r="C25" s="4"/>
      <c r="D25" s="61" t="s">
        <v>40</v>
      </c>
      <c r="E25" s="61" t="s">
        <v>40</v>
      </c>
      <c r="F25" s="61" t="s">
        <v>40</v>
      </c>
      <c r="G25" s="61"/>
      <c r="H25" s="61" t="s">
        <v>40</v>
      </c>
      <c r="I25" s="61" t="s">
        <v>40</v>
      </c>
      <c r="J25" s="61" t="s">
        <v>40</v>
      </c>
      <c r="K25" s="61" t="s">
        <v>40</v>
      </c>
      <c r="L25" s="61" t="s">
        <v>40</v>
      </c>
      <c r="M25" s="61"/>
      <c r="N25" s="61" t="s">
        <v>40</v>
      </c>
      <c r="O25" s="61" t="s">
        <v>40</v>
      </c>
      <c r="P25" s="61" t="s">
        <v>40</v>
      </c>
      <c r="Q25" s="61"/>
      <c r="R25" s="61" t="s">
        <v>40</v>
      </c>
      <c r="S25" s="61" t="s">
        <v>40</v>
      </c>
      <c r="T25" s="61" t="s">
        <v>40</v>
      </c>
      <c r="U25" s="61" t="s">
        <v>40</v>
      </c>
      <c r="V25" s="61" t="s">
        <v>40</v>
      </c>
      <c r="W25" s="61"/>
      <c r="X25" s="61" t="s">
        <v>40</v>
      </c>
      <c r="Y25" s="61" t="s">
        <v>40</v>
      </c>
      <c r="Z25" s="61" t="s">
        <v>40</v>
      </c>
      <c r="AA25" s="61" t="s">
        <v>40</v>
      </c>
      <c r="AB25" s="61" t="s">
        <v>40</v>
      </c>
    </row>
    <row r="26" spans="1:28" x14ac:dyDescent="0.25">
      <c r="A26" s="46"/>
      <c r="B26" s="4"/>
      <c r="C26" s="4"/>
      <c r="D26" s="58">
        <f t="shared" ref="D26:AB26" si="1">SUM(D21:D24)</f>
        <v>146313281.70000002</v>
      </c>
      <c r="E26" s="58">
        <f t="shared" si="1"/>
        <v>2264731.2599999998</v>
      </c>
      <c r="F26" s="58">
        <f t="shared" si="1"/>
        <v>0</v>
      </c>
      <c r="G26" s="58"/>
      <c r="H26" s="58">
        <f t="shared" si="1"/>
        <v>2264731.2599999998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/>
      <c r="N26" s="58">
        <f t="shared" si="1"/>
        <v>2264731.2599999998</v>
      </c>
      <c r="O26" s="58">
        <f t="shared" si="1"/>
        <v>0</v>
      </c>
      <c r="P26" s="58">
        <f t="shared" si="1"/>
        <v>0</v>
      </c>
      <c r="Q26" s="58"/>
      <c r="R26" s="58">
        <f t="shared" si="1"/>
        <v>0</v>
      </c>
      <c r="S26" s="58">
        <f t="shared" si="1"/>
        <v>0</v>
      </c>
      <c r="T26" s="58">
        <f t="shared" si="1"/>
        <v>0</v>
      </c>
      <c r="U26" s="58">
        <f t="shared" si="1"/>
        <v>0</v>
      </c>
      <c r="V26" s="58">
        <f t="shared" si="1"/>
        <v>0</v>
      </c>
      <c r="W26" s="58"/>
      <c r="X26" s="58">
        <f t="shared" si="1"/>
        <v>0</v>
      </c>
      <c r="Y26" s="58">
        <f t="shared" si="1"/>
        <v>2264731.2599999998</v>
      </c>
      <c r="Z26" s="58">
        <f t="shared" si="1"/>
        <v>144048550.44</v>
      </c>
      <c r="AA26" s="58">
        <f t="shared" si="1"/>
        <v>2264731.2599999998</v>
      </c>
      <c r="AB26" s="58">
        <f t="shared" si="1"/>
        <v>144048550.44</v>
      </c>
    </row>
    <row r="27" spans="1:28" x14ac:dyDescent="0.25">
      <c r="A27" s="46"/>
      <c r="B27" s="4"/>
      <c r="C27" s="4"/>
      <c r="D27" s="61" t="s">
        <v>40</v>
      </c>
      <c r="E27" s="61" t="s">
        <v>40</v>
      </c>
      <c r="F27" s="61" t="s">
        <v>40</v>
      </c>
      <c r="G27" s="61"/>
      <c r="H27" s="61" t="s">
        <v>40</v>
      </c>
      <c r="I27" s="61" t="s">
        <v>40</v>
      </c>
      <c r="J27" s="61" t="s">
        <v>40</v>
      </c>
      <c r="K27" s="61" t="s">
        <v>40</v>
      </c>
      <c r="L27" s="61" t="s">
        <v>40</v>
      </c>
      <c r="M27" s="61"/>
      <c r="N27" s="61" t="s">
        <v>40</v>
      </c>
      <c r="O27" s="61" t="s">
        <v>40</v>
      </c>
      <c r="P27" s="61" t="s">
        <v>40</v>
      </c>
      <c r="Q27" s="61"/>
      <c r="R27" s="61" t="s">
        <v>40</v>
      </c>
      <c r="S27" s="61" t="s">
        <v>40</v>
      </c>
      <c r="T27" s="61" t="s">
        <v>40</v>
      </c>
      <c r="U27" s="61" t="s">
        <v>40</v>
      </c>
      <c r="V27" s="61" t="s">
        <v>40</v>
      </c>
      <c r="W27" s="61"/>
      <c r="X27" s="61" t="s">
        <v>40</v>
      </c>
      <c r="Y27" s="61" t="s">
        <v>40</v>
      </c>
      <c r="Z27" s="61" t="s">
        <v>40</v>
      </c>
      <c r="AA27" s="61" t="s">
        <v>40</v>
      </c>
      <c r="AB27" s="61" t="s">
        <v>40</v>
      </c>
    </row>
    <row r="28" spans="1:28" x14ac:dyDescent="0.25">
      <c r="A28" s="46"/>
      <c r="B28" s="4"/>
      <c r="C28" s="4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x14ac:dyDescent="0.25">
      <c r="A29" s="46">
        <v>3</v>
      </c>
      <c r="B29" s="2" t="s">
        <v>42</v>
      </c>
      <c r="C29" s="2" t="s">
        <v>35</v>
      </c>
      <c r="D29" s="58">
        <f>24930468.72+194946.81</f>
        <v>25125415.529999997</v>
      </c>
      <c r="E29" s="58">
        <v>0</v>
      </c>
      <c r="F29" s="55"/>
      <c r="G29" s="55"/>
      <c r="H29" s="58">
        <f t="shared" ref="H29:H35" si="2">E29+F29</f>
        <v>0</v>
      </c>
      <c r="I29" s="55"/>
      <c r="J29" s="55"/>
      <c r="K29" s="55"/>
      <c r="L29" s="58"/>
      <c r="M29" s="58"/>
      <c r="N29" s="58">
        <f t="shared" ref="N29:N35" si="3">H29+L29</f>
        <v>0</v>
      </c>
      <c r="O29" s="58">
        <v>194946.81</v>
      </c>
      <c r="P29" s="55"/>
      <c r="Q29" s="55"/>
      <c r="R29" s="58">
        <f t="shared" ref="R29:R35" si="4">O29+P29</f>
        <v>194946.81</v>
      </c>
      <c r="S29" s="55"/>
      <c r="T29" s="55"/>
      <c r="U29" s="55"/>
      <c r="V29" s="58"/>
      <c r="W29" s="58"/>
      <c r="X29" s="58">
        <f t="shared" ref="X29:X35" si="5">R29+V29</f>
        <v>194946.81</v>
      </c>
      <c r="Y29" s="58">
        <f t="shared" ref="Y29:Y35" si="6">R29+H29</f>
        <v>194946.81</v>
      </c>
      <c r="Z29" s="58">
        <f t="shared" ref="Z29:Z35" si="7">D29-Y29</f>
        <v>24930468.719999999</v>
      </c>
      <c r="AA29" s="58">
        <f t="shared" ref="AA29:AA35" si="8">N29+X29</f>
        <v>194946.81</v>
      </c>
      <c r="AB29" s="58">
        <f t="shared" ref="AB29:AB35" si="9">+D29-N29-X29</f>
        <v>24930468.719999999</v>
      </c>
    </row>
    <row r="30" spans="1:28" x14ac:dyDescent="0.25">
      <c r="A30" s="46"/>
      <c r="B30" s="4"/>
      <c r="C30" s="3" t="s">
        <v>36</v>
      </c>
      <c r="D30" s="58">
        <f>1576673.05+138121.54</f>
        <v>1714794.59</v>
      </c>
      <c r="E30" s="58">
        <v>1714794.59</v>
      </c>
      <c r="F30" s="55"/>
      <c r="G30" s="55"/>
      <c r="H30" s="58">
        <f t="shared" si="2"/>
        <v>1714794.59</v>
      </c>
      <c r="I30" s="55"/>
      <c r="J30" s="55"/>
      <c r="K30" s="55"/>
      <c r="L30" s="58"/>
      <c r="M30" s="58"/>
      <c r="N30" s="58">
        <f t="shared" si="3"/>
        <v>1714794.59</v>
      </c>
      <c r="O30" s="58">
        <v>0</v>
      </c>
      <c r="P30" s="55"/>
      <c r="Q30" s="55"/>
      <c r="R30" s="58">
        <f t="shared" si="4"/>
        <v>0</v>
      </c>
      <c r="S30" s="55"/>
      <c r="T30" s="55"/>
      <c r="U30" s="55"/>
      <c r="V30" s="58"/>
      <c r="W30" s="58"/>
      <c r="X30" s="58">
        <f t="shared" si="5"/>
        <v>0</v>
      </c>
      <c r="Y30" s="58">
        <f t="shared" si="6"/>
        <v>1714794.59</v>
      </c>
      <c r="Z30" s="58">
        <f t="shared" si="7"/>
        <v>0</v>
      </c>
      <c r="AA30" s="58">
        <f t="shared" si="8"/>
        <v>1714794.59</v>
      </c>
      <c r="AB30" s="58">
        <f t="shared" si="9"/>
        <v>0</v>
      </c>
    </row>
    <row r="31" spans="1:28" x14ac:dyDescent="0.25">
      <c r="A31" s="46"/>
      <c r="B31" s="4"/>
      <c r="C31" s="3" t="s">
        <v>43</v>
      </c>
      <c r="D31" s="58">
        <v>1763926.02</v>
      </c>
      <c r="E31" s="58">
        <v>1763926.02</v>
      </c>
      <c r="F31" s="55"/>
      <c r="G31" s="55"/>
      <c r="H31" s="58">
        <f t="shared" si="2"/>
        <v>1763926.02</v>
      </c>
      <c r="I31" s="55"/>
      <c r="J31" s="55"/>
      <c r="K31" s="55"/>
      <c r="L31" s="58"/>
      <c r="M31" s="58"/>
      <c r="N31" s="58">
        <f t="shared" si="3"/>
        <v>1763926.02</v>
      </c>
      <c r="O31" s="58">
        <v>0</v>
      </c>
      <c r="P31" s="55"/>
      <c r="Q31" s="55"/>
      <c r="R31" s="58">
        <f t="shared" si="4"/>
        <v>0</v>
      </c>
      <c r="S31" s="55"/>
      <c r="T31" s="55"/>
      <c r="U31" s="55"/>
      <c r="V31" s="58"/>
      <c r="W31" s="58"/>
      <c r="X31" s="58">
        <f t="shared" si="5"/>
        <v>0</v>
      </c>
      <c r="Y31" s="58">
        <f t="shared" si="6"/>
        <v>1763926.02</v>
      </c>
      <c r="Z31" s="58">
        <f t="shared" si="7"/>
        <v>0</v>
      </c>
      <c r="AA31" s="58">
        <f t="shared" si="8"/>
        <v>1763926.02</v>
      </c>
      <c r="AB31" s="58">
        <f t="shared" si="9"/>
        <v>0</v>
      </c>
    </row>
    <row r="32" spans="1:28" x14ac:dyDescent="0.25">
      <c r="A32" s="46"/>
      <c r="B32" s="4"/>
      <c r="C32" s="3" t="s">
        <v>44</v>
      </c>
      <c r="D32" s="58">
        <v>8704000</v>
      </c>
      <c r="E32" s="58">
        <v>8704000</v>
      </c>
      <c r="F32" s="55"/>
      <c r="G32" s="55"/>
      <c r="H32" s="58">
        <f t="shared" si="2"/>
        <v>8704000</v>
      </c>
      <c r="I32" s="55"/>
      <c r="J32" s="55"/>
      <c r="K32" s="55"/>
      <c r="L32" s="58"/>
      <c r="M32" s="58"/>
      <c r="N32" s="58">
        <f t="shared" si="3"/>
        <v>8704000</v>
      </c>
      <c r="O32" s="58">
        <v>0</v>
      </c>
      <c r="P32" s="55"/>
      <c r="Q32" s="55"/>
      <c r="R32" s="58">
        <f t="shared" si="4"/>
        <v>0</v>
      </c>
      <c r="S32" s="55"/>
      <c r="T32" s="55"/>
      <c r="U32" s="55"/>
      <c r="V32" s="58"/>
      <c r="W32" s="58"/>
      <c r="X32" s="58">
        <f t="shared" si="5"/>
        <v>0</v>
      </c>
      <c r="Y32" s="58">
        <f t="shared" si="6"/>
        <v>8704000</v>
      </c>
      <c r="Z32" s="58">
        <f t="shared" si="7"/>
        <v>0</v>
      </c>
      <c r="AA32" s="58">
        <f t="shared" si="8"/>
        <v>8704000</v>
      </c>
      <c r="AB32" s="58">
        <f t="shared" si="9"/>
        <v>0</v>
      </c>
    </row>
    <row r="33" spans="1:43" x14ac:dyDescent="0.25">
      <c r="A33" s="46"/>
      <c r="B33" s="4"/>
      <c r="C33" s="2" t="s">
        <v>37</v>
      </c>
      <c r="D33" s="58">
        <v>22797780.879999999</v>
      </c>
      <c r="E33" s="58">
        <v>0</v>
      </c>
      <c r="F33" s="55"/>
      <c r="G33" s="55"/>
      <c r="H33" s="58">
        <f t="shared" si="2"/>
        <v>0</v>
      </c>
      <c r="I33" s="55"/>
      <c r="J33" s="55"/>
      <c r="K33" s="55"/>
      <c r="L33" s="58"/>
      <c r="M33" s="58"/>
      <c r="N33" s="58">
        <f t="shared" si="3"/>
        <v>0</v>
      </c>
      <c r="O33" s="58">
        <v>0</v>
      </c>
      <c r="P33" s="55"/>
      <c r="Q33" s="55"/>
      <c r="R33" s="58">
        <f t="shared" si="4"/>
        <v>0</v>
      </c>
      <c r="S33" s="55"/>
      <c r="T33" s="55"/>
      <c r="U33" s="55"/>
      <c r="V33" s="58"/>
      <c r="W33" s="58"/>
      <c r="X33" s="58">
        <f t="shared" si="5"/>
        <v>0</v>
      </c>
      <c r="Y33" s="58">
        <f t="shared" si="6"/>
        <v>0</v>
      </c>
      <c r="Z33" s="58">
        <f t="shared" si="7"/>
        <v>22797780.879999999</v>
      </c>
      <c r="AA33" s="58">
        <f t="shared" si="8"/>
        <v>0</v>
      </c>
      <c r="AB33" s="58">
        <f t="shared" si="9"/>
        <v>22797780.879999999</v>
      </c>
    </row>
    <row r="34" spans="1:43" x14ac:dyDescent="0.25">
      <c r="A34" s="46"/>
      <c r="B34" s="4"/>
      <c r="C34" s="2" t="s">
        <v>38</v>
      </c>
      <c r="D34" s="58">
        <v>19579161.579999998</v>
      </c>
      <c r="E34" s="58">
        <v>0</v>
      </c>
      <c r="F34" s="55"/>
      <c r="G34" s="55"/>
      <c r="H34" s="58">
        <f t="shared" si="2"/>
        <v>0</v>
      </c>
      <c r="I34" s="55"/>
      <c r="J34" s="55"/>
      <c r="K34" s="55"/>
      <c r="L34" s="58"/>
      <c r="M34" s="58"/>
      <c r="N34" s="58">
        <f t="shared" si="3"/>
        <v>0</v>
      </c>
      <c r="O34" s="58">
        <v>0</v>
      </c>
      <c r="P34" s="55"/>
      <c r="Q34" s="55"/>
      <c r="R34" s="58">
        <f t="shared" si="4"/>
        <v>0</v>
      </c>
      <c r="S34" s="55"/>
      <c r="T34" s="55"/>
      <c r="U34" s="55"/>
      <c r="V34" s="58"/>
      <c r="W34" s="58"/>
      <c r="X34" s="58">
        <f t="shared" si="5"/>
        <v>0</v>
      </c>
      <c r="Y34" s="58">
        <f t="shared" si="6"/>
        <v>0</v>
      </c>
      <c r="Z34" s="58">
        <f t="shared" si="7"/>
        <v>19579161.579999998</v>
      </c>
      <c r="AA34" s="58">
        <f t="shared" si="8"/>
        <v>0</v>
      </c>
      <c r="AB34" s="58">
        <f t="shared" si="9"/>
        <v>19579161.579999998</v>
      </c>
    </row>
    <row r="35" spans="1:43" x14ac:dyDescent="0.25">
      <c r="A35" s="46"/>
      <c r="B35" s="4"/>
      <c r="C35" s="2" t="s">
        <v>39</v>
      </c>
      <c r="D35" s="58">
        <v>4441043.8</v>
      </c>
      <c r="E35" s="58">
        <v>0</v>
      </c>
      <c r="F35" s="55"/>
      <c r="G35" s="55"/>
      <c r="H35" s="58">
        <f t="shared" si="2"/>
        <v>0</v>
      </c>
      <c r="I35" s="55"/>
      <c r="J35" s="55"/>
      <c r="K35" s="55"/>
      <c r="L35" s="58"/>
      <c r="M35" s="58"/>
      <c r="N35" s="58">
        <f t="shared" si="3"/>
        <v>0</v>
      </c>
      <c r="O35" s="58">
        <v>0</v>
      </c>
      <c r="P35" s="55"/>
      <c r="Q35" s="55"/>
      <c r="R35" s="58">
        <f t="shared" si="4"/>
        <v>0</v>
      </c>
      <c r="S35" s="55"/>
      <c r="T35" s="55"/>
      <c r="U35" s="55"/>
      <c r="V35" s="58"/>
      <c r="W35" s="58"/>
      <c r="X35" s="58">
        <f t="shared" si="5"/>
        <v>0</v>
      </c>
      <c r="Y35" s="58">
        <f t="shared" si="6"/>
        <v>0</v>
      </c>
      <c r="Z35" s="58">
        <f t="shared" si="7"/>
        <v>4441043.8</v>
      </c>
      <c r="AA35" s="58">
        <f t="shared" si="8"/>
        <v>0</v>
      </c>
      <c r="AB35" s="58">
        <f t="shared" si="9"/>
        <v>4441043.8</v>
      </c>
    </row>
    <row r="36" spans="1:43" x14ac:dyDescent="0.25">
      <c r="A36" s="46"/>
      <c r="B36" s="4"/>
      <c r="C36" s="4"/>
      <c r="D36" s="61" t="s">
        <v>40</v>
      </c>
      <c r="E36" s="61" t="s">
        <v>40</v>
      </c>
      <c r="F36" s="61" t="s">
        <v>40</v>
      </c>
      <c r="G36" s="61"/>
      <c r="H36" s="61" t="s">
        <v>40</v>
      </c>
      <c r="I36" s="61" t="s">
        <v>40</v>
      </c>
      <c r="J36" s="61" t="s">
        <v>40</v>
      </c>
      <c r="K36" s="61" t="s">
        <v>40</v>
      </c>
      <c r="L36" s="61" t="s">
        <v>40</v>
      </c>
      <c r="M36" s="61"/>
      <c r="N36" s="61" t="s">
        <v>40</v>
      </c>
      <c r="O36" s="61" t="s">
        <v>40</v>
      </c>
      <c r="P36" s="61" t="s">
        <v>40</v>
      </c>
      <c r="Q36" s="61"/>
      <c r="R36" s="61" t="s">
        <v>40</v>
      </c>
      <c r="S36" s="61" t="s">
        <v>40</v>
      </c>
      <c r="T36" s="61" t="s">
        <v>40</v>
      </c>
      <c r="U36" s="61" t="s">
        <v>40</v>
      </c>
      <c r="V36" s="61" t="s">
        <v>40</v>
      </c>
      <c r="W36" s="61"/>
      <c r="X36" s="61" t="s">
        <v>40</v>
      </c>
      <c r="Y36" s="61" t="s">
        <v>40</v>
      </c>
      <c r="Z36" s="61" t="s">
        <v>40</v>
      </c>
      <c r="AA36" s="61" t="s">
        <v>40</v>
      </c>
      <c r="AB36" s="61" t="s">
        <v>40</v>
      </c>
    </row>
    <row r="37" spans="1:43" x14ac:dyDescent="0.25">
      <c r="A37" s="46"/>
      <c r="B37" s="4"/>
      <c r="C37" s="4"/>
      <c r="D37" s="58">
        <f t="shared" ref="D37:AB37" si="10">SUM(D29:D35)</f>
        <v>84126122.399999991</v>
      </c>
      <c r="E37" s="58">
        <f t="shared" si="10"/>
        <v>12182720.609999999</v>
      </c>
      <c r="F37" s="58">
        <f t="shared" si="10"/>
        <v>0</v>
      </c>
      <c r="G37" s="58"/>
      <c r="H37" s="58">
        <f t="shared" si="10"/>
        <v>12182720.609999999</v>
      </c>
      <c r="I37" s="58">
        <f t="shared" si="10"/>
        <v>0</v>
      </c>
      <c r="J37" s="58">
        <f t="shared" si="10"/>
        <v>0</v>
      </c>
      <c r="K37" s="58">
        <f t="shared" si="10"/>
        <v>0</v>
      </c>
      <c r="L37" s="58">
        <f t="shared" si="10"/>
        <v>0</v>
      </c>
      <c r="M37" s="58"/>
      <c r="N37" s="58">
        <f t="shared" si="10"/>
        <v>12182720.609999999</v>
      </c>
      <c r="O37" s="58">
        <f t="shared" si="10"/>
        <v>194946.81</v>
      </c>
      <c r="P37" s="58">
        <f t="shared" si="10"/>
        <v>0</v>
      </c>
      <c r="Q37" s="58"/>
      <c r="R37" s="58">
        <f t="shared" si="10"/>
        <v>194946.81</v>
      </c>
      <c r="S37" s="58">
        <f t="shared" si="10"/>
        <v>0</v>
      </c>
      <c r="T37" s="58">
        <f t="shared" si="10"/>
        <v>0</v>
      </c>
      <c r="U37" s="58">
        <f t="shared" si="10"/>
        <v>0</v>
      </c>
      <c r="V37" s="58">
        <f t="shared" si="10"/>
        <v>0</v>
      </c>
      <c r="W37" s="58"/>
      <c r="X37" s="58">
        <f t="shared" si="10"/>
        <v>194946.81</v>
      </c>
      <c r="Y37" s="58">
        <f t="shared" si="10"/>
        <v>12377667.42</v>
      </c>
      <c r="Z37" s="58">
        <f t="shared" si="10"/>
        <v>71748454.979999989</v>
      </c>
      <c r="AA37" s="58">
        <f t="shared" si="10"/>
        <v>12377667.42</v>
      </c>
      <c r="AB37" s="58">
        <f t="shared" si="10"/>
        <v>71748454.979999989</v>
      </c>
    </row>
    <row r="38" spans="1:43" x14ac:dyDescent="0.25">
      <c r="A38" s="46"/>
      <c r="B38" s="4" t="s">
        <v>42</v>
      </c>
      <c r="C38" s="4"/>
      <c r="D38" s="61" t="s">
        <v>40</v>
      </c>
      <c r="E38" s="61" t="s">
        <v>40</v>
      </c>
      <c r="F38" s="61" t="s">
        <v>40</v>
      </c>
      <c r="G38" s="61"/>
      <c r="H38" s="61" t="s">
        <v>40</v>
      </c>
      <c r="I38" s="61" t="s">
        <v>40</v>
      </c>
      <c r="J38" s="61" t="s">
        <v>40</v>
      </c>
      <c r="K38" s="61" t="s">
        <v>40</v>
      </c>
      <c r="L38" s="61" t="s">
        <v>40</v>
      </c>
      <c r="M38" s="61"/>
      <c r="N38" s="61" t="s">
        <v>40</v>
      </c>
      <c r="O38" s="61" t="s">
        <v>40</v>
      </c>
      <c r="P38" s="61" t="s">
        <v>40</v>
      </c>
      <c r="Q38" s="61"/>
      <c r="R38" s="61" t="s">
        <v>40</v>
      </c>
      <c r="S38" s="61" t="s">
        <v>40</v>
      </c>
      <c r="T38" s="61" t="s">
        <v>40</v>
      </c>
      <c r="U38" s="61" t="s">
        <v>40</v>
      </c>
      <c r="V38" s="61" t="s">
        <v>40</v>
      </c>
      <c r="W38" s="61"/>
      <c r="X38" s="61" t="s">
        <v>40</v>
      </c>
      <c r="Y38" s="61" t="s">
        <v>40</v>
      </c>
      <c r="Z38" s="61" t="s">
        <v>40</v>
      </c>
      <c r="AA38" s="61" t="s">
        <v>40</v>
      </c>
      <c r="AB38" s="61" t="s">
        <v>40</v>
      </c>
    </row>
    <row r="39" spans="1:43" ht="16.5" thickBot="1" x14ac:dyDescent="0.3">
      <c r="A39" s="107"/>
      <c r="B39" s="112" t="s">
        <v>292</v>
      </c>
      <c r="C39" s="20"/>
      <c r="D39" s="114">
        <f>181752.55+843176.8</f>
        <v>1024929.3500000001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114">
        <f>181752.55+843176.8</f>
        <v>1024929.3500000001</v>
      </c>
      <c r="P39" s="118"/>
      <c r="Q39" s="62"/>
      <c r="R39" s="114">
        <f>+O39+P39</f>
        <v>1024929.3500000001</v>
      </c>
      <c r="S39" s="62"/>
      <c r="T39" s="62"/>
      <c r="U39" s="62"/>
      <c r="V39" s="62"/>
      <c r="W39" s="62"/>
      <c r="X39" s="62"/>
      <c r="Y39" s="118"/>
      <c r="Z39" s="118"/>
      <c r="AA39" s="62"/>
      <c r="AB39" s="62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</row>
    <row r="40" spans="1:43" ht="16.5" thickTop="1" x14ac:dyDescent="0.25">
      <c r="A40" s="46">
        <v>4</v>
      </c>
      <c r="B40" s="2" t="s">
        <v>45</v>
      </c>
      <c r="C40" s="2" t="s">
        <v>35</v>
      </c>
      <c r="D40" s="58">
        <v>26292198.949999999</v>
      </c>
      <c r="E40" s="58">
        <v>0</v>
      </c>
      <c r="F40" s="58"/>
      <c r="G40" s="58"/>
      <c r="H40" s="58">
        <f>E40+F40</f>
        <v>0</v>
      </c>
      <c r="I40" s="55"/>
      <c r="J40" s="58"/>
      <c r="K40" s="58"/>
      <c r="L40" s="58"/>
      <c r="M40" s="58"/>
      <c r="N40" s="58">
        <f>H40+L40</f>
        <v>0</v>
      </c>
      <c r="O40" s="58">
        <v>181752.55</v>
      </c>
      <c r="P40" s="55"/>
      <c r="Q40" s="55"/>
      <c r="R40" s="58">
        <f>O40+P40</f>
        <v>181752.55</v>
      </c>
      <c r="S40" s="55">
        <v>39241.199999999997</v>
      </c>
      <c r="T40" s="55"/>
      <c r="U40" s="55"/>
      <c r="V40" s="58"/>
      <c r="W40" s="58"/>
      <c r="X40" s="58">
        <f>R40+V40</f>
        <v>181752.55</v>
      </c>
      <c r="Y40" s="58">
        <f>R40+H40</f>
        <v>181752.55</v>
      </c>
      <c r="Z40" s="58">
        <f>D40-Y40</f>
        <v>26110446.399999999</v>
      </c>
      <c r="AA40" s="58">
        <f>N40+X40</f>
        <v>181752.55</v>
      </c>
      <c r="AB40" s="58">
        <f>+D40-N40-X40</f>
        <v>26110446.399999999</v>
      </c>
    </row>
    <row r="41" spans="1:43" x14ac:dyDescent="0.25">
      <c r="A41" s="46"/>
      <c r="B41" s="4"/>
      <c r="C41" s="3" t="s">
        <v>36</v>
      </c>
      <c r="D41" s="58">
        <v>1977546.91</v>
      </c>
      <c r="E41" s="58">
        <v>1977546.91</v>
      </c>
      <c r="F41" s="55"/>
      <c r="G41" s="55"/>
      <c r="H41" s="58">
        <f>E41+F41</f>
        <v>1977546.91</v>
      </c>
      <c r="I41" s="55"/>
      <c r="J41" s="58"/>
      <c r="K41" s="58"/>
      <c r="L41" s="58"/>
      <c r="M41" s="58"/>
      <c r="N41" s="58">
        <f>H41+L41</f>
        <v>1977546.91</v>
      </c>
      <c r="O41" s="58">
        <v>0</v>
      </c>
      <c r="P41" s="55"/>
      <c r="Q41" s="55"/>
      <c r="R41" s="58">
        <f>O41+P41</f>
        <v>0</v>
      </c>
      <c r="S41" s="58"/>
      <c r="T41" s="55"/>
      <c r="U41" s="55"/>
      <c r="V41" s="58"/>
      <c r="W41" s="58"/>
      <c r="X41" s="58">
        <f>R41+V41</f>
        <v>0</v>
      </c>
      <c r="Y41" s="58">
        <f>R41+H41</f>
        <v>1977546.91</v>
      </c>
      <c r="Z41" s="58">
        <f>D41-Y41</f>
        <v>0</v>
      </c>
      <c r="AA41" s="58">
        <f>N41+X41</f>
        <v>1977546.91</v>
      </c>
      <c r="AB41" s="58">
        <f>+D41-N41-X41</f>
        <v>0</v>
      </c>
    </row>
    <row r="42" spans="1:43" x14ac:dyDescent="0.25">
      <c r="A42" s="46"/>
      <c r="B42" s="4"/>
      <c r="C42" s="2" t="s">
        <v>37</v>
      </c>
      <c r="D42" s="58">
        <v>2485399.46</v>
      </c>
      <c r="E42" s="58">
        <v>0</v>
      </c>
      <c r="F42" s="55"/>
      <c r="G42" s="55"/>
      <c r="H42" s="58">
        <f>E42+F42</f>
        <v>0</v>
      </c>
      <c r="I42" s="55"/>
      <c r="J42" s="55"/>
      <c r="K42" s="55"/>
      <c r="L42" s="58"/>
      <c r="M42" s="58"/>
      <c r="N42" s="58">
        <f>H42+L42</f>
        <v>0</v>
      </c>
      <c r="O42" s="58">
        <v>0</v>
      </c>
      <c r="P42" s="55"/>
      <c r="Q42" s="55"/>
      <c r="R42" s="58">
        <f>O42+P42</f>
        <v>0</v>
      </c>
      <c r="S42" s="55"/>
      <c r="T42" s="55"/>
      <c r="U42" s="58"/>
      <c r="V42" s="58"/>
      <c r="W42" s="58"/>
      <c r="X42" s="58">
        <f>R42+V42</f>
        <v>0</v>
      </c>
      <c r="Y42" s="58">
        <f>R42+H42</f>
        <v>0</v>
      </c>
      <c r="Z42" s="58">
        <f>D42-Y42</f>
        <v>2485399.46</v>
      </c>
      <c r="AA42" s="58">
        <f>N42+X42</f>
        <v>0</v>
      </c>
      <c r="AB42" s="58">
        <f>+D42-N42-X42</f>
        <v>2485399.46</v>
      </c>
    </row>
    <row r="43" spans="1:43" x14ac:dyDescent="0.25">
      <c r="A43" s="46"/>
      <c r="B43" s="4"/>
      <c r="C43" s="4"/>
      <c r="D43" s="61" t="s">
        <v>40</v>
      </c>
      <c r="E43" s="61" t="s">
        <v>40</v>
      </c>
      <c r="F43" s="61" t="s">
        <v>40</v>
      </c>
      <c r="G43" s="61"/>
      <c r="H43" s="61" t="s">
        <v>40</v>
      </c>
      <c r="I43" s="61" t="s">
        <v>40</v>
      </c>
      <c r="J43" s="61" t="s">
        <v>40</v>
      </c>
      <c r="K43" s="61" t="s">
        <v>40</v>
      </c>
      <c r="L43" s="61" t="s">
        <v>40</v>
      </c>
      <c r="M43" s="61"/>
      <c r="N43" s="61" t="s">
        <v>40</v>
      </c>
      <c r="O43" s="61" t="s">
        <v>40</v>
      </c>
      <c r="P43" s="61" t="s">
        <v>40</v>
      </c>
      <c r="Q43" s="61"/>
      <c r="R43" s="61" t="s">
        <v>40</v>
      </c>
      <c r="S43" s="61" t="s">
        <v>40</v>
      </c>
      <c r="T43" s="61" t="s">
        <v>40</v>
      </c>
      <c r="U43" s="61" t="s">
        <v>40</v>
      </c>
      <c r="V43" s="61" t="s">
        <v>40</v>
      </c>
      <c r="W43" s="61"/>
      <c r="X43" s="61" t="s">
        <v>40</v>
      </c>
      <c r="Y43" s="61" t="s">
        <v>40</v>
      </c>
      <c r="Z43" s="61" t="s">
        <v>40</v>
      </c>
      <c r="AA43" s="61" t="s">
        <v>40</v>
      </c>
      <c r="AB43" s="61" t="s">
        <v>40</v>
      </c>
    </row>
    <row r="44" spans="1:43" x14ac:dyDescent="0.25">
      <c r="A44" s="46"/>
      <c r="B44" s="4"/>
      <c r="C44" s="4"/>
      <c r="D44" s="58">
        <f t="shared" ref="D44:AB44" si="11">SUM(D40:D42)</f>
        <v>30755145.32</v>
      </c>
      <c r="E44" s="58">
        <f t="shared" si="11"/>
        <v>1977546.91</v>
      </c>
      <c r="F44" s="58">
        <f t="shared" si="11"/>
        <v>0</v>
      </c>
      <c r="G44" s="58"/>
      <c r="H44" s="58">
        <f t="shared" si="11"/>
        <v>1977546.91</v>
      </c>
      <c r="I44" s="58">
        <f t="shared" si="11"/>
        <v>0</v>
      </c>
      <c r="J44" s="58">
        <f t="shared" si="11"/>
        <v>0</v>
      </c>
      <c r="K44" s="58">
        <f t="shared" si="11"/>
        <v>0</v>
      </c>
      <c r="L44" s="58">
        <f t="shared" si="11"/>
        <v>0</v>
      </c>
      <c r="M44" s="58"/>
      <c r="N44" s="58">
        <f t="shared" si="11"/>
        <v>1977546.91</v>
      </c>
      <c r="O44" s="58">
        <f t="shared" si="11"/>
        <v>181752.55</v>
      </c>
      <c r="P44" s="58">
        <f t="shared" si="11"/>
        <v>0</v>
      </c>
      <c r="Q44" s="58"/>
      <c r="R44" s="58">
        <f t="shared" si="11"/>
        <v>181752.55</v>
      </c>
      <c r="S44" s="58">
        <f t="shared" si="11"/>
        <v>39241.199999999997</v>
      </c>
      <c r="T44" s="58">
        <f t="shared" si="11"/>
        <v>0</v>
      </c>
      <c r="U44" s="58">
        <f t="shared" si="11"/>
        <v>0</v>
      </c>
      <c r="V44" s="58">
        <f t="shared" si="11"/>
        <v>0</v>
      </c>
      <c r="W44" s="58"/>
      <c r="X44" s="58">
        <f t="shared" si="11"/>
        <v>181752.55</v>
      </c>
      <c r="Y44" s="58">
        <f t="shared" si="11"/>
        <v>2159299.46</v>
      </c>
      <c r="Z44" s="58">
        <f t="shared" si="11"/>
        <v>28595845.859999999</v>
      </c>
      <c r="AA44" s="58">
        <f t="shared" si="11"/>
        <v>2159299.46</v>
      </c>
      <c r="AB44" s="58">
        <f t="shared" si="11"/>
        <v>28595845.859999999</v>
      </c>
    </row>
    <row r="45" spans="1:43" x14ac:dyDescent="0.25">
      <c r="A45" s="46"/>
      <c r="B45" s="4"/>
      <c r="C45" s="4"/>
      <c r="D45" s="61" t="s">
        <v>40</v>
      </c>
      <c r="E45" s="61" t="s">
        <v>40</v>
      </c>
      <c r="F45" s="61" t="s">
        <v>40</v>
      </c>
      <c r="G45" s="61"/>
      <c r="H45" s="61" t="s">
        <v>40</v>
      </c>
      <c r="I45" s="61" t="s">
        <v>40</v>
      </c>
      <c r="J45" s="61" t="s">
        <v>40</v>
      </c>
      <c r="K45" s="61" t="s">
        <v>40</v>
      </c>
      <c r="L45" s="61" t="s">
        <v>40</v>
      </c>
      <c r="M45" s="61"/>
      <c r="N45" s="61" t="s">
        <v>40</v>
      </c>
      <c r="O45" s="61" t="s">
        <v>40</v>
      </c>
      <c r="P45" s="61" t="s">
        <v>40</v>
      </c>
      <c r="Q45" s="61"/>
      <c r="R45" s="61" t="s">
        <v>40</v>
      </c>
      <c r="S45" s="61" t="s">
        <v>40</v>
      </c>
      <c r="T45" s="61" t="s">
        <v>40</v>
      </c>
      <c r="U45" s="61" t="s">
        <v>40</v>
      </c>
      <c r="V45" s="61" t="s">
        <v>40</v>
      </c>
      <c r="W45" s="61"/>
      <c r="X45" s="61" t="s">
        <v>40</v>
      </c>
      <c r="Y45" s="61" t="s">
        <v>40</v>
      </c>
      <c r="Z45" s="61" t="s">
        <v>40</v>
      </c>
      <c r="AA45" s="61" t="s">
        <v>40</v>
      </c>
      <c r="AB45" s="61" t="s">
        <v>40</v>
      </c>
    </row>
    <row r="46" spans="1:43" x14ac:dyDescent="0.25">
      <c r="A46" s="46"/>
      <c r="B46" s="4"/>
      <c r="C46" s="4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125"/>
      <c r="P46" s="126"/>
      <c r="Q46" s="84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43" x14ac:dyDescent="0.25">
      <c r="A47" s="46">
        <v>5</v>
      </c>
      <c r="B47" s="3" t="s">
        <v>46</v>
      </c>
      <c r="C47" s="2" t="s">
        <v>35</v>
      </c>
      <c r="D47" s="58">
        <f>23528628</f>
        <v>23528628</v>
      </c>
      <c r="E47" s="58">
        <v>0</v>
      </c>
      <c r="F47" s="55"/>
      <c r="G47" s="55"/>
      <c r="H47" s="58">
        <f>E47+F47</f>
        <v>0</v>
      </c>
      <c r="I47" s="55"/>
      <c r="J47" s="55"/>
      <c r="K47" s="55"/>
      <c r="L47" s="58"/>
      <c r="M47" s="58"/>
      <c r="N47" s="58">
        <f>H47+L47</f>
        <v>0</v>
      </c>
      <c r="O47" s="55">
        <f>24522+1439798.05+4238931.19+1059910.77+16765466.09</f>
        <v>23528628.100000001</v>
      </c>
      <c r="P47" s="55"/>
      <c r="Q47" s="55"/>
      <c r="R47" s="58">
        <f>O47+P47</f>
        <v>23528628.100000001</v>
      </c>
      <c r="S47" s="55">
        <f>3518107.3+6592500.74</f>
        <v>10110608.039999999</v>
      </c>
      <c r="T47" s="55">
        <f>178555.67+4060375.52+231956.38+827954.39</f>
        <v>5298841.96</v>
      </c>
      <c r="U47" s="55"/>
      <c r="V47" s="58"/>
      <c r="W47" s="58"/>
      <c r="X47" s="58">
        <f>R47+V47</f>
        <v>23528628.100000001</v>
      </c>
      <c r="Y47" s="58">
        <f t="shared" ref="Y47:Y54" si="12">R47+H47</f>
        <v>23528628.100000001</v>
      </c>
      <c r="Z47" s="58">
        <f>+D47-H47-R47</f>
        <v>-0.10000000149011612</v>
      </c>
      <c r="AA47" s="58">
        <f t="shared" ref="AA47:AA54" si="13">N47+X47</f>
        <v>23528628.100000001</v>
      </c>
      <c r="AB47" s="58">
        <f>+D47-N47-X47</f>
        <v>-0.10000000149011612</v>
      </c>
    </row>
    <row r="48" spans="1:43" x14ac:dyDescent="0.25">
      <c r="A48" s="46"/>
      <c r="B48" s="4"/>
      <c r="C48" s="3" t="s">
        <v>36</v>
      </c>
      <c r="D48" s="58">
        <v>3180311.69</v>
      </c>
      <c r="E48" s="58">
        <v>3180311.69</v>
      </c>
      <c r="F48" s="55"/>
      <c r="G48" s="55"/>
      <c r="H48" s="58">
        <f>E48+F48</f>
        <v>3180311.69</v>
      </c>
      <c r="I48" s="55"/>
      <c r="J48" s="55"/>
      <c r="K48" s="55"/>
      <c r="L48" s="58"/>
      <c r="M48" s="58"/>
      <c r="N48" s="58">
        <f>H48+L48</f>
        <v>3180311.69</v>
      </c>
      <c r="O48" s="58">
        <v>0</v>
      </c>
      <c r="P48" s="55"/>
      <c r="Q48" s="55"/>
      <c r="R48" s="58">
        <f>O48+P48</f>
        <v>0</v>
      </c>
      <c r="S48" s="58"/>
      <c r="T48" s="55"/>
      <c r="U48" s="55"/>
      <c r="V48" s="58"/>
      <c r="W48" s="58"/>
      <c r="X48" s="58">
        <f>R48+V48</f>
        <v>0</v>
      </c>
      <c r="Y48" s="58">
        <f t="shared" si="12"/>
        <v>3180311.69</v>
      </c>
      <c r="Z48" s="58">
        <f t="shared" ref="Z48:Z54" si="14">D48-Y48</f>
        <v>0</v>
      </c>
      <c r="AA48" s="58">
        <f t="shared" si="13"/>
        <v>3180311.69</v>
      </c>
      <c r="AB48" s="58">
        <f t="shared" ref="AB48:AB54" si="15">+D48-N48-X48</f>
        <v>0</v>
      </c>
    </row>
    <row r="49" spans="1:43" x14ac:dyDescent="0.25">
      <c r="C49" s="4" t="s">
        <v>318</v>
      </c>
      <c r="D49" s="55">
        <v>5000000</v>
      </c>
      <c r="E49" s="55">
        <v>4777683.7</v>
      </c>
      <c r="F49" s="55"/>
      <c r="G49" s="55"/>
      <c r="H49" s="55">
        <f>+E49+F49</f>
        <v>4777683.7</v>
      </c>
      <c r="I49" s="55"/>
      <c r="J49" s="55"/>
      <c r="K49" s="55"/>
      <c r="L49" s="55"/>
      <c r="M49" s="55"/>
      <c r="N49" s="55">
        <f>+H49+L49</f>
        <v>4777683.7</v>
      </c>
      <c r="O49" s="55">
        <v>0</v>
      </c>
      <c r="P49" s="55"/>
      <c r="Q49" s="55"/>
      <c r="R49" s="55">
        <f>+O49+P49</f>
        <v>0</v>
      </c>
      <c r="S49" s="55"/>
      <c r="T49" s="55"/>
      <c r="U49" s="55"/>
      <c r="V49" s="55"/>
      <c r="W49" s="55"/>
      <c r="X49" s="55">
        <f>+R49+V49</f>
        <v>0</v>
      </c>
      <c r="Y49" s="58">
        <f t="shared" si="12"/>
        <v>4777683.7</v>
      </c>
      <c r="Z49" s="58">
        <f t="shared" si="14"/>
        <v>222316.29999999981</v>
      </c>
      <c r="AA49" s="58">
        <f t="shared" si="13"/>
        <v>4777683.7</v>
      </c>
      <c r="AB49" s="58">
        <f t="shared" si="15"/>
        <v>222316.29999999981</v>
      </c>
    </row>
    <row r="50" spans="1:43" x14ac:dyDescent="0.25">
      <c r="A50" s="46"/>
      <c r="B50" s="4"/>
      <c r="C50" s="3" t="s">
        <v>44</v>
      </c>
      <c r="D50" s="58">
        <v>13793000</v>
      </c>
      <c r="E50" s="58">
        <v>13793000</v>
      </c>
      <c r="F50" s="55"/>
      <c r="G50" s="55"/>
      <c r="H50" s="58">
        <f>E50+F50</f>
        <v>13793000</v>
      </c>
      <c r="I50" s="55"/>
      <c r="J50" s="55"/>
      <c r="K50" s="55"/>
      <c r="L50" s="58"/>
      <c r="M50" s="58"/>
      <c r="N50" s="58">
        <f>H50+L50</f>
        <v>13793000</v>
      </c>
      <c r="O50" s="58">
        <v>0</v>
      </c>
      <c r="P50" s="55"/>
      <c r="Q50" s="55"/>
      <c r="R50" s="58">
        <f>O50+P50</f>
        <v>0</v>
      </c>
      <c r="S50" s="58"/>
      <c r="T50" s="55"/>
      <c r="U50" s="55"/>
      <c r="V50" s="58"/>
      <c r="W50" s="58"/>
      <c r="X50" s="58">
        <f>R50+V50</f>
        <v>0</v>
      </c>
      <c r="Y50" s="58">
        <f t="shared" si="12"/>
        <v>13793000</v>
      </c>
      <c r="Z50" s="58">
        <f t="shared" si="14"/>
        <v>0</v>
      </c>
      <c r="AA50" s="58">
        <f t="shared" si="13"/>
        <v>13793000</v>
      </c>
      <c r="AB50" s="58">
        <f t="shared" si="15"/>
        <v>0</v>
      </c>
    </row>
    <row r="51" spans="1:43" x14ac:dyDescent="0.25">
      <c r="A51" s="46"/>
      <c r="B51" s="4"/>
      <c r="C51" s="3" t="s">
        <v>48</v>
      </c>
      <c r="D51" s="58">
        <v>11432000</v>
      </c>
      <c r="E51" s="58">
        <v>11432000</v>
      </c>
      <c r="F51" s="55"/>
      <c r="G51" s="55"/>
      <c r="H51" s="58">
        <f>E51+F51</f>
        <v>11432000</v>
      </c>
      <c r="I51" s="55"/>
      <c r="J51" s="55"/>
      <c r="K51" s="55"/>
      <c r="L51" s="58"/>
      <c r="M51" s="58"/>
      <c r="N51" s="58">
        <f>H51+L51</f>
        <v>11432000</v>
      </c>
      <c r="O51" s="58">
        <v>0</v>
      </c>
      <c r="P51" s="55"/>
      <c r="Q51" s="55"/>
      <c r="R51" s="58">
        <f>O51+P51</f>
        <v>0</v>
      </c>
      <c r="S51" s="55"/>
      <c r="T51" s="55"/>
      <c r="U51" s="55"/>
      <c r="V51" s="58"/>
      <c r="W51" s="58"/>
      <c r="X51" s="58">
        <f>R51+V51</f>
        <v>0</v>
      </c>
      <c r="Y51" s="58">
        <f t="shared" si="12"/>
        <v>11432000</v>
      </c>
      <c r="Z51" s="58">
        <f t="shared" si="14"/>
        <v>0</v>
      </c>
      <c r="AA51" s="58">
        <f t="shared" si="13"/>
        <v>11432000</v>
      </c>
      <c r="AB51" s="58">
        <f t="shared" si="15"/>
        <v>0</v>
      </c>
    </row>
    <row r="52" spans="1:43" x14ac:dyDescent="0.25">
      <c r="A52" s="4"/>
      <c r="B52" s="4"/>
      <c r="C52" s="120" t="s">
        <v>296</v>
      </c>
      <c r="D52" s="55">
        <f>20000000-5000000</f>
        <v>15000000</v>
      </c>
      <c r="E52" s="55">
        <f>2000000+2500000</f>
        <v>4500000</v>
      </c>
      <c r="F52" s="55"/>
      <c r="G52" s="55"/>
      <c r="H52" s="55">
        <f>+E52+F52</f>
        <v>4500000</v>
      </c>
      <c r="I52" s="55"/>
      <c r="J52" s="55"/>
      <c r="K52" s="55"/>
      <c r="L52" s="55"/>
      <c r="M52" s="55"/>
      <c r="N52" s="55">
        <f>H52+L52</f>
        <v>4500000</v>
      </c>
      <c r="O52" s="55">
        <f>338735.6+126337+633224.56+230030.16+70320+125084.9</f>
        <v>1523732.22</v>
      </c>
      <c r="P52" s="55"/>
      <c r="Q52" s="55"/>
      <c r="R52" s="55">
        <f>O52+P52</f>
        <v>1523732.22</v>
      </c>
      <c r="S52" s="55"/>
      <c r="T52" s="55"/>
      <c r="U52" s="55"/>
      <c r="V52" s="55"/>
      <c r="W52" s="55"/>
      <c r="X52" s="55">
        <f>+R52+V52</f>
        <v>1523732.22</v>
      </c>
      <c r="Y52" s="55">
        <f t="shared" si="12"/>
        <v>6023732.2199999997</v>
      </c>
      <c r="Z52" s="58">
        <f t="shared" si="14"/>
        <v>8976267.7800000012</v>
      </c>
      <c r="AA52" s="55">
        <f t="shared" si="13"/>
        <v>6023732.2199999997</v>
      </c>
      <c r="AB52" s="55">
        <f t="shared" si="15"/>
        <v>8976267.7799999993</v>
      </c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x14ac:dyDescent="0.25">
      <c r="A53" s="46"/>
      <c r="B53" s="4"/>
      <c r="C53" s="2" t="s">
        <v>37</v>
      </c>
      <c r="D53" s="58">
        <v>369667.37</v>
      </c>
      <c r="E53" s="58">
        <v>0</v>
      </c>
      <c r="F53" s="55"/>
      <c r="G53" s="55"/>
      <c r="H53" s="58">
        <f>E53+F53</f>
        <v>0</v>
      </c>
      <c r="I53" s="55"/>
      <c r="J53" s="55"/>
      <c r="K53" s="55"/>
      <c r="L53" s="58"/>
      <c r="M53" s="58"/>
      <c r="N53" s="58">
        <f>H53+L53</f>
        <v>0</v>
      </c>
      <c r="O53" s="55">
        <f>356044.7+4180.2-4180.2</f>
        <v>356044.7</v>
      </c>
      <c r="P53" s="55"/>
      <c r="Q53" s="55"/>
      <c r="R53" s="58">
        <f>O53+P53</f>
        <v>356044.7</v>
      </c>
      <c r="S53" s="55">
        <f>458902.7-406034.2+193464.12+70403</f>
        <v>316735.62</v>
      </c>
      <c r="T53" s="55"/>
      <c r="U53" s="55"/>
      <c r="V53" s="58"/>
      <c r="W53" s="58"/>
      <c r="X53" s="58">
        <f>R53+V53</f>
        <v>356044.7</v>
      </c>
      <c r="Y53" s="58">
        <f t="shared" si="12"/>
        <v>356044.7</v>
      </c>
      <c r="Z53" s="58">
        <f t="shared" si="14"/>
        <v>13622.669999999984</v>
      </c>
      <c r="AA53" s="58">
        <f t="shared" si="13"/>
        <v>356044.7</v>
      </c>
      <c r="AB53" s="58">
        <f t="shared" si="15"/>
        <v>13622.669999999984</v>
      </c>
    </row>
    <row r="54" spans="1:43" x14ac:dyDescent="0.25">
      <c r="A54" s="46"/>
      <c r="B54" s="4"/>
      <c r="C54" s="8" t="s">
        <v>39</v>
      </c>
      <c r="D54" s="58">
        <v>1431062.19</v>
      </c>
      <c r="E54" s="58">
        <v>0</v>
      </c>
      <c r="F54" s="55"/>
      <c r="G54" s="55"/>
      <c r="H54" s="58">
        <f>E54+F54</f>
        <v>0</v>
      </c>
      <c r="I54" s="55"/>
      <c r="J54" s="55"/>
      <c r="K54" s="55"/>
      <c r="L54" s="58"/>
      <c r="M54" s="58"/>
      <c r="N54" s="58">
        <f>H54+L54</f>
        <v>0</v>
      </c>
      <c r="O54" s="55">
        <v>25467.5</v>
      </c>
      <c r="P54" s="55"/>
      <c r="Q54" s="55"/>
      <c r="R54" s="58">
        <f>O54+P54</f>
        <v>25467.5</v>
      </c>
      <c r="S54" s="55"/>
      <c r="T54" s="55"/>
      <c r="U54" s="55"/>
      <c r="V54" s="58"/>
      <c r="W54" s="58"/>
      <c r="X54" s="58">
        <f>R54+V54</f>
        <v>25467.5</v>
      </c>
      <c r="Y54" s="58">
        <f t="shared" si="12"/>
        <v>25467.5</v>
      </c>
      <c r="Z54" s="58">
        <f t="shared" si="14"/>
        <v>1405594.69</v>
      </c>
      <c r="AA54" s="58">
        <f t="shared" si="13"/>
        <v>25467.5</v>
      </c>
      <c r="AB54" s="58">
        <f t="shared" si="15"/>
        <v>1405594.69</v>
      </c>
    </row>
    <row r="55" spans="1:43" x14ac:dyDescent="0.25">
      <c r="A55" s="46"/>
      <c r="B55" s="4"/>
      <c r="C55" s="4"/>
      <c r="D55" s="61" t="s">
        <v>40</v>
      </c>
      <c r="E55" s="61" t="s">
        <v>40</v>
      </c>
      <c r="F55" s="61" t="s">
        <v>40</v>
      </c>
      <c r="G55" s="61"/>
      <c r="H55" s="61" t="s">
        <v>40</v>
      </c>
      <c r="I55" s="61" t="s">
        <v>40</v>
      </c>
      <c r="J55" s="61" t="s">
        <v>40</v>
      </c>
      <c r="K55" s="61" t="s">
        <v>40</v>
      </c>
      <c r="L55" s="61" t="s">
        <v>40</v>
      </c>
      <c r="M55" s="61"/>
      <c r="N55" s="61" t="s">
        <v>40</v>
      </c>
      <c r="O55" s="61" t="s">
        <v>40</v>
      </c>
      <c r="P55" s="61" t="s">
        <v>40</v>
      </c>
      <c r="Q55" s="61"/>
      <c r="R55" s="61" t="s">
        <v>40</v>
      </c>
      <c r="S55" s="61" t="s">
        <v>40</v>
      </c>
      <c r="T55" s="61" t="s">
        <v>40</v>
      </c>
      <c r="U55" s="61" t="s">
        <v>40</v>
      </c>
      <c r="V55" s="61" t="s">
        <v>40</v>
      </c>
      <c r="W55" s="61"/>
      <c r="X55" s="61" t="s">
        <v>40</v>
      </c>
      <c r="Y55" s="61" t="s">
        <v>40</v>
      </c>
      <c r="Z55" s="61" t="s">
        <v>40</v>
      </c>
      <c r="AA55" s="61" t="s">
        <v>40</v>
      </c>
      <c r="AB55" s="61" t="s">
        <v>40</v>
      </c>
    </row>
    <row r="56" spans="1:43" x14ac:dyDescent="0.25">
      <c r="A56" s="46"/>
      <c r="B56" s="4"/>
      <c r="C56" s="4"/>
      <c r="D56" s="58">
        <f>SUM(D47:D54)</f>
        <v>73734669.25</v>
      </c>
      <c r="E56" s="58">
        <f>SUM(E47:E54)</f>
        <v>37682995.390000001</v>
      </c>
      <c r="F56" s="58">
        <f>SUM(F47:F54)</f>
        <v>0</v>
      </c>
      <c r="G56" s="58"/>
      <c r="H56" s="58">
        <f>SUM(H47:H54)</f>
        <v>37682995.390000001</v>
      </c>
      <c r="I56" s="58">
        <f>SUM(I47:I54)</f>
        <v>0</v>
      </c>
      <c r="J56" s="58">
        <f>SUM(J47:J54)</f>
        <v>0</v>
      </c>
      <c r="K56" s="58">
        <f>SUM(K47:K54)</f>
        <v>0</v>
      </c>
      <c r="L56" s="58">
        <f>SUM(L47:L54)</f>
        <v>0</v>
      </c>
      <c r="M56" s="58"/>
      <c r="N56" s="58">
        <f>SUM(N47:N54)</f>
        <v>37682995.390000001</v>
      </c>
      <c r="O56" s="58">
        <f>SUM(O47:O54)</f>
        <v>25433872.52</v>
      </c>
      <c r="P56" s="58">
        <f>SUM(P47:P54)</f>
        <v>0</v>
      </c>
      <c r="Q56" s="58"/>
      <c r="R56" s="58">
        <f>SUM(R47:R54)</f>
        <v>25433872.52</v>
      </c>
      <c r="S56" s="58">
        <f>SUM(S47:S54)</f>
        <v>10427343.659999998</v>
      </c>
      <c r="T56" s="58">
        <f>SUM(T47:T54)</f>
        <v>5298841.96</v>
      </c>
      <c r="U56" s="58">
        <f>SUM(U47:U54)</f>
        <v>0</v>
      </c>
      <c r="V56" s="58">
        <f>SUM(V47:V54)</f>
        <v>0</v>
      </c>
      <c r="W56" s="58"/>
      <c r="X56" s="58">
        <f>SUM(X47:X54)</f>
        <v>25433872.52</v>
      </c>
      <c r="Y56" s="58">
        <f>SUM(Y47:Y54)</f>
        <v>63116867.910000004</v>
      </c>
      <c r="Z56" s="58">
        <f>SUM(Z47:Z54)</f>
        <v>10617801.34</v>
      </c>
      <c r="AA56" s="58">
        <f>SUM(AA47:AA54)</f>
        <v>63116867.910000004</v>
      </c>
      <c r="AB56" s="58">
        <f>SUM(AB47:AB54)</f>
        <v>10617801.339999996</v>
      </c>
    </row>
    <row r="57" spans="1:43" x14ac:dyDescent="0.25">
      <c r="A57" s="46"/>
      <c r="B57" s="4"/>
      <c r="C57" s="4"/>
      <c r="D57" s="61" t="s">
        <v>40</v>
      </c>
      <c r="E57" s="61" t="s">
        <v>40</v>
      </c>
      <c r="F57" s="61" t="s">
        <v>40</v>
      </c>
      <c r="G57" s="61"/>
      <c r="H57" s="61" t="s">
        <v>40</v>
      </c>
      <c r="I57" s="61" t="s">
        <v>40</v>
      </c>
      <c r="J57" s="61" t="s">
        <v>40</v>
      </c>
      <c r="K57" s="61" t="s">
        <v>40</v>
      </c>
      <c r="L57" s="61" t="s">
        <v>40</v>
      </c>
      <c r="M57" s="61"/>
      <c r="N57" s="61" t="s">
        <v>40</v>
      </c>
      <c r="O57" s="61" t="s">
        <v>40</v>
      </c>
      <c r="P57" s="61" t="s">
        <v>40</v>
      </c>
      <c r="Q57" s="61"/>
      <c r="R57" s="61" t="s">
        <v>40</v>
      </c>
      <c r="S57" s="61" t="s">
        <v>40</v>
      </c>
      <c r="T57" s="61" t="s">
        <v>40</v>
      </c>
      <c r="U57" s="61" t="s">
        <v>40</v>
      </c>
      <c r="V57" s="61" t="s">
        <v>40</v>
      </c>
      <c r="W57" s="61"/>
      <c r="X57" s="61" t="s">
        <v>40</v>
      </c>
      <c r="Y57" s="61" t="s">
        <v>40</v>
      </c>
      <c r="Z57" s="61" t="s">
        <v>40</v>
      </c>
      <c r="AA57" s="61" t="s">
        <v>40</v>
      </c>
      <c r="AB57" s="61" t="s">
        <v>40</v>
      </c>
      <c r="AC57" s="124" t="s">
        <v>317</v>
      </c>
      <c r="AD57" s="123">
        <f>+D49+D60</f>
        <v>8027354.9199999999</v>
      </c>
      <c r="AE57" s="123">
        <f>+E49+E60</f>
        <v>7805038.6200000001</v>
      </c>
      <c r="AF57" s="123">
        <f>+F49+F60</f>
        <v>0</v>
      </c>
      <c r="AG57" s="123">
        <f>+AE57+AF57</f>
        <v>7805038.6200000001</v>
      </c>
      <c r="AH57" s="123">
        <f>+L49+L60</f>
        <v>0</v>
      </c>
      <c r="AI57" s="123">
        <f>+AG57+AH57</f>
        <v>7805038.6200000001</v>
      </c>
      <c r="AJ57" s="123">
        <f>+O49+O60</f>
        <v>0</v>
      </c>
      <c r="AK57" s="123">
        <f>+P49+P60</f>
        <v>0</v>
      </c>
      <c r="AL57" s="123">
        <f>+AJ57+AK57</f>
        <v>0</v>
      </c>
      <c r="AM57" s="123">
        <f>+V49+V60</f>
        <v>0</v>
      </c>
      <c r="AN57" s="123">
        <f>+AL57+AM57</f>
        <v>0</v>
      </c>
      <c r="AO57" s="123">
        <f>+AG57+AL57</f>
        <v>7805038.6200000001</v>
      </c>
      <c r="AP57" s="123">
        <f>+AD57-AO57</f>
        <v>222316.29999999981</v>
      </c>
      <c r="AQ57" s="123">
        <f>+AD57-AI57-AN57</f>
        <v>222316.29999999981</v>
      </c>
    </row>
    <row r="58" spans="1:43" x14ac:dyDescent="0.25">
      <c r="A58" s="46"/>
      <c r="B58" s="4"/>
      <c r="C58" s="4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2"/>
      <c r="Y58" s="61"/>
      <c r="Z58" s="61"/>
      <c r="AA58" s="61"/>
      <c r="AB58" s="61"/>
      <c r="AC58" s="50" t="s">
        <v>297</v>
      </c>
      <c r="AD58" s="123">
        <f>+D52</f>
        <v>15000000</v>
      </c>
      <c r="AE58" s="123">
        <f>+E52</f>
        <v>4500000</v>
      </c>
      <c r="AF58" s="123">
        <f>+F52</f>
        <v>0</v>
      </c>
      <c r="AG58" s="123">
        <f>+AE58+AF58</f>
        <v>4500000</v>
      </c>
      <c r="AH58" s="123">
        <f>+L52</f>
        <v>0</v>
      </c>
      <c r="AI58" s="123">
        <f>+AG58+AH58</f>
        <v>4500000</v>
      </c>
      <c r="AJ58" s="123">
        <f>+O52</f>
        <v>1523732.22</v>
      </c>
      <c r="AK58" s="123">
        <f>+P52</f>
        <v>0</v>
      </c>
      <c r="AL58" s="123">
        <f>+AJ58+AK58</f>
        <v>1523732.22</v>
      </c>
      <c r="AM58" s="123">
        <f>+V40</f>
        <v>0</v>
      </c>
      <c r="AN58" s="123">
        <f>+AL58+AM58</f>
        <v>1523732.22</v>
      </c>
      <c r="AO58" s="123">
        <f>+AG58+AL58</f>
        <v>6023732.2199999997</v>
      </c>
      <c r="AP58" s="123">
        <f>+AD58-AO58</f>
        <v>8976267.7800000012</v>
      </c>
      <c r="AQ58" s="123">
        <f>+AD58-AI58-AN58</f>
        <v>8976267.7799999993</v>
      </c>
    </row>
    <row r="59" spans="1:43" x14ac:dyDescent="0.25">
      <c r="A59" s="46">
        <v>6</v>
      </c>
      <c r="B59" s="2" t="s">
        <v>49</v>
      </c>
      <c r="C59" s="2" t="s">
        <v>35</v>
      </c>
      <c r="D59" s="58">
        <f>115037553.6-3027354.92</f>
        <v>112010198.67999999</v>
      </c>
      <c r="E59" s="58">
        <v>0</v>
      </c>
      <c r="F59" s="55"/>
      <c r="G59" s="55"/>
      <c r="H59" s="58">
        <f>E59+F59</f>
        <v>0</v>
      </c>
      <c r="I59" s="58"/>
      <c r="J59" s="55"/>
      <c r="K59" s="55"/>
      <c r="L59" s="58"/>
      <c r="M59" s="58"/>
      <c r="N59" s="58">
        <f>H59+L59</f>
        <v>0</v>
      </c>
      <c r="O59" s="55">
        <v>84243.3</v>
      </c>
      <c r="P59" s="55"/>
      <c r="Q59" s="55"/>
      <c r="R59" s="58">
        <f>O59+P59</f>
        <v>84243.3</v>
      </c>
      <c r="S59" s="55">
        <v>1154237</v>
      </c>
      <c r="T59" s="55"/>
      <c r="U59" s="55"/>
      <c r="V59" s="58"/>
      <c r="W59" s="58"/>
      <c r="X59" s="58">
        <f>R59+V59</f>
        <v>84243.3</v>
      </c>
      <c r="Y59" s="58">
        <f t="shared" ref="Y59:Y65" si="16">R59+H59</f>
        <v>84243.3</v>
      </c>
      <c r="Z59" s="58">
        <f t="shared" ref="Z59:Z65" si="17">D59-Y59</f>
        <v>111925955.38</v>
      </c>
      <c r="AA59" s="58">
        <f t="shared" ref="AA59:AA65" si="18">N59+X59</f>
        <v>84243.3</v>
      </c>
      <c r="AB59" s="58">
        <f t="shared" ref="AB59:AB65" si="19">+D59-N59-X59</f>
        <v>111925955.38</v>
      </c>
      <c r="AC59" s="50" t="s">
        <v>47</v>
      </c>
      <c r="AD59" s="94">
        <f>D12+D21+D29+D40+D47+D59</f>
        <v>304034054.69999999</v>
      </c>
      <c r="AE59" s="94">
        <f>E12+E21+E29+E40+E47+E59</f>
        <v>10000000</v>
      </c>
      <c r="AF59" s="94">
        <f>F12+F21+F29+F40+F47+F59</f>
        <v>0</v>
      </c>
      <c r="AG59" s="94">
        <f>+AE59+AF59</f>
        <v>10000000</v>
      </c>
      <c r="AH59" s="94">
        <f>L12+L21+L29+L40+L47+L59</f>
        <v>0</v>
      </c>
      <c r="AI59" s="94">
        <f>+AG59+AH59</f>
        <v>10000000</v>
      </c>
      <c r="AJ59" s="94">
        <f>O12+O21+O29+O40+O47+O59</f>
        <v>23989570.760000002</v>
      </c>
      <c r="AK59" s="94">
        <f>P12+P21+P29+P40+P47+P59</f>
        <v>0</v>
      </c>
      <c r="AL59" s="94">
        <f>+AJ59+AK59</f>
        <v>23989570.760000002</v>
      </c>
      <c r="AM59" s="94">
        <f>V12+V21+V29+V47+V59</f>
        <v>0</v>
      </c>
      <c r="AN59" s="97">
        <f>+AL59+AM59</f>
        <v>23989570.760000002</v>
      </c>
      <c r="AO59" s="94">
        <f>+AG59+AL59</f>
        <v>33989570.760000005</v>
      </c>
      <c r="AP59" s="94">
        <f>+AD59-AO59+0.2</f>
        <v>270044484.13999999</v>
      </c>
      <c r="AQ59" s="94">
        <f>+AD59-AI59-AN59</f>
        <v>270044483.94</v>
      </c>
    </row>
    <row r="60" spans="1:43" x14ac:dyDescent="0.25">
      <c r="A60" s="4"/>
      <c r="B60" s="4"/>
      <c r="C60" s="4" t="s">
        <v>317</v>
      </c>
      <c r="D60" s="55">
        <v>3027354.92</v>
      </c>
      <c r="E60" s="55">
        <v>3027354.92</v>
      </c>
      <c r="F60" s="55"/>
      <c r="G60" s="55"/>
      <c r="H60" s="55">
        <f>+E60+F60</f>
        <v>3027354.92</v>
      </c>
      <c r="I60" s="55"/>
      <c r="J60" s="55"/>
      <c r="K60" s="55"/>
      <c r="L60" s="55"/>
      <c r="M60" s="55"/>
      <c r="N60" s="55">
        <f>+H60+L60</f>
        <v>3027354.92</v>
      </c>
      <c r="O60" s="55">
        <v>0</v>
      </c>
      <c r="P60" s="55"/>
      <c r="Q60" s="55"/>
      <c r="R60" s="55">
        <f>+O60+P60</f>
        <v>0</v>
      </c>
      <c r="S60" s="55"/>
      <c r="T60" s="55"/>
      <c r="U60" s="55"/>
      <c r="V60" s="55"/>
      <c r="W60" s="55"/>
      <c r="X60" s="55">
        <f>+R60+V60</f>
        <v>0</v>
      </c>
      <c r="Y60" s="58">
        <f t="shared" si="16"/>
        <v>3027354.92</v>
      </c>
      <c r="Z60" s="58">
        <f t="shared" si="17"/>
        <v>0</v>
      </c>
      <c r="AA60" s="58">
        <f t="shared" si="18"/>
        <v>3027354.92</v>
      </c>
      <c r="AB60" s="58">
        <f t="shared" si="19"/>
        <v>0</v>
      </c>
    </row>
    <row r="61" spans="1:43" x14ac:dyDescent="0.25">
      <c r="A61" s="46"/>
      <c r="B61" s="4"/>
      <c r="C61" s="3" t="s">
        <v>36</v>
      </c>
      <c r="D61" s="58">
        <v>600000</v>
      </c>
      <c r="E61" s="58">
        <v>600000</v>
      </c>
      <c r="F61" s="55"/>
      <c r="G61" s="55"/>
      <c r="H61" s="58">
        <f>E61+F61</f>
        <v>600000</v>
      </c>
      <c r="I61" s="58"/>
      <c r="J61" s="55"/>
      <c r="K61" s="55"/>
      <c r="L61" s="58"/>
      <c r="M61" s="58"/>
      <c r="N61" s="58">
        <f>H61+L61</f>
        <v>600000</v>
      </c>
      <c r="O61" s="58">
        <v>0</v>
      </c>
      <c r="P61" s="55"/>
      <c r="Q61" s="55"/>
      <c r="R61" s="58">
        <f>O61+P61</f>
        <v>0</v>
      </c>
      <c r="S61" s="55"/>
      <c r="T61" s="55"/>
      <c r="U61" s="55"/>
      <c r="V61" s="58"/>
      <c r="W61" s="58"/>
      <c r="X61" s="58">
        <f>R61+V61</f>
        <v>0</v>
      </c>
      <c r="Y61" s="58">
        <f t="shared" si="16"/>
        <v>600000</v>
      </c>
      <c r="Z61" s="58">
        <f t="shared" si="17"/>
        <v>0</v>
      </c>
      <c r="AA61" s="58">
        <f t="shared" si="18"/>
        <v>600000</v>
      </c>
      <c r="AB61" s="58">
        <f t="shared" si="19"/>
        <v>0</v>
      </c>
      <c r="AC61" s="49" t="s">
        <v>36</v>
      </c>
      <c r="AD61" s="94">
        <f>D13+D22+D30+D41+D48+D61</f>
        <v>11222625.1</v>
      </c>
      <c r="AE61" s="94">
        <f>E13+E22+E30+E41+E48+E61</f>
        <v>11222625.1</v>
      </c>
      <c r="AF61" s="94">
        <f>F13+F22+F30+F41+F48+F61</f>
        <v>0</v>
      </c>
      <c r="AG61" s="94">
        <f t="shared" ref="AG61:AG68" si="20">+AE61+AF61</f>
        <v>11222625.1</v>
      </c>
      <c r="AH61" s="94">
        <f>L13+L22+L30+L41+L48+L61</f>
        <v>0</v>
      </c>
      <c r="AI61" s="94">
        <f t="shared" ref="AI61:AI68" si="21">+AG61+AH61</f>
        <v>11222625.1</v>
      </c>
      <c r="AJ61" s="94">
        <f>O13+O22+O30+O41+O48+O61</f>
        <v>0</v>
      </c>
      <c r="AK61" s="94">
        <f>P13+P22+P30+P41+P48+P61</f>
        <v>0</v>
      </c>
      <c r="AL61" s="94">
        <f t="shared" ref="AL61:AL68" si="22">+AJ61+AK61</f>
        <v>0</v>
      </c>
      <c r="AM61" s="94">
        <f>V13+V22+V30+V41+V48+V61</f>
        <v>0</v>
      </c>
      <c r="AN61" s="97">
        <f t="shared" ref="AN61:AN68" si="23">+AL61+AM61</f>
        <v>0</v>
      </c>
      <c r="AO61" s="94">
        <f t="shared" ref="AO61:AO68" si="24">+AG61+AL61</f>
        <v>11222625.1</v>
      </c>
      <c r="AP61" s="94">
        <f t="shared" ref="AP61:AP68" si="25">+AD61-AO61</f>
        <v>0</v>
      </c>
      <c r="AQ61" s="94">
        <f t="shared" ref="AQ61:AQ68" si="26">+AD61-AI61-AN61</f>
        <v>0</v>
      </c>
    </row>
    <row r="62" spans="1:43" x14ac:dyDescent="0.25">
      <c r="A62" s="46"/>
      <c r="B62" s="4"/>
      <c r="C62" s="3" t="s">
        <v>44</v>
      </c>
      <c r="D62" s="58">
        <v>4000000</v>
      </c>
      <c r="E62" s="58">
        <v>4000000</v>
      </c>
      <c r="F62" s="55"/>
      <c r="G62" s="55"/>
      <c r="H62" s="58">
        <f>E62+F62</f>
        <v>4000000</v>
      </c>
      <c r="I62" s="58"/>
      <c r="J62" s="55"/>
      <c r="K62" s="55"/>
      <c r="L62" s="58"/>
      <c r="M62" s="58"/>
      <c r="N62" s="58">
        <f>H62+L62</f>
        <v>4000000</v>
      </c>
      <c r="O62" s="58">
        <v>0</v>
      </c>
      <c r="P62" s="55"/>
      <c r="Q62" s="55"/>
      <c r="R62" s="58">
        <f>O62+P62</f>
        <v>0</v>
      </c>
      <c r="S62" s="55"/>
      <c r="T62" s="55"/>
      <c r="U62" s="55"/>
      <c r="V62" s="58"/>
      <c r="W62" s="58"/>
      <c r="X62" s="58">
        <f>R62+V62</f>
        <v>0</v>
      </c>
      <c r="Y62" s="58">
        <f t="shared" si="16"/>
        <v>4000000</v>
      </c>
      <c r="Z62" s="58">
        <f t="shared" si="17"/>
        <v>0</v>
      </c>
      <c r="AA62" s="58">
        <f t="shared" si="18"/>
        <v>4000000</v>
      </c>
      <c r="AB62" s="58">
        <f t="shared" si="19"/>
        <v>0</v>
      </c>
      <c r="AC62" s="49" t="s">
        <v>183</v>
      </c>
      <c r="AD62" s="94">
        <f>D14+D23+D33+D42+D53+D63</f>
        <v>190307124.40000001</v>
      </c>
      <c r="AE62" s="94">
        <f>E14+E23+E33+E42+E53+E63</f>
        <v>0</v>
      </c>
      <c r="AF62" s="94">
        <f>F14+F23+F33+F42+F53+F63</f>
        <v>0</v>
      </c>
      <c r="AG62" s="94">
        <f t="shared" si="20"/>
        <v>0</v>
      </c>
      <c r="AH62" s="94">
        <f>L14+L23+L31+L42+L50+L62</f>
        <v>0</v>
      </c>
      <c r="AI62" s="94">
        <f t="shared" si="21"/>
        <v>0</v>
      </c>
      <c r="AJ62" s="94">
        <f>O14+O23+O33+O42+O42+O53+O63</f>
        <v>2141761.3600000003</v>
      </c>
      <c r="AK62" s="94">
        <f>P14+P23+P33+P42+P50+P62</f>
        <v>0</v>
      </c>
      <c r="AL62" s="94">
        <f t="shared" si="22"/>
        <v>2141761.3600000003</v>
      </c>
      <c r="AM62" s="94">
        <f>V14+V23+V31+V42+V50+V62</f>
        <v>0</v>
      </c>
      <c r="AN62" s="97">
        <f t="shared" si="23"/>
        <v>2141761.3600000003</v>
      </c>
      <c r="AO62" s="94">
        <f t="shared" si="24"/>
        <v>2141761.3600000003</v>
      </c>
      <c r="AP62" s="94">
        <f t="shared" si="25"/>
        <v>188165363.03999999</v>
      </c>
      <c r="AQ62" s="94">
        <f t="shared" si="26"/>
        <v>188165363.03999999</v>
      </c>
    </row>
    <row r="63" spans="1:43" x14ac:dyDescent="0.25">
      <c r="A63" s="46"/>
      <c r="B63" s="4"/>
      <c r="C63" s="2" t="s">
        <v>37</v>
      </c>
      <c r="D63" s="58">
        <v>39033642.659999996</v>
      </c>
      <c r="E63" s="58">
        <v>0</v>
      </c>
      <c r="F63" s="55"/>
      <c r="G63" s="55"/>
      <c r="H63" s="58">
        <f>E63+F63</f>
        <v>0</v>
      </c>
      <c r="I63" s="55"/>
      <c r="J63" s="55"/>
      <c r="K63" s="55"/>
      <c r="L63" s="58"/>
      <c r="M63" s="58"/>
      <c r="N63" s="58">
        <f>H63+L63</f>
        <v>0</v>
      </c>
      <c r="O63" s="55">
        <f>601077.06+1184639.6</f>
        <v>1785716.6600000001</v>
      </c>
      <c r="P63" s="55"/>
      <c r="Q63" s="55"/>
      <c r="R63" s="58">
        <f>O63+P63</f>
        <v>1785716.6600000001</v>
      </c>
      <c r="S63" s="55"/>
      <c r="T63" s="55"/>
      <c r="U63" s="55"/>
      <c r="V63" s="58">
        <f>7936239.52-1025957.5-25893.62-132788.48</f>
        <v>6751599.919999999</v>
      </c>
      <c r="W63" s="58"/>
      <c r="X63" s="58">
        <f>R63+V63</f>
        <v>8537316.5799999982</v>
      </c>
      <c r="Y63" s="58">
        <f t="shared" si="16"/>
        <v>1785716.6600000001</v>
      </c>
      <c r="Z63" s="58">
        <f t="shared" si="17"/>
        <v>37247926</v>
      </c>
      <c r="AA63" s="58">
        <f t="shared" si="18"/>
        <v>8537316.5799999982</v>
      </c>
      <c r="AB63" s="58">
        <f t="shared" si="19"/>
        <v>30496326.079999998</v>
      </c>
      <c r="AC63" s="49" t="s">
        <v>184</v>
      </c>
      <c r="AD63" s="94">
        <f>D16+D24+D35+D54</f>
        <v>13789481.949999999</v>
      </c>
      <c r="AE63" s="94">
        <f>E16+E24+E35+E54</f>
        <v>0</v>
      </c>
      <c r="AF63" s="94">
        <f>F16+F24+F35+F54</f>
        <v>0</v>
      </c>
      <c r="AG63" s="94">
        <f t="shared" si="20"/>
        <v>0</v>
      </c>
      <c r="AH63" s="94" t="e">
        <f>L16+L24+L32+L43+L51+L63</f>
        <v>#VALUE!</v>
      </c>
      <c r="AI63" s="94" t="e">
        <f t="shared" si="21"/>
        <v>#VALUE!</v>
      </c>
      <c r="AJ63" s="94">
        <f>O16+O24+O35+O54</f>
        <v>25467.5</v>
      </c>
      <c r="AK63" s="94" t="e">
        <f>P15+P24+P32+P43+P51+P63</f>
        <v>#VALUE!</v>
      </c>
      <c r="AL63" s="94" t="e">
        <f t="shared" si="22"/>
        <v>#VALUE!</v>
      </c>
      <c r="AM63" s="94" t="e">
        <f>V15+V24+V32+V43+V51+V63</f>
        <v>#VALUE!</v>
      </c>
      <c r="AN63" s="97" t="e">
        <f t="shared" si="23"/>
        <v>#VALUE!</v>
      </c>
      <c r="AO63" s="94" t="e">
        <f t="shared" si="24"/>
        <v>#VALUE!</v>
      </c>
      <c r="AP63" s="94" t="e">
        <f t="shared" si="25"/>
        <v>#VALUE!</v>
      </c>
      <c r="AQ63" s="94" t="e">
        <f t="shared" si="26"/>
        <v>#VALUE!</v>
      </c>
    </row>
    <row r="64" spans="1:43" x14ac:dyDescent="0.25">
      <c r="A64" s="46"/>
      <c r="B64" s="4"/>
      <c r="C64" s="2" t="s">
        <v>38</v>
      </c>
      <c r="D64" s="58">
        <v>4467556.75</v>
      </c>
      <c r="E64" s="58">
        <v>0</v>
      </c>
      <c r="F64" s="55"/>
      <c r="G64" s="55"/>
      <c r="H64" s="58">
        <f>E64+F64</f>
        <v>0</v>
      </c>
      <c r="I64" s="55"/>
      <c r="J64" s="55"/>
      <c r="K64" s="55"/>
      <c r="L64" s="58"/>
      <c r="M64" s="58"/>
      <c r="N64" s="58">
        <f>H64+L64</f>
        <v>0</v>
      </c>
      <c r="O64" s="58">
        <v>0</v>
      </c>
      <c r="P64" s="55"/>
      <c r="Q64" s="55"/>
      <c r="R64" s="58">
        <f>O64+P64</f>
        <v>0</v>
      </c>
      <c r="S64" s="55"/>
      <c r="T64" s="55"/>
      <c r="U64" s="55"/>
      <c r="V64" s="58"/>
      <c r="W64" s="58"/>
      <c r="X64" s="58">
        <f>R64+V64</f>
        <v>0</v>
      </c>
      <c r="Y64" s="58">
        <f t="shared" si="16"/>
        <v>0</v>
      </c>
      <c r="Z64" s="58">
        <f t="shared" si="17"/>
        <v>4467556.75</v>
      </c>
      <c r="AA64" s="58">
        <f t="shared" si="18"/>
        <v>0</v>
      </c>
      <c r="AB64" s="58">
        <f t="shared" si="19"/>
        <v>4467556.75</v>
      </c>
      <c r="AC64" s="49" t="s">
        <v>38</v>
      </c>
      <c r="AD64" s="94">
        <f>D15+D34+D64</f>
        <v>27976718.329999998</v>
      </c>
      <c r="AE64" s="94">
        <f>E15+E34+E64</f>
        <v>0</v>
      </c>
      <c r="AF64" s="94">
        <f>F15+F34+F64</f>
        <v>0</v>
      </c>
      <c r="AG64" s="94">
        <f t="shared" si="20"/>
        <v>0</v>
      </c>
      <c r="AH64" s="94" t="e">
        <f>L16+L25+L33+L44+L53+L64</f>
        <v>#VALUE!</v>
      </c>
      <c r="AI64" s="94" t="e">
        <f t="shared" si="21"/>
        <v>#VALUE!</v>
      </c>
      <c r="AJ64" s="94">
        <f>O15+O34+O64</f>
        <v>0</v>
      </c>
      <c r="AK64" s="94">
        <f>P15+P34+P64</f>
        <v>0</v>
      </c>
      <c r="AL64" s="94">
        <f t="shared" si="22"/>
        <v>0</v>
      </c>
      <c r="AM64" s="94" t="e">
        <f>V16+V25+V33+V44+V53+V64</f>
        <v>#VALUE!</v>
      </c>
      <c r="AN64" s="97" t="e">
        <f t="shared" si="23"/>
        <v>#VALUE!</v>
      </c>
      <c r="AO64" s="94">
        <f t="shared" si="24"/>
        <v>0</v>
      </c>
      <c r="AP64" s="94">
        <f t="shared" si="25"/>
        <v>27976718.329999998</v>
      </c>
      <c r="AQ64" s="94" t="e">
        <f t="shared" si="26"/>
        <v>#VALUE!</v>
      </c>
    </row>
    <row r="65" spans="1:43" x14ac:dyDescent="0.25">
      <c r="A65" s="46"/>
      <c r="B65" s="4"/>
      <c r="C65" s="25" t="s">
        <v>258</v>
      </c>
      <c r="D65" s="58">
        <v>10000000</v>
      </c>
      <c r="E65" s="58">
        <v>5814761.4299999997</v>
      </c>
      <c r="F65" s="55"/>
      <c r="G65" s="55"/>
      <c r="H65" s="58">
        <f>E65+F65</f>
        <v>5814761.4299999997</v>
      </c>
      <c r="I65" s="55"/>
      <c r="J65" s="55"/>
      <c r="K65" s="55"/>
      <c r="L65" s="58"/>
      <c r="M65" s="58"/>
      <c r="N65" s="58">
        <f>H65+L65</f>
        <v>5814761.4299999997</v>
      </c>
      <c r="O65" s="58">
        <v>835222.3</v>
      </c>
      <c r="P65" s="55"/>
      <c r="Q65" s="55"/>
      <c r="R65" s="58">
        <f>O65+P65</f>
        <v>835222.3</v>
      </c>
      <c r="S65" s="55"/>
      <c r="T65" s="55"/>
      <c r="U65" s="55"/>
      <c r="V65" s="58"/>
      <c r="W65" s="58"/>
      <c r="X65" s="58">
        <f>R65+V65</f>
        <v>835222.3</v>
      </c>
      <c r="Y65" s="58">
        <f t="shared" si="16"/>
        <v>6649983.7299999995</v>
      </c>
      <c r="Z65" s="58">
        <f t="shared" si="17"/>
        <v>3350016.2700000005</v>
      </c>
      <c r="AA65" s="58">
        <f t="shared" si="18"/>
        <v>6649983.7299999995</v>
      </c>
      <c r="AB65" s="58">
        <f t="shared" si="19"/>
        <v>3350016.2700000005</v>
      </c>
      <c r="AC65" s="49" t="s">
        <v>44</v>
      </c>
      <c r="AD65" s="94">
        <f>D32+D50+D62</f>
        <v>26497000</v>
      </c>
      <c r="AE65" s="94">
        <f>E32+E50+E62</f>
        <v>26497000</v>
      </c>
      <c r="AF65" s="94">
        <f>F32+F50+F62</f>
        <v>0</v>
      </c>
      <c r="AG65" s="94">
        <f t="shared" si="20"/>
        <v>26497000</v>
      </c>
      <c r="AH65" s="94" t="e">
        <f>L17+L26+L34+L45+L54+L65</f>
        <v>#VALUE!</v>
      </c>
      <c r="AI65" s="94" t="e">
        <f t="shared" si="21"/>
        <v>#VALUE!</v>
      </c>
      <c r="AJ65" s="94">
        <f>O32+O50+O62</f>
        <v>0</v>
      </c>
      <c r="AK65" s="94" t="e">
        <f>P17+P26+P34+P45+P54+P65</f>
        <v>#VALUE!</v>
      </c>
      <c r="AL65" s="94" t="e">
        <f t="shared" si="22"/>
        <v>#VALUE!</v>
      </c>
      <c r="AM65" s="94" t="e">
        <f>V17+V26+V34+V45+V54+V65</f>
        <v>#VALUE!</v>
      </c>
      <c r="AN65" s="97" t="e">
        <f t="shared" si="23"/>
        <v>#VALUE!</v>
      </c>
      <c r="AO65" s="94" t="e">
        <f t="shared" si="24"/>
        <v>#VALUE!</v>
      </c>
      <c r="AP65" s="94" t="e">
        <f t="shared" si="25"/>
        <v>#VALUE!</v>
      </c>
      <c r="AQ65" s="94" t="e">
        <f t="shared" si="26"/>
        <v>#VALUE!</v>
      </c>
    </row>
    <row r="66" spans="1:43" x14ac:dyDescent="0.25">
      <c r="A66" s="46"/>
      <c r="B66" s="4"/>
      <c r="C66" s="4"/>
      <c r="D66" s="61" t="s">
        <v>40</v>
      </c>
      <c r="E66" s="61" t="s">
        <v>40</v>
      </c>
      <c r="F66" s="61" t="s">
        <v>40</v>
      </c>
      <c r="G66" s="61"/>
      <c r="H66" s="61" t="s">
        <v>40</v>
      </c>
      <c r="I66" s="61" t="s">
        <v>40</v>
      </c>
      <c r="J66" s="61" t="s">
        <v>40</v>
      </c>
      <c r="K66" s="61" t="s">
        <v>40</v>
      </c>
      <c r="L66" s="61" t="s">
        <v>40</v>
      </c>
      <c r="M66" s="61"/>
      <c r="N66" s="61" t="s">
        <v>40</v>
      </c>
      <c r="O66" s="61" t="s">
        <v>40</v>
      </c>
      <c r="P66" s="61" t="s">
        <v>40</v>
      </c>
      <c r="Q66" s="61"/>
      <c r="R66" s="61" t="s">
        <v>40</v>
      </c>
      <c r="S66" s="61" t="s">
        <v>40</v>
      </c>
      <c r="T66" s="61" t="s">
        <v>40</v>
      </c>
      <c r="U66" s="61" t="s">
        <v>40</v>
      </c>
      <c r="V66" s="61" t="s">
        <v>40</v>
      </c>
      <c r="W66" s="61"/>
      <c r="X66" s="61" t="s">
        <v>40</v>
      </c>
      <c r="Y66" s="61" t="s">
        <v>40</v>
      </c>
      <c r="Z66" s="61" t="s">
        <v>40</v>
      </c>
      <c r="AA66" s="61" t="s">
        <v>40</v>
      </c>
      <c r="AB66" s="61" t="s">
        <v>40</v>
      </c>
      <c r="AC66" s="49" t="s">
        <v>259</v>
      </c>
      <c r="AD66" s="94">
        <f>+D65</f>
        <v>10000000</v>
      </c>
      <c r="AE66" s="94">
        <f>+E65</f>
        <v>5814761.4299999997</v>
      </c>
      <c r="AF66" s="94">
        <f>+F65</f>
        <v>0</v>
      </c>
      <c r="AG66" s="94">
        <f t="shared" si="20"/>
        <v>5814761.4299999997</v>
      </c>
      <c r="AH66" s="94" t="e">
        <f>L18+L27+L35+L46+L55+L66</f>
        <v>#VALUE!</v>
      </c>
      <c r="AI66" s="94" t="e">
        <f t="shared" si="21"/>
        <v>#VALUE!</v>
      </c>
      <c r="AJ66" s="94">
        <f>+O65</f>
        <v>835222.3</v>
      </c>
      <c r="AK66" s="94" t="e">
        <f>P18+P27+P35+P46+P55+P66</f>
        <v>#VALUE!</v>
      </c>
      <c r="AL66" s="94" t="e">
        <f t="shared" si="22"/>
        <v>#VALUE!</v>
      </c>
      <c r="AM66" s="94" t="e">
        <f>V18+V27+V35+V46+V55+V66</f>
        <v>#VALUE!</v>
      </c>
      <c r="AN66" s="97" t="e">
        <f t="shared" si="23"/>
        <v>#VALUE!</v>
      </c>
      <c r="AO66" s="94" t="e">
        <f t="shared" si="24"/>
        <v>#VALUE!</v>
      </c>
      <c r="AP66" s="94" t="e">
        <f t="shared" si="25"/>
        <v>#VALUE!</v>
      </c>
      <c r="AQ66" s="94" t="e">
        <f t="shared" si="26"/>
        <v>#VALUE!</v>
      </c>
    </row>
    <row r="67" spans="1:43" x14ac:dyDescent="0.25">
      <c r="A67" s="46"/>
      <c r="B67" s="4"/>
      <c r="C67" s="4"/>
      <c r="D67" s="58">
        <f>SUM(D59:D65)</f>
        <v>173138753.00999999</v>
      </c>
      <c r="E67" s="58">
        <f>SUM(E59:E65)</f>
        <v>13442116.35</v>
      </c>
      <c r="F67" s="58">
        <f>SUM(F59:F65)</f>
        <v>0</v>
      </c>
      <c r="G67" s="58"/>
      <c r="H67" s="58">
        <f>SUM(H59:H65)</f>
        <v>13442116.35</v>
      </c>
      <c r="I67" s="58">
        <f>SUM(I59:I65)</f>
        <v>0</v>
      </c>
      <c r="J67" s="58">
        <f>SUM(J59:J65)</f>
        <v>0</v>
      </c>
      <c r="K67" s="58">
        <f>SUM(K59:K65)</f>
        <v>0</v>
      </c>
      <c r="L67" s="58">
        <f>SUM(L59:L65)</f>
        <v>0</v>
      </c>
      <c r="M67" s="58"/>
      <c r="N67" s="58">
        <f>SUM(N59:N65)</f>
        <v>13442116.35</v>
      </c>
      <c r="O67" s="58">
        <f>SUM(O59:O65)</f>
        <v>2705182.2600000002</v>
      </c>
      <c r="P67" s="58">
        <f>SUM(P59:P65)</f>
        <v>0</v>
      </c>
      <c r="Q67" s="58"/>
      <c r="R67" s="58">
        <f>SUM(R59:R65)</f>
        <v>2705182.2600000002</v>
      </c>
      <c r="S67" s="58">
        <f>SUM(S59:S65)</f>
        <v>1154237</v>
      </c>
      <c r="T67" s="58">
        <f>SUM(T59:T65)</f>
        <v>0</v>
      </c>
      <c r="U67" s="58">
        <f>SUM(U59:U65)</f>
        <v>0</v>
      </c>
      <c r="V67" s="58">
        <f>SUM(V59:V65)</f>
        <v>6751599.919999999</v>
      </c>
      <c r="W67" s="58"/>
      <c r="X67" s="58">
        <f>SUM(X59:X65)</f>
        <v>9456782.1799999997</v>
      </c>
      <c r="Y67" s="58">
        <f>SUM(Y59:Y65)</f>
        <v>16147298.609999999</v>
      </c>
      <c r="Z67" s="58">
        <f>SUM(Z59:Z65)</f>
        <v>156991454.40000001</v>
      </c>
      <c r="AA67" s="58">
        <f>SUM(AA59:AA65)</f>
        <v>22898898.529999997</v>
      </c>
      <c r="AB67" s="58">
        <f>SUM(AB59:AB65)</f>
        <v>150239854.47999999</v>
      </c>
      <c r="AC67" t="s">
        <v>260</v>
      </c>
      <c r="AD67" s="94">
        <f>+D51</f>
        <v>11432000</v>
      </c>
      <c r="AE67" s="94">
        <f>+E51</f>
        <v>11432000</v>
      </c>
      <c r="AF67" s="94">
        <f>+F51</f>
        <v>0</v>
      </c>
      <c r="AG67" s="94">
        <f t="shared" si="20"/>
        <v>11432000</v>
      </c>
      <c r="AH67" s="94">
        <f>+K51</f>
        <v>0</v>
      </c>
      <c r="AI67" s="94">
        <f>+AG67+AH67</f>
        <v>11432000</v>
      </c>
      <c r="AJ67" s="94">
        <f>+O51</f>
        <v>0</v>
      </c>
      <c r="AK67" s="94">
        <f>+P51</f>
        <v>0</v>
      </c>
      <c r="AL67" s="94">
        <f t="shared" si="22"/>
        <v>0</v>
      </c>
      <c r="AM67" s="94">
        <f>+V51</f>
        <v>0</v>
      </c>
      <c r="AN67" s="97">
        <f t="shared" si="23"/>
        <v>0</v>
      </c>
      <c r="AO67" s="94">
        <f t="shared" si="24"/>
        <v>11432000</v>
      </c>
      <c r="AP67" s="94">
        <f t="shared" si="25"/>
        <v>0</v>
      </c>
      <c r="AQ67" s="94">
        <f t="shared" si="26"/>
        <v>0</v>
      </c>
    </row>
    <row r="68" spans="1:43" x14ac:dyDescent="0.25">
      <c r="A68" s="46"/>
      <c r="B68" s="5"/>
      <c r="C68" s="4"/>
      <c r="D68" s="61" t="s">
        <v>40</v>
      </c>
      <c r="E68" s="61" t="s">
        <v>40</v>
      </c>
      <c r="F68" s="61" t="s">
        <v>40</v>
      </c>
      <c r="G68" s="61"/>
      <c r="H68" s="61" t="s">
        <v>40</v>
      </c>
      <c r="I68" s="61" t="s">
        <v>40</v>
      </c>
      <c r="J68" s="61" t="s">
        <v>40</v>
      </c>
      <c r="K68" s="61" t="s">
        <v>40</v>
      </c>
      <c r="L68" s="61" t="s">
        <v>40</v>
      </c>
      <c r="M68" s="61"/>
      <c r="N68" s="61" t="s">
        <v>40</v>
      </c>
      <c r="O68" s="61" t="s">
        <v>40</v>
      </c>
      <c r="P68" s="61" t="s">
        <v>40</v>
      </c>
      <c r="Q68" s="61"/>
      <c r="R68" s="61" t="s">
        <v>40</v>
      </c>
      <c r="S68" s="61" t="s">
        <v>40</v>
      </c>
      <c r="T68" s="61" t="s">
        <v>40</v>
      </c>
      <c r="U68" s="61" t="s">
        <v>40</v>
      </c>
      <c r="V68" s="61" t="s">
        <v>40</v>
      </c>
      <c r="W68" s="61"/>
      <c r="X68" s="61" t="s">
        <v>40</v>
      </c>
      <c r="Y68" s="61" t="s">
        <v>40</v>
      </c>
      <c r="Z68" s="61" t="s">
        <v>40</v>
      </c>
      <c r="AA68" s="61" t="s">
        <v>40</v>
      </c>
      <c r="AB68" s="61" t="s">
        <v>40</v>
      </c>
      <c r="AC68" s="51" t="s">
        <v>43</v>
      </c>
      <c r="AD68" s="94">
        <f>+D31</f>
        <v>1763926.02</v>
      </c>
      <c r="AE68" s="94">
        <f>+E31</f>
        <v>1763926.02</v>
      </c>
      <c r="AF68" s="94">
        <f>+F31</f>
        <v>0</v>
      </c>
      <c r="AG68" s="94">
        <f t="shared" si="20"/>
        <v>1763926.02</v>
      </c>
      <c r="AH68" s="94">
        <f>+K31</f>
        <v>0</v>
      </c>
      <c r="AI68" s="94">
        <f t="shared" si="21"/>
        <v>1763926.02</v>
      </c>
      <c r="AJ68" s="94">
        <f>+O31</f>
        <v>0</v>
      </c>
      <c r="AK68" s="94">
        <f>+P31</f>
        <v>0</v>
      </c>
      <c r="AL68" s="94">
        <f t="shared" si="22"/>
        <v>0</v>
      </c>
      <c r="AM68" s="94">
        <f>+V31</f>
        <v>0</v>
      </c>
      <c r="AN68" s="97">
        <f t="shared" si="23"/>
        <v>0</v>
      </c>
      <c r="AO68" s="94">
        <f t="shared" si="24"/>
        <v>1763926.02</v>
      </c>
      <c r="AP68" s="94">
        <f t="shared" si="25"/>
        <v>0</v>
      </c>
      <c r="AQ68" s="94">
        <f t="shared" si="26"/>
        <v>0</v>
      </c>
    </row>
    <row r="69" spans="1:43" x14ac:dyDescent="0.25">
      <c r="A69" s="46"/>
      <c r="B69" s="7" t="s">
        <v>26</v>
      </c>
      <c r="C69" s="2" t="s">
        <v>33</v>
      </c>
      <c r="D69" s="58">
        <f>D67+D56+D44+D37+D26+D18</f>
        <v>620050285.41999996</v>
      </c>
      <c r="E69" s="58">
        <f>E67+E56+E44+E37+E26+E18</f>
        <v>79035351.170000002</v>
      </c>
      <c r="F69" s="58">
        <f>F67+F56+F44+F37+F26+F18</f>
        <v>0</v>
      </c>
      <c r="G69" s="58"/>
      <c r="H69" s="58">
        <f>H67+H56+H44+H37+H26+H18</f>
        <v>79035351.170000002</v>
      </c>
      <c r="I69" s="58">
        <f>I67+I56+I44+I37+I26+I18</f>
        <v>0</v>
      </c>
      <c r="J69" s="58">
        <f>J67+J56+J44+J37+J26+J18</f>
        <v>0</v>
      </c>
      <c r="K69" s="58">
        <f>K67+K56+K44+K37+K26+K18</f>
        <v>0</v>
      </c>
      <c r="L69" s="58">
        <f>L67+L56+L44+L37+L26+L18</f>
        <v>0</v>
      </c>
      <c r="M69" s="58"/>
      <c r="N69" s="58">
        <f>N67+N56+N44+N37+N26+N18</f>
        <v>79035351.170000002</v>
      </c>
      <c r="O69" s="58">
        <f>O67+O56+O44+O37+O26+O18</f>
        <v>28515754.140000001</v>
      </c>
      <c r="P69" s="58" t="e">
        <f>+P17+P16+P37+P44+P56+P67</f>
        <v>#VALUE!</v>
      </c>
      <c r="Q69" s="58"/>
      <c r="R69" s="58">
        <f>R67+R56+R44+R37+R26+R18</f>
        <v>28515754.140000001</v>
      </c>
      <c r="S69" s="58">
        <f>S67+S56+S44+S37+S26+S18</f>
        <v>11620821.859999998</v>
      </c>
      <c r="T69" s="58">
        <f>T67+T56+T44+T37+T26+T18</f>
        <v>5298841.96</v>
      </c>
      <c r="U69" s="58">
        <f>U67+U56+U44+U37+U26+U18</f>
        <v>0</v>
      </c>
      <c r="V69" s="58">
        <f>V67+V56+V44+V37+V26+V18</f>
        <v>6751599.919999999</v>
      </c>
      <c r="W69" s="58"/>
      <c r="X69" s="58">
        <f>X67+X56+X44+X37+X26+X18</f>
        <v>35267354.060000002</v>
      </c>
      <c r="Y69" s="58">
        <f>Y67+Y56+Y44+Y37+Y26+Y18</f>
        <v>107551105.31000002</v>
      </c>
      <c r="Z69" s="58">
        <f>Z67+Z56+Z44+Z37+Z26+Z18</f>
        <v>512499180.10999995</v>
      </c>
      <c r="AA69" s="58">
        <f>AA67+AA56+AA44+AA37+AA26+AA18</f>
        <v>114302705.23</v>
      </c>
      <c r="AB69" s="58">
        <f>AB67+AB56+AB44+AB37+AB26+AB18</f>
        <v>505747580.19</v>
      </c>
      <c r="AD69" s="95">
        <f t="shared" ref="AD69:AQ69" si="27">SUM(AD57:AD68)</f>
        <v>620050285.42000008</v>
      </c>
      <c r="AE69" s="95">
        <f t="shared" si="27"/>
        <v>79035351.170000002</v>
      </c>
      <c r="AF69" s="95">
        <f t="shared" si="27"/>
        <v>0</v>
      </c>
      <c r="AG69" s="95">
        <f t="shared" si="27"/>
        <v>79035351.170000002</v>
      </c>
      <c r="AH69" s="95" t="e">
        <f t="shared" si="27"/>
        <v>#VALUE!</v>
      </c>
      <c r="AI69" s="95" t="e">
        <f t="shared" si="27"/>
        <v>#VALUE!</v>
      </c>
      <c r="AJ69" s="95">
        <f t="shared" si="27"/>
        <v>28515754.140000001</v>
      </c>
      <c r="AK69" s="95" t="e">
        <f t="shared" si="27"/>
        <v>#VALUE!</v>
      </c>
      <c r="AL69" s="95" t="e">
        <f t="shared" si="27"/>
        <v>#VALUE!</v>
      </c>
      <c r="AM69" s="95" t="e">
        <f t="shared" si="27"/>
        <v>#VALUE!</v>
      </c>
      <c r="AN69" s="95" t="e">
        <f t="shared" si="27"/>
        <v>#VALUE!</v>
      </c>
      <c r="AO69" s="95" t="e">
        <f t="shared" si="27"/>
        <v>#VALUE!</v>
      </c>
      <c r="AP69" s="95" t="e">
        <f t="shared" si="27"/>
        <v>#VALUE!</v>
      </c>
      <c r="AQ69" s="95" t="e">
        <f t="shared" si="27"/>
        <v>#VALUE!</v>
      </c>
    </row>
    <row r="70" spans="1:43" x14ac:dyDescent="0.25">
      <c r="A70" s="46"/>
      <c r="B70" s="4"/>
      <c r="C70" s="4"/>
      <c r="D70" s="61" t="s">
        <v>50</v>
      </c>
      <c r="E70" s="61" t="s">
        <v>50</v>
      </c>
      <c r="F70" s="61" t="s">
        <v>50</v>
      </c>
      <c r="G70" s="61"/>
      <c r="H70" s="61" t="s">
        <v>50</v>
      </c>
      <c r="I70" s="61" t="s">
        <v>50</v>
      </c>
      <c r="J70" s="61" t="s">
        <v>50</v>
      </c>
      <c r="K70" s="61" t="s">
        <v>50</v>
      </c>
      <c r="L70" s="61" t="s">
        <v>50</v>
      </c>
      <c r="M70" s="61"/>
      <c r="N70" s="61" t="s">
        <v>50</v>
      </c>
      <c r="O70" s="61" t="s">
        <v>50</v>
      </c>
      <c r="P70" s="61" t="s">
        <v>50</v>
      </c>
      <c r="Q70" s="61"/>
      <c r="R70" s="61" t="s">
        <v>50</v>
      </c>
      <c r="S70" s="61" t="s">
        <v>50</v>
      </c>
      <c r="T70" s="61" t="s">
        <v>50</v>
      </c>
      <c r="U70" s="61" t="s">
        <v>50</v>
      </c>
      <c r="V70" s="61" t="s">
        <v>50</v>
      </c>
      <c r="W70" s="61"/>
      <c r="X70" s="61" t="s">
        <v>50</v>
      </c>
      <c r="Y70" s="61" t="s">
        <v>50</v>
      </c>
      <c r="Z70" s="61" t="s">
        <v>50</v>
      </c>
      <c r="AA70" s="61" t="s">
        <v>50</v>
      </c>
      <c r="AB70" s="61" t="s">
        <v>50</v>
      </c>
    </row>
    <row r="71" spans="1:43" x14ac:dyDescent="0.25">
      <c r="A71" s="46"/>
      <c r="B71" s="4"/>
      <c r="E71" s="62"/>
      <c r="F71" s="61"/>
      <c r="G71" s="61"/>
      <c r="H71" s="61"/>
      <c r="I71" s="61"/>
      <c r="J71" s="61"/>
      <c r="K71" s="61"/>
      <c r="L71" s="62"/>
      <c r="M71" s="61"/>
      <c r="N71" s="61"/>
      <c r="O71" s="62"/>
      <c r="P71" s="61"/>
      <c r="Q71" s="61"/>
      <c r="R71" s="61"/>
      <c r="S71" s="61"/>
      <c r="T71" s="61"/>
      <c r="U71" s="61"/>
      <c r="V71" s="62"/>
      <c r="W71" s="61"/>
      <c r="X71" s="61"/>
      <c r="Y71" s="62"/>
      <c r="Z71" s="61"/>
      <c r="AA71" s="61"/>
      <c r="AB71" s="61"/>
    </row>
    <row r="72" spans="1:43" x14ac:dyDescent="0.25">
      <c r="A72" s="46"/>
      <c r="B72" s="4"/>
      <c r="C72" s="4"/>
      <c r="D72" s="63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43" x14ac:dyDescent="0.25">
      <c r="A73" s="46"/>
      <c r="B73" s="4"/>
      <c r="C73" s="4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43" ht="19.5" x14ac:dyDescent="0.35">
      <c r="B74" s="47" t="s">
        <v>51</v>
      </c>
      <c r="C74" s="48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43" x14ac:dyDescent="0.25">
      <c r="A75" s="46"/>
      <c r="B75" s="4"/>
      <c r="C75" s="4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43" x14ac:dyDescent="0.25">
      <c r="A76" s="46">
        <v>7</v>
      </c>
      <c r="B76" s="2" t="s">
        <v>52</v>
      </c>
      <c r="C76" s="3" t="s">
        <v>35</v>
      </c>
      <c r="D76" s="58">
        <v>0</v>
      </c>
      <c r="E76" s="58">
        <v>0</v>
      </c>
      <c r="F76" s="55"/>
      <c r="G76" s="55"/>
      <c r="H76" s="58">
        <f>E76+F76</f>
        <v>0</v>
      </c>
      <c r="I76" s="55"/>
      <c r="J76" s="55"/>
      <c r="K76" s="55"/>
      <c r="L76" s="58"/>
      <c r="M76" s="58"/>
      <c r="N76" s="58">
        <f>H76+L76</f>
        <v>0</v>
      </c>
      <c r="O76" s="58">
        <v>0</v>
      </c>
      <c r="P76" s="55"/>
      <c r="Q76" s="55"/>
      <c r="R76" s="58">
        <f>O76+P76</f>
        <v>0</v>
      </c>
      <c r="S76" s="55"/>
      <c r="T76" s="55"/>
      <c r="U76" s="55"/>
      <c r="V76" s="58"/>
      <c r="W76" s="58"/>
      <c r="X76" s="58">
        <f>R76+V76</f>
        <v>0</v>
      </c>
      <c r="Y76" s="58">
        <f t="shared" ref="Y76:Y81" si="28">R76+H76</f>
        <v>0</v>
      </c>
      <c r="Z76" s="58">
        <f t="shared" ref="Z76:Z81" si="29">D76-Y76</f>
        <v>0</v>
      </c>
      <c r="AA76" s="58">
        <f t="shared" ref="AA76:AA81" si="30">N76+X76</f>
        <v>0</v>
      </c>
      <c r="AB76" s="58">
        <f t="shared" ref="AB76:AB81" si="31">+D76-N76-X76</f>
        <v>0</v>
      </c>
    </row>
    <row r="77" spans="1:43" x14ac:dyDescent="0.25">
      <c r="B77" s="4"/>
      <c r="C77" s="3" t="s">
        <v>36</v>
      </c>
      <c r="D77" s="58">
        <f>1069568.57+165852.2</f>
        <v>1235420.77</v>
      </c>
      <c r="E77" s="58">
        <f>1069568.57+165852.2</f>
        <v>1235420.77</v>
      </c>
      <c r="F77" s="55"/>
      <c r="G77" s="55"/>
      <c r="H77" s="58">
        <f>E77+F77</f>
        <v>1235420.77</v>
      </c>
      <c r="I77" s="55"/>
      <c r="J77" s="55"/>
      <c r="K77" s="55"/>
      <c r="L77" s="58"/>
      <c r="M77" s="58"/>
      <c r="N77" s="58">
        <f>H77+L77</f>
        <v>1235420.77</v>
      </c>
      <c r="O77" s="58">
        <v>0</v>
      </c>
      <c r="P77" s="55"/>
      <c r="Q77" s="55"/>
      <c r="R77" s="58">
        <f>O77+P77</f>
        <v>0</v>
      </c>
      <c r="S77" s="55"/>
      <c r="T77" s="55"/>
      <c r="U77" s="55"/>
      <c r="V77" s="58"/>
      <c r="W77" s="58"/>
      <c r="X77" s="58">
        <f>R77+V77</f>
        <v>0</v>
      </c>
      <c r="Y77" s="58">
        <f t="shared" si="28"/>
        <v>1235420.77</v>
      </c>
      <c r="Z77" s="58">
        <f t="shared" si="29"/>
        <v>0</v>
      </c>
      <c r="AA77" s="58">
        <f t="shared" si="30"/>
        <v>1235420.77</v>
      </c>
      <c r="AB77" s="58">
        <f t="shared" si="31"/>
        <v>0</v>
      </c>
    </row>
    <row r="78" spans="1:43" x14ac:dyDescent="0.25">
      <c r="A78" s="4"/>
      <c r="B78" s="4"/>
      <c r="C78" s="4" t="s">
        <v>317</v>
      </c>
      <c r="D78" s="55">
        <v>2246011.4500000002</v>
      </c>
      <c r="E78" s="55">
        <v>2246011.4500000002</v>
      </c>
      <c r="F78" s="55"/>
      <c r="G78" s="55"/>
      <c r="H78" s="55">
        <f>+E78+F78</f>
        <v>2246011.4500000002</v>
      </c>
      <c r="I78" s="55"/>
      <c r="J78" s="55"/>
      <c r="K78" s="55"/>
      <c r="L78" s="55"/>
      <c r="M78" s="55"/>
      <c r="N78" s="55">
        <f>+H78+L78</f>
        <v>2246011.4500000002</v>
      </c>
      <c r="O78" s="55">
        <v>0</v>
      </c>
      <c r="P78" s="55"/>
      <c r="Q78" s="55"/>
      <c r="R78" s="55">
        <f>+O78+P78</f>
        <v>0</v>
      </c>
      <c r="S78" s="55"/>
      <c r="T78" s="55"/>
      <c r="U78" s="55"/>
      <c r="V78" s="55"/>
      <c r="W78" s="55"/>
      <c r="X78" s="55">
        <f>+R78+V78</f>
        <v>0</v>
      </c>
      <c r="Y78" s="58">
        <f t="shared" si="28"/>
        <v>2246011.4500000002</v>
      </c>
      <c r="Z78" s="58">
        <f t="shared" si="29"/>
        <v>0</v>
      </c>
      <c r="AA78" s="58">
        <f t="shared" si="30"/>
        <v>2246011.4500000002</v>
      </c>
      <c r="AB78" s="58">
        <f t="shared" si="31"/>
        <v>0</v>
      </c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x14ac:dyDescent="0.25">
      <c r="A79" s="46"/>
      <c r="B79" s="4"/>
      <c r="C79" s="2" t="s">
        <v>53</v>
      </c>
      <c r="D79" s="58">
        <f>6711449.6+220920.06</f>
        <v>6932369.6599999992</v>
      </c>
      <c r="E79" s="58">
        <v>0</v>
      </c>
      <c r="F79" s="55"/>
      <c r="G79" s="55"/>
      <c r="H79" s="58">
        <f>E79+F79</f>
        <v>0</v>
      </c>
      <c r="I79" s="55"/>
      <c r="J79" s="55"/>
      <c r="K79" s="55"/>
      <c r="L79" s="58"/>
      <c r="M79" s="58"/>
      <c r="N79" s="58">
        <f>H79+L79</f>
        <v>0</v>
      </c>
      <c r="O79" s="58">
        <v>6711449.5999999996</v>
      </c>
      <c r="P79" s="55"/>
      <c r="Q79" s="55"/>
      <c r="R79" s="58">
        <f>O79+P79</f>
        <v>6711449.5999999996</v>
      </c>
      <c r="S79" s="55"/>
      <c r="T79" s="55"/>
      <c r="U79" s="55"/>
      <c r="V79" s="58"/>
      <c r="W79" s="58"/>
      <c r="X79" s="58">
        <f>R79+V79</f>
        <v>6711449.5999999996</v>
      </c>
      <c r="Y79" s="58">
        <f t="shared" si="28"/>
        <v>6711449.5999999996</v>
      </c>
      <c r="Z79" s="58">
        <f t="shared" si="29"/>
        <v>220920.05999999959</v>
      </c>
      <c r="AA79" s="58">
        <f t="shared" si="30"/>
        <v>6711449.5999999996</v>
      </c>
      <c r="AB79" s="58">
        <f t="shared" si="31"/>
        <v>220920.05999999959</v>
      </c>
    </row>
    <row r="80" spans="1:43" x14ac:dyDescent="0.25">
      <c r="A80" s="46"/>
      <c r="B80" s="4"/>
      <c r="C80" s="2" t="s">
        <v>54</v>
      </c>
      <c r="D80" s="58">
        <f>3100503.79+7599759.24+12570.5</f>
        <v>10712833.530000001</v>
      </c>
      <c r="E80" s="58">
        <v>0</v>
      </c>
      <c r="F80" s="55"/>
      <c r="G80" s="55"/>
      <c r="H80" s="58">
        <f>E80+F80</f>
        <v>0</v>
      </c>
      <c r="I80" s="55"/>
      <c r="J80" s="55"/>
      <c r="K80" s="55"/>
      <c r="L80" s="58"/>
      <c r="M80" s="58"/>
      <c r="N80" s="58">
        <f>H80+L80</f>
        <v>0</v>
      </c>
      <c r="O80" s="58">
        <f>10700263.03+12570.5</f>
        <v>10712833.529999999</v>
      </c>
      <c r="P80" s="55"/>
      <c r="Q80" s="55"/>
      <c r="R80" s="58">
        <f>O80+P80</f>
        <v>10712833.529999999</v>
      </c>
      <c r="S80" s="55"/>
      <c r="T80" s="55"/>
      <c r="U80" s="55"/>
      <c r="V80" s="58"/>
      <c r="W80" s="58"/>
      <c r="X80" s="58">
        <f>R80+V80</f>
        <v>10712833.529999999</v>
      </c>
      <c r="Y80" s="58">
        <f t="shared" si="28"/>
        <v>10712833.529999999</v>
      </c>
      <c r="Z80" s="58">
        <f t="shared" si="29"/>
        <v>0</v>
      </c>
      <c r="AA80" s="58">
        <f t="shared" si="30"/>
        <v>10712833.529999999</v>
      </c>
      <c r="AB80" s="58">
        <f t="shared" si="31"/>
        <v>0</v>
      </c>
    </row>
    <row r="81" spans="1:28" x14ac:dyDescent="0.25">
      <c r="A81" s="46"/>
      <c r="B81" s="4"/>
      <c r="C81" s="3" t="s">
        <v>133</v>
      </c>
      <c r="D81" s="58">
        <v>5000000</v>
      </c>
      <c r="E81" s="58">
        <v>5000000</v>
      </c>
      <c r="F81" s="55"/>
      <c r="G81" s="55"/>
      <c r="H81" s="58">
        <f>E81+F81</f>
        <v>5000000</v>
      </c>
      <c r="I81" s="55"/>
      <c r="J81" s="55"/>
      <c r="K81" s="55"/>
      <c r="L81" s="58"/>
      <c r="M81" s="58"/>
      <c r="N81" s="58">
        <f>H81+L81</f>
        <v>5000000</v>
      </c>
      <c r="O81" s="58">
        <v>0</v>
      </c>
      <c r="P81" s="55"/>
      <c r="Q81" s="55"/>
      <c r="R81" s="58">
        <f>O81+P81</f>
        <v>0</v>
      </c>
      <c r="S81" s="58"/>
      <c r="T81" s="55"/>
      <c r="U81" s="55"/>
      <c r="V81" s="58"/>
      <c r="W81" s="58"/>
      <c r="X81" s="58">
        <f>R81+V81</f>
        <v>0</v>
      </c>
      <c r="Y81" s="58">
        <f t="shared" si="28"/>
        <v>5000000</v>
      </c>
      <c r="Z81" s="58">
        <f t="shared" si="29"/>
        <v>0</v>
      </c>
      <c r="AA81" s="58">
        <f t="shared" si="30"/>
        <v>5000000</v>
      </c>
      <c r="AB81" s="58">
        <f t="shared" si="31"/>
        <v>0</v>
      </c>
    </row>
    <row r="82" spans="1:28" x14ac:dyDescent="0.25">
      <c r="A82" s="46"/>
      <c r="B82" s="4"/>
      <c r="C82" s="4"/>
      <c r="D82" s="61" t="s">
        <v>40</v>
      </c>
      <c r="E82" s="61" t="s">
        <v>40</v>
      </c>
      <c r="F82" s="61" t="s">
        <v>40</v>
      </c>
      <c r="G82" s="61"/>
      <c r="H82" s="61" t="s">
        <v>40</v>
      </c>
      <c r="I82" s="61" t="s">
        <v>40</v>
      </c>
      <c r="J82" s="61" t="s">
        <v>40</v>
      </c>
      <c r="K82" s="61" t="s">
        <v>40</v>
      </c>
      <c r="L82" s="61" t="s">
        <v>40</v>
      </c>
      <c r="M82" s="61"/>
      <c r="N82" s="61" t="s">
        <v>40</v>
      </c>
      <c r="O82" s="61" t="s">
        <v>40</v>
      </c>
      <c r="P82" s="61" t="s">
        <v>40</v>
      </c>
      <c r="Q82" s="61"/>
      <c r="R82" s="61" t="s">
        <v>40</v>
      </c>
      <c r="S82" s="61" t="s">
        <v>40</v>
      </c>
      <c r="T82" s="61" t="s">
        <v>40</v>
      </c>
      <c r="U82" s="61" t="s">
        <v>40</v>
      </c>
      <c r="V82" s="61" t="s">
        <v>40</v>
      </c>
      <c r="W82" s="61"/>
      <c r="X82" s="61" t="s">
        <v>40</v>
      </c>
      <c r="Y82" s="61" t="s">
        <v>40</v>
      </c>
      <c r="Z82" s="61" t="s">
        <v>40</v>
      </c>
      <c r="AA82" s="61" t="s">
        <v>40</v>
      </c>
      <c r="AB82" s="61" t="s">
        <v>40</v>
      </c>
    </row>
    <row r="83" spans="1:28" x14ac:dyDescent="0.25">
      <c r="A83" s="46"/>
      <c r="B83" s="5"/>
      <c r="C83" s="4"/>
      <c r="D83" s="58">
        <f>SUM(D76:D81)</f>
        <v>26126635.41</v>
      </c>
      <c r="E83" s="58">
        <f>SUM(E76:E81)</f>
        <v>8481432.2200000007</v>
      </c>
      <c r="F83" s="58">
        <f>SUM(F76:F81)</f>
        <v>0</v>
      </c>
      <c r="G83" s="58"/>
      <c r="H83" s="58">
        <f>SUM(H76:H81)</f>
        <v>8481432.2200000007</v>
      </c>
      <c r="I83" s="58">
        <f>SUM(I76:I81)</f>
        <v>0</v>
      </c>
      <c r="J83" s="58">
        <f>SUM(J76:J81)</f>
        <v>0</v>
      </c>
      <c r="K83" s="58">
        <f>SUM(K76:K81)</f>
        <v>0</v>
      </c>
      <c r="L83" s="58">
        <f>SUM(L76:L81)</f>
        <v>0</v>
      </c>
      <c r="M83" s="58"/>
      <c r="N83" s="58">
        <f>SUM(N76:N81)</f>
        <v>8481432.2200000007</v>
      </c>
      <c r="O83" s="58">
        <f>SUM(O76:O81)</f>
        <v>17424283.129999999</v>
      </c>
      <c r="P83" s="58">
        <f>SUM(P76:P81)</f>
        <v>0</v>
      </c>
      <c r="Q83" s="58"/>
      <c r="R83" s="58">
        <f>SUM(R76:R81)</f>
        <v>17424283.129999999</v>
      </c>
      <c r="S83" s="58">
        <f>SUM(S76:S81)</f>
        <v>0</v>
      </c>
      <c r="T83" s="58">
        <f>SUM(T76:T81)</f>
        <v>0</v>
      </c>
      <c r="U83" s="58">
        <f>SUM(U76:U81)</f>
        <v>0</v>
      </c>
      <c r="V83" s="58">
        <f>SUM(V76:V81)</f>
        <v>0</v>
      </c>
      <c r="W83" s="58"/>
      <c r="X83" s="58">
        <f>SUM(X76:X81)</f>
        <v>17424283.129999999</v>
      </c>
      <c r="Y83" s="58">
        <f>SUM(Y76:Y81)</f>
        <v>25905715.350000001</v>
      </c>
      <c r="Z83" s="58">
        <f>SUM(Z76:Z81)</f>
        <v>220920.05999999959</v>
      </c>
      <c r="AA83" s="58">
        <f>SUM(AA76:AA81)</f>
        <v>25905715.350000001</v>
      </c>
      <c r="AB83" s="58">
        <f>SUM(AB76:AB81)</f>
        <v>220920.05999999959</v>
      </c>
    </row>
    <row r="84" spans="1:28" x14ac:dyDescent="0.25">
      <c r="A84" s="46"/>
      <c r="B84" s="5"/>
      <c r="C84" s="4"/>
      <c r="D84" s="61" t="s">
        <v>40</v>
      </c>
      <c r="E84" s="61" t="s">
        <v>40</v>
      </c>
      <c r="F84" s="61" t="s">
        <v>40</v>
      </c>
      <c r="G84" s="61"/>
      <c r="H84" s="61" t="s">
        <v>40</v>
      </c>
      <c r="I84" s="61" t="s">
        <v>40</v>
      </c>
      <c r="J84" s="61" t="s">
        <v>40</v>
      </c>
      <c r="K84" s="61" t="s">
        <v>40</v>
      </c>
      <c r="L84" s="61" t="s">
        <v>40</v>
      </c>
      <c r="M84" s="61"/>
      <c r="N84" s="61" t="s">
        <v>40</v>
      </c>
      <c r="O84" s="61" t="s">
        <v>40</v>
      </c>
      <c r="P84" s="61" t="s">
        <v>40</v>
      </c>
      <c r="Q84" s="61"/>
      <c r="R84" s="61" t="s">
        <v>40</v>
      </c>
      <c r="S84" s="61" t="s">
        <v>40</v>
      </c>
      <c r="T84" s="61" t="s">
        <v>40</v>
      </c>
      <c r="U84" s="61" t="s">
        <v>40</v>
      </c>
      <c r="V84" s="61" t="s">
        <v>40</v>
      </c>
      <c r="W84" s="61"/>
      <c r="X84" s="61" t="s">
        <v>40</v>
      </c>
      <c r="Y84" s="61" t="s">
        <v>40</v>
      </c>
      <c r="Z84" s="61" t="s">
        <v>40</v>
      </c>
      <c r="AA84" s="61" t="s">
        <v>40</v>
      </c>
      <c r="AB84" s="61" t="s">
        <v>40</v>
      </c>
    </row>
    <row r="85" spans="1:28" x14ac:dyDescent="0.25">
      <c r="A85" s="46"/>
      <c r="B85" s="5"/>
      <c r="C85" s="4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x14ac:dyDescent="0.25">
      <c r="A86" s="46">
        <v>8</v>
      </c>
      <c r="B86" s="2" t="s">
        <v>55</v>
      </c>
      <c r="C86" s="2" t="s">
        <v>35</v>
      </c>
      <c r="D86" s="58">
        <v>6386316.3799999999</v>
      </c>
      <c r="E86" s="58">
        <v>0</v>
      </c>
      <c r="F86" s="55"/>
      <c r="G86" s="55"/>
      <c r="H86" s="58">
        <f t="shared" ref="H86:H91" si="32">E86+F86</f>
        <v>0</v>
      </c>
      <c r="I86" s="55"/>
      <c r="J86" s="55"/>
      <c r="K86" s="55"/>
      <c r="L86" s="58"/>
      <c r="M86" s="58"/>
      <c r="N86" s="58">
        <f t="shared" ref="N86:N91" si="33">H86+L86</f>
        <v>0</v>
      </c>
      <c r="O86" s="58">
        <v>0</v>
      </c>
      <c r="P86" s="58"/>
      <c r="Q86" s="58"/>
      <c r="R86" s="58">
        <f t="shared" ref="R86:R91" si="34">O86+P86</f>
        <v>0</v>
      </c>
      <c r="S86" s="58"/>
      <c r="T86" s="55"/>
      <c r="U86" s="58"/>
      <c r="V86" s="58"/>
      <c r="W86" s="58"/>
      <c r="X86" s="58">
        <f t="shared" ref="X86:X91" si="35">R86+V86</f>
        <v>0</v>
      </c>
      <c r="Y86" s="58">
        <f t="shared" ref="Y86:Y91" si="36">R86+H86</f>
        <v>0</v>
      </c>
      <c r="Z86" s="58">
        <f t="shared" ref="Z86:Z91" si="37">D86-Y86</f>
        <v>6386316.3799999999</v>
      </c>
      <c r="AA86" s="58">
        <f t="shared" ref="AA86:AA91" si="38">N86+X86</f>
        <v>0</v>
      </c>
      <c r="AB86" s="58">
        <f t="shared" ref="AB86:AB91" si="39">+D86-N86-X86</f>
        <v>6386316.3799999999</v>
      </c>
    </row>
    <row r="87" spans="1:28" x14ac:dyDescent="0.25">
      <c r="A87" s="46"/>
      <c r="B87" s="4"/>
      <c r="C87" s="3" t="s">
        <v>36</v>
      </c>
      <c r="D87" s="58">
        <v>613984.02</v>
      </c>
      <c r="E87" s="58">
        <v>613984.02</v>
      </c>
      <c r="F87" s="55"/>
      <c r="G87" s="55"/>
      <c r="H87" s="58">
        <f t="shared" si="32"/>
        <v>613984.02</v>
      </c>
      <c r="I87" s="55"/>
      <c r="J87" s="55"/>
      <c r="K87" s="55"/>
      <c r="L87" s="58"/>
      <c r="M87" s="58"/>
      <c r="N87" s="58">
        <f t="shared" si="33"/>
        <v>613984.02</v>
      </c>
      <c r="O87" s="58">
        <v>0</v>
      </c>
      <c r="P87" s="55"/>
      <c r="Q87" s="55"/>
      <c r="R87" s="58">
        <f t="shared" si="34"/>
        <v>0</v>
      </c>
      <c r="S87" s="58"/>
      <c r="T87" s="55"/>
      <c r="U87" s="58"/>
      <c r="V87" s="58"/>
      <c r="W87" s="58"/>
      <c r="X87" s="58">
        <f t="shared" si="35"/>
        <v>0</v>
      </c>
      <c r="Y87" s="58">
        <f t="shared" si="36"/>
        <v>613984.02</v>
      </c>
      <c r="Z87" s="58">
        <f t="shared" si="37"/>
        <v>0</v>
      </c>
      <c r="AA87" s="58">
        <f t="shared" si="38"/>
        <v>613984.02</v>
      </c>
      <c r="AB87" s="58">
        <f t="shared" si="39"/>
        <v>0</v>
      </c>
    </row>
    <row r="88" spans="1:28" x14ac:dyDescent="0.25">
      <c r="A88" s="46"/>
      <c r="B88" s="4"/>
      <c r="C88" s="3" t="s">
        <v>44</v>
      </c>
      <c r="D88" s="58">
        <v>25000000</v>
      </c>
      <c r="E88" s="58">
        <v>25000000</v>
      </c>
      <c r="F88" s="55"/>
      <c r="G88" s="55"/>
      <c r="H88" s="58">
        <f t="shared" si="32"/>
        <v>25000000</v>
      </c>
      <c r="I88" s="55"/>
      <c r="J88" s="55"/>
      <c r="K88" s="55"/>
      <c r="L88" s="58"/>
      <c r="M88" s="58"/>
      <c r="N88" s="58">
        <f t="shared" si="33"/>
        <v>25000000</v>
      </c>
      <c r="O88" s="58">
        <v>0</v>
      </c>
      <c r="P88" s="55"/>
      <c r="Q88" s="55"/>
      <c r="R88" s="58">
        <f t="shared" si="34"/>
        <v>0</v>
      </c>
      <c r="S88" s="58"/>
      <c r="T88" s="55"/>
      <c r="U88" s="58"/>
      <c r="V88" s="58"/>
      <c r="W88" s="58"/>
      <c r="X88" s="58">
        <f t="shared" si="35"/>
        <v>0</v>
      </c>
      <c r="Y88" s="58">
        <f t="shared" si="36"/>
        <v>25000000</v>
      </c>
      <c r="Z88" s="58">
        <f t="shared" si="37"/>
        <v>0</v>
      </c>
      <c r="AA88" s="58">
        <f t="shared" si="38"/>
        <v>25000000</v>
      </c>
      <c r="AB88" s="58">
        <f t="shared" si="39"/>
        <v>0</v>
      </c>
    </row>
    <row r="89" spans="1:28" x14ac:dyDescent="0.25">
      <c r="A89" s="46"/>
      <c r="B89" s="4"/>
      <c r="C89" s="2" t="s">
        <v>53</v>
      </c>
      <c r="D89" s="58">
        <f>1277475.81+95118</f>
        <v>1372593.81</v>
      </c>
      <c r="E89" s="58">
        <v>95118</v>
      </c>
      <c r="F89" s="55"/>
      <c r="G89" s="55"/>
      <c r="H89" s="58">
        <f t="shared" si="32"/>
        <v>95118</v>
      </c>
      <c r="I89" s="55"/>
      <c r="J89" s="55"/>
      <c r="K89" s="55"/>
      <c r="L89" s="58"/>
      <c r="M89" s="58"/>
      <c r="N89" s="58">
        <f t="shared" si="33"/>
        <v>95118</v>
      </c>
      <c r="O89" s="58">
        <v>0</v>
      </c>
      <c r="P89" s="58"/>
      <c r="Q89" s="58"/>
      <c r="R89" s="58">
        <f t="shared" si="34"/>
        <v>0</v>
      </c>
      <c r="S89" s="58"/>
      <c r="T89" s="55"/>
      <c r="U89" s="58"/>
      <c r="V89" s="58"/>
      <c r="W89" s="58"/>
      <c r="X89" s="58">
        <f t="shared" si="35"/>
        <v>0</v>
      </c>
      <c r="Y89" s="58">
        <f t="shared" si="36"/>
        <v>95118</v>
      </c>
      <c r="Z89" s="58">
        <f t="shared" si="37"/>
        <v>1277475.81</v>
      </c>
      <c r="AA89" s="58">
        <f t="shared" si="38"/>
        <v>95118</v>
      </c>
      <c r="AB89" s="58">
        <f t="shared" si="39"/>
        <v>1277475.81</v>
      </c>
    </row>
    <row r="90" spans="1:28" x14ac:dyDescent="0.25">
      <c r="A90" s="46"/>
      <c r="B90" s="4"/>
      <c r="C90" s="2" t="s">
        <v>54</v>
      </c>
      <c r="D90" s="58">
        <f>20064860.2+1843195.35+12570.5</f>
        <v>21920626.050000001</v>
      </c>
      <c r="E90" s="58">
        <v>0</v>
      </c>
      <c r="F90" s="55"/>
      <c r="G90" s="55"/>
      <c r="H90" s="58">
        <f t="shared" si="32"/>
        <v>0</v>
      </c>
      <c r="I90" s="55"/>
      <c r="J90" s="55"/>
      <c r="K90" s="55"/>
      <c r="L90" s="58"/>
      <c r="M90" s="58"/>
      <c r="N90" s="58">
        <f t="shared" si="33"/>
        <v>0</v>
      </c>
      <c r="O90" s="58">
        <f>21908055.55+12570.5</f>
        <v>21920626.050000001</v>
      </c>
      <c r="P90" s="55"/>
      <c r="Q90" s="55"/>
      <c r="R90" s="58">
        <f t="shared" si="34"/>
        <v>21920626.050000001</v>
      </c>
      <c r="S90" s="55"/>
      <c r="T90" s="55"/>
      <c r="U90" s="55"/>
      <c r="V90" s="58"/>
      <c r="W90" s="58"/>
      <c r="X90" s="58">
        <f t="shared" si="35"/>
        <v>21920626.050000001</v>
      </c>
      <c r="Y90" s="58">
        <f t="shared" si="36"/>
        <v>21920626.050000001</v>
      </c>
      <c r="Z90" s="58">
        <f t="shared" si="37"/>
        <v>0</v>
      </c>
      <c r="AA90" s="58">
        <f t="shared" si="38"/>
        <v>21920626.050000001</v>
      </c>
      <c r="AB90" s="58">
        <f t="shared" si="39"/>
        <v>0</v>
      </c>
    </row>
    <row r="91" spans="1:28" x14ac:dyDescent="0.25">
      <c r="A91" s="46"/>
      <c r="B91" s="4"/>
      <c r="C91" s="2" t="s">
        <v>56</v>
      </c>
      <c r="D91" s="58">
        <v>200000</v>
      </c>
      <c r="E91" s="58">
        <v>0</v>
      </c>
      <c r="F91" s="55"/>
      <c r="G91" s="55"/>
      <c r="H91" s="58">
        <f t="shared" si="32"/>
        <v>0</v>
      </c>
      <c r="I91" s="55"/>
      <c r="J91" s="55"/>
      <c r="K91" s="55"/>
      <c r="L91" s="58"/>
      <c r="M91" s="58"/>
      <c r="N91" s="58">
        <f t="shared" si="33"/>
        <v>0</v>
      </c>
      <c r="O91" s="58">
        <v>0</v>
      </c>
      <c r="P91" s="55"/>
      <c r="Q91" s="55"/>
      <c r="R91" s="58">
        <f t="shared" si="34"/>
        <v>0</v>
      </c>
      <c r="S91" s="55"/>
      <c r="T91" s="55"/>
      <c r="U91" s="55"/>
      <c r="V91" s="58"/>
      <c r="W91" s="58"/>
      <c r="X91" s="58">
        <f t="shared" si="35"/>
        <v>0</v>
      </c>
      <c r="Y91" s="58">
        <f t="shared" si="36"/>
        <v>0</v>
      </c>
      <c r="Z91" s="58">
        <f t="shared" si="37"/>
        <v>200000</v>
      </c>
      <c r="AA91" s="58">
        <f t="shared" si="38"/>
        <v>0</v>
      </c>
      <c r="AB91" s="58">
        <f t="shared" si="39"/>
        <v>200000</v>
      </c>
    </row>
    <row r="92" spans="1:28" x14ac:dyDescent="0.25">
      <c r="A92" s="46"/>
      <c r="B92" s="4"/>
      <c r="C92" s="4"/>
      <c r="D92" s="61" t="s">
        <v>40</v>
      </c>
      <c r="E92" s="61" t="s">
        <v>40</v>
      </c>
      <c r="F92" s="61" t="s">
        <v>40</v>
      </c>
      <c r="G92" s="61"/>
      <c r="H92" s="61" t="s">
        <v>40</v>
      </c>
      <c r="I92" s="61" t="s">
        <v>40</v>
      </c>
      <c r="J92" s="61" t="s">
        <v>40</v>
      </c>
      <c r="K92" s="61" t="s">
        <v>40</v>
      </c>
      <c r="L92" s="61" t="s">
        <v>40</v>
      </c>
      <c r="M92" s="61"/>
      <c r="N92" s="61" t="s">
        <v>40</v>
      </c>
      <c r="O92" s="61" t="s">
        <v>40</v>
      </c>
      <c r="P92" s="61" t="s">
        <v>40</v>
      </c>
      <c r="Q92" s="61"/>
      <c r="R92" s="61" t="s">
        <v>40</v>
      </c>
      <c r="S92" s="61" t="s">
        <v>40</v>
      </c>
      <c r="T92" s="61" t="s">
        <v>40</v>
      </c>
      <c r="U92" s="61" t="s">
        <v>40</v>
      </c>
      <c r="V92" s="61" t="s">
        <v>40</v>
      </c>
      <c r="W92" s="61"/>
      <c r="X92" s="61" t="s">
        <v>40</v>
      </c>
      <c r="Y92" s="61" t="s">
        <v>40</v>
      </c>
      <c r="Z92" s="61" t="s">
        <v>40</v>
      </c>
      <c r="AA92" s="61" t="s">
        <v>40</v>
      </c>
      <c r="AB92" s="61" t="s">
        <v>40</v>
      </c>
    </row>
    <row r="93" spans="1:28" x14ac:dyDescent="0.25">
      <c r="A93" s="46"/>
      <c r="B93" s="4"/>
      <c r="C93" s="4"/>
      <c r="D93" s="58">
        <f t="shared" ref="D93:AB93" si="40">SUM(D86:D91)</f>
        <v>55493520.259999998</v>
      </c>
      <c r="E93" s="58">
        <f t="shared" si="40"/>
        <v>25709102.02</v>
      </c>
      <c r="F93" s="58">
        <f t="shared" si="40"/>
        <v>0</v>
      </c>
      <c r="G93" s="58"/>
      <c r="H93" s="58">
        <f>SUM(H86:H91)</f>
        <v>25709102.02</v>
      </c>
      <c r="I93" s="58">
        <f t="shared" si="40"/>
        <v>0</v>
      </c>
      <c r="J93" s="58">
        <f t="shared" si="40"/>
        <v>0</v>
      </c>
      <c r="K93" s="58">
        <f t="shared" si="40"/>
        <v>0</v>
      </c>
      <c r="L93" s="58">
        <f t="shared" si="40"/>
        <v>0</v>
      </c>
      <c r="M93" s="58"/>
      <c r="N93" s="58">
        <f t="shared" si="40"/>
        <v>25709102.02</v>
      </c>
      <c r="O93" s="58">
        <f t="shared" si="40"/>
        <v>21920626.050000001</v>
      </c>
      <c r="P93" s="58">
        <f t="shared" si="40"/>
        <v>0</v>
      </c>
      <c r="Q93" s="58"/>
      <c r="R93" s="58">
        <f t="shared" si="40"/>
        <v>21920626.050000001</v>
      </c>
      <c r="S93" s="58">
        <f t="shared" si="40"/>
        <v>0</v>
      </c>
      <c r="T93" s="58">
        <f t="shared" si="40"/>
        <v>0</v>
      </c>
      <c r="U93" s="58">
        <f t="shared" si="40"/>
        <v>0</v>
      </c>
      <c r="V93" s="58">
        <f t="shared" si="40"/>
        <v>0</v>
      </c>
      <c r="W93" s="58"/>
      <c r="X93" s="58">
        <f t="shared" si="40"/>
        <v>21920626.050000001</v>
      </c>
      <c r="Y93" s="58">
        <f t="shared" si="40"/>
        <v>47629728.07</v>
      </c>
      <c r="Z93" s="58">
        <f t="shared" si="40"/>
        <v>7863792.1899999995</v>
      </c>
      <c r="AA93" s="58">
        <f t="shared" si="40"/>
        <v>47629728.07</v>
      </c>
      <c r="AB93" s="58">
        <f t="shared" si="40"/>
        <v>7863792.1899999995</v>
      </c>
    </row>
    <row r="94" spans="1:28" x14ac:dyDescent="0.25">
      <c r="A94" s="46"/>
      <c r="B94" s="4"/>
      <c r="C94" s="4"/>
      <c r="D94" s="61" t="s">
        <v>40</v>
      </c>
      <c r="E94" s="61" t="s">
        <v>40</v>
      </c>
      <c r="F94" s="61" t="s">
        <v>40</v>
      </c>
      <c r="G94" s="61"/>
      <c r="H94" s="61" t="s">
        <v>40</v>
      </c>
      <c r="I94" s="61" t="s">
        <v>40</v>
      </c>
      <c r="J94" s="61" t="s">
        <v>40</v>
      </c>
      <c r="K94" s="61" t="s">
        <v>40</v>
      </c>
      <c r="L94" s="61" t="s">
        <v>40</v>
      </c>
      <c r="M94" s="61"/>
      <c r="N94" s="61" t="s">
        <v>40</v>
      </c>
      <c r="O94" s="61" t="s">
        <v>40</v>
      </c>
      <c r="P94" s="61" t="s">
        <v>40</v>
      </c>
      <c r="Q94" s="61"/>
      <c r="R94" s="61" t="s">
        <v>40</v>
      </c>
      <c r="S94" s="61" t="s">
        <v>40</v>
      </c>
      <c r="T94" s="61" t="s">
        <v>40</v>
      </c>
      <c r="U94" s="61" t="s">
        <v>40</v>
      </c>
      <c r="V94" s="61" t="s">
        <v>40</v>
      </c>
      <c r="W94" s="61"/>
      <c r="X94" s="61" t="s">
        <v>40</v>
      </c>
      <c r="Y94" s="61" t="s">
        <v>40</v>
      </c>
      <c r="Z94" s="61" t="s">
        <v>40</v>
      </c>
      <c r="AA94" s="61" t="s">
        <v>40</v>
      </c>
      <c r="AB94" s="61" t="s">
        <v>40</v>
      </c>
    </row>
    <row r="95" spans="1:28" x14ac:dyDescent="0.25">
      <c r="A95" s="46"/>
      <c r="B95" s="4"/>
      <c r="C95" s="4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x14ac:dyDescent="0.25">
      <c r="A96" s="46">
        <v>9</v>
      </c>
      <c r="B96" s="2" t="s">
        <v>57</v>
      </c>
      <c r="C96" s="2" t="s">
        <v>35</v>
      </c>
      <c r="D96" s="58">
        <f>3538978.4-864446.54</f>
        <v>2674531.86</v>
      </c>
      <c r="E96" s="58">
        <v>0</v>
      </c>
      <c r="F96" s="55"/>
      <c r="G96" s="55"/>
      <c r="H96" s="58">
        <f>E96+F96</f>
        <v>0</v>
      </c>
      <c r="I96" s="55"/>
      <c r="J96" s="55"/>
      <c r="K96" s="55"/>
      <c r="L96" s="58">
        <f>I96-J96+K96</f>
        <v>0</v>
      </c>
      <c r="M96" s="58"/>
      <c r="N96" s="58">
        <f>H96+L96</f>
        <v>0</v>
      </c>
      <c r="O96" s="58">
        <v>0</v>
      </c>
      <c r="P96" s="55"/>
      <c r="Q96" s="55"/>
      <c r="R96" s="58">
        <f>O96+P96</f>
        <v>0</v>
      </c>
      <c r="S96" s="58">
        <f>144183.6+728525.87-661704.58-211004.89</f>
        <v>0</v>
      </c>
      <c r="T96" s="55"/>
      <c r="U96" s="55"/>
      <c r="V96" s="58"/>
      <c r="W96" s="58"/>
      <c r="X96" s="58">
        <f>R96+V96</f>
        <v>0</v>
      </c>
      <c r="Y96" s="58">
        <f>R96+H96</f>
        <v>0</v>
      </c>
      <c r="Z96" s="58">
        <f>D96-Y96</f>
        <v>2674531.86</v>
      </c>
      <c r="AA96" s="58">
        <f>N96+X96</f>
        <v>0</v>
      </c>
      <c r="AB96" s="58">
        <f>+D96-N96-X96</f>
        <v>2674531.86</v>
      </c>
    </row>
    <row r="97" spans="1:43" x14ac:dyDescent="0.25">
      <c r="C97" s="4" t="s">
        <v>317</v>
      </c>
      <c r="D97" s="55">
        <v>864446.54</v>
      </c>
      <c r="E97" s="55">
        <v>864446.54</v>
      </c>
      <c r="F97" s="55"/>
      <c r="G97" s="55"/>
      <c r="H97" s="55">
        <f>+E97+F97</f>
        <v>864446.54</v>
      </c>
      <c r="I97" s="55"/>
      <c r="J97" s="55"/>
      <c r="K97" s="55"/>
      <c r="L97" s="55"/>
      <c r="M97" s="55"/>
      <c r="N97" s="55">
        <f>+H97+L97</f>
        <v>864446.54</v>
      </c>
      <c r="O97" s="55">
        <v>0</v>
      </c>
      <c r="P97" s="55"/>
      <c r="Q97" s="55"/>
      <c r="R97" s="55">
        <f>+O97+P97</f>
        <v>0</v>
      </c>
      <c r="S97" s="55"/>
      <c r="T97" s="55"/>
      <c r="U97" s="55"/>
      <c r="V97" s="55"/>
      <c r="W97" s="55"/>
      <c r="X97" s="55">
        <f>+R97+V97</f>
        <v>0</v>
      </c>
      <c r="Y97" s="58">
        <f>R97+H97</f>
        <v>864446.54</v>
      </c>
      <c r="Z97" s="58">
        <f>D97-Y97</f>
        <v>0</v>
      </c>
      <c r="AA97" s="58">
        <f>N97+X97</f>
        <v>864446.54</v>
      </c>
      <c r="AB97" s="58">
        <f>+D97-N97-X97</f>
        <v>0</v>
      </c>
    </row>
    <row r="98" spans="1:43" x14ac:dyDescent="0.25">
      <c r="A98" s="46"/>
      <c r="B98" s="4"/>
      <c r="C98" s="3" t="s">
        <v>36</v>
      </c>
      <c r="D98" s="58">
        <v>181314.71</v>
      </c>
      <c r="E98" s="58">
        <v>181314.71</v>
      </c>
      <c r="F98" s="55"/>
      <c r="G98" s="55"/>
      <c r="H98" s="58">
        <f>E98+F98</f>
        <v>181314.71</v>
      </c>
      <c r="I98" s="55"/>
      <c r="J98" s="55"/>
      <c r="K98" s="55"/>
      <c r="L98" s="58">
        <f>I98-J98+K98</f>
        <v>0</v>
      </c>
      <c r="M98" s="58"/>
      <c r="N98" s="58">
        <f>H98+L98</f>
        <v>181314.71</v>
      </c>
      <c r="O98" s="58">
        <v>0</v>
      </c>
      <c r="P98" s="55"/>
      <c r="Q98" s="55"/>
      <c r="R98" s="58">
        <f>O98+P98</f>
        <v>0</v>
      </c>
      <c r="S98" s="58">
        <f>144183.6+728525.87-661704.58-211004.89</f>
        <v>0</v>
      </c>
      <c r="T98" s="55"/>
      <c r="U98" s="55"/>
      <c r="V98" s="58"/>
      <c r="W98" s="58"/>
      <c r="X98" s="58">
        <f>R98+V98</f>
        <v>0</v>
      </c>
      <c r="Y98" s="58">
        <f>R98+H98</f>
        <v>181314.71</v>
      </c>
      <c r="Z98" s="58">
        <f>D98-Y98</f>
        <v>0</v>
      </c>
      <c r="AA98" s="58">
        <f>N98+X98</f>
        <v>181314.71</v>
      </c>
      <c r="AB98" s="58">
        <f>+D98-N98-X98</f>
        <v>0</v>
      </c>
    </row>
    <row r="99" spans="1:43" x14ac:dyDescent="0.25">
      <c r="A99" s="46"/>
      <c r="B99" s="4"/>
      <c r="C99" s="2" t="s">
        <v>38</v>
      </c>
      <c r="D99" s="58">
        <v>1774247.49</v>
      </c>
      <c r="E99" s="58">
        <v>0</v>
      </c>
      <c r="F99" s="55"/>
      <c r="G99" s="55"/>
      <c r="H99" s="58">
        <f>E99+F99</f>
        <v>0</v>
      </c>
      <c r="I99" s="55"/>
      <c r="J99" s="55"/>
      <c r="K99" s="55"/>
      <c r="L99" s="58">
        <f>I99-J99+K99</f>
        <v>0</v>
      </c>
      <c r="M99" s="58"/>
      <c r="N99" s="58">
        <f>H99+L99</f>
        <v>0</v>
      </c>
      <c r="O99" s="58">
        <v>0</v>
      </c>
      <c r="P99" s="55"/>
      <c r="Q99" s="55"/>
      <c r="R99" s="58">
        <f>O99+P99</f>
        <v>0</v>
      </c>
      <c r="S99" s="55"/>
      <c r="T99" s="55"/>
      <c r="U99" s="55"/>
      <c r="V99" s="58"/>
      <c r="W99" s="58"/>
      <c r="X99" s="58">
        <f>R99+V99</f>
        <v>0</v>
      </c>
      <c r="Y99" s="58">
        <f>R99+H99</f>
        <v>0</v>
      </c>
      <c r="Z99" s="58">
        <f>D99-Y99</f>
        <v>1774247.49</v>
      </c>
      <c r="AA99" s="58">
        <f>N99+X99</f>
        <v>0</v>
      </c>
      <c r="AB99" s="58">
        <f>+D99-N99-X99</f>
        <v>1774247.49</v>
      </c>
    </row>
    <row r="100" spans="1:43" x14ac:dyDescent="0.25">
      <c r="A100" s="46"/>
      <c r="B100" s="4"/>
      <c r="C100" s="4"/>
      <c r="D100" s="61" t="s">
        <v>40</v>
      </c>
      <c r="E100" s="61" t="s">
        <v>40</v>
      </c>
      <c r="F100" s="61" t="s">
        <v>40</v>
      </c>
      <c r="G100" s="61"/>
      <c r="H100" s="61" t="s">
        <v>40</v>
      </c>
      <c r="I100" s="61" t="s">
        <v>40</v>
      </c>
      <c r="J100" s="61" t="s">
        <v>40</v>
      </c>
      <c r="K100" s="61" t="s">
        <v>40</v>
      </c>
      <c r="L100" s="61" t="s">
        <v>40</v>
      </c>
      <c r="M100" s="61"/>
      <c r="N100" s="61" t="s">
        <v>40</v>
      </c>
      <c r="O100" s="61" t="s">
        <v>40</v>
      </c>
      <c r="P100" s="61" t="s">
        <v>40</v>
      </c>
      <c r="Q100" s="61"/>
      <c r="R100" s="61" t="s">
        <v>40</v>
      </c>
      <c r="S100" s="61" t="s">
        <v>40</v>
      </c>
      <c r="T100" s="61" t="s">
        <v>40</v>
      </c>
      <c r="U100" s="61" t="s">
        <v>40</v>
      </c>
      <c r="V100" s="61" t="s">
        <v>40</v>
      </c>
      <c r="W100" s="61"/>
      <c r="X100" s="61" t="s">
        <v>40</v>
      </c>
      <c r="Y100" s="61" t="s">
        <v>40</v>
      </c>
      <c r="Z100" s="61" t="s">
        <v>40</v>
      </c>
      <c r="AA100" s="61" t="s">
        <v>40</v>
      </c>
      <c r="AB100" s="61" t="s">
        <v>40</v>
      </c>
    </row>
    <row r="101" spans="1:43" x14ac:dyDescent="0.25">
      <c r="A101" s="46"/>
      <c r="B101" s="4"/>
      <c r="C101" s="4"/>
      <c r="D101" s="58">
        <f>SUM(D96:D99)</f>
        <v>5494540.5999999996</v>
      </c>
      <c r="E101" s="58">
        <f>SUM(E96:E99)</f>
        <v>1045761.25</v>
      </c>
      <c r="F101" s="58">
        <f>SUM(F96:F99)</f>
        <v>0</v>
      </c>
      <c r="G101" s="58"/>
      <c r="H101" s="58">
        <f>SUM(H96:H99)</f>
        <v>1045761.25</v>
      </c>
      <c r="I101" s="58">
        <f>SUM(I96:I99)</f>
        <v>0</v>
      </c>
      <c r="J101" s="58">
        <f>SUM(J96:J99)</f>
        <v>0</v>
      </c>
      <c r="K101" s="58">
        <f>SUM(K96:K99)</f>
        <v>0</v>
      </c>
      <c r="L101" s="58">
        <f>SUM(L96:L99)</f>
        <v>0</v>
      </c>
      <c r="M101" s="58"/>
      <c r="N101" s="58">
        <f>SUM(N96:N99)</f>
        <v>1045761.25</v>
      </c>
      <c r="O101" s="58">
        <f>SUM(O96:O99)</f>
        <v>0</v>
      </c>
      <c r="P101" s="58">
        <f>SUM(P96:P99)</f>
        <v>0</v>
      </c>
      <c r="Q101" s="58"/>
      <c r="R101" s="58">
        <f>SUM(R96:R99)</f>
        <v>0</v>
      </c>
      <c r="S101" s="58">
        <f>SUM(S96:S99)</f>
        <v>0</v>
      </c>
      <c r="T101" s="58">
        <f>SUM(T96:T99)</f>
        <v>0</v>
      </c>
      <c r="U101" s="58">
        <f>SUM(U96:U99)</f>
        <v>0</v>
      </c>
      <c r="V101" s="58">
        <f>SUM(V96:V99)</f>
        <v>0</v>
      </c>
      <c r="W101" s="58"/>
      <c r="X101" s="58">
        <f>SUM(X96:X99)</f>
        <v>0</v>
      </c>
      <c r="Y101" s="58">
        <f>SUM(Y96:Y99)</f>
        <v>1045761.25</v>
      </c>
      <c r="Z101" s="58">
        <f>SUM(Z96:Z99)</f>
        <v>4448779.3499999996</v>
      </c>
      <c r="AA101" s="58">
        <f>SUM(AA96:AA99)</f>
        <v>1045761.25</v>
      </c>
      <c r="AB101" s="58">
        <f>SUM(AB96:AB99)</f>
        <v>4448779.3499999996</v>
      </c>
    </row>
    <row r="102" spans="1:43" x14ac:dyDescent="0.25">
      <c r="A102" s="46"/>
      <c r="B102" s="4"/>
      <c r="C102" s="4"/>
      <c r="D102" s="61" t="s">
        <v>40</v>
      </c>
      <c r="E102" s="61" t="s">
        <v>40</v>
      </c>
      <c r="F102" s="61" t="s">
        <v>40</v>
      </c>
      <c r="G102" s="61"/>
      <c r="H102" s="61" t="s">
        <v>40</v>
      </c>
      <c r="I102" s="61" t="s">
        <v>40</v>
      </c>
      <c r="J102" s="61" t="s">
        <v>40</v>
      </c>
      <c r="K102" s="61" t="s">
        <v>40</v>
      </c>
      <c r="L102" s="61" t="s">
        <v>40</v>
      </c>
      <c r="M102" s="61"/>
      <c r="N102" s="61" t="s">
        <v>40</v>
      </c>
      <c r="O102" s="61" t="s">
        <v>40</v>
      </c>
      <c r="P102" s="61" t="s">
        <v>40</v>
      </c>
      <c r="Q102" s="61"/>
      <c r="R102" s="61" t="s">
        <v>40</v>
      </c>
      <c r="S102" s="61" t="s">
        <v>40</v>
      </c>
      <c r="T102" s="61" t="s">
        <v>40</v>
      </c>
      <c r="U102" s="61" t="s">
        <v>40</v>
      </c>
      <c r="V102" s="61" t="s">
        <v>40</v>
      </c>
      <c r="W102" s="61"/>
      <c r="X102" s="61" t="s">
        <v>40</v>
      </c>
      <c r="Y102" s="61" t="s">
        <v>40</v>
      </c>
      <c r="Z102" s="61" t="s">
        <v>40</v>
      </c>
      <c r="AA102" s="61" t="s">
        <v>40</v>
      </c>
      <c r="AB102" s="61" t="s">
        <v>40</v>
      </c>
    </row>
    <row r="103" spans="1:43" x14ac:dyDescent="0.25">
      <c r="A103" s="46"/>
      <c r="B103" s="4"/>
      <c r="C103" s="4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2"/>
      <c r="Z103" s="62"/>
      <c r="AA103" s="61"/>
      <c r="AB103" s="61"/>
    </row>
    <row r="104" spans="1:43" x14ac:dyDescent="0.25">
      <c r="A104" s="46">
        <v>10</v>
      </c>
      <c r="B104" s="4" t="s">
        <v>150</v>
      </c>
      <c r="C104" s="2" t="s">
        <v>35</v>
      </c>
      <c r="D104" s="63">
        <v>3610919.24</v>
      </c>
      <c r="E104" s="63">
        <v>3077761.39</v>
      </c>
      <c r="F104" s="63"/>
      <c r="G104" s="63"/>
      <c r="H104" s="63">
        <f>+E104+F104</f>
        <v>3077761.39</v>
      </c>
      <c r="I104" s="63"/>
      <c r="J104" s="63"/>
      <c r="K104" s="63"/>
      <c r="L104" s="63">
        <v>0</v>
      </c>
      <c r="M104" s="63"/>
      <c r="N104" s="63">
        <f>+H104+L104</f>
        <v>3077761.39</v>
      </c>
      <c r="O104" s="63">
        <v>37527.26</v>
      </c>
      <c r="P104" s="63"/>
      <c r="Q104" s="63"/>
      <c r="R104" s="63">
        <f>+O104+P104</f>
        <v>37527.26</v>
      </c>
      <c r="S104" s="63"/>
      <c r="T104" s="63"/>
      <c r="U104" s="63"/>
      <c r="V104" s="63"/>
      <c r="W104" s="63"/>
      <c r="X104" s="63">
        <f>+R104+V104</f>
        <v>37527.26</v>
      </c>
      <c r="Y104" s="64">
        <f>R104+H104</f>
        <v>3115288.65</v>
      </c>
      <c r="Z104" s="64">
        <f>D104-Y104</f>
        <v>495630.59000000032</v>
      </c>
      <c r="AA104" s="64">
        <f>N104+X104</f>
        <v>3115288.65</v>
      </c>
      <c r="AB104" s="64">
        <f>+D104-N104-X104</f>
        <v>495630.59000000008</v>
      </c>
    </row>
    <row r="105" spans="1:43" x14ac:dyDescent="0.25">
      <c r="A105" s="4"/>
      <c r="B105" s="4"/>
      <c r="C105" s="4" t="s">
        <v>317</v>
      </c>
      <c r="D105" s="55">
        <v>3398326.04</v>
      </c>
      <c r="E105" s="55">
        <v>3398326.04</v>
      </c>
      <c r="F105" s="55"/>
      <c r="G105" s="55"/>
      <c r="H105" s="55">
        <f>+E105+F105</f>
        <v>3398326.04</v>
      </c>
      <c r="I105" s="55"/>
      <c r="J105" s="55"/>
      <c r="K105" s="55"/>
      <c r="L105" s="55">
        <v>0</v>
      </c>
      <c r="M105" s="55"/>
      <c r="N105" s="55">
        <f>+H105+L105</f>
        <v>3398326.04</v>
      </c>
      <c r="O105" s="55">
        <v>0</v>
      </c>
      <c r="P105" s="55"/>
      <c r="Q105" s="55"/>
      <c r="R105" s="55">
        <f>+O105+P105</f>
        <v>0</v>
      </c>
      <c r="S105" s="55"/>
      <c r="T105" s="55"/>
      <c r="U105" s="55"/>
      <c r="V105" s="55"/>
      <c r="W105" s="55"/>
      <c r="X105" s="55">
        <f>+R105+V105</f>
        <v>0</v>
      </c>
      <c r="Y105" s="64">
        <f>R105+H105</f>
        <v>3398326.04</v>
      </c>
      <c r="Z105" s="64">
        <f>D105-Y105</f>
        <v>0</v>
      </c>
      <c r="AA105" s="64">
        <f>N105+X105</f>
        <v>3398326.04</v>
      </c>
      <c r="AB105" s="64">
        <f>+D105-N105-X105</f>
        <v>0</v>
      </c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x14ac:dyDescent="0.25">
      <c r="A106" s="46"/>
      <c r="B106" s="4"/>
      <c r="C106" s="2" t="s">
        <v>256</v>
      </c>
      <c r="D106" s="63">
        <v>1146860.75</v>
      </c>
      <c r="E106" s="63">
        <v>1146860.75</v>
      </c>
      <c r="F106" s="63"/>
      <c r="G106" s="63"/>
      <c r="H106" s="63">
        <f>+E106+F106</f>
        <v>1146860.75</v>
      </c>
      <c r="I106" s="63"/>
      <c r="J106" s="63"/>
      <c r="K106" s="63"/>
      <c r="L106" s="63">
        <v>0</v>
      </c>
      <c r="M106" s="63"/>
      <c r="N106" s="63">
        <f>+H106+L106</f>
        <v>1146860.75</v>
      </c>
      <c r="O106" s="63">
        <f>37527.26-37527.26</f>
        <v>0</v>
      </c>
      <c r="P106" s="63"/>
      <c r="Q106" s="63"/>
      <c r="R106" s="63">
        <f>+O106+P106</f>
        <v>0</v>
      </c>
      <c r="S106" s="63"/>
      <c r="T106" s="63"/>
      <c r="U106" s="63"/>
      <c r="V106" s="63"/>
      <c r="W106" s="63"/>
      <c r="X106" s="63">
        <f>+R106+V106</f>
        <v>0</v>
      </c>
      <c r="Y106" s="64">
        <f>R106+H106</f>
        <v>1146860.75</v>
      </c>
      <c r="Z106" s="64">
        <f>D106-Y106</f>
        <v>0</v>
      </c>
      <c r="AA106" s="64">
        <f>N106+X106</f>
        <v>1146860.75</v>
      </c>
      <c r="AB106" s="64">
        <f>+D106-N106-X106</f>
        <v>0</v>
      </c>
    </row>
    <row r="107" spans="1:43" x14ac:dyDescent="0.25">
      <c r="A107" s="46"/>
      <c r="B107" s="4"/>
      <c r="C107" s="4"/>
      <c r="D107" s="61" t="s">
        <v>40</v>
      </c>
      <c r="E107" s="61" t="s">
        <v>40</v>
      </c>
      <c r="F107" s="61" t="s">
        <v>40</v>
      </c>
      <c r="G107" s="61"/>
      <c r="H107" s="61" t="s">
        <v>40</v>
      </c>
      <c r="I107" s="61" t="s">
        <v>40</v>
      </c>
      <c r="J107" s="61" t="s">
        <v>40</v>
      </c>
      <c r="K107" s="61" t="s">
        <v>40</v>
      </c>
      <c r="L107" s="61" t="s">
        <v>40</v>
      </c>
      <c r="M107" s="61"/>
      <c r="N107" s="61" t="s">
        <v>40</v>
      </c>
      <c r="O107" s="61" t="s">
        <v>40</v>
      </c>
      <c r="P107" s="61" t="s">
        <v>40</v>
      </c>
      <c r="Q107" s="61"/>
      <c r="R107" s="61" t="s">
        <v>40</v>
      </c>
      <c r="S107" s="61" t="s">
        <v>40</v>
      </c>
      <c r="T107" s="61" t="s">
        <v>40</v>
      </c>
      <c r="U107" s="61" t="s">
        <v>40</v>
      </c>
      <c r="V107" s="61" t="s">
        <v>40</v>
      </c>
      <c r="W107" s="61"/>
      <c r="X107" s="61" t="s">
        <v>40</v>
      </c>
      <c r="Y107" s="61" t="s">
        <v>40</v>
      </c>
      <c r="Z107" s="61" t="s">
        <v>40</v>
      </c>
      <c r="AA107" s="61" t="s">
        <v>40</v>
      </c>
      <c r="AB107" s="61" t="s">
        <v>40</v>
      </c>
      <c r="AC107" s="124" t="s">
        <v>317</v>
      </c>
      <c r="AD107" s="94">
        <f>+D78+D105+D112+D97</f>
        <v>12641312.669999998</v>
      </c>
      <c r="AE107" s="94">
        <f>+E78+E105+E112+E97</f>
        <v>12641312.669999998</v>
      </c>
      <c r="AF107" s="94">
        <f>+F78+F105+F112+F97</f>
        <v>0</v>
      </c>
      <c r="AG107" s="94">
        <f>+AE107+AF107</f>
        <v>12641312.669999998</v>
      </c>
      <c r="AH107" s="145">
        <f>+L78+L105+L112+L97</f>
        <v>0</v>
      </c>
      <c r="AI107" s="94">
        <f>+AG107+AH107</f>
        <v>12641312.669999998</v>
      </c>
      <c r="AJ107" s="94">
        <f>+O78+O105+O112+O97</f>
        <v>0</v>
      </c>
      <c r="AK107" s="94">
        <f>+P78+P105+P112+P97</f>
        <v>0</v>
      </c>
      <c r="AL107" s="94">
        <f>+AJ107+AK107</f>
        <v>0</v>
      </c>
      <c r="AM107" s="94">
        <f>+V78+V105+V112+V97</f>
        <v>0</v>
      </c>
      <c r="AN107" s="94">
        <f>+AL107+AM107</f>
        <v>0</v>
      </c>
      <c r="AO107" s="94">
        <f>+AG107+AL107</f>
        <v>12641312.669999998</v>
      </c>
      <c r="AP107" s="94">
        <f>+AD107-AO107</f>
        <v>0</v>
      </c>
      <c r="AQ107" s="94">
        <f>+AD107-AI107-AN107</f>
        <v>0</v>
      </c>
    </row>
    <row r="108" spans="1:43" x14ac:dyDescent="0.25">
      <c r="A108" s="46"/>
      <c r="B108" s="4"/>
      <c r="C108" s="4"/>
      <c r="D108" s="62">
        <f>SUM(D104:D106)</f>
        <v>8156106.0300000003</v>
      </c>
      <c r="E108" s="62">
        <f t="shared" ref="E108:AB108" si="41">SUM(E104:E106)</f>
        <v>7622948.1799999997</v>
      </c>
      <c r="F108" s="62">
        <f t="shared" si="41"/>
        <v>0</v>
      </c>
      <c r="G108" s="62"/>
      <c r="H108" s="62">
        <f t="shared" si="41"/>
        <v>7622948.1799999997</v>
      </c>
      <c r="I108" s="62">
        <f t="shared" si="41"/>
        <v>0</v>
      </c>
      <c r="J108" s="62">
        <f t="shared" si="41"/>
        <v>0</v>
      </c>
      <c r="K108" s="62">
        <f t="shared" si="41"/>
        <v>0</v>
      </c>
      <c r="L108" s="62">
        <f t="shared" si="41"/>
        <v>0</v>
      </c>
      <c r="M108" s="62"/>
      <c r="N108" s="62">
        <f t="shared" si="41"/>
        <v>7622948.1799999997</v>
      </c>
      <c r="O108" s="62">
        <f t="shared" si="41"/>
        <v>37527.26</v>
      </c>
      <c r="P108" s="62">
        <f t="shared" si="41"/>
        <v>0</v>
      </c>
      <c r="Q108" s="62"/>
      <c r="R108" s="62">
        <f t="shared" si="41"/>
        <v>37527.26</v>
      </c>
      <c r="S108" s="62">
        <f t="shared" si="41"/>
        <v>0</v>
      </c>
      <c r="T108" s="62">
        <f t="shared" si="41"/>
        <v>0</v>
      </c>
      <c r="U108" s="62">
        <f t="shared" si="41"/>
        <v>0</v>
      </c>
      <c r="V108" s="62">
        <f t="shared" si="41"/>
        <v>0</v>
      </c>
      <c r="W108" s="62">
        <f t="shared" si="41"/>
        <v>0</v>
      </c>
      <c r="X108" s="62">
        <f t="shared" si="41"/>
        <v>37527.26</v>
      </c>
      <c r="Y108" s="62">
        <f t="shared" si="41"/>
        <v>7660475.4399999995</v>
      </c>
      <c r="Z108" s="62">
        <f t="shared" si="41"/>
        <v>495630.59000000032</v>
      </c>
      <c r="AA108" s="62">
        <f t="shared" si="41"/>
        <v>7660475.4399999995</v>
      </c>
      <c r="AB108" s="62">
        <f t="shared" si="41"/>
        <v>495630.59000000008</v>
      </c>
      <c r="AC108" s="49" t="s">
        <v>47</v>
      </c>
      <c r="AD108" s="94">
        <f>D76+D86+D96+D104+D111</f>
        <v>13527901.720000001</v>
      </c>
      <c r="AE108" s="94">
        <f>E76+E86+E96+E104+E111</f>
        <v>3077761.39</v>
      </c>
      <c r="AF108">
        <f>F76+F86+F96+F104+F111</f>
        <v>0</v>
      </c>
      <c r="AG108" s="94">
        <f>+AE108+AF108</f>
        <v>3077761.39</v>
      </c>
      <c r="AH108">
        <f>L4+L86+L96+L104+L111</f>
        <v>0</v>
      </c>
      <c r="AI108" s="94">
        <f>+AG108+AH108</f>
        <v>3077761.39</v>
      </c>
      <c r="AJ108" s="94">
        <f>O76+O86+O96+O104+O111</f>
        <v>893661.5</v>
      </c>
      <c r="AK108" s="94">
        <f>P76+P86+P96+P104+P111</f>
        <v>0</v>
      </c>
      <c r="AL108" s="94">
        <f>+AJ108+AK108</f>
        <v>893661.5</v>
      </c>
      <c r="AM108" s="94">
        <f>V76+V86+V96+V104+V111</f>
        <v>0</v>
      </c>
      <c r="AN108" s="94">
        <f>+AL108+AM108</f>
        <v>893661.5</v>
      </c>
      <c r="AO108" s="94">
        <f>+AG108+AL108</f>
        <v>3971422.89</v>
      </c>
      <c r="AP108" s="94">
        <f>+AD108-AO108</f>
        <v>9556478.8300000001</v>
      </c>
      <c r="AQ108" s="94">
        <f>+AD108-AI108-AN108</f>
        <v>9556478.8300000001</v>
      </c>
    </row>
    <row r="109" spans="1:43" x14ac:dyDescent="0.25">
      <c r="A109" s="46"/>
      <c r="B109" s="4"/>
      <c r="C109" s="4"/>
      <c r="D109" s="61" t="s">
        <v>40</v>
      </c>
      <c r="E109" s="61" t="s">
        <v>40</v>
      </c>
      <c r="F109" s="61" t="s">
        <v>40</v>
      </c>
      <c r="G109" s="61"/>
      <c r="H109" s="61" t="s">
        <v>40</v>
      </c>
      <c r="I109" s="61" t="s">
        <v>40</v>
      </c>
      <c r="J109" s="61" t="s">
        <v>40</v>
      </c>
      <c r="K109" s="61" t="s">
        <v>40</v>
      </c>
      <c r="L109" s="61" t="s">
        <v>40</v>
      </c>
      <c r="M109" s="61"/>
      <c r="N109" s="61" t="s">
        <v>40</v>
      </c>
      <c r="O109" s="61" t="s">
        <v>40</v>
      </c>
      <c r="P109" s="61" t="s">
        <v>40</v>
      </c>
      <c r="Q109" s="61"/>
      <c r="R109" s="61" t="s">
        <v>40</v>
      </c>
      <c r="S109" s="61" t="s">
        <v>40</v>
      </c>
      <c r="T109" s="61" t="s">
        <v>40</v>
      </c>
      <c r="U109" s="61" t="s">
        <v>40</v>
      </c>
      <c r="V109" s="61" t="s">
        <v>40</v>
      </c>
      <c r="W109" s="61"/>
      <c r="X109" s="61" t="s">
        <v>40</v>
      </c>
      <c r="Y109" s="61" t="s">
        <v>40</v>
      </c>
      <c r="Z109" s="61" t="s">
        <v>40</v>
      </c>
      <c r="AA109" s="61" t="s">
        <v>40</v>
      </c>
      <c r="AB109" s="61" t="s">
        <v>40</v>
      </c>
      <c r="AC109" s="49" t="s">
        <v>36</v>
      </c>
      <c r="AD109" s="94">
        <f>D77+D87+D98</f>
        <v>2030719.5</v>
      </c>
      <c r="AE109" s="94">
        <f>E77+E87+E98</f>
        <v>2030719.5</v>
      </c>
      <c r="AF109">
        <f>F77+F87+F98</f>
        <v>0</v>
      </c>
      <c r="AG109" s="94">
        <f>+AE109+AF109</f>
        <v>2030719.5</v>
      </c>
      <c r="AH109">
        <f>L77+L87+L98+L106+L114</f>
        <v>0</v>
      </c>
      <c r="AI109" s="94">
        <f>+AG109+AH109</f>
        <v>2030719.5</v>
      </c>
      <c r="AJ109" s="94">
        <f>O77+O87+O98</f>
        <v>0</v>
      </c>
      <c r="AK109" s="94">
        <f>P77+P87+P98</f>
        <v>0</v>
      </c>
      <c r="AL109" s="94">
        <f>+AJ109+AK109</f>
        <v>0</v>
      </c>
      <c r="AM109" s="94">
        <f>V77+V87+V98</f>
        <v>0</v>
      </c>
      <c r="AN109" s="94">
        <f>+AL109+AM109</f>
        <v>0</v>
      </c>
      <c r="AO109" s="94">
        <f>+AG109+AL109</f>
        <v>2030719.5</v>
      </c>
      <c r="AP109" s="94">
        <f>+AD109-AO109</f>
        <v>0</v>
      </c>
      <c r="AQ109" s="94">
        <f>+AD109-AI109-AN109</f>
        <v>0</v>
      </c>
    </row>
    <row r="110" spans="1:43" x14ac:dyDescent="0.25">
      <c r="A110" s="46"/>
      <c r="B110" s="4"/>
      <c r="C110" s="4"/>
      <c r="D110" s="61"/>
      <c r="E110" s="62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49" t="s">
        <v>53</v>
      </c>
      <c r="AD110" s="94">
        <f t="shared" ref="AD110:AF111" si="42">D79+D89+D114</f>
        <v>10755743.27</v>
      </c>
      <c r="AE110" s="94">
        <f t="shared" si="42"/>
        <v>95118</v>
      </c>
      <c r="AF110">
        <f t="shared" si="42"/>
        <v>0</v>
      </c>
      <c r="AG110" s="94">
        <f>+AE110+AF110</f>
        <v>95118</v>
      </c>
      <c r="AH110" t="e">
        <f>L79+L88+L99+L107+L115</f>
        <v>#VALUE!</v>
      </c>
      <c r="AI110" s="94" t="e">
        <f>+AG110+AH110</f>
        <v>#VALUE!</v>
      </c>
      <c r="AJ110" s="94">
        <f>O79+O89+O114</f>
        <v>8098333.7399999993</v>
      </c>
      <c r="AK110" s="94">
        <f>P79+P89+P114</f>
        <v>0</v>
      </c>
      <c r="AL110" s="94">
        <f>+AJ110+AK110</f>
        <v>8098333.7399999993</v>
      </c>
      <c r="AM110" s="94">
        <f>V79+V89+V114</f>
        <v>0</v>
      </c>
      <c r="AN110" s="94">
        <f>+AL110+AM110</f>
        <v>8098333.7399999993</v>
      </c>
      <c r="AO110" s="94">
        <f>+AG110+AL110</f>
        <v>8193451.7399999993</v>
      </c>
      <c r="AP110" s="94">
        <f>+AD110-AO110</f>
        <v>2562291.5300000003</v>
      </c>
      <c r="AQ110" s="94" t="e">
        <f>+AD110-AI110-AN110</f>
        <v>#VALUE!</v>
      </c>
    </row>
    <row r="111" spans="1:43" x14ac:dyDescent="0.25">
      <c r="A111" s="46">
        <v>11</v>
      </c>
      <c r="B111" s="4" t="s">
        <v>151</v>
      </c>
      <c r="C111" s="2" t="s">
        <v>35</v>
      </c>
      <c r="D111" s="55">
        <v>856134.24</v>
      </c>
      <c r="E111" s="55"/>
      <c r="F111" s="55"/>
      <c r="G111" s="55"/>
      <c r="H111" s="55">
        <f>+E111+F111</f>
        <v>0</v>
      </c>
      <c r="I111" s="55"/>
      <c r="J111" s="55"/>
      <c r="K111" s="55"/>
      <c r="L111" s="55"/>
      <c r="M111" s="55"/>
      <c r="N111" s="55">
        <f>+H111+L111</f>
        <v>0</v>
      </c>
      <c r="O111" s="55">
        <v>856134.24</v>
      </c>
      <c r="P111" s="55"/>
      <c r="Q111" s="55"/>
      <c r="R111" s="55">
        <f>+O111+P111</f>
        <v>856134.24</v>
      </c>
      <c r="S111" s="55"/>
      <c r="T111" s="55"/>
      <c r="U111" s="55"/>
      <c r="V111" s="55"/>
      <c r="W111" s="55"/>
      <c r="X111" s="55">
        <f>+R111+V111</f>
        <v>856134.24</v>
      </c>
      <c r="Y111" s="64">
        <f>R111+H111</f>
        <v>856134.24</v>
      </c>
      <c r="Z111" s="55">
        <f>+D111-Y111</f>
        <v>0</v>
      </c>
      <c r="AA111" s="55"/>
      <c r="AB111" s="58">
        <f>+D111-N111-X111</f>
        <v>0</v>
      </c>
      <c r="AC111" s="49" t="s">
        <v>54</v>
      </c>
      <c r="AD111" s="94">
        <f t="shared" si="42"/>
        <v>38237355.840000004</v>
      </c>
      <c r="AE111" s="94">
        <f t="shared" si="42"/>
        <v>0</v>
      </c>
      <c r="AF111">
        <f t="shared" si="42"/>
        <v>0</v>
      </c>
      <c r="AG111" s="94">
        <f>+AE111+AF111</f>
        <v>0</v>
      </c>
      <c r="AH111" t="e">
        <f>L80+L89+L100+L108+L116</f>
        <v>#VALUE!</v>
      </c>
      <c r="AI111" s="94" t="e">
        <f>+AG111+AH111</f>
        <v>#VALUE!</v>
      </c>
      <c r="AJ111" s="94">
        <f>O80+O90+O115</f>
        <v>38237355.839999996</v>
      </c>
      <c r="AK111" s="94">
        <f>P80+P90+P115</f>
        <v>0</v>
      </c>
      <c r="AL111" s="94">
        <f>+AJ111+AK111</f>
        <v>38237355.839999996</v>
      </c>
      <c r="AM111" s="94">
        <f>V80+V90+V115</f>
        <v>0</v>
      </c>
      <c r="AN111" s="94">
        <f>+AL111+AM111</f>
        <v>38237355.839999996</v>
      </c>
      <c r="AO111" s="94">
        <f>+AG111+AL111</f>
        <v>38237355.839999996</v>
      </c>
      <c r="AP111" s="94">
        <f>+AD111-AO111</f>
        <v>0</v>
      </c>
      <c r="AQ111" s="94" t="e">
        <f>+AD111-AI111-AN111</f>
        <v>#VALUE!</v>
      </c>
    </row>
    <row r="112" spans="1:43" x14ac:dyDescent="0.25">
      <c r="C112" s="4" t="s">
        <v>317</v>
      </c>
      <c r="D112" s="55">
        <v>6132528.6399999997</v>
      </c>
      <c r="E112" s="55">
        <v>6132528.6399999997</v>
      </c>
      <c r="F112" s="55"/>
      <c r="G112" s="55"/>
      <c r="H112" s="55">
        <f>+E112+F112</f>
        <v>6132528.6399999997</v>
      </c>
      <c r="I112" s="55"/>
      <c r="J112" s="55"/>
      <c r="K112" s="55"/>
      <c r="L112" s="55"/>
      <c r="M112" s="55"/>
      <c r="N112" s="55">
        <f>+H112+L112</f>
        <v>6132528.6399999997</v>
      </c>
      <c r="O112" s="55">
        <v>0</v>
      </c>
      <c r="P112" s="55"/>
      <c r="Q112" s="55"/>
      <c r="R112" s="55">
        <f>+O112+P112</f>
        <v>0</v>
      </c>
      <c r="S112" s="55"/>
      <c r="T112" s="55"/>
      <c r="U112" s="55"/>
      <c r="V112" s="55"/>
      <c r="W112" s="55"/>
      <c r="X112" s="55">
        <f>+R112+V112</f>
        <v>0</v>
      </c>
      <c r="Y112" s="64">
        <f>R112+H112</f>
        <v>6132528.6399999997</v>
      </c>
      <c r="Z112" s="55">
        <f>+D112-Y112</f>
        <v>0</v>
      </c>
      <c r="AA112" s="55"/>
      <c r="AB112" s="58">
        <f>+D112-N112-X112</f>
        <v>0</v>
      </c>
      <c r="AJ112" s="94"/>
    </row>
    <row r="113" spans="1:43" x14ac:dyDescent="0.25">
      <c r="C113" s="4" t="s">
        <v>290</v>
      </c>
      <c r="D113" s="55">
        <f>3500000+3500000+2500000</f>
        <v>9500000</v>
      </c>
      <c r="E113" s="55">
        <f>3500000+3500000</f>
        <v>7000000</v>
      </c>
      <c r="F113" s="55">
        <v>2500000</v>
      </c>
      <c r="G113" s="55"/>
      <c r="H113" s="55">
        <f>+E113+F113</f>
        <v>9500000</v>
      </c>
      <c r="I113" s="55"/>
      <c r="J113" s="55"/>
      <c r="K113" s="55"/>
      <c r="L113" s="55"/>
      <c r="M113" s="55"/>
      <c r="N113" s="55">
        <f>+H113+L113</f>
        <v>9500000</v>
      </c>
      <c r="O113" s="55">
        <v>0</v>
      </c>
      <c r="P113" s="55"/>
      <c r="Q113" s="55"/>
      <c r="R113" s="55">
        <f>+O113+P113</f>
        <v>0</v>
      </c>
      <c r="S113" s="55"/>
      <c r="T113" s="55"/>
      <c r="U113" s="55"/>
      <c r="V113" s="55"/>
      <c r="W113" s="55"/>
      <c r="X113" s="55">
        <f>+R113+V113</f>
        <v>0</v>
      </c>
      <c r="Y113" s="64">
        <f>R113+H113</f>
        <v>9500000</v>
      </c>
      <c r="Z113" s="55">
        <f>+D113-Y113</f>
        <v>0</v>
      </c>
      <c r="AA113" s="55"/>
      <c r="AB113" s="58">
        <f>+D113-N113-X113</f>
        <v>0</v>
      </c>
      <c r="AC113" s="49" t="s">
        <v>323</v>
      </c>
      <c r="AD113" s="94">
        <f>+D113</f>
        <v>9500000</v>
      </c>
      <c r="AE113" s="94">
        <f>+E113</f>
        <v>7000000</v>
      </c>
      <c r="AF113">
        <f>+F113</f>
        <v>2500000</v>
      </c>
      <c r="AG113" s="94">
        <f t="shared" ref="AG113:AG118" si="43">+AE113+AF113</f>
        <v>9500000</v>
      </c>
      <c r="AH113">
        <f>+L113</f>
        <v>0</v>
      </c>
      <c r="AI113" s="94">
        <f t="shared" ref="AI113:AI118" si="44">+AG113+AH113</f>
        <v>9500000</v>
      </c>
      <c r="AJ113" s="94">
        <f>+O113</f>
        <v>0</v>
      </c>
      <c r="AK113" s="94">
        <f>+P113</f>
        <v>0</v>
      </c>
      <c r="AL113" s="94">
        <f t="shared" ref="AL113:AL118" si="45">+AJ113+AK113</f>
        <v>0</v>
      </c>
      <c r="AM113" s="94">
        <f>+V113</f>
        <v>0</v>
      </c>
      <c r="AN113" s="94">
        <f t="shared" ref="AN113:AN118" si="46">+AL113+AM113</f>
        <v>0</v>
      </c>
      <c r="AO113" s="94">
        <f t="shared" ref="AO113:AO118" si="47">+AG113+AL113</f>
        <v>9500000</v>
      </c>
      <c r="AP113" s="94">
        <f t="shared" ref="AP113:AP118" si="48">+AD113-AO113</f>
        <v>0</v>
      </c>
      <c r="AQ113" s="94">
        <f t="shared" ref="AQ113:AQ118" si="49">+AD113-AI113-AN113</f>
        <v>0</v>
      </c>
    </row>
    <row r="114" spans="1:43" x14ac:dyDescent="0.25">
      <c r="A114" s="46"/>
      <c r="B114" s="4"/>
      <c r="C114" s="4" t="s">
        <v>53</v>
      </c>
      <c r="D114" s="55">
        <f>8583308.44-6132528.64</f>
        <v>2450779.7999999998</v>
      </c>
      <c r="E114" s="55"/>
      <c r="F114" s="55"/>
      <c r="G114" s="55"/>
      <c r="H114" s="55">
        <f>+E114+F114</f>
        <v>0</v>
      </c>
      <c r="I114" s="55"/>
      <c r="J114" s="55"/>
      <c r="K114" s="55"/>
      <c r="L114" s="55"/>
      <c r="M114" s="55"/>
      <c r="N114" s="55">
        <f>+H114+L114</f>
        <v>0</v>
      </c>
      <c r="O114" s="55">
        <v>1386884.14</v>
      </c>
      <c r="P114" s="55"/>
      <c r="Q114" s="55"/>
      <c r="R114" s="55">
        <f>+O114+P114</f>
        <v>1386884.14</v>
      </c>
      <c r="S114" s="55"/>
      <c r="T114" s="55"/>
      <c r="U114" s="55"/>
      <c r="V114" s="55"/>
      <c r="W114" s="55"/>
      <c r="X114" s="55">
        <f>+R114+V114</f>
        <v>1386884.14</v>
      </c>
      <c r="Y114" s="64">
        <f>R114+H114</f>
        <v>1386884.14</v>
      </c>
      <c r="Z114" s="55">
        <f>+D114-Y114</f>
        <v>1063895.6599999999</v>
      </c>
      <c r="AA114" s="55"/>
      <c r="AB114" s="58">
        <f>+D114-N114-X114</f>
        <v>1063895.6599999999</v>
      </c>
      <c r="AC114" s="49" t="s">
        <v>256</v>
      </c>
      <c r="AD114" s="94">
        <f>+D106</f>
        <v>1146860.75</v>
      </c>
      <c r="AE114" s="94">
        <f>+E106</f>
        <v>1146860.75</v>
      </c>
      <c r="AF114">
        <f>+F106</f>
        <v>0</v>
      </c>
      <c r="AG114" s="94">
        <f t="shared" si="43"/>
        <v>1146860.75</v>
      </c>
      <c r="AH114" t="e">
        <f>L81+L90+L101+L109+L117</f>
        <v>#VALUE!</v>
      </c>
      <c r="AI114" s="94" t="e">
        <f t="shared" si="44"/>
        <v>#VALUE!</v>
      </c>
      <c r="AJ114" s="94">
        <f>+O106</f>
        <v>0</v>
      </c>
      <c r="AK114" s="94">
        <f>+P106</f>
        <v>0</v>
      </c>
      <c r="AL114" s="94">
        <f t="shared" si="45"/>
        <v>0</v>
      </c>
      <c r="AM114" s="94">
        <f>+V106</f>
        <v>0</v>
      </c>
      <c r="AN114" s="94">
        <f t="shared" si="46"/>
        <v>0</v>
      </c>
      <c r="AO114" s="94">
        <f t="shared" si="47"/>
        <v>1146860.75</v>
      </c>
      <c r="AP114" s="94">
        <f t="shared" si="48"/>
        <v>0</v>
      </c>
      <c r="AQ114" s="94" t="e">
        <f t="shared" si="49"/>
        <v>#VALUE!</v>
      </c>
    </row>
    <row r="115" spans="1:43" x14ac:dyDescent="0.25">
      <c r="A115" s="46"/>
      <c r="B115" s="4"/>
      <c r="C115" s="4" t="s">
        <v>54</v>
      </c>
      <c r="D115" s="55">
        <v>5603896.2599999998</v>
      </c>
      <c r="E115" s="55"/>
      <c r="F115" s="55"/>
      <c r="G115" s="55"/>
      <c r="H115" s="55">
        <f>+E115+F115</f>
        <v>0</v>
      </c>
      <c r="I115" s="55"/>
      <c r="J115" s="55"/>
      <c r="K115" s="55"/>
      <c r="L115" s="55"/>
      <c r="M115" s="55"/>
      <c r="N115" s="55">
        <f>+H115+L115</f>
        <v>0</v>
      </c>
      <c r="O115" s="55">
        <v>5603896.2599999998</v>
      </c>
      <c r="P115" s="55"/>
      <c r="Q115" s="55"/>
      <c r="R115" s="55">
        <f>+O115+P115</f>
        <v>5603896.2599999998</v>
      </c>
      <c r="S115" s="55"/>
      <c r="T115" s="55"/>
      <c r="U115" s="55"/>
      <c r="V115" s="55"/>
      <c r="W115" s="55"/>
      <c r="X115" s="55">
        <f>+R115+V115</f>
        <v>5603896.2599999998</v>
      </c>
      <c r="Y115" s="64">
        <f>R115+H115</f>
        <v>5603896.2599999998</v>
      </c>
      <c r="Z115" s="55">
        <f>+D115-Y115</f>
        <v>0</v>
      </c>
      <c r="AA115" s="55"/>
      <c r="AB115" s="58">
        <f>+D115-N115-X115</f>
        <v>0</v>
      </c>
      <c r="AC115" s="49" t="s">
        <v>38</v>
      </c>
      <c r="AD115" s="94">
        <f>+D99</f>
        <v>1774247.49</v>
      </c>
      <c r="AE115" s="94">
        <f>+E99</f>
        <v>0</v>
      </c>
      <c r="AF115">
        <f>+F99</f>
        <v>0</v>
      </c>
      <c r="AG115" s="94">
        <f t="shared" si="43"/>
        <v>0</v>
      </c>
      <c r="AH115" t="e">
        <f>L82+L91+L102+L110+L118</f>
        <v>#VALUE!</v>
      </c>
      <c r="AI115" s="94" t="e">
        <f t="shared" si="44"/>
        <v>#VALUE!</v>
      </c>
      <c r="AJ115" s="94">
        <f>+O99</f>
        <v>0</v>
      </c>
      <c r="AK115" s="94">
        <f>+P99</f>
        <v>0</v>
      </c>
      <c r="AL115" s="94">
        <f t="shared" si="45"/>
        <v>0</v>
      </c>
      <c r="AM115" s="94">
        <f>+R99</f>
        <v>0</v>
      </c>
      <c r="AN115" s="94">
        <f t="shared" si="46"/>
        <v>0</v>
      </c>
      <c r="AO115" s="94">
        <f t="shared" si="47"/>
        <v>0</v>
      </c>
      <c r="AP115" s="94">
        <f t="shared" si="48"/>
        <v>1774247.49</v>
      </c>
      <c r="AQ115" s="94" t="e">
        <f t="shared" si="49"/>
        <v>#VALUE!</v>
      </c>
    </row>
    <row r="116" spans="1:43" x14ac:dyDescent="0.25">
      <c r="A116" s="46"/>
      <c r="B116" s="4"/>
      <c r="C116" s="4"/>
      <c r="D116" s="61" t="s">
        <v>40</v>
      </c>
      <c r="E116" s="61" t="s">
        <v>40</v>
      </c>
      <c r="F116" s="61" t="s">
        <v>40</v>
      </c>
      <c r="G116" s="61"/>
      <c r="H116" s="61" t="s">
        <v>40</v>
      </c>
      <c r="I116" s="61" t="s">
        <v>40</v>
      </c>
      <c r="J116" s="61" t="s">
        <v>40</v>
      </c>
      <c r="K116" s="61" t="s">
        <v>40</v>
      </c>
      <c r="L116" s="61" t="s">
        <v>40</v>
      </c>
      <c r="M116" s="61"/>
      <c r="N116" s="61" t="s">
        <v>40</v>
      </c>
      <c r="O116" s="61" t="s">
        <v>40</v>
      </c>
      <c r="P116" s="61" t="s">
        <v>40</v>
      </c>
      <c r="Q116" s="61"/>
      <c r="R116" s="61" t="s">
        <v>40</v>
      </c>
      <c r="S116" s="61" t="s">
        <v>40</v>
      </c>
      <c r="T116" s="61" t="s">
        <v>40</v>
      </c>
      <c r="U116" s="61" t="s">
        <v>40</v>
      </c>
      <c r="V116" s="61" t="s">
        <v>40</v>
      </c>
      <c r="W116" s="61"/>
      <c r="X116" s="61" t="s">
        <v>40</v>
      </c>
      <c r="Y116" s="61" t="s">
        <v>40</v>
      </c>
      <c r="Z116" s="65" t="s">
        <v>165</v>
      </c>
      <c r="AA116" s="61" t="s">
        <v>40</v>
      </c>
      <c r="AB116" s="65" t="s">
        <v>165</v>
      </c>
      <c r="AC116" s="49" t="s">
        <v>167</v>
      </c>
      <c r="AD116" s="94">
        <f>+D91</f>
        <v>200000</v>
      </c>
      <c r="AE116" s="94">
        <f>+E91</f>
        <v>0</v>
      </c>
      <c r="AF116">
        <f>+F91</f>
        <v>0</v>
      </c>
      <c r="AG116" s="94">
        <f t="shared" si="43"/>
        <v>0</v>
      </c>
      <c r="AH116" t="e">
        <f>L83+L92+L103+L111+L119</f>
        <v>#VALUE!</v>
      </c>
      <c r="AI116" s="94" t="e">
        <f t="shared" si="44"/>
        <v>#VALUE!</v>
      </c>
      <c r="AJ116" s="94">
        <f>+O91</f>
        <v>0</v>
      </c>
      <c r="AK116" s="94">
        <f>+P91</f>
        <v>0</v>
      </c>
      <c r="AL116" s="94">
        <f t="shared" si="45"/>
        <v>0</v>
      </c>
      <c r="AM116" s="94">
        <f>+V91</f>
        <v>0</v>
      </c>
      <c r="AN116" s="94">
        <f t="shared" si="46"/>
        <v>0</v>
      </c>
      <c r="AO116" s="94">
        <f t="shared" si="47"/>
        <v>0</v>
      </c>
      <c r="AP116" s="94">
        <f t="shared" si="48"/>
        <v>200000</v>
      </c>
      <c r="AQ116" s="94" t="e">
        <f t="shared" si="49"/>
        <v>#VALUE!</v>
      </c>
    </row>
    <row r="117" spans="1:43" x14ac:dyDescent="0.25">
      <c r="A117" s="46"/>
      <c r="B117" s="4"/>
      <c r="C117" s="4"/>
      <c r="D117" s="55">
        <f>SUM(D111:D115)</f>
        <v>24543338.939999998</v>
      </c>
      <c r="E117" s="55">
        <f>SUM(E111:E115)</f>
        <v>13132528.640000001</v>
      </c>
      <c r="F117" s="55">
        <f>SUM(F111:F115)</f>
        <v>2500000</v>
      </c>
      <c r="G117" s="55"/>
      <c r="H117" s="55">
        <f t="shared" ref="H117:AB117" si="50">SUM(H111:H115)</f>
        <v>15632528.640000001</v>
      </c>
      <c r="I117" s="55">
        <f t="shared" si="50"/>
        <v>0</v>
      </c>
      <c r="J117" s="55">
        <f t="shared" si="50"/>
        <v>0</v>
      </c>
      <c r="K117" s="55">
        <f t="shared" si="50"/>
        <v>0</v>
      </c>
      <c r="L117" s="55">
        <f t="shared" si="50"/>
        <v>0</v>
      </c>
      <c r="M117" s="55"/>
      <c r="N117" s="55">
        <f t="shared" si="50"/>
        <v>15632528.640000001</v>
      </c>
      <c r="O117" s="55">
        <f t="shared" si="50"/>
        <v>7846914.6399999997</v>
      </c>
      <c r="P117" s="55">
        <f t="shared" si="50"/>
        <v>0</v>
      </c>
      <c r="Q117" s="55"/>
      <c r="R117" s="55">
        <f t="shared" si="50"/>
        <v>7846914.6399999997</v>
      </c>
      <c r="S117" s="55">
        <f t="shared" si="50"/>
        <v>0</v>
      </c>
      <c r="T117" s="55">
        <f t="shared" si="50"/>
        <v>0</v>
      </c>
      <c r="U117" s="55">
        <f t="shared" si="50"/>
        <v>0</v>
      </c>
      <c r="V117" s="55">
        <f t="shared" si="50"/>
        <v>0</v>
      </c>
      <c r="W117" s="55">
        <f t="shared" si="50"/>
        <v>0</v>
      </c>
      <c r="X117" s="55">
        <f t="shared" si="50"/>
        <v>7846914.6399999997</v>
      </c>
      <c r="Y117" s="55">
        <f t="shared" si="50"/>
        <v>23479443.280000001</v>
      </c>
      <c r="Z117" s="55">
        <f t="shared" si="50"/>
        <v>1063895.6599999999</v>
      </c>
      <c r="AA117" s="55">
        <f t="shared" si="50"/>
        <v>0</v>
      </c>
      <c r="AB117" s="55">
        <f t="shared" si="50"/>
        <v>1063895.6599999999</v>
      </c>
      <c r="AC117" s="49" t="s">
        <v>44</v>
      </c>
      <c r="AD117" s="94">
        <f>+D88</f>
        <v>25000000</v>
      </c>
      <c r="AE117" s="94">
        <f>+E88</f>
        <v>25000000</v>
      </c>
      <c r="AF117">
        <f>+F88</f>
        <v>0</v>
      </c>
      <c r="AG117" s="94">
        <f t="shared" si="43"/>
        <v>25000000</v>
      </c>
      <c r="AH117" t="e">
        <f>L84+L93+L104+L114+L120</f>
        <v>#VALUE!</v>
      </c>
      <c r="AI117" s="94" t="e">
        <f t="shared" si="44"/>
        <v>#VALUE!</v>
      </c>
      <c r="AJ117" s="94">
        <f>+O88</f>
        <v>0</v>
      </c>
      <c r="AK117" s="94">
        <f>+P88</f>
        <v>0</v>
      </c>
      <c r="AL117" s="94">
        <f t="shared" si="45"/>
        <v>0</v>
      </c>
      <c r="AM117" s="94">
        <f>+V88</f>
        <v>0</v>
      </c>
      <c r="AN117" s="94">
        <f t="shared" si="46"/>
        <v>0</v>
      </c>
      <c r="AO117" s="94">
        <f t="shared" si="47"/>
        <v>25000000</v>
      </c>
      <c r="AP117" s="94">
        <f t="shared" si="48"/>
        <v>0</v>
      </c>
      <c r="AQ117" s="94" t="e">
        <f t="shared" si="49"/>
        <v>#VALUE!</v>
      </c>
    </row>
    <row r="118" spans="1:43" x14ac:dyDescent="0.25">
      <c r="A118" s="46"/>
      <c r="B118" s="4"/>
      <c r="C118" s="4"/>
      <c r="D118" s="61" t="s">
        <v>40</v>
      </c>
      <c r="E118" s="61" t="s">
        <v>40</v>
      </c>
      <c r="F118" s="61" t="s">
        <v>40</v>
      </c>
      <c r="G118" s="61"/>
      <c r="H118" s="61" t="s">
        <v>40</v>
      </c>
      <c r="I118" s="61" t="s">
        <v>40</v>
      </c>
      <c r="J118" s="61" t="s">
        <v>40</v>
      </c>
      <c r="K118" s="61" t="s">
        <v>40</v>
      </c>
      <c r="L118" s="61" t="s">
        <v>40</v>
      </c>
      <c r="M118" s="61"/>
      <c r="N118" s="61" t="s">
        <v>40</v>
      </c>
      <c r="O118" s="61" t="s">
        <v>40</v>
      </c>
      <c r="P118" s="61" t="s">
        <v>40</v>
      </c>
      <c r="Q118" s="61"/>
      <c r="R118" s="61" t="s">
        <v>40</v>
      </c>
      <c r="S118" s="61" t="s">
        <v>40</v>
      </c>
      <c r="T118" s="61" t="s">
        <v>40</v>
      </c>
      <c r="U118" s="61" t="s">
        <v>40</v>
      </c>
      <c r="V118" s="61" t="s">
        <v>40</v>
      </c>
      <c r="W118" s="61"/>
      <c r="X118" s="61" t="s">
        <v>40</v>
      </c>
      <c r="Y118" s="61" t="s">
        <v>40</v>
      </c>
      <c r="Z118" s="61" t="s">
        <v>40</v>
      </c>
      <c r="AA118" s="61" t="s">
        <v>40</v>
      </c>
      <c r="AB118" s="65" t="s">
        <v>165</v>
      </c>
      <c r="AC118" s="49" t="s">
        <v>261</v>
      </c>
      <c r="AD118" s="94">
        <f>+D81</f>
        <v>5000000</v>
      </c>
      <c r="AE118" s="94">
        <f>+E81</f>
        <v>5000000</v>
      </c>
      <c r="AF118">
        <f>+F81</f>
        <v>0</v>
      </c>
      <c r="AG118" s="94">
        <f t="shared" si="43"/>
        <v>5000000</v>
      </c>
      <c r="AH118" t="e">
        <f>L85+L94+L106+L115+L121</f>
        <v>#VALUE!</v>
      </c>
      <c r="AI118" s="94" t="e">
        <f t="shared" si="44"/>
        <v>#VALUE!</v>
      </c>
      <c r="AJ118" s="94">
        <f>+O81</f>
        <v>0</v>
      </c>
      <c r="AK118" s="94">
        <f>+P81</f>
        <v>0</v>
      </c>
      <c r="AL118" s="94">
        <f t="shared" si="45"/>
        <v>0</v>
      </c>
      <c r="AM118" s="94">
        <f>+V81</f>
        <v>0</v>
      </c>
      <c r="AN118" s="94">
        <f t="shared" si="46"/>
        <v>0</v>
      </c>
      <c r="AO118" s="94">
        <f t="shared" si="47"/>
        <v>5000000</v>
      </c>
      <c r="AP118" s="94">
        <f t="shared" si="48"/>
        <v>0</v>
      </c>
      <c r="AQ118" s="94" t="e">
        <f t="shared" si="49"/>
        <v>#VALUE!</v>
      </c>
    </row>
    <row r="119" spans="1:43" x14ac:dyDescent="0.25">
      <c r="A119" s="46"/>
      <c r="B119" s="21" t="s">
        <v>3</v>
      </c>
      <c r="C119" s="21" t="s">
        <v>240</v>
      </c>
      <c r="D119" s="55">
        <f>D83+D93+D101+D108+D117</f>
        <v>119814141.23999999</v>
      </c>
      <c r="E119" s="55">
        <f>E83+E93+E101+E108+E117</f>
        <v>55991772.310000002</v>
      </c>
      <c r="F119" s="55">
        <f>F83+F93+F101+F108+F117</f>
        <v>2500000</v>
      </c>
      <c r="G119" s="55"/>
      <c r="H119" s="55">
        <f>H83+H93+H101+H108+H117</f>
        <v>58491772.310000002</v>
      </c>
      <c r="I119" s="55">
        <f>I83+I93+I101+I108+I117</f>
        <v>0</v>
      </c>
      <c r="J119" s="55">
        <f>J83+J93+J101+J108+J117</f>
        <v>0</v>
      </c>
      <c r="K119" s="55">
        <f>K83+K93+K101+K108+K117</f>
        <v>0</v>
      </c>
      <c r="L119" s="55">
        <f>L83+L93+L101+L108+L117</f>
        <v>0</v>
      </c>
      <c r="M119" s="55"/>
      <c r="N119" s="55">
        <f>N83+N93+N101+N108+N117</f>
        <v>58491772.310000002</v>
      </c>
      <c r="O119" s="55">
        <f>O83+O93+O101+O108+O117</f>
        <v>47229351.079999998</v>
      </c>
      <c r="P119" s="55">
        <f>P83+P93+P101+P108+P117</f>
        <v>0</v>
      </c>
      <c r="Q119" s="55"/>
      <c r="R119" s="55">
        <f>R83+R93+R101+R108+R117</f>
        <v>47229351.079999998</v>
      </c>
      <c r="S119" s="55">
        <f>S83+S93+S101+S108+S117</f>
        <v>0</v>
      </c>
      <c r="T119" s="55">
        <f>T83+T93+T101+T108+T117</f>
        <v>0</v>
      </c>
      <c r="U119" s="55">
        <f>U83+U93+U101+U108+U117</f>
        <v>0</v>
      </c>
      <c r="V119" s="55">
        <f>V83+V93+V101+V108+V117</f>
        <v>0</v>
      </c>
      <c r="W119" s="55"/>
      <c r="X119" s="55">
        <f>X83+X93+X101+X108+X117</f>
        <v>47229351.079999998</v>
      </c>
      <c r="Y119" s="55">
        <f>Y83+Y93+Y101+Y108+Y117</f>
        <v>105721123.39</v>
      </c>
      <c r="Z119" s="55">
        <f>Z83+Z93+Z101+Z108+Z117</f>
        <v>14093017.849999998</v>
      </c>
      <c r="AA119" s="55">
        <f>AA83+AA93+AA101+AA108+AA117</f>
        <v>82241680.109999999</v>
      </c>
      <c r="AB119" s="55">
        <f>AB83+AB93+AB101+AB108+AB117</f>
        <v>14093017.849999998</v>
      </c>
      <c r="AD119" s="4">
        <f t="shared" ref="AD119:AQ119" si="51">SUM(AD107:AD118)</f>
        <v>119814141.23999999</v>
      </c>
      <c r="AE119" s="4">
        <f t="shared" si="51"/>
        <v>55991772.310000002</v>
      </c>
      <c r="AF119" s="4">
        <f t="shared" si="51"/>
        <v>2500000</v>
      </c>
      <c r="AG119" s="4">
        <f t="shared" si="51"/>
        <v>58491772.310000002</v>
      </c>
      <c r="AH119" s="4" t="e">
        <f t="shared" si="51"/>
        <v>#VALUE!</v>
      </c>
      <c r="AI119" s="4" t="e">
        <f t="shared" si="51"/>
        <v>#VALUE!</v>
      </c>
      <c r="AJ119" s="95">
        <f t="shared" si="51"/>
        <v>47229351.079999998</v>
      </c>
      <c r="AK119" s="4">
        <f t="shared" si="51"/>
        <v>0</v>
      </c>
      <c r="AL119" s="4">
        <f t="shared" si="51"/>
        <v>47229351.079999998</v>
      </c>
      <c r="AM119" s="4">
        <f t="shared" si="51"/>
        <v>0</v>
      </c>
      <c r="AN119" s="4">
        <f t="shared" si="51"/>
        <v>47229351.079999998</v>
      </c>
      <c r="AO119" s="4">
        <f t="shared" si="51"/>
        <v>105721123.38999999</v>
      </c>
      <c r="AP119" s="95">
        <f t="shared" si="51"/>
        <v>14093017.85</v>
      </c>
      <c r="AQ119" s="95" t="e">
        <f t="shared" si="51"/>
        <v>#VALUE!</v>
      </c>
    </row>
    <row r="120" spans="1:43" x14ac:dyDescent="0.25">
      <c r="A120" s="46"/>
      <c r="B120" s="4"/>
      <c r="C120" s="4"/>
      <c r="D120" s="61" t="s">
        <v>50</v>
      </c>
      <c r="E120" s="61" t="s">
        <v>50</v>
      </c>
      <c r="F120" s="61" t="s">
        <v>50</v>
      </c>
      <c r="G120" s="61"/>
      <c r="H120" s="61" t="s">
        <v>50</v>
      </c>
      <c r="I120" s="61" t="s">
        <v>50</v>
      </c>
      <c r="J120" s="61" t="s">
        <v>50</v>
      </c>
      <c r="K120" s="61" t="s">
        <v>50</v>
      </c>
      <c r="L120" s="61" t="s">
        <v>50</v>
      </c>
      <c r="M120" s="61"/>
      <c r="N120" s="61" t="s">
        <v>50</v>
      </c>
      <c r="O120" s="61" t="s">
        <v>50</v>
      </c>
      <c r="P120" s="61" t="s">
        <v>50</v>
      </c>
      <c r="Q120" s="61"/>
      <c r="R120" s="61" t="s">
        <v>50</v>
      </c>
      <c r="S120" s="61" t="s">
        <v>50</v>
      </c>
      <c r="T120" s="61" t="s">
        <v>50</v>
      </c>
      <c r="U120" s="61" t="s">
        <v>50</v>
      </c>
      <c r="V120" s="61" t="s">
        <v>50</v>
      </c>
      <c r="W120" s="61"/>
      <c r="X120" s="61" t="s">
        <v>50</v>
      </c>
      <c r="Y120" s="61" t="s">
        <v>50</v>
      </c>
      <c r="Z120" s="61" t="s">
        <v>50</v>
      </c>
      <c r="AA120" s="61" t="s">
        <v>50</v>
      </c>
      <c r="AB120" s="61" t="s">
        <v>50</v>
      </c>
    </row>
    <row r="121" spans="1:43" x14ac:dyDescent="0.25">
      <c r="A121" s="46"/>
      <c r="B121" s="4"/>
      <c r="C121" s="20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P121" s="94"/>
      <c r="AQ121" s="94"/>
    </row>
    <row r="122" spans="1:43" ht="19.5" x14ac:dyDescent="0.35">
      <c r="A122" s="46"/>
      <c r="B122" s="48" t="s">
        <v>168</v>
      </c>
      <c r="C122" s="4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43" x14ac:dyDescent="0.25">
      <c r="A123" s="46"/>
      <c r="B123" s="16"/>
      <c r="C123" s="14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55"/>
      <c r="V123" s="55"/>
      <c r="W123" s="55"/>
      <c r="X123" s="55"/>
      <c r="Y123" s="55"/>
      <c r="Z123" s="55"/>
      <c r="AA123" s="55"/>
      <c r="AB123" s="55"/>
    </row>
    <row r="124" spans="1:43" x14ac:dyDescent="0.25">
      <c r="A124" s="46">
        <v>12</v>
      </c>
      <c r="B124" s="23" t="s">
        <v>169</v>
      </c>
      <c r="C124" s="2" t="s">
        <v>35</v>
      </c>
      <c r="D124" s="67">
        <f>59868454.65-75412.23</f>
        <v>59793042.420000002</v>
      </c>
      <c r="E124" s="68"/>
      <c r="F124" s="68"/>
      <c r="G124" s="68"/>
      <c r="H124" s="67">
        <f t="shared" ref="H124:H129" si="52">+E124+F124</f>
        <v>0</v>
      </c>
      <c r="I124" s="68"/>
      <c r="J124" s="67"/>
      <c r="K124" s="68"/>
      <c r="L124" s="68"/>
      <c r="M124" s="68"/>
      <c r="N124" s="68">
        <f t="shared" ref="N124:N129" si="53">+H124+L124</f>
        <v>0</v>
      </c>
      <c r="O124" s="68"/>
      <c r="P124" s="67"/>
      <c r="Q124" s="67"/>
      <c r="R124" s="68">
        <f>+O124+P124</f>
        <v>0</v>
      </c>
      <c r="S124" s="67"/>
      <c r="T124" s="67"/>
      <c r="U124" s="67"/>
      <c r="V124" s="68"/>
      <c r="W124" s="68"/>
      <c r="X124" s="68">
        <f t="shared" ref="X124:X129" si="54">+R124+V124</f>
        <v>0</v>
      </c>
      <c r="Y124" s="69">
        <f t="shared" ref="Y124:Y129" si="55">R124+H124</f>
        <v>0</v>
      </c>
      <c r="Z124" s="68">
        <f t="shared" ref="Z124:Z129" si="56">+D124-Y124</f>
        <v>59793042.420000002</v>
      </c>
      <c r="AA124" s="68"/>
      <c r="AB124" s="58">
        <f t="shared" ref="AB124:AB129" si="57">+D124-N124-X124</f>
        <v>59793042.420000002</v>
      </c>
    </row>
    <row r="125" spans="1:43" x14ac:dyDescent="0.25">
      <c r="A125" s="46"/>
      <c r="B125" s="32"/>
      <c r="C125" s="26" t="s">
        <v>36</v>
      </c>
      <c r="D125" s="67">
        <v>1838599</v>
      </c>
      <c r="E125" s="67">
        <v>1838599</v>
      </c>
      <c r="F125" s="67"/>
      <c r="G125" s="67"/>
      <c r="H125" s="67">
        <f t="shared" si="52"/>
        <v>1838599</v>
      </c>
      <c r="I125" s="68"/>
      <c r="J125" s="67"/>
      <c r="K125" s="68"/>
      <c r="L125" s="68"/>
      <c r="M125" s="68"/>
      <c r="N125" s="68">
        <f t="shared" si="53"/>
        <v>1838599</v>
      </c>
      <c r="O125" s="68"/>
      <c r="P125" s="67"/>
      <c r="Q125" s="67"/>
      <c r="R125" s="68">
        <f>+O125+P125</f>
        <v>0</v>
      </c>
      <c r="S125" s="67"/>
      <c r="T125" s="67"/>
      <c r="U125" s="67"/>
      <c r="V125" s="68"/>
      <c r="W125" s="68"/>
      <c r="X125" s="68">
        <f t="shared" si="54"/>
        <v>0</v>
      </c>
      <c r="Y125" s="69">
        <f t="shared" si="55"/>
        <v>1838599</v>
      </c>
      <c r="Z125" s="68">
        <f t="shared" si="56"/>
        <v>0</v>
      </c>
      <c r="AA125" s="68"/>
      <c r="AB125" s="58">
        <f t="shared" si="57"/>
        <v>0</v>
      </c>
    </row>
    <row r="126" spans="1:43" x14ac:dyDescent="0.25">
      <c r="A126" s="4"/>
      <c r="B126" s="4"/>
      <c r="C126" s="4" t="s">
        <v>298</v>
      </c>
      <c r="D126" s="55">
        <v>5389000</v>
      </c>
      <c r="E126" s="55">
        <v>5389000</v>
      </c>
      <c r="F126" s="55"/>
      <c r="G126" s="55"/>
      <c r="H126" s="55">
        <f t="shared" si="52"/>
        <v>5389000</v>
      </c>
      <c r="I126" s="55"/>
      <c r="J126" s="55"/>
      <c r="K126" s="55"/>
      <c r="L126" s="55"/>
      <c r="M126" s="55"/>
      <c r="N126" s="55">
        <f t="shared" si="53"/>
        <v>5389000</v>
      </c>
      <c r="O126" s="55"/>
      <c r="P126" s="55"/>
      <c r="Q126" s="55"/>
      <c r="R126" s="55">
        <f>+O126+P126</f>
        <v>0</v>
      </c>
      <c r="S126" s="55"/>
      <c r="T126" s="55"/>
      <c r="U126" s="55"/>
      <c r="V126" s="55"/>
      <c r="W126" s="55"/>
      <c r="X126" s="55">
        <f t="shared" si="54"/>
        <v>0</v>
      </c>
      <c r="Y126" s="69">
        <f t="shared" si="55"/>
        <v>5389000</v>
      </c>
      <c r="Z126" s="68">
        <f t="shared" si="56"/>
        <v>0</v>
      </c>
      <c r="AA126" s="68"/>
      <c r="AB126" s="58">
        <f t="shared" si="57"/>
        <v>0</v>
      </c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x14ac:dyDescent="0.25">
      <c r="A127" s="46"/>
      <c r="B127" s="32"/>
      <c r="C127" s="4" t="s">
        <v>53</v>
      </c>
      <c r="D127" s="67">
        <f>19179623.64+75412.23</f>
        <v>19255035.870000001</v>
      </c>
      <c r="E127" s="68"/>
      <c r="F127" s="68"/>
      <c r="G127" s="68"/>
      <c r="H127" s="67">
        <f t="shared" si="52"/>
        <v>0</v>
      </c>
      <c r="I127" s="68"/>
      <c r="J127" s="67"/>
      <c r="K127" s="67"/>
      <c r="L127" s="68"/>
      <c r="M127" s="68"/>
      <c r="N127" s="68">
        <f t="shared" si="53"/>
        <v>0</v>
      </c>
      <c r="O127" s="68">
        <v>19255035.870000001</v>
      </c>
      <c r="P127" s="67"/>
      <c r="Q127" s="67"/>
      <c r="R127" s="68">
        <f>+O127+P127</f>
        <v>19255035.870000001</v>
      </c>
      <c r="S127" s="67"/>
      <c r="T127" s="67"/>
      <c r="U127" s="67"/>
      <c r="V127" s="68"/>
      <c r="W127" s="68"/>
      <c r="X127" s="68">
        <f t="shared" si="54"/>
        <v>19255035.870000001</v>
      </c>
      <c r="Y127" s="69">
        <f t="shared" si="55"/>
        <v>19255035.870000001</v>
      </c>
      <c r="Z127" s="68">
        <f t="shared" si="56"/>
        <v>0</v>
      </c>
      <c r="AA127" s="68"/>
      <c r="AB127" s="58">
        <f t="shared" si="57"/>
        <v>0</v>
      </c>
    </row>
    <row r="128" spans="1:43" x14ac:dyDescent="0.25">
      <c r="A128" s="46"/>
      <c r="B128" s="32"/>
      <c r="C128" s="4" t="s">
        <v>38</v>
      </c>
      <c r="D128" s="67">
        <v>7373000</v>
      </c>
      <c r="E128" s="68"/>
      <c r="F128" s="68"/>
      <c r="G128" s="68"/>
      <c r="H128" s="67">
        <f t="shared" si="52"/>
        <v>0</v>
      </c>
      <c r="I128" s="68"/>
      <c r="J128" s="67"/>
      <c r="K128" s="68"/>
      <c r="L128" s="68"/>
      <c r="M128" s="68"/>
      <c r="N128" s="68">
        <f t="shared" si="53"/>
        <v>0</v>
      </c>
      <c r="O128" s="68"/>
      <c r="P128" s="67"/>
      <c r="Q128" s="67"/>
      <c r="R128" s="68">
        <f>+O128+P128</f>
        <v>0</v>
      </c>
      <c r="S128" s="67"/>
      <c r="T128" s="67"/>
      <c r="U128" s="67"/>
      <c r="V128" s="68"/>
      <c r="W128" s="68"/>
      <c r="X128" s="68">
        <f t="shared" si="54"/>
        <v>0</v>
      </c>
      <c r="Y128" s="69">
        <f t="shared" si="55"/>
        <v>0</v>
      </c>
      <c r="Z128" s="68">
        <f t="shared" si="56"/>
        <v>7373000</v>
      </c>
      <c r="AA128" s="68"/>
      <c r="AB128" s="58">
        <f t="shared" si="57"/>
        <v>7373000</v>
      </c>
    </row>
    <row r="129" spans="1:28" x14ac:dyDescent="0.25">
      <c r="A129" s="46"/>
      <c r="B129" s="32"/>
      <c r="C129" s="4" t="s">
        <v>54</v>
      </c>
      <c r="D129" s="67">
        <v>3251526.28</v>
      </c>
      <c r="E129" s="68"/>
      <c r="F129" s="68"/>
      <c r="G129" s="68"/>
      <c r="H129" s="67">
        <f t="shared" si="52"/>
        <v>0</v>
      </c>
      <c r="I129" s="68"/>
      <c r="J129" s="67"/>
      <c r="K129" s="68"/>
      <c r="L129" s="68"/>
      <c r="M129" s="68"/>
      <c r="N129" s="68">
        <f t="shared" si="53"/>
        <v>0</v>
      </c>
      <c r="O129" s="68"/>
      <c r="P129" s="67"/>
      <c r="Q129" s="67"/>
      <c r="R129" s="68">
        <f>+K129+P129</f>
        <v>0</v>
      </c>
      <c r="S129" s="67"/>
      <c r="T129" s="67"/>
      <c r="U129" s="67"/>
      <c r="V129" s="68"/>
      <c r="W129" s="68"/>
      <c r="X129" s="68">
        <f t="shared" si="54"/>
        <v>0</v>
      </c>
      <c r="Y129" s="69">
        <f t="shared" si="55"/>
        <v>0</v>
      </c>
      <c r="Z129" s="68">
        <f t="shared" si="56"/>
        <v>3251526.28</v>
      </c>
      <c r="AA129" s="68"/>
      <c r="AB129" s="58">
        <f t="shared" si="57"/>
        <v>3251526.28</v>
      </c>
    </row>
    <row r="130" spans="1:28" x14ac:dyDescent="0.25">
      <c r="A130" s="46"/>
      <c r="B130" s="26"/>
      <c r="D130" s="70" t="s">
        <v>40</v>
      </c>
      <c r="E130" s="70" t="s">
        <v>40</v>
      </c>
      <c r="F130" s="70" t="s">
        <v>40</v>
      </c>
      <c r="G130" s="70"/>
      <c r="H130" s="70" t="s">
        <v>40</v>
      </c>
      <c r="I130" s="70" t="s">
        <v>40</v>
      </c>
      <c r="J130" s="70" t="s">
        <v>40</v>
      </c>
      <c r="K130" s="70" t="s">
        <v>40</v>
      </c>
      <c r="L130" s="70" t="s">
        <v>40</v>
      </c>
      <c r="M130" s="70"/>
      <c r="N130" s="70" t="s">
        <v>40</v>
      </c>
      <c r="O130" s="70" t="s">
        <v>40</v>
      </c>
      <c r="P130" s="70" t="s">
        <v>40</v>
      </c>
      <c r="Q130" s="70"/>
      <c r="R130" s="70" t="s">
        <v>40</v>
      </c>
      <c r="S130" s="70" t="s">
        <v>40</v>
      </c>
      <c r="T130" s="70" t="s">
        <v>40</v>
      </c>
      <c r="U130" s="70" t="s">
        <v>40</v>
      </c>
      <c r="V130" s="70" t="s">
        <v>40</v>
      </c>
      <c r="W130" s="70"/>
      <c r="X130" s="70" t="s">
        <v>40</v>
      </c>
      <c r="Y130" s="70" t="s">
        <v>40</v>
      </c>
      <c r="Z130" s="70" t="s">
        <v>40</v>
      </c>
      <c r="AA130" s="70" t="s">
        <v>40</v>
      </c>
      <c r="AB130" s="71" t="s">
        <v>165</v>
      </c>
    </row>
    <row r="131" spans="1:28" x14ac:dyDescent="0.25">
      <c r="A131" s="46"/>
      <c r="B131" s="26"/>
      <c r="D131" s="67">
        <f>SUM(D124:D129)</f>
        <v>96900203.570000008</v>
      </c>
      <c r="E131" s="67">
        <f>SUM(E124:E129)</f>
        <v>7227599</v>
      </c>
      <c r="F131" s="67">
        <f>SUM(F124:F129)</f>
        <v>0</v>
      </c>
      <c r="G131" s="67"/>
      <c r="H131" s="67">
        <f>SUM(H124:H129)</f>
        <v>7227599</v>
      </c>
      <c r="I131" s="67">
        <f>SUM(I124:I129)</f>
        <v>0</v>
      </c>
      <c r="J131" s="67">
        <f>SUM(J124:J129)</f>
        <v>0</v>
      </c>
      <c r="K131" s="67">
        <f>SUM(K124:K129)</f>
        <v>0</v>
      </c>
      <c r="L131" s="67">
        <f>SUM(L124:L129)</f>
        <v>0</v>
      </c>
      <c r="M131" s="67"/>
      <c r="N131" s="67">
        <f>SUM(N124:N129)</f>
        <v>7227599</v>
      </c>
      <c r="O131" s="67">
        <f>SUM(O124:O129)</f>
        <v>19255035.870000001</v>
      </c>
      <c r="P131" s="67">
        <f>SUM(P124:P129)</f>
        <v>0</v>
      </c>
      <c r="Q131" s="67"/>
      <c r="R131" s="67">
        <f>SUM(R124:R129)</f>
        <v>19255035.870000001</v>
      </c>
      <c r="S131" s="67">
        <f>SUM(S124:S129)</f>
        <v>0</v>
      </c>
      <c r="T131" s="67">
        <f>SUM(T124:T129)</f>
        <v>0</v>
      </c>
      <c r="U131" s="67">
        <f>SUM(U124:U129)</f>
        <v>0</v>
      </c>
      <c r="V131" s="67">
        <f>SUM(V124:V129)</f>
        <v>0</v>
      </c>
      <c r="W131" s="67"/>
      <c r="X131" s="67">
        <f>SUM(X124:X129)</f>
        <v>19255035.870000001</v>
      </c>
      <c r="Y131" s="67">
        <f>SUM(Y124:Y129)</f>
        <v>26482634.870000001</v>
      </c>
      <c r="Z131" s="67">
        <f>SUM(Z124:Z129)</f>
        <v>70417568.700000003</v>
      </c>
      <c r="AA131" s="67">
        <f>SUM(AA124:AA129)</f>
        <v>0</v>
      </c>
      <c r="AB131" s="67">
        <f>SUM(AB124:AB129)</f>
        <v>70417568.700000003</v>
      </c>
    </row>
    <row r="132" spans="1:28" x14ac:dyDescent="0.25">
      <c r="A132" s="46"/>
      <c r="B132" s="26"/>
      <c r="D132" s="70" t="s">
        <v>40</v>
      </c>
      <c r="E132" s="70" t="s">
        <v>40</v>
      </c>
      <c r="F132" s="70" t="s">
        <v>40</v>
      </c>
      <c r="G132" s="70"/>
      <c r="H132" s="70" t="s">
        <v>40</v>
      </c>
      <c r="I132" s="70" t="s">
        <v>40</v>
      </c>
      <c r="J132" s="70" t="s">
        <v>40</v>
      </c>
      <c r="K132" s="70" t="s">
        <v>40</v>
      </c>
      <c r="L132" s="70" t="s">
        <v>40</v>
      </c>
      <c r="M132" s="70"/>
      <c r="N132" s="70" t="s">
        <v>40</v>
      </c>
      <c r="O132" s="70" t="s">
        <v>40</v>
      </c>
      <c r="P132" s="70" t="s">
        <v>40</v>
      </c>
      <c r="Q132" s="70"/>
      <c r="R132" s="70" t="s">
        <v>40</v>
      </c>
      <c r="S132" s="70" t="s">
        <v>40</v>
      </c>
      <c r="T132" s="70" t="s">
        <v>40</v>
      </c>
      <c r="U132" s="70" t="s">
        <v>40</v>
      </c>
      <c r="V132" s="70" t="s">
        <v>40</v>
      </c>
      <c r="W132" s="70"/>
      <c r="X132" s="70" t="s">
        <v>40</v>
      </c>
      <c r="Y132" s="70" t="s">
        <v>40</v>
      </c>
      <c r="Z132" s="70" t="s">
        <v>40</v>
      </c>
      <c r="AA132" s="70" t="s">
        <v>40</v>
      </c>
      <c r="AB132" s="71" t="s">
        <v>165</v>
      </c>
    </row>
    <row r="133" spans="1:28" x14ac:dyDescent="0.25">
      <c r="A133" s="46"/>
      <c r="B133" s="23"/>
      <c r="C133" s="15"/>
      <c r="D133" s="68"/>
      <c r="E133" s="68"/>
      <c r="F133" s="67"/>
      <c r="G133" s="67"/>
      <c r="H133" s="67"/>
      <c r="I133" s="67"/>
      <c r="J133" s="68"/>
      <c r="K133" s="68"/>
      <c r="L133" s="67"/>
      <c r="M133" s="67"/>
      <c r="N133" s="68"/>
      <c r="O133" s="67"/>
      <c r="P133" s="67"/>
      <c r="Q133" s="67"/>
      <c r="R133" s="68"/>
      <c r="S133" s="67"/>
      <c r="T133" s="67"/>
      <c r="U133" s="68"/>
      <c r="V133" s="68"/>
      <c r="W133" s="68"/>
      <c r="X133" s="68"/>
      <c r="Y133" s="69"/>
      <c r="Z133" s="68"/>
      <c r="AA133" s="68"/>
      <c r="AB133" s="69"/>
    </row>
    <row r="134" spans="1:28" x14ac:dyDescent="0.25">
      <c r="A134" s="46">
        <v>13</v>
      </c>
      <c r="B134" s="23" t="s">
        <v>170</v>
      </c>
      <c r="C134" s="2" t="s">
        <v>35</v>
      </c>
      <c r="D134" s="68">
        <f>30988637.82-5872397.06</f>
        <v>25116240.760000002</v>
      </c>
      <c r="E134" s="68"/>
      <c r="F134" s="67"/>
      <c r="G134" s="67"/>
      <c r="H134" s="67">
        <f t="shared" ref="H134:H139" si="58">+E134+F134</f>
        <v>0</v>
      </c>
      <c r="I134" s="67"/>
      <c r="J134" s="67"/>
      <c r="K134" s="68"/>
      <c r="L134" s="67"/>
      <c r="M134" s="67"/>
      <c r="N134" s="68">
        <f>+H134+L134</f>
        <v>0</v>
      </c>
      <c r="O134" s="67"/>
      <c r="P134" s="67"/>
      <c r="Q134" s="67"/>
      <c r="R134" s="68">
        <f t="shared" ref="R134:R139" si="59">+O134+P134</f>
        <v>0</v>
      </c>
      <c r="S134" s="67"/>
      <c r="T134" s="67"/>
      <c r="U134" s="68"/>
      <c r="V134" s="68"/>
      <c r="W134" s="68"/>
      <c r="X134" s="68">
        <f t="shared" ref="X134:X139" si="60">+R134+V134</f>
        <v>0</v>
      </c>
      <c r="Y134" s="69">
        <f t="shared" ref="Y134:Y139" si="61">+R134+H134</f>
        <v>0</v>
      </c>
      <c r="Z134" s="68">
        <f t="shared" ref="Z134:Z139" si="62">+D134-Y134</f>
        <v>25116240.760000002</v>
      </c>
      <c r="AA134" s="68"/>
      <c r="AB134" s="69">
        <f t="shared" ref="AB134:AB139" si="63">+D134-N134-X134</f>
        <v>25116240.760000002</v>
      </c>
    </row>
    <row r="135" spans="1:28" x14ac:dyDescent="0.25">
      <c r="C135" s="4" t="s">
        <v>317</v>
      </c>
      <c r="D135" s="55">
        <v>5872397.0599999996</v>
      </c>
      <c r="E135" s="55">
        <v>5872397.0559999999</v>
      </c>
      <c r="F135" s="55"/>
      <c r="G135" s="55"/>
      <c r="H135" s="55">
        <f t="shared" si="58"/>
        <v>5872397.0559999999</v>
      </c>
      <c r="I135" s="55"/>
      <c r="J135" s="55"/>
      <c r="K135" s="55"/>
      <c r="L135" s="55"/>
      <c r="M135" s="55"/>
      <c r="N135" s="55">
        <f>+H135+L135</f>
        <v>5872397.0559999999</v>
      </c>
      <c r="O135" s="55"/>
      <c r="P135" s="55"/>
      <c r="Q135" s="55"/>
      <c r="R135" s="55">
        <f t="shared" si="59"/>
        <v>0</v>
      </c>
      <c r="S135" s="55"/>
      <c r="T135" s="55"/>
      <c r="U135" s="55"/>
      <c r="V135" s="55"/>
      <c r="W135" s="55"/>
      <c r="X135" s="55">
        <f t="shared" si="60"/>
        <v>0</v>
      </c>
      <c r="Y135" s="69">
        <f t="shared" si="61"/>
        <v>5872397.0559999999</v>
      </c>
      <c r="Z135" s="68">
        <f t="shared" si="62"/>
        <v>3.9999997243285179E-3</v>
      </c>
      <c r="AA135" s="68"/>
      <c r="AB135" s="69">
        <f t="shared" si="63"/>
        <v>3.9999997243285179E-3</v>
      </c>
    </row>
    <row r="136" spans="1:28" x14ac:dyDescent="0.25">
      <c r="A136" s="46"/>
      <c r="B136" s="23"/>
      <c r="C136" s="15" t="s">
        <v>53</v>
      </c>
      <c r="D136" s="68">
        <v>5653172.1500000004</v>
      </c>
      <c r="E136" s="68"/>
      <c r="F136" s="67"/>
      <c r="G136" s="67"/>
      <c r="H136" s="67">
        <f t="shared" si="58"/>
        <v>0</v>
      </c>
      <c r="I136" s="67"/>
      <c r="J136" s="68"/>
      <c r="K136" s="68"/>
      <c r="L136" s="67"/>
      <c r="M136" s="67"/>
      <c r="N136" s="68">
        <v>0</v>
      </c>
      <c r="O136" s="67">
        <v>645730.74</v>
      </c>
      <c r="P136" s="67"/>
      <c r="Q136" s="67"/>
      <c r="R136" s="68">
        <f t="shared" si="59"/>
        <v>645730.74</v>
      </c>
      <c r="S136" s="67"/>
      <c r="T136" s="67"/>
      <c r="U136" s="68"/>
      <c r="V136" s="68"/>
      <c r="W136" s="68"/>
      <c r="X136" s="68">
        <f t="shared" si="60"/>
        <v>645730.74</v>
      </c>
      <c r="Y136" s="69">
        <f t="shared" si="61"/>
        <v>645730.74</v>
      </c>
      <c r="Z136" s="68">
        <f t="shared" si="62"/>
        <v>5007441.41</v>
      </c>
      <c r="AA136" s="68"/>
      <c r="AB136" s="69">
        <f t="shared" si="63"/>
        <v>5007441.41</v>
      </c>
    </row>
    <row r="137" spans="1:28" x14ac:dyDescent="0.25">
      <c r="A137" s="46"/>
      <c r="B137" s="23"/>
      <c r="C137" s="15" t="s">
        <v>38</v>
      </c>
      <c r="D137" s="68">
        <v>6848000</v>
      </c>
      <c r="E137" s="68"/>
      <c r="F137" s="67"/>
      <c r="G137" s="67"/>
      <c r="H137" s="67">
        <f t="shared" si="58"/>
        <v>0</v>
      </c>
      <c r="I137" s="67"/>
      <c r="J137" s="68"/>
      <c r="K137" s="68"/>
      <c r="L137" s="67"/>
      <c r="M137" s="67"/>
      <c r="N137" s="68">
        <f>+H137+L137</f>
        <v>0</v>
      </c>
      <c r="O137" s="67"/>
      <c r="P137" s="67"/>
      <c r="Q137" s="67"/>
      <c r="R137" s="68">
        <f t="shared" si="59"/>
        <v>0</v>
      </c>
      <c r="S137" s="67"/>
      <c r="T137" s="67"/>
      <c r="U137" s="68"/>
      <c r="V137" s="68"/>
      <c r="W137" s="68"/>
      <c r="X137" s="68">
        <f t="shared" si="60"/>
        <v>0</v>
      </c>
      <c r="Y137" s="69">
        <f t="shared" si="61"/>
        <v>0</v>
      </c>
      <c r="Z137" s="68">
        <f t="shared" si="62"/>
        <v>6848000</v>
      </c>
      <c r="AA137" s="68"/>
      <c r="AB137" s="69">
        <f t="shared" si="63"/>
        <v>6848000</v>
      </c>
    </row>
    <row r="138" spans="1:28" x14ac:dyDescent="0.25">
      <c r="A138" s="46"/>
      <c r="B138" s="23"/>
      <c r="C138" s="15" t="s">
        <v>54</v>
      </c>
      <c r="D138" s="68">
        <v>28036.2</v>
      </c>
      <c r="E138" s="68"/>
      <c r="F138" s="67"/>
      <c r="G138" s="67"/>
      <c r="H138" s="67">
        <f t="shared" si="58"/>
        <v>0</v>
      </c>
      <c r="I138" s="67"/>
      <c r="J138" s="68"/>
      <c r="K138" s="68"/>
      <c r="L138" s="67"/>
      <c r="M138" s="67"/>
      <c r="N138" s="68">
        <f>+H138+L138</f>
        <v>0</v>
      </c>
      <c r="O138" s="67"/>
      <c r="P138" s="67"/>
      <c r="Q138" s="67"/>
      <c r="R138" s="68">
        <f t="shared" si="59"/>
        <v>0</v>
      </c>
      <c r="S138" s="67"/>
      <c r="T138" s="67"/>
      <c r="U138" s="68"/>
      <c r="V138" s="68"/>
      <c r="W138" s="68"/>
      <c r="X138" s="68">
        <f t="shared" si="60"/>
        <v>0</v>
      </c>
      <c r="Y138" s="69">
        <f t="shared" si="61"/>
        <v>0</v>
      </c>
      <c r="Z138" s="68">
        <f t="shared" si="62"/>
        <v>28036.2</v>
      </c>
      <c r="AA138" s="68"/>
      <c r="AB138" s="69">
        <f t="shared" si="63"/>
        <v>28036.2</v>
      </c>
    </row>
    <row r="139" spans="1:28" x14ac:dyDescent="0.25">
      <c r="A139" s="46"/>
      <c r="B139" s="34"/>
      <c r="C139" s="16" t="s">
        <v>167</v>
      </c>
      <c r="D139" s="72">
        <v>3500000</v>
      </c>
      <c r="E139" s="70"/>
      <c r="F139" s="70"/>
      <c r="G139" s="70"/>
      <c r="H139" s="67">
        <f t="shared" si="58"/>
        <v>0</v>
      </c>
      <c r="I139" s="70"/>
      <c r="J139" s="70"/>
      <c r="K139" s="70"/>
      <c r="L139" s="70"/>
      <c r="M139" s="70"/>
      <c r="N139" s="68">
        <f>+H139+L139</f>
        <v>0</v>
      </c>
      <c r="O139" s="70"/>
      <c r="P139" s="70"/>
      <c r="Q139" s="70"/>
      <c r="R139" s="68">
        <f t="shared" si="59"/>
        <v>0</v>
      </c>
      <c r="S139" s="70"/>
      <c r="T139" s="70"/>
      <c r="U139" s="68"/>
      <c r="V139" s="68"/>
      <c r="W139" s="68"/>
      <c r="X139" s="68">
        <f t="shared" si="60"/>
        <v>0</v>
      </c>
      <c r="Y139" s="69">
        <f t="shared" si="61"/>
        <v>0</v>
      </c>
      <c r="Z139" s="68">
        <f t="shared" si="62"/>
        <v>3500000</v>
      </c>
      <c r="AA139" s="68"/>
      <c r="AB139" s="69">
        <f t="shared" si="63"/>
        <v>3500000</v>
      </c>
    </row>
    <row r="140" spans="1:28" x14ac:dyDescent="0.25">
      <c r="A140" s="46"/>
      <c r="B140" s="34"/>
      <c r="C140" s="15"/>
      <c r="D140" s="70" t="s">
        <v>40</v>
      </c>
      <c r="E140" s="70" t="s">
        <v>40</v>
      </c>
      <c r="F140" s="70" t="s">
        <v>40</v>
      </c>
      <c r="G140" s="70"/>
      <c r="H140" s="70" t="s">
        <v>40</v>
      </c>
      <c r="I140" s="70" t="s">
        <v>40</v>
      </c>
      <c r="J140" s="70" t="s">
        <v>40</v>
      </c>
      <c r="K140" s="70" t="s">
        <v>40</v>
      </c>
      <c r="L140" s="70" t="s">
        <v>40</v>
      </c>
      <c r="M140" s="70"/>
      <c r="N140" s="70" t="s">
        <v>40</v>
      </c>
      <c r="O140" s="70" t="s">
        <v>40</v>
      </c>
      <c r="P140" s="70" t="s">
        <v>40</v>
      </c>
      <c r="Q140" s="70"/>
      <c r="R140" s="70" t="s">
        <v>40</v>
      </c>
      <c r="S140" s="70" t="s">
        <v>40</v>
      </c>
      <c r="T140" s="70" t="s">
        <v>40</v>
      </c>
      <c r="U140" s="70" t="s">
        <v>40</v>
      </c>
      <c r="V140" s="70" t="s">
        <v>40</v>
      </c>
      <c r="W140" s="70"/>
      <c r="X140" s="70" t="s">
        <v>40</v>
      </c>
      <c r="Y140" s="70" t="s">
        <v>40</v>
      </c>
      <c r="Z140" s="70" t="s">
        <v>40</v>
      </c>
      <c r="AA140" s="70" t="s">
        <v>40</v>
      </c>
      <c r="AB140" s="71" t="s">
        <v>165</v>
      </c>
    </row>
    <row r="141" spans="1:28" x14ac:dyDescent="0.25">
      <c r="A141" s="46"/>
      <c r="B141" s="34"/>
      <c r="C141" s="13"/>
      <c r="D141" s="72">
        <f>SUM(D134:D139)</f>
        <v>47017846.170000002</v>
      </c>
      <c r="E141" s="72">
        <f>SUM(E134:E139)</f>
        <v>5872397.0559999999</v>
      </c>
      <c r="F141" s="72">
        <f>SUM(F134:F139)</f>
        <v>0</v>
      </c>
      <c r="G141" s="72"/>
      <c r="H141" s="72">
        <f>SUM(H134:H139)</f>
        <v>5872397.0559999999</v>
      </c>
      <c r="I141" s="72">
        <f>SUM(I134:I139)</f>
        <v>0</v>
      </c>
      <c r="J141" s="72">
        <f>SUM(J134:J139)</f>
        <v>0</v>
      </c>
      <c r="K141" s="72">
        <f>SUM(K134:K139)</f>
        <v>0</v>
      </c>
      <c r="L141" s="72">
        <f>SUM(L134:L139)</f>
        <v>0</v>
      </c>
      <c r="M141" s="72"/>
      <c r="N141" s="72">
        <f>SUM(N134:N139)</f>
        <v>5872397.0559999999</v>
      </c>
      <c r="O141" s="72">
        <f>SUM(O134:O139)</f>
        <v>645730.74</v>
      </c>
      <c r="P141" s="72">
        <f>SUM(P134:P139)</f>
        <v>0</v>
      </c>
      <c r="Q141" s="72"/>
      <c r="R141" s="72">
        <f>SUM(R134:R139)</f>
        <v>645730.74</v>
      </c>
      <c r="S141" s="72">
        <f>SUM(S134:S139)</f>
        <v>0</v>
      </c>
      <c r="T141" s="72">
        <f>SUM(T134:T139)</f>
        <v>0</v>
      </c>
      <c r="U141" s="72">
        <f>SUM(U134:U139)</f>
        <v>0</v>
      </c>
      <c r="V141" s="72">
        <f>SUM(V134:V139)</f>
        <v>0</v>
      </c>
      <c r="W141" s="72"/>
      <c r="X141" s="72">
        <f>SUM(X134:X139)</f>
        <v>645730.74</v>
      </c>
      <c r="Y141" s="72">
        <f>SUM(Y134:Y139)</f>
        <v>6518127.7960000001</v>
      </c>
      <c r="Z141" s="72">
        <f>SUM(Z134:Z139)</f>
        <v>40499718.374000005</v>
      </c>
      <c r="AA141" s="72">
        <f>SUM(AA134:AA139)</f>
        <v>0</v>
      </c>
      <c r="AB141" s="72">
        <f>SUM(AB134:AB139)</f>
        <v>40499718.374000005</v>
      </c>
    </row>
    <row r="142" spans="1:28" x14ac:dyDescent="0.25">
      <c r="A142" s="46"/>
      <c r="B142" s="4" t="s">
        <v>308</v>
      </c>
      <c r="C142" s="15"/>
      <c r="D142" s="70" t="s">
        <v>40</v>
      </c>
      <c r="E142" s="70" t="s">
        <v>40</v>
      </c>
      <c r="F142" s="70" t="s">
        <v>40</v>
      </c>
      <c r="G142" s="70"/>
      <c r="H142" s="70" t="s">
        <v>40</v>
      </c>
      <c r="I142" s="70" t="s">
        <v>40</v>
      </c>
      <c r="J142" s="70" t="s">
        <v>40</v>
      </c>
      <c r="K142" s="70" t="s">
        <v>40</v>
      </c>
      <c r="L142" s="70" t="s">
        <v>40</v>
      </c>
      <c r="M142" s="70"/>
      <c r="N142" s="70" t="s">
        <v>40</v>
      </c>
      <c r="O142" s="70" t="s">
        <v>40</v>
      </c>
      <c r="P142" s="70" t="s">
        <v>40</v>
      </c>
      <c r="Q142" s="70"/>
      <c r="R142" s="70" t="s">
        <v>40</v>
      </c>
      <c r="S142" s="70" t="s">
        <v>40</v>
      </c>
      <c r="T142" s="70" t="s">
        <v>40</v>
      </c>
      <c r="U142" s="70" t="s">
        <v>40</v>
      </c>
      <c r="V142" s="70" t="s">
        <v>40</v>
      </c>
      <c r="W142" s="70"/>
      <c r="X142" s="70" t="s">
        <v>40</v>
      </c>
      <c r="Y142" s="70" t="s">
        <v>40</v>
      </c>
      <c r="Z142" s="70" t="s">
        <v>40</v>
      </c>
      <c r="AA142" s="70" t="s">
        <v>40</v>
      </c>
      <c r="AB142" s="71" t="s">
        <v>165</v>
      </c>
    </row>
    <row r="143" spans="1:28" ht="16.5" thickBot="1" x14ac:dyDescent="0.3">
      <c r="A143" s="46"/>
      <c r="B143" s="112" t="s">
        <v>292</v>
      </c>
      <c r="C143" s="15"/>
      <c r="D143" s="113">
        <f>843176.8+170392.91+426311.68</f>
        <v>1439881.3900000001</v>
      </c>
      <c r="E143" s="67"/>
      <c r="F143" s="69"/>
      <c r="G143" s="69"/>
      <c r="H143" s="128"/>
      <c r="I143" s="67"/>
      <c r="J143" s="68"/>
      <c r="K143" s="68"/>
      <c r="L143" s="67"/>
      <c r="M143" s="67"/>
      <c r="N143" s="68"/>
      <c r="O143" s="130">
        <f>843176.8+170392.91+426311.68</f>
        <v>1439881.3900000001</v>
      </c>
      <c r="P143" s="69"/>
      <c r="Q143" s="67"/>
      <c r="R143" s="131">
        <f t="shared" ref="R143:R151" si="64">+O143+P143</f>
        <v>1439881.3900000001</v>
      </c>
      <c r="S143" s="67"/>
      <c r="T143" s="67"/>
      <c r="U143" s="68"/>
      <c r="V143" s="68"/>
      <c r="W143" s="68"/>
      <c r="X143" s="68"/>
      <c r="Y143" s="69"/>
      <c r="Z143" s="68"/>
      <c r="AA143" s="68"/>
      <c r="AB143" s="69"/>
    </row>
    <row r="144" spans="1:28" ht="16.5" thickTop="1" x14ac:dyDescent="0.25">
      <c r="A144" s="46">
        <v>14</v>
      </c>
      <c r="B144" s="23" t="s">
        <v>171</v>
      </c>
      <c r="C144" s="2" t="s">
        <v>35</v>
      </c>
      <c r="D144" s="73">
        <f>37042568.15-16229527.56-11212250</f>
        <v>9600790.5899999961</v>
      </c>
      <c r="E144" s="68"/>
      <c r="F144" s="67"/>
      <c r="G144" s="67"/>
      <c r="H144" s="67">
        <f t="shared" ref="H144:H151" si="65">+E144+F144</f>
        <v>0</v>
      </c>
      <c r="I144" s="67"/>
      <c r="J144" s="67"/>
      <c r="K144" s="68"/>
      <c r="L144" s="67"/>
      <c r="M144" s="67"/>
      <c r="N144" s="68">
        <f t="shared" ref="N144:N151" si="66">+H144+L144</f>
        <v>0</v>
      </c>
      <c r="O144" s="67">
        <f>2554800.01+23045.21</f>
        <v>2577845.2199999997</v>
      </c>
      <c r="P144" s="67"/>
      <c r="Q144" s="67"/>
      <c r="R144" s="68">
        <f t="shared" si="64"/>
        <v>2577845.2199999997</v>
      </c>
      <c r="S144" s="67"/>
      <c r="T144" s="67"/>
      <c r="U144" s="68"/>
      <c r="V144" s="68">
        <v>411900</v>
      </c>
      <c r="W144" s="68"/>
      <c r="X144" s="68">
        <f t="shared" ref="X144:X151" si="67">+R144+V144</f>
        <v>2989745.2199999997</v>
      </c>
      <c r="Y144" s="69">
        <f t="shared" ref="Y144:Y151" si="68">+R144+H144</f>
        <v>2577845.2199999997</v>
      </c>
      <c r="Z144" s="68">
        <f t="shared" ref="Z144:Z151" si="69">+D144-Y144</f>
        <v>7022945.3699999964</v>
      </c>
      <c r="AA144" s="68"/>
      <c r="AB144" s="69">
        <f t="shared" ref="AB144:AB151" si="70">+D144-N144-X144</f>
        <v>6611045.3699999964</v>
      </c>
    </row>
    <row r="145" spans="1:28" x14ac:dyDescent="0.25">
      <c r="A145" s="46"/>
      <c r="B145" s="23"/>
      <c r="C145" s="15" t="s">
        <v>36</v>
      </c>
      <c r="D145" s="73">
        <v>1830380</v>
      </c>
      <c r="E145" s="68">
        <v>1830380</v>
      </c>
      <c r="F145" s="67"/>
      <c r="G145" s="67"/>
      <c r="H145" s="67">
        <f t="shared" si="65"/>
        <v>1830380</v>
      </c>
      <c r="I145" s="67"/>
      <c r="J145" s="67"/>
      <c r="K145" s="68"/>
      <c r="L145" s="67"/>
      <c r="M145" s="67"/>
      <c r="N145" s="68">
        <f t="shared" si="66"/>
        <v>1830380</v>
      </c>
      <c r="O145" s="67"/>
      <c r="P145" s="67"/>
      <c r="Q145" s="67"/>
      <c r="R145" s="68">
        <f t="shared" si="64"/>
        <v>0</v>
      </c>
      <c r="S145" s="67"/>
      <c r="T145" s="67"/>
      <c r="U145" s="68"/>
      <c r="V145" s="68"/>
      <c r="W145" s="68"/>
      <c r="X145" s="68">
        <f t="shared" si="67"/>
        <v>0</v>
      </c>
      <c r="Y145" s="69">
        <f t="shared" si="68"/>
        <v>1830380</v>
      </c>
      <c r="Z145" s="68">
        <f t="shared" si="69"/>
        <v>0</v>
      </c>
      <c r="AA145" s="68"/>
      <c r="AB145" s="69">
        <f t="shared" si="70"/>
        <v>0</v>
      </c>
    </row>
    <row r="146" spans="1:28" x14ac:dyDescent="0.25">
      <c r="A146" s="46"/>
      <c r="B146" s="23"/>
      <c r="C146" s="15" t="s">
        <v>53</v>
      </c>
      <c r="D146" s="73">
        <f>12873757.37+16229527.56</f>
        <v>29103284.93</v>
      </c>
      <c r="E146" s="68"/>
      <c r="F146" s="67"/>
      <c r="G146" s="67"/>
      <c r="H146" s="67">
        <f t="shared" si="65"/>
        <v>0</v>
      </c>
      <c r="I146" s="67"/>
      <c r="J146" s="68"/>
      <c r="K146" s="68"/>
      <c r="L146" s="67"/>
      <c r="M146" s="67"/>
      <c r="N146" s="68">
        <f t="shared" si="66"/>
        <v>0</v>
      </c>
      <c r="O146" s="67">
        <v>29103284.93</v>
      </c>
      <c r="P146" s="67"/>
      <c r="Q146" s="67"/>
      <c r="R146" s="68">
        <f t="shared" si="64"/>
        <v>29103284.93</v>
      </c>
      <c r="S146" s="67"/>
      <c r="T146" s="67"/>
      <c r="U146" s="68"/>
      <c r="V146" s="68"/>
      <c r="W146" s="68"/>
      <c r="X146" s="68">
        <f t="shared" si="67"/>
        <v>29103284.93</v>
      </c>
      <c r="Y146" s="69">
        <f t="shared" si="68"/>
        <v>29103284.93</v>
      </c>
      <c r="Z146" s="68">
        <f t="shared" si="69"/>
        <v>0</v>
      </c>
      <c r="AA146" s="68"/>
      <c r="AB146" s="69">
        <f t="shared" si="70"/>
        <v>0</v>
      </c>
    </row>
    <row r="147" spans="1:28" x14ac:dyDescent="0.25">
      <c r="A147" s="46"/>
      <c r="B147" s="34"/>
      <c r="C147" s="16" t="s">
        <v>54</v>
      </c>
      <c r="D147" s="72">
        <v>10700263.029999999</v>
      </c>
      <c r="E147" s="70"/>
      <c r="F147" s="70"/>
      <c r="G147" s="70"/>
      <c r="H147" s="67">
        <f t="shared" si="65"/>
        <v>0</v>
      </c>
      <c r="I147" s="70"/>
      <c r="J147" s="70"/>
      <c r="K147" s="70"/>
      <c r="L147" s="70"/>
      <c r="M147" s="70"/>
      <c r="N147" s="68">
        <f t="shared" si="66"/>
        <v>0</v>
      </c>
      <c r="O147" s="72">
        <v>10700263.029999999</v>
      </c>
      <c r="P147" s="70"/>
      <c r="Q147" s="70"/>
      <c r="R147" s="68">
        <f t="shared" si="64"/>
        <v>10700263.029999999</v>
      </c>
      <c r="S147" s="70"/>
      <c r="T147" s="70"/>
      <c r="U147" s="68"/>
      <c r="V147" s="68"/>
      <c r="W147" s="68"/>
      <c r="X147" s="68">
        <f t="shared" si="67"/>
        <v>10700263.029999999</v>
      </c>
      <c r="Y147" s="69">
        <f t="shared" si="68"/>
        <v>10700263.029999999</v>
      </c>
      <c r="Z147" s="68">
        <f t="shared" si="69"/>
        <v>0</v>
      </c>
      <c r="AA147" s="68"/>
      <c r="AB147" s="69">
        <f t="shared" si="70"/>
        <v>0</v>
      </c>
    </row>
    <row r="148" spans="1:28" x14ac:dyDescent="0.25">
      <c r="C148" s="15" t="s">
        <v>317</v>
      </c>
      <c r="D148" s="55">
        <v>11212250</v>
      </c>
      <c r="E148" s="55">
        <v>11212250</v>
      </c>
      <c r="F148" s="55"/>
      <c r="G148" s="55"/>
      <c r="H148" s="55">
        <f t="shared" si="65"/>
        <v>11212250</v>
      </c>
      <c r="I148" s="55"/>
      <c r="J148" s="55"/>
      <c r="K148" s="55"/>
      <c r="L148" s="55"/>
      <c r="M148" s="55"/>
      <c r="N148" s="55">
        <f t="shared" si="66"/>
        <v>11212250</v>
      </c>
      <c r="O148" s="55">
        <v>0</v>
      </c>
      <c r="P148" s="55"/>
      <c r="Q148" s="55"/>
      <c r="R148" s="55">
        <f t="shared" si="64"/>
        <v>0</v>
      </c>
      <c r="S148" s="55"/>
      <c r="T148" s="55"/>
      <c r="U148" s="55"/>
      <c r="V148" s="55"/>
      <c r="W148" s="55"/>
      <c r="X148" s="55">
        <f t="shared" si="67"/>
        <v>0</v>
      </c>
      <c r="Y148" s="55">
        <f t="shared" si="68"/>
        <v>11212250</v>
      </c>
      <c r="Z148" s="55">
        <f t="shared" si="69"/>
        <v>0</v>
      </c>
      <c r="AA148" s="55"/>
      <c r="AB148" s="55">
        <f t="shared" si="70"/>
        <v>0</v>
      </c>
    </row>
    <row r="149" spans="1:28" x14ac:dyDescent="0.25">
      <c r="C149" s="15" t="s">
        <v>290</v>
      </c>
      <c r="D149" s="55">
        <f>20000000+20000000</f>
        <v>40000000</v>
      </c>
      <c r="E149" s="55">
        <f>20000000+20000000</f>
        <v>40000000</v>
      </c>
      <c r="F149" s="55"/>
      <c r="G149" s="55"/>
      <c r="H149" s="55">
        <f t="shared" si="65"/>
        <v>40000000</v>
      </c>
      <c r="I149" s="55"/>
      <c r="J149" s="55"/>
      <c r="K149" s="55"/>
      <c r="L149" s="55"/>
      <c r="M149" s="55"/>
      <c r="N149" s="55">
        <f t="shared" si="66"/>
        <v>40000000</v>
      </c>
      <c r="O149" s="55">
        <v>0</v>
      </c>
      <c r="P149" s="55"/>
      <c r="Q149" s="55"/>
      <c r="R149" s="55">
        <f t="shared" si="64"/>
        <v>0</v>
      </c>
      <c r="S149" s="55"/>
      <c r="T149" s="55"/>
      <c r="U149" s="55"/>
      <c r="V149" s="55"/>
      <c r="W149" s="55"/>
      <c r="X149" s="55">
        <f t="shared" si="67"/>
        <v>0</v>
      </c>
      <c r="Y149" s="55">
        <f t="shared" si="68"/>
        <v>40000000</v>
      </c>
      <c r="Z149" s="55">
        <f t="shared" si="69"/>
        <v>0</v>
      </c>
      <c r="AA149" s="55"/>
      <c r="AB149" s="55">
        <f t="shared" si="70"/>
        <v>0</v>
      </c>
    </row>
    <row r="150" spans="1:28" x14ac:dyDescent="0.25">
      <c r="A150" s="46"/>
      <c r="B150" s="34"/>
      <c r="C150" s="16" t="s">
        <v>256</v>
      </c>
      <c r="D150" s="72">
        <v>5000000</v>
      </c>
      <c r="E150" s="72">
        <v>5000000</v>
      </c>
      <c r="F150" s="70"/>
      <c r="G150" s="70"/>
      <c r="H150" s="67">
        <f t="shared" si="65"/>
        <v>5000000</v>
      </c>
      <c r="I150" s="70"/>
      <c r="J150" s="70"/>
      <c r="K150" s="70"/>
      <c r="L150" s="70"/>
      <c r="M150" s="70"/>
      <c r="N150" s="68">
        <f t="shared" si="66"/>
        <v>5000000</v>
      </c>
      <c r="O150" s="72">
        <f>2554800.01-2554800.01</f>
        <v>0</v>
      </c>
      <c r="P150" s="72"/>
      <c r="Q150" s="70"/>
      <c r="R150" s="68">
        <f t="shared" si="64"/>
        <v>0</v>
      </c>
      <c r="S150" s="70"/>
      <c r="T150" s="70"/>
      <c r="U150" s="68"/>
      <c r="V150" s="68"/>
      <c r="W150" s="68"/>
      <c r="X150" s="68">
        <f t="shared" si="67"/>
        <v>0</v>
      </c>
      <c r="Y150" s="69">
        <f t="shared" si="68"/>
        <v>5000000</v>
      </c>
      <c r="Z150" s="68">
        <f t="shared" si="69"/>
        <v>0</v>
      </c>
      <c r="AA150" s="68"/>
      <c r="AB150" s="69">
        <f t="shared" si="70"/>
        <v>0</v>
      </c>
    </row>
    <row r="151" spans="1:28" x14ac:dyDescent="0.25">
      <c r="A151" s="46"/>
      <c r="B151" s="34"/>
      <c r="C151" s="15" t="s">
        <v>167</v>
      </c>
      <c r="D151" s="72">
        <v>1125000</v>
      </c>
      <c r="E151" s="67"/>
      <c r="F151" s="67"/>
      <c r="G151" s="67"/>
      <c r="H151" s="67">
        <f t="shared" si="65"/>
        <v>0</v>
      </c>
      <c r="I151" s="67"/>
      <c r="J151" s="67"/>
      <c r="K151" s="67"/>
      <c r="L151" s="67"/>
      <c r="M151" s="67"/>
      <c r="N151" s="68">
        <f t="shared" si="66"/>
        <v>0</v>
      </c>
      <c r="O151" s="67">
        <v>0</v>
      </c>
      <c r="P151" s="67"/>
      <c r="Q151" s="67"/>
      <c r="R151" s="68">
        <f t="shared" si="64"/>
        <v>0</v>
      </c>
      <c r="S151" s="67"/>
      <c r="T151" s="67"/>
      <c r="U151" s="68"/>
      <c r="V151" s="68"/>
      <c r="W151" s="68"/>
      <c r="X151" s="68">
        <f t="shared" si="67"/>
        <v>0</v>
      </c>
      <c r="Y151" s="69">
        <f t="shared" si="68"/>
        <v>0</v>
      </c>
      <c r="Z151" s="68">
        <f t="shared" si="69"/>
        <v>1125000</v>
      </c>
      <c r="AA151" s="68"/>
      <c r="AB151" s="69">
        <f t="shared" si="70"/>
        <v>1125000</v>
      </c>
    </row>
    <row r="152" spans="1:28" x14ac:dyDescent="0.25">
      <c r="A152" s="46"/>
      <c r="B152" s="34"/>
      <c r="C152" s="13"/>
      <c r="D152" s="70" t="s">
        <v>40</v>
      </c>
      <c r="E152" s="70" t="s">
        <v>40</v>
      </c>
      <c r="F152" s="70" t="s">
        <v>40</v>
      </c>
      <c r="G152" s="70"/>
      <c r="H152" s="70" t="s">
        <v>40</v>
      </c>
      <c r="I152" s="70" t="s">
        <v>40</v>
      </c>
      <c r="J152" s="70" t="s">
        <v>40</v>
      </c>
      <c r="K152" s="70" t="s">
        <v>40</v>
      </c>
      <c r="L152" s="70" t="s">
        <v>40</v>
      </c>
      <c r="M152" s="70"/>
      <c r="N152" s="70" t="s">
        <v>40</v>
      </c>
      <c r="O152" s="70" t="s">
        <v>40</v>
      </c>
      <c r="P152" s="70" t="s">
        <v>40</v>
      </c>
      <c r="Q152" s="70"/>
      <c r="R152" s="70" t="s">
        <v>40</v>
      </c>
      <c r="S152" s="70" t="s">
        <v>40</v>
      </c>
      <c r="T152" s="70" t="s">
        <v>40</v>
      </c>
      <c r="U152" s="70" t="s">
        <v>40</v>
      </c>
      <c r="V152" s="70" t="s">
        <v>40</v>
      </c>
      <c r="W152" s="70"/>
      <c r="X152" s="70" t="s">
        <v>40</v>
      </c>
      <c r="Y152" s="70" t="s">
        <v>40</v>
      </c>
      <c r="Z152" s="70" t="s">
        <v>40</v>
      </c>
      <c r="AA152" s="70" t="s">
        <v>40</v>
      </c>
      <c r="AB152" s="71" t="s">
        <v>165</v>
      </c>
    </row>
    <row r="153" spans="1:28" x14ac:dyDescent="0.25">
      <c r="A153" s="46"/>
      <c r="B153" s="23"/>
      <c r="C153" s="15"/>
      <c r="D153" s="73">
        <f>SUM(D144:D151)</f>
        <v>108571968.55</v>
      </c>
      <c r="E153" s="73">
        <f>SUM(E144:E151)</f>
        <v>58042630</v>
      </c>
      <c r="F153" s="73">
        <f>SUM(F144:F151)</f>
        <v>0</v>
      </c>
      <c r="G153" s="73"/>
      <c r="H153" s="73">
        <f>SUM(H144:H151)</f>
        <v>58042630</v>
      </c>
      <c r="I153" s="73">
        <f>SUM(I144:I151)</f>
        <v>0</v>
      </c>
      <c r="J153" s="73">
        <f>SUM(J144:J151)</f>
        <v>0</v>
      </c>
      <c r="K153" s="73">
        <f>SUM(K144:K151)</f>
        <v>0</v>
      </c>
      <c r="L153" s="73">
        <f>SUM(L144:L151)</f>
        <v>0</v>
      </c>
      <c r="M153" s="73"/>
      <c r="N153" s="73">
        <f>SUM(N144:N151)</f>
        <v>58042630</v>
      </c>
      <c r="O153" s="73">
        <f>SUM(O144:O151)</f>
        <v>42381393.18</v>
      </c>
      <c r="P153" s="73">
        <f>SUM(P144:P151)</f>
        <v>0</v>
      </c>
      <c r="Q153" s="73"/>
      <c r="R153" s="73">
        <f>SUM(R144:R151)</f>
        <v>42381393.18</v>
      </c>
      <c r="S153" s="73">
        <f>SUM(S144:S151)</f>
        <v>0</v>
      </c>
      <c r="T153" s="73">
        <f>SUM(T144:T151)</f>
        <v>0</v>
      </c>
      <c r="U153" s="73">
        <f>SUM(U144:U151)</f>
        <v>0</v>
      </c>
      <c r="V153" s="73">
        <f>SUM(V144:V151)</f>
        <v>411900</v>
      </c>
      <c r="W153" s="73"/>
      <c r="X153" s="73">
        <f>SUM(X144:X151)</f>
        <v>42793293.18</v>
      </c>
      <c r="Y153" s="73">
        <f>SUM(Y144:Y151)</f>
        <v>100424023.18000001</v>
      </c>
      <c r="Z153" s="73">
        <f>SUM(Z144:Z151)</f>
        <v>8147945.3699999964</v>
      </c>
      <c r="AA153" s="73">
        <f>SUM(AA144:AA151)</f>
        <v>0</v>
      </c>
      <c r="AB153" s="73">
        <f>SUM(AB144:AB151)</f>
        <v>7736045.3699999964</v>
      </c>
    </row>
    <row r="154" spans="1:28" x14ac:dyDescent="0.25">
      <c r="A154" s="46"/>
      <c r="B154" s="23"/>
      <c r="C154" s="15"/>
      <c r="D154" s="70" t="s">
        <v>40</v>
      </c>
      <c r="E154" s="70" t="s">
        <v>40</v>
      </c>
      <c r="F154" s="70" t="s">
        <v>40</v>
      </c>
      <c r="G154" s="70"/>
      <c r="H154" s="70" t="s">
        <v>40</v>
      </c>
      <c r="I154" s="70" t="s">
        <v>40</v>
      </c>
      <c r="J154" s="70" t="s">
        <v>40</v>
      </c>
      <c r="K154" s="70" t="s">
        <v>40</v>
      </c>
      <c r="L154" s="70" t="s">
        <v>40</v>
      </c>
      <c r="M154" s="70"/>
      <c r="N154" s="70" t="s">
        <v>40</v>
      </c>
      <c r="O154" s="70" t="s">
        <v>40</v>
      </c>
      <c r="P154" s="70" t="s">
        <v>40</v>
      </c>
      <c r="Q154" s="70"/>
      <c r="R154" s="70" t="s">
        <v>40</v>
      </c>
      <c r="S154" s="70" t="s">
        <v>40</v>
      </c>
      <c r="T154" s="70" t="s">
        <v>40</v>
      </c>
      <c r="U154" s="70" t="s">
        <v>40</v>
      </c>
      <c r="V154" s="70" t="s">
        <v>40</v>
      </c>
      <c r="W154" s="70"/>
      <c r="X154" s="70" t="s">
        <v>40</v>
      </c>
      <c r="Y154" s="70" t="s">
        <v>40</v>
      </c>
      <c r="Z154" s="70" t="s">
        <v>40</v>
      </c>
      <c r="AA154" s="70" t="s">
        <v>40</v>
      </c>
      <c r="AB154" s="71" t="s">
        <v>165</v>
      </c>
    </row>
    <row r="155" spans="1:28" x14ac:dyDescent="0.25">
      <c r="A155" s="46"/>
      <c r="B155" s="23"/>
      <c r="C155" s="15"/>
      <c r="D155" s="73"/>
      <c r="E155" s="68"/>
      <c r="F155" s="67"/>
      <c r="G155" s="67"/>
      <c r="H155" s="68"/>
      <c r="I155" s="67"/>
      <c r="J155" s="67"/>
      <c r="K155" s="68"/>
      <c r="L155" s="67"/>
      <c r="M155" s="67"/>
      <c r="N155" s="68"/>
      <c r="O155" s="67"/>
      <c r="P155" s="67"/>
      <c r="Q155" s="67"/>
      <c r="R155" s="67"/>
      <c r="S155" s="67"/>
      <c r="T155" s="67"/>
      <c r="U155" s="68"/>
      <c r="V155" s="68"/>
      <c r="W155" s="68"/>
      <c r="X155" s="68"/>
      <c r="Y155" s="68"/>
      <c r="Z155" s="68"/>
      <c r="AA155" s="68"/>
      <c r="AB155" s="68"/>
    </row>
    <row r="156" spans="1:28" x14ac:dyDescent="0.25">
      <c r="A156" s="46">
        <v>15</v>
      </c>
      <c r="B156" s="23" t="s">
        <v>172</v>
      </c>
      <c r="C156" s="2" t="s">
        <v>35</v>
      </c>
      <c r="D156" s="73">
        <v>0</v>
      </c>
      <c r="E156" s="68"/>
      <c r="F156" s="67"/>
      <c r="G156" s="67"/>
      <c r="H156" s="67">
        <f>+E156+F156</f>
        <v>0</v>
      </c>
      <c r="I156" s="67"/>
      <c r="J156" s="68"/>
      <c r="K156" s="68"/>
      <c r="L156" s="67"/>
      <c r="M156" s="67"/>
      <c r="N156" s="68">
        <f>+H156+L156</f>
        <v>0</v>
      </c>
      <c r="O156" s="67"/>
      <c r="P156" s="67"/>
      <c r="Q156" s="67"/>
      <c r="R156" s="67">
        <f>+O156+P156</f>
        <v>0</v>
      </c>
      <c r="S156" s="67"/>
      <c r="T156" s="67"/>
      <c r="U156" s="68"/>
      <c r="V156" s="68"/>
      <c r="W156" s="68"/>
      <c r="X156" s="68">
        <f>+R156+V156</f>
        <v>0</v>
      </c>
      <c r="Y156" s="69">
        <f>+R156+H156</f>
        <v>0</v>
      </c>
      <c r="Z156" s="68">
        <f>+D156-Y156</f>
        <v>0</v>
      </c>
      <c r="AA156" s="68"/>
      <c r="AB156" s="69">
        <f>+D156-N156-X156</f>
        <v>0</v>
      </c>
    </row>
    <row r="157" spans="1:28" x14ac:dyDescent="0.25">
      <c r="A157" s="46"/>
      <c r="B157" s="35"/>
      <c r="C157" s="17" t="s">
        <v>36</v>
      </c>
      <c r="D157" s="72">
        <v>4428422</v>
      </c>
      <c r="E157" s="68">
        <v>4428422</v>
      </c>
      <c r="F157" s="67"/>
      <c r="G157" s="67"/>
      <c r="H157" s="67">
        <f>+E157+F157</f>
        <v>4428422</v>
      </c>
      <c r="I157" s="67"/>
      <c r="J157" s="68"/>
      <c r="K157" s="68"/>
      <c r="L157" s="67"/>
      <c r="M157" s="67"/>
      <c r="N157" s="68">
        <f>+H157+L157</f>
        <v>4428422</v>
      </c>
      <c r="O157" s="67"/>
      <c r="P157" s="67"/>
      <c r="Q157" s="67"/>
      <c r="R157" s="67">
        <f>+O157+P157</f>
        <v>0</v>
      </c>
      <c r="S157" s="67"/>
      <c r="T157" s="67"/>
      <c r="U157" s="68"/>
      <c r="V157" s="68"/>
      <c r="W157" s="68"/>
      <c r="X157" s="68">
        <f>+R157+V157</f>
        <v>0</v>
      </c>
      <c r="Y157" s="69">
        <f>+R157+H157</f>
        <v>4428422</v>
      </c>
      <c r="Z157" s="68">
        <f>+D157-Y157</f>
        <v>0</v>
      </c>
      <c r="AA157" s="68"/>
      <c r="AB157" s="69">
        <f>+D157-N157-X157</f>
        <v>0</v>
      </c>
    </row>
    <row r="158" spans="1:28" x14ac:dyDescent="0.25">
      <c r="A158" s="46"/>
      <c r="B158" s="35"/>
      <c r="C158" s="17" t="s">
        <v>54</v>
      </c>
      <c r="D158" s="72">
        <v>1336696.6599999999</v>
      </c>
      <c r="E158" s="68"/>
      <c r="F158" s="67"/>
      <c r="G158" s="67"/>
      <c r="H158" s="67">
        <f>+E158+F158</f>
        <v>0</v>
      </c>
      <c r="I158" s="67"/>
      <c r="J158" s="68"/>
      <c r="K158" s="68"/>
      <c r="L158" s="67"/>
      <c r="M158" s="67"/>
      <c r="N158" s="68">
        <f>+H158+L158</f>
        <v>0</v>
      </c>
      <c r="O158" s="67"/>
      <c r="P158" s="67"/>
      <c r="Q158" s="67"/>
      <c r="R158" s="67">
        <f>+O158+P158</f>
        <v>0</v>
      </c>
      <c r="S158" s="67"/>
      <c r="T158" s="67"/>
      <c r="U158" s="68"/>
      <c r="V158" s="68"/>
      <c r="W158" s="68"/>
      <c r="X158" s="68">
        <f>+R158+V158</f>
        <v>0</v>
      </c>
      <c r="Y158" s="69">
        <f>+R158+H158</f>
        <v>0</v>
      </c>
      <c r="Z158" s="68">
        <f>+D158-Y158</f>
        <v>1336696.6599999999</v>
      </c>
      <c r="AA158" s="68"/>
      <c r="AB158" s="69">
        <f>+D158-N158-X158</f>
        <v>1336696.6599999999</v>
      </c>
    </row>
    <row r="159" spans="1:28" x14ac:dyDescent="0.25">
      <c r="A159" s="46"/>
      <c r="B159" s="34"/>
      <c r="C159" s="16" t="s">
        <v>53</v>
      </c>
      <c r="D159" s="72">
        <f>11417832.11+4491257.87</f>
        <v>15909089.98</v>
      </c>
      <c r="E159" s="70"/>
      <c r="F159" s="70"/>
      <c r="G159" s="70"/>
      <c r="H159" s="67">
        <f>+E159+F159</f>
        <v>0</v>
      </c>
      <c r="I159" s="70"/>
      <c r="J159" s="70"/>
      <c r="K159" s="70"/>
      <c r="L159" s="70"/>
      <c r="M159" s="70"/>
      <c r="N159" s="68">
        <f>+H159+L159</f>
        <v>0</v>
      </c>
      <c r="O159" s="72">
        <v>15909089.98</v>
      </c>
      <c r="P159" s="70"/>
      <c r="Q159" s="70"/>
      <c r="R159" s="67">
        <f>+O159+P159</f>
        <v>15909089.98</v>
      </c>
      <c r="S159" s="70"/>
      <c r="T159" s="70"/>
      <c r="U159" s="68"/>
      <c r="V159" s="68"/>
      <c r="W159" s="68"/>
      <c r="X159" s="68">
        <f>+R159+V159</f>
        <v>15909089.98</v>
      </c>
      <c r="Y159" s="69">
        <f>+R159+H159</f>
        <v>15909089.98</v>
      </c>
      <c r="Z159" s="68">
        <f>+D159-Y159</f>
        <v>0</v>
      </c>
      <c r="AA159" s="68"/>
      <c r="AB159" s="69">
        <f>+D159-N159-X159</f>
        <v>0</v>
      </c>
    </row>
    <row r="160" spans="1:28" x14ac:dyDescent="0.25">
      <c r="A160" s="46"/>
      <c r="B160" s="34"/>
      <c r="C160" s="15" t="s">
        <v>173</v>
      </c>
      <c r="D160" s="72">
        <v>4181290.31</v>
      </c>
      <c r="E160" s="67">
        <v>4181290.31</v>
      </c>
      <c r="F160" s="67"/>
      <c r="G160" s="67"/>
      <c r="H160" s="67">
        <f>+E160+F160</f>
        <v>4181290.31</v>
      </c>
      <c r="I160" s="67"/>
      <c r="J160" s="67"/>
      <c r="K160" s="67"/>
      <c r="L160" s="67"/>
      <c r="M160" s="67"/>
      <c r="N160" s="68">
        <f>+H160+L160</f>
        <v>4181290.31</v>
      </c>
      <c r="O160" s="67"/>
      <c r="P160" s="67"/>
      <c r="Q160" s="67"/>
      <c r="R160" s="67">
        <f>+O160+P160</f>
        <v>0</v>
      </c>
      <c r="S160" s="67"/>
      <c r="T160" s="67"/>
      <c r="U160" s="68"/>
      <c r="V160" s="68"/>
      <c r="W160" s="68"/>
      <c r="X160" s="68">
        <f>+R160+V160</f>
        <v>0</v>
      </c>
      <c r="Y160" s="69">
        <f>+R160+H160</f>
        <v>4181290.31</v>
      </c>
      <c r="Z160" s="68">
        <f>+D160-Y160</f>
        <v>0</v>
      </c>
      <c r="AA160" s="68"/>
      <c r="AB160" s="69">
        <f>+D160-N160-X160</f>
        <v>0</v>
      </c>
    </row>
    <row r="161" spans="1:43" x14ac:dyDescent="0.25">
      <c r="A161" s="46"/>
      <c r="B161" s="34"/>
      <c r="C161" s="13"/>
      <c r="D161" s="70" t="s">
        <v>40</v>
      </c>
      <c r="E161" s="70" t="s">
        <v>40</v>
      </c>
      <c r="F161" s="70" t="s">
        <v>40</v>
      </c>
      <c r="G161" s="70"/>
      <c r="H161" s="70" t="s">
        <v>40</v>
      </c>
      <c r="I161" s="70" t="s">
        <v>40</v>
      </c>
      <c r="J161" s="70" t="s">
        <v>40</v>
      </c>
      <c r="K161" s="70" t="s">
        <v>40</v>
      </c>
      <c r="L161" s="70" t="s">
        <v>40</v>
      </c>
      <c r="M161" s="70"/>
      <c r="N161" s="70" t="s">
        <v>40</v>
      </c>
      <c r="O161" s="70" t="s">
        <v>40</v>
      </c>
      <c r="P161" s="70" t="s">
        <v>40</v>
      </c>
      <c r="Q161" s="70"/>
      <c r="R161" s="70" t="s">
        <v>40</v>
      </c>
      <c r="S161" s="70" t="s">
        <v>40</v>
      </c>
      <c r="T161" s="70" t="s">
        <v>40</v>
      </c>
      <c r="U161" s="70" t="s">
        <v>40</v>
      </c>
      <c r="V161" s="70" t="s">
        <v>40</v>
      </c>
      <c r="W161" s="70"/>
      <c r="X161" s="70" t="s">
        <v>40</v>
      </c>
      <c r="Y161" s="70" t="s">
        <v>40</v>
      </c>
      <c r="Z161" s="70" t="s">
        <v>40</v>
      </c>
      <c r="AA161" s="70" t="s">
        <v>40</v>
      </c>
      <c r="AB161" s="71" t="s">
        <v>165</v>
      </c>
    </row>
    <row r="162" spans="1:43" x14ac:dyDescent="0.25">
      <c r="A162" s="46"/>
      <c r="B162" s="23"/>
      <c r="C162" s="15"/>
      <c r="D162" s="73">
        <f>SUM(D156:D160)</f>
        <v>25855498.949999999</v>
      </c>
      <c r="E162" s="73">
        <f t="shared" ref="E162:AB162" si="71">SUM(E156:E160)</f>
        <v>8609712.3100000005</v>
      </c>
      <c r="F162" s="73">
        <f t="shared" si="71"/>
        <v>0</v>
      </c>
      <c r="G162" s="73"/>
      <c r="H162" s="73">
        <f t="shared" si="71"/>
        <v>8609712.3100000005</v>
      </c>
      <c r="I162" s="73">
        <f t="shared" si="71"/>
        <v>0</v>
      </c>
      <c r="J162" s="73">
        <f t="shared" si="71"/>
        <v>0</v>
      </c>
      <c r="K162" s="73">
        <f t="shared" si="71"/>
        <v>0</v>
      </c>
      <c r="L162" s="73">
        <f t="shared" si="71"/>
        <v>0</v>
      </c>
      <c r="M162" s="73"/>
      <c r="N162" s="73">
        <f t="shared" si="71"/>
        <v>8609712.3100000005</v>
      </c>
      <c r="O162" s="73">
        <f t="shared" si="71"/>
        <v>15909089.98</v>
      </c>
      <c r="P162" s="73">
        <f t="shared" si="71"/>
        <v>0</v>
      </c>
      <c r="Q162" s="73"/>
      <c r="R162" s="73">
        <f t="shared" si="71"/>
        <v>15909089.98</v>
      </c>
      <c r="S162" s="73">
        <f t="shared" si="71"/>
        <v>0</v>
      </c>
      <c r="T162" s="73">
        <f t="shared" si="71"/>
        <v>0</v>
      </c>
      <c r="U162" s="73">
        <f t="shared" si="71"/>
        <v>0</v>
      </c>
      <c r="V162" s="73">
        <f t="shared" si="71"/>
        <v>0</v>
      </c>
      <c r="W162" s="73"/>
      <c r="X162" s="73">
        <f t="shared" si="71"/>
        <v>15909089.98</v>
      </c>
      <c r="Y162" s="73">
        <f t="shared" si="71"/>
        <v>24518802.289999999</v>
      </c>
      <c r="Z162" s="73">
        <f t="shared" si="71"/>
        <v>1336696.6599999999</v>
      </c>
      <c r="AA162" s="73">
        <f t="shared" si="71"/>
        <v>0</v>
      </c>
      <c r="AB162" s="73">
        <f t="shared" si="71"/>
        <v>1336696.6599999999</v>
      </c>
    </row>
    <row r="163" spans="1:43" x14ac:dyDescent="0.25">
      <c r="A163" s="46"/>
      <c r="B163" s="23"/>
      <c r="C163" s="15"/>
      <c r="D163" s="70" t="s">
        <v>40</v>
      </c>
      <c r="E163" s="70" t="s">
        <v>40</v>
      </c>
      <c r="F163" s="70" t="s">
        <v>40</v>
      </c>
      <c r="G163" s="70"/>
      <c r="H163" s="70" t="s">
        <v>40</v>
      </c>
      <c r="I163" s="70" t="s">
        <v>40</v>
      </c>
      <c r="J163" s="70" t="s">
        <v>40</v>
      </c>
      <c r="K163" s="70" t="s">
        <v>40</v>
      </c>
      <c r="L163" s="70" t="s">
        <v>40</v>
      </c>
      <c r="M163" s="70"/>
      <c r="N163" s="70" t="s">
        <v>40</v>
      </c>
      <c r="O163" s="70" t="s">
        <v>40</v>
      </c>
      <c r="P163" s="70" t="s">
        <v>40</v>
      </c>
      <c r="Q163" s="70"/>
      <c r="R163" s="70" t="s">
        <v>40</v>
      </c>
      <c r="S163" s="70" t="s">
        <v>40</v>
      </c>
      <c r="T163" s="70" t="s">
        <v>40</v>
      </c>
      <c r="U163" s="70" t="s">
        <v>40</v>
      </c>
      <c r="V163" s="70" t="s">
        <v>40</v>
      </c>
      <c r="W163" s="70"/>
      <c r="X163" s="70" t="s">
        <v>40</v>
      </c>
      <c r="Y163" s="70" t="s">
        <v>40</v>
      </c>
      <c r="Z163" s="70" t="s">
        <v>40</v>
      </c>
      <c r="AA163" s="70" t="s">
        <v>40</v>
      </c>
      <c r="AB163" s="71" t="s">
        <v>165</v>
      </c>
    </row>
    <row r="164" spans="1:43" x14ac:dyDescent="0.25">
      <c r="A164" s="46"/>
      <c r="B164" s="23"/>
      <c r="C164" s="15"/>
      <c r="D164" s="73"/>
      <c r="E164" s="68"/>
      <c r="F164" s="67"/>
      <c r="G164" s="67"/>
      <c r="H164" s="68"/>
      <c r="I164" s="67"/>
      <c r="J164" s="67"/>
      <c r="K164" s="68"/>
      <c r="L164" s="67"/>
      <c r="M164" s="67"/>
      <c r="N164" s="67"/>
      <c r="O164" s="67"/>
      <c r="P164" s="67"/>
      <c r="Q164" s="67"/>
      <c r="R164" s="67"/>
      <c r="S164" s="67"/>
      <c r="T164" s="67"/>
      <c r="U164" s="68"/>
      <c r="V164" s="68"/>
      <c r="W164" s="68"/>
      <c r="X164" s="68"/>
      <c r="Y164" s="68"/>
      <c r="Z164" s="68"/>
      <c r="AA164" s="68"/>
      <c r="AB164" s="68"/>
    </row>
    <row r="165" spans="1:43" x14ac:dyDescent="0.25">
      <c r="A165" s="46">
        <v>16</v>
      </c>
      <c r="B165" s="23" t="s">
        <v>174</v>
      </c>
      <c r="C165" s="2" t="s">
        <v>35</v>
      </c>
      <c r="D165" s="73">
        <v>1157863.73</v>
      </c>
      <c r="E165" s="68"/>
      <c r="F165" s="67">
        <v>1207870.27</v>
      </c>
      <c r="G165" s="67" t="s">
        <v>321</v>
      </c>
      <c r="H165" s="67">
        <f t="shared" ref="H165:H170" si="72">+E165+F165</f>
        <v>1207870.27</v>
      </c>
      <c r="I165" s="67"/>
      <c r="J165" s="67"/>
      <c r="K165" s="68"/>
      <c r="L165" s="67"/>
      <c r="M165" s="67"/>
      <c r="N165" s="68">
        <f t="shared" ref="N165:N170" si="73">+H165+L165</f>
        <v>1207870.27</v>
      </c>
      <c r="O165" s="67">
        <v>315744.64000000001</v>
      </c>
      <c r="P165" s="67"/>
      <c r="Q165" s="67"/>
      <c r="R165" s="67">
        <f t="shared" ref="R165:R170" si="74">+O165+P165</f>
        <v>315744.64000000001</v>
      </c>
      <c r="S165" s="67"/>
      <c r="T165" s="67"/>
      <c r="U165" s="68"/>
      <c r="V165" s="68"/>
      <c r="W165" s="68"/>
      <c r="X165" s="68">
        <f t="shared" ref="X165:X170" si="75">+R165+V165</f>
        <v>315744.64000000001</v>
      </c>
      <c r="Y165" s="69">
        <f t="shared" ref="Y165:Y170" si="76">+R165+H165</f>
        <v>1523614.9100000001</v>
      </c>
      <c r="Z165" s="68">
        <f t="shared" ref="Z165:Z170" si="77">+D165-Y165</f>
        <v>-365751.18000000017</v>
      </c>
      <c r="AA165" s="68"/>
      <c r="AB165" s="69">
        <f t="shared" ref="AB165:AB170" si="78">+D165-N165-X165</f>
        <v>-365751.18000000005</v>
      </c>
    </row>
    <row r="166" spans="1:43" x14ac:dyDescent="0.25">
      <c r="A166" s="46"/>
      <c r="B166" s="23"/>
      <c r="C166" s="15" t="s">
        <v>36</v>
      </c>
      <c r="D166" s="73">
        <v>2463241</v>
      </c>
      <c r="E166" s="68">
        <v>2463241</v>
      </c>
      <c r="F166" s="67"/>
      <c r="G166" s="67"/>
      <c r="H166" s="67">
        <f t="shared" si="72"/>
        <v>2463241</v>
      </c>
      <c r="I166" s="67"/>
      <c r="J166" s="68"/>
      <c r="K166" s="68"/>
      <c r="L166" s="67"/>
      <c r="M166" s="67"/>
      <c r="N166" s="68">
        <f t="shared" si="73"/>
        <v>2463241</v>
      </c>
      <c r="O166" s="67"/>
      <c r="P166" s="67"/>
      <c r="Q166" s="67"/>
      <c r="R166" s="67">
        <f t="shared" si="74"/>
        <v>0</v>
      </c>
      <c r="S166" s="67"/>
      <c r="T166" s="67"/>
      <c r="U166" s="68"/>
      <c r="V166" s="68"/>
      <c r="W166" s="68"/>
      <c r="X166" s="68">
        <f t="shared" si="75"/>
        <v>0</v>
      </c>
      <c r="Y166" s="69">
        <f t="shared" si="76"/>
        <v>2463241</v>
      </c>
      <c r="Z166" s="68">
        <f t="shared" si="77"/>
        <v>0</v>
      </c>
      <c r="AA166" s="68"/>
      <c r="AB166" s="69">
        <f t="shared" si="78"/>
        <v>0</v>
      </c>
    </row>
    <row r="167" spans="1:43" x14ac:dyDescent="0.25">
      <c r="A167" s="4"/>
      <c r="B167" s="4"/>
      <c r="C167" s="4" t="s">
        <v>298</v>
      </c>
      <c r="D167" s="55">
        <v>8000000</v>
      </c>
      <c r="E167" s="55">
        <v>8000000</v>
      </c>
      <c r="F167" s="55"/>
      <c r="G167" s="55"/>
      <c r="H167" s="55">
        <f t="shared" si="72"/>
        <v>8000000</v>
      </c>
      <c r="I167" s="55"/>
      <c r="J167" s="55"/>
      <c r="K167" s="55"/>
      <c r="L167" s="55"/>
      <c r="M167" s="55"/>
      <c r="N167" s="55">
        <f t="shared" si="73"/>
        <v>8000000</v>
      </c>
      <c r="O167" s="55">
        <v>0</v>
      </c>
      <c r="P167" s="55"/>
      <c r="Q167" s="55"/>
      <c r="R167" s="55">
        <f t="shared" si="74"/>
        <v>0</v>
      </c>
      <c r="S167" s="55"/>
      <c r="T167" s="55"/>
      <c r="U167" s="55"/>
      <c r="V167" s="55"/>
      <c r="W167" s="55"/>
      <c r="X167" s="55">
        <f t="shared" si="75"/>
        <v>0</v>
      </c>
      <c r="Y167" s="69">
        <f t="shared" si="76"/>
        <v>8000000</v>
      </c>
      <c r="Z167" s="68">
        <f t="shared" si="77"/>
        <v>0</v>
      </c>
      <c r="AA167" s="68"/>
      <c r="AB167" s="69">
        <f t="shared" si="78"/>
        <v>0</v>
      </c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x14ac:dyDescent="0.25">
      <c r="A168" s="46"/>
      <c r="B168" s="34"/>
      <c r="C168" s="16" t="s">
        <v>53</v>
      </c>
      <c r="D168" s="72">
        <f>890474.01+77356+17841128.51</f>
        <v>18808958.520000003</v>
      </c>
      <c r="E168" s="70"/>
      <c r="F168" s="70"/>
      <c r="G168" s="70"/>
      <c r="H168" s="67">
        <f t="shared" si="72"/>
        <v>0</v>
      </c>
      <c r="I168" s="70"/>
      <c r="J168" s="70"/>
      <c r="K168" s="70"/>
      <c r="L168" s="70"/>
      <c r="M168" s="70"/>
      <c r="N168" s="68">
        <f t="shared" si="73"/>
        <v>0</v>
      </c>
      <c r="O168" s="72">
        <f>18731602.52+77356</f>
        <v>18808958.52</v>
      </c>
      <c r="P168" s="72"/>
      <c r="Q168" s="70"/>
      <c r="R168" s="67">
        <f t="shared" si="74"/>
        <v>18808958.52</v>
      </c>
      <c r="S168" s="70"/>
      <c r="T168" s="70"/>
      <c r="U168" s="68"/>
      <c r="V168" s="68"/>
      <c r="W168" s="68"/>
      <c r="X168" s="68">
        <f t="shared" si="75"/>
        <v>18808958.52</v>
      </c>
      <c r="Y168" s="69">
        <f t="shared" si="76"/>
        <v>18808958.52</v>
      </c>
      <c r="Z168" s="68">
        <f t="shared" si="77"/>
        <v>0</v>
      </c>
      <c r="AA168" s="68"/>
      <c r="AB168" s="69">
        <f t="shared" si="78"/>
        <v>0</v>
      </c>
    </row>
    <row r="169" spans="1:43" x14ac:dyDescent="0.25">
      <c r="A169" s="46"/>
      <c r="B169" s="34"/>
      <c r="C169" s="15" t="s">
        <v>54</v>
      </c>
      <c r="D169" s="72">
        <v>6700073.0199999996</v>
      </c>
      <c r="E169" s="67"/>
      <c r="F169" s="67"/>
      <c r="G169" s="67"/>
      <c r="H169" s="67">
        <f t="shared" si="72"/>
        <v>0</v>
      </c>
      <c r="I169" s="67"/>
      <c r="J169" s="67"/>
      <c r="K169" s="67"/>
      <c r="L169" s="67"/>
      <c r="M169" s="67"/>
      <c r="N169" s="68">
        <f t="shared" si="73"/>
        <v>0</v>
      </c>
      <c r="O169" s="72">
        <f>5603896.26+374163.86</f>
        <v>5978060.1200000001</v>
      </c>
      <c r="P169" s="67"/>
      <c r="Q169" s="67"/>
      <c r="R169" s="67">
        <f t="shared" si="74"/>
        <v>5978060.1200000001</v>
      </c>
      <c r="S169" s="67"/>
      <c r="T169" s="67"/>
      <c r="U169" s="68"/>
      <c r="V169" s="68"/>
      <c r="W169" s="68"/>
      <c r="X169" s="68">
        <f t="shared" si="75"/>
        <v>5978060.1200000001</v>
      </c>
      <c r="Y169" s="69">
        <f t="shared" si="76"/>
        <v>5978060.1200000001</v>
      </c>
      <c r="Z169" s="68">
        <f t="shared" si="77"/>
        <v>722012.89999999944</v>
      </c>
      <c r="AA169" s="68"/>
      <c r="AB169" s="69">
        <f t="shared" si="78"/>
        <v>722012.89999999944</v>
      </c>
    </row>
    <row r="170" spans="1:43" x14ac:dyDescent="0.25">
      <c r="A170" s="46"/>
      <c r="B170" s="34"/>
      <c r="C170" s="18" t="s">
        <v>245</v>
      </c>
      <c r="D170" s="72">
        <v>434405</v>
      </c>
      <c r="E170" s="70"/>
      <c r="F170" s="70"/>
      <c r="G170" s="70"/>
      <c r="H170" s="67">
        <f t="shared" si="72"/>
        <v>0</v>
      </c>
      <c r="I170" s="70"/>
      <c r="J170" s="70"/>
      <c r="K170" s="70"/>
      <c r="L170" s="70"/>
      <c r="M170" s="70"/>
      <c r="N170" s="68">
        <f t="shared" si="73"/>
        <v>0</v>
      </c>
      <c r="O170" s="72"/>
      <c r="P170" s="70"/>
      <c r="Q170" s="70"/>
      <c r="R170" s="67">
        <f t="shared" si="74"/>
        <v>0</v>
      </c>
      <c r="S170" s="70"/>
      <c r="T170" s="70"/>
      <c r="U170" s="68"/>
      <c r="V170" s="68"/>
      <c r="W170" s="68"/>
      <c r="X170" s="68">
        <f t="shared" si="75"/>
        <v>0</v>
      </c>
      <c r="Y170" s="69">
        <f t="shared" si="76"/>
        <v>0</v>
      </c>
      <c r="Z170" s="68">
        <f t="shared" si="77"/>
        <v>434405</v>
      </c>
      <c r="AA170" s="68"/>
      <c r="AB170" s="69">
        <f t="shared" si="78"/>
        <v>434405</v>
      </c>
    </row>
    <row r="171" spans="1:43" x14ac:dyDescent="0.25">
      <c r="A171" s="46"/>
      <c r="B171" s="23"/>
      <c r="C171" s="18"/>
      <c r="D171" s="70" t="s">
        <v>40</v>
      </c>
      <c r="E171" s="70" t="s">
        <v>40</v>
      </c>
      <c r="F171" s="70" t="s">
        <v>40</v>
      </c>
      <c r="G171" s="70"/>
      <c r="H171" s="70" t="s">
        <v>40</v>
      </c>
      <c r="I171" s="70" t="s">
        <v>40</v>
      </c>
      <c r="J171" s="70" t="s">
        <v>40</v>
      </c>
      <c r="K171" s="70" t="s">
        <v>40</v>
      </c>
      <c r="L171" s="70" t="s">
        <v>40</v>
      </c>
      <c r="M171" s="70"/>
      <c r="N171" s="70" t="s">
        <v>40</v>
      </c>
      <c r="O171" s="70" t="s">
        <v>40</v>
      </c>
      <c r="P171" s="70" t="s">
        <v>40</v>
      </c>
      <c r="Q171" s="70"/>
      <c r="R171" s="70" t="s">
        <v>40</v>
      </c>
      <c r="S171" s="70" t="s">
        <v>40</v>
      </c>
      <c r="T171" s="70" t="s">
        <v>40</v>
      </c>
      <c r="U171" s="70" t="s">
        <v>40</v>
      </c>
      <c r="V171" s="70" t="s">
        <v>40</v>
      </c>
      <c r="W171" s="70"/>
      <c r="X171" s="70" t="s">
        <v>40</v>
      </c>
      <c r="Y171" s="70" t="s">
        <v>40</v>
      </c>
      <c r="Z171" s="70" t="s">
        <v>40</v>
      </c>
      <c r="AA171" s="70" t="s">
        <v>40</v>
      </c>
      <c r="AB171" s="71" t="s">
        <v>165</v>
      </c>
    </row>
    <row r="172" spans="1:43" x14ac:dyDescent="0.25">
      <c r="A172" s="46"/>
      <c r="B172" s="23"/>
      <c r="C172" s="18"/>
      <c r="D172" s="73">
        <f>SUM(D165:D170)</f>
        <v>37564541.270000003</v>
      </c>
      <c r="E172" s="73">
        <f>SUM(E165:E170)</f>
        <v>10463241</v>
      </c>
      <c r="F172" s="73">
        <f>SUM(F165:F170)</f>
        <v>1207870.27</v>
      </c>
      <c r="G172" s="73"/>
      <c r="H172" s="73">
        <f>SUM(H165:H170)</f>
        <v>11671111.27</v>
      </c>
      <c r="I172" s="73">
        <f>SUM(I165:I170)</f>
        <v>0</v>
      </c>
      <c r="J172" s="73">
        <f>SUM(J165:J170)</f>
        <v>0</v>
      </c>
      <c r="K172" s="73">
        <f>SUM(K165:K170)</f>
        <v>0</v>
      </c>
      <c r="L172" s="73">
        <f>SUM(L165:L170)</f>
        <v>0</v>
      </c>
      <c r="M172" s="73"/>
      <c r="N172" s="73">
        <f>SUM(N165:N170)</f>
        <v>11671111.27</v>
      </c>
      <c r="O172" s="73">
        <f>SUM(O165:O170)</f>
        <v>25102763.280000001</v>
      </c>
      <c r="P172" s="73">
        <f>SUM(P165:P170)</f>
        <v>0</v>
      </c>
      <c r="Q172" s="73"/>
      <c r="R172" s="73">
        <f>SUM(R165:R170)</f>
        <v>25102763.280000001</v>
      </c>
      <c r="S172" s="73">
        <f>SUM(S165:S170)</f>
        <v>0</v>
      </c>
      <c r="T172" s="73">
        <f>SUM(T165:T170)</f>
        <v>0</v>
      </c>
      <c r="U172" s="73">
        <f>SUM(U165:U170)</f>
        <v>0</v>
      </c>
      <c r="V172" s="73">
        <f>SUM(V165:V170)</f>
        <v>0</v>
      </c>
      <c r="W172" s="73"/>
      <c r="X172" s="73">
        <f>SUM(X165:X170)</f>
        <v>25102763.280000001</v>
      </c>
      <c r="Y172" s="73">
        <f>SUM(Y165:Y170)</f>
        <v>36773874.549999997</v>
      </c>
      <c r="Z172" s="73">
        <f>SUM(Z165:Z170)</f>
        <v>790666.71999999927</v>
      </c>
      <c r="AA172" s="73">
        <f>SUM(AA165:AA170)</f>
        <v>0</v>
      </c>
      <c r="AB172" s="73">
        <f>SUM(AB165:AB170)</f>
        <v>790666.71999999939</v>
      </c>
    </row>
    <row r="173" spans="1:43" x14ac:dyDescent="0.25">
      <c r="A173" s="46"/>
      <c r="B173" s="23"/>
      <c r="C173" s="18"/>
      <c r="D173" s="70" t="s">
        <v>40</v>
      </c>
      <c r="E173" s="70" t="s">
        <v>40</v>
      </c>
      <c r="F173" s="70" t="s">
        <v>40</v>
      </c>
      <c r="G173" s="70"/>
      <c r="H173" s="70" t="s">
        <v>40</v>
      </c>
      <c r="I173" s="70" t="s">
        <v>40</v>
      </c>
      <c r="J173" s="70" t="s">
        <v>40</v>
      </c>
      <c r="K173" s="70" t="s">
        <v>40</v>
      </c>
      <c r="L173" s="70" t="s">
        <v>40</v>
      </c>
      <c r="M173" s="70"/>
      <c r="N173" s="70" t="s">
        <v>40</v>
      </c>
      <c r="O173" s="70" t="s">
        <v>40</v>
      </c>
      <c r="P173" s="70" t="s">
        <v>40</v>
      </c>
      <c r="Q173" s="70"/>
      <c r="R173" s="70" t="s">
        <v>40</v>
      </c>
      <c r="S173" s="70" t="s">
        <v>40</v>
      </c>
      <c r="T173" s="70" t="s">
        <v>40</v>
      </c>
      <c r="U173" s="70" t="s">
        <v>40</v>
      </c>
      <c r="V173" s="70" t="s">
        <v>40</v>
      </c>
      <c r="W173" s="70"/>
      <c r="X173" s="70" t="s">
        <v>40</v>
      </c>
      <c r="Y173" s="70" t="s">
        <v>40</v>
      </c>
      <c r="Z173" s="70" t="s">
        <v>40</v>
      </c>
      <c r="AA173" s="70" t="s">
        <v>40</v>
      </c>
      <c r="AB173" s="71" t="s">
        <v>165</v>
      </c>
    </row>
    <row r="174" spans="1:43" ht="16.5" thickBot="1" x14ac:dyDescent="0.3">
      <c r="A174" s="46"/>
      <c r="B174" s="34"/>
      <c r="C174" s="18"/>
      <c r="D174" s="72"/>
      <c r="E174" s="70"/>
      <c r="F174" s="113">
        <v>1207870.27</v>
      </c>
      <c r="G174" s="148" t="s">
        <v>321</v>
      </c>
      <c r="H174" s="147" t="s">
        <v>329</v>
      </c>
      <c r="I174" s="70"/>
      <c r="J174" s="70"/>
      <c r="K174" s="70"/>
      <c r="L174" s="147" t="s">
        <v>331</v>
      </c>
      <c r="M174" s="148"/>
      <c r="N174" s="70"/>
      <c r="O174" s="72"/>
      <c r="P174" s="70"/>
      <c r="Q174" s="70"/>
      <c r="R174" s="70"/>
      <c r="S174" s="70"/>
      <c r="T174" s="70"/>
      <c r="U174" s="68"/>
      <c r="V174" s="68"/>
      <c r="W174" s="68"/>
      <c r="X174" s="68"/>
      <c r="Y174" s="68"/>
      <c r="Z174" s="68"/>
      <c r="AA174" s="68"/>
      <c r="AB174" s="68"/>
    </row>
    <row r="175" spans="1:43" ht="16.5" thickTop="1" x14ac:dyDescent="0.25">
      <c r="A175" s="46">
        <v>17</v>
      </c>
      <c r="B175" s="34" t="s">
        <v>175</v>
      </c>
      <c r="C175" s="2" t="s">
        <v>35</v>
      </c>
      <c r="D175" s="72">
        <f>14635606.72-3556595</f>
        <v>11079011.720000001</v>
      </c>
      <c r="E175" s="67"/>
      <c r="F175" s="67"/>
      <c r="G175" s="67"/>
      <c r="H175" s="67">
        <f>+E175+F175</f>
        <v>0</v>
      </c>
      <c r="I175" s="67"/>
      <c r="J175" s="67"/>
      <c r="K175" s="67"/>
      <c r="L175" s="67"/>
      <c r="M175" s="67"/>
      <c r="N175" s="68">
        <f>+H175+L175</f>
        <v>0</v>
      </c>
      <c r="O175" s="72"/>
      <c r="P175" s="67"/>
      <c r="Q175" s="67"/>
      <c r="R175" s="67">
        <f>+O175+P175</f>
        <v>0</v>
      </c>
      <c r="S175" s="67"/>
      <c r="T175" s="67"/>
      <c r="U175" s="68"/>
      <c r="V175" s="68"/>
      <c r="W175" s="68"/>
      <c r="X175" s="68">
        <f>+R175+V175</f>
        <v>0</v>
      </c>
      <c r="Y175" s="69">
        <f>+R175+H175</f>
        <v>0</v>
      </c>
      <c r="Z175" s="68">
        <f>+D175-Y175</f>
        <v>11079011.720000001</v>
      </c>
      <c r="AA175" s="68"/>
      <c r="AB175" s="69">
        <f>+D175-N175-X175</f>
        <v>11079011.720000001</v>
      </c>
    </row>
    <row r="176" spans="1:43" x14ac:dyDescent="0.25">
      <c r="A176" s="46"/>
      <c r="B176" s="34"/>
      <c r="C176" s="42" t="s">
        <v>255</v>
      </c>
      <c r="D176" s="72">
        <f>3411360+1686386</f>
        <v>5097746</v>
      </c>
      <c r="E176" s="67">
        <v>5097746</v>
      </c>
      <c r="F176" s="67"/>
      <c r="G176" s="67"/>
      <c r="H176" s="67">
        <f>+E176+F176</f>
        <v>5097746</v>
      </c>
      <c r="I176" s="67"/>
      <c r="J176" s="67"/>
      <c r="K176" s="67"/>
      <c r="L176" s="67"/>
      <c r="M176" s="67"/>
      <c r="N176" s="68">
        <f>+H176+L176</f>
        <v>5097746</v>
      </c>
      <c r="O176" s="72"/>
      <c r="P176" s="67"/>
      <c r="Q176" s="67"/>
      <c r="R176" s="67">
        <f>+O176+P176</f>
        <v>0</v>
      </c>
      <c r="S176" s="67"/>
      <c r="T176" s="67"/>
      <c r="U176" s="68"/>
      <c r="V176" s="68"/>
      <c r="W176" s="68"/>
      <c r="X176" s="68">
        <f>+R176+V176</f>
        <v>0</v>
      </c>
      <c r="Y176" s="69">
        <f>+R176+H176</f>
        <v>5097746</v>
      </c>
      <c r="Z176" s="68">
        <f>+D176-Y176</f>
        <v>0</v>
      </c>
      <c r="AA176" s="68"/>
      <c r="AB176" s="69">
        <f>+D176-N176-X176</f>
        <v>0</v>
      </c>
    </row>
    <row r="177" spans="1:43" x14ac:dyDescent="0.25">
      <c r="C177" s="4" t="s">
        <v>317</v>
      </c>
      <c r="D177" s="55">
        <v>3556595</v>
      </c>
      <c r="E177" s="55">
        <v>3556595</v>
      </c>
      <c r="F177" s="55"/>
      <c r="G177" s="55"/>
      <c r="H177" s="55">
        <f>+E177+F177</f>
        <v>3556595</v>
      </c>
      <c r="I177" s="55"/>
      <c r="J177" s="55"/>
      <c r="K177" s="55"/>
      <c r="L177" s="55"/>
      <c r="M177" s="55"/>
      <c r="N177" s="55">
        <f>+H177+L177</f>
        <v>3556595</v>
      </c>
      <c r="O177" s="55"/>
      <c r="P177" s="55"/>
      <c r="Q177" s="55"/>
      <c r="R177" s="55">
        <f>+O177+P177</f>
        <v>0</v>
      </c>
      <c r="S177" s="55"/>
      <c r="T177" s="55"/>
      <c r="U177" s="55"/>
      <c r="V177" s="55"/>
      <c r="W177" s="55"/>
      <c r="X177" s="55">
        <f>+R177+V177</f>
        <v>0</v>
      </c>
      <c r="Y177" s="69">
        <f>+R177+H177</f>
        <v>3556595</v>
      </c>
      <c r="Z177" s="68">
        <f>+D177-Y177</f>
        <v>0</v>
      </c>
      <c r="AA177" s="68"/>
      <c r="AB177" s="69">
        <f>+D177-N177-X177</f>
        <v>0</v>
      </c>
    </row>
    <row r="178" spans="1:43" x14ac:dyDescent="0.25">
      <c r="A178" s="46"/>
      <c r="B178" s="34"/>
      <c r="C178" s="18" t="s">
        <v>53</v>
      </c>
      <c r="D178" s="72">
        <v>10893520.539999999</v>
      </c>
      <c r="E178" s="70"/>
      <c r="F178" s="70"/>
      <c r="G178" s="70"/>
      <c r="H178" s="67">
        <f>+E178+F178</f>
        <v>0</v>
      </c>
      <c r="I178" s="70"/>
      <c r="J178" s="70"/>
      <c r="K178" s="70"/>
      <c r="L178" s="70"/>
      <c r="M178" s="70"/>
      <c r="N178" s="68">
        <f>+H178+L178</f>
        <v>0</v>
      </c>
      <c r="O178" s="72">
        <f>4510070.69+973968.41-973968.41</f>
        <v>4510070.6900000004</v>
      </c>
      <c r="P178" s="72"/>
      <c r="Q178" s="70"/>
      <c r="R178" s="67">
        <f>+O178+P178</f>
        <v>4510070.6900000004</v>
      </c>
      <c r="S178" s="70"/>
      <c r="T178" s="70"/>
      <c r="U178" s="68"/>
      <c r="V178" s="68"/>
      <c r="W178" s="68"/>
      <c r="X178" s="68">
        <f>+R178+V178</f>
        <v>4510070.6900000004</v>
      </c>
      <c r="Y178" s="69">
        <f>+R178+H178</f>
        <v>4510070.6900000004</v>
      </c>
      <c r="Z178" s="68">
        <f>+D178-Y178</f>
        <v>6383449.8499999987</v>
      </c>
      <c r="AA178" s="68"/>
      <c r="AB178" s="69">
        <f>+D178-N178-X178</f>
        <v>6383449.8499999987</v>
      </c>
      <c r="AC178" s="49" t="s">
        <v>317</v>
      </c>
      <c r="AD178" s="94">
        <f>+D177+D148+D135</f>
        <v>20641242.059999999</v>
      </c>
      <c r="AE178" s="94">
        <f>+E177+E148+E135</f>
        <v>20641242.056000002</v>
      </c>
      <c r="AF178" s="94">
        <f>+F177+F148+F135</f>
        <v>0</v>
      </c>
      <c r="AG178" s="94">
        <f>+AE178+AF178</f>
        <v>20641242.056000002</v>
      </c>
      <c r="AH178" s="94">
        <f>+L177+L148+L135</f>
        <v>0</v>
      </c>
      <c r="AI178" s="94">
        <f>+AG178+AH178</f>
        <v>20641242.056000002</v>
      </c>
      <c r="AJ178" s="94">
        <f>+O177+O148+O135</f>
        <v>0</v>
      </c>
      <c r="AK178" s="94">
        <f>+P148+P177+P135</f>
        <v>0</v>
      </c>
      <c r="AL178" s="94">
        <f>+AJ178+AK178</f>
        <v>0</v>
      </c>
      <c r="AM178" s="94">
        <f>+V177+V148+V135</f>
        <v>0</v>
      </c>
      <c r="AN178" s="94">
        <f>+AL178+AM178</f>
        <v>0</v>
      </c>
      <c r="AO178" s="94">
        <f>+AG178+AL178</f>
        <v>20641242.056000002</v>
      </c>
      <c r="AP178" s="94">
        <f>+AD178-AO178</f>
        <v>3.9999969303607941E-3</v>
      </c>
      <c r="AQ178" s="94">
        <f>+AD178-AI178-AN178</f>
        <v>3.9999969303607941E-3</v>
      </c>
    </row>
    <row r="179" spans="1:43" x14ac:dyDescent="0.25">
      <c r="A179" s="46"/>
      <c r="B179" s="23"/>
      <c r="C179" s="18" t="s">
        <v>54</v>
      </c>
      <c r="D179" s="73">
        <v>5603896.2599999998</v>
      </c>
      <c r="E179" s="68"/>
      <c r="F179" s="67"/>
      <c r="G179" s="67"/>
      <c r="H179" s="67">
        <f>+E179+F179</f>
        <v>0</v>
      </c>
      <c r="I179" s="67"/>
      <c r="J179" s="68"/>
      <c r="K179" s="68"/>
      <c r="L179" s="67"/>
      <c r="M179" s="67"/>
      <c r="N179" s="68">
        <f>+H179+L179</f>
        <v>0</v>
      </c>
      <c r="O179" s="72">
        <v>5603896.2599999998</v>
      </c>
      <c r="P179" s="67"/>
      <c r="Q179" s="67"/>
      <c r="R179" s="67">
        <f>+O179+P179</f>
        <v>5603896.2599999998</v>
      </c>
      <c r="S179" s="67"/>
      <c r="T179" s="67"/>
      <c r="U179" s="68"/>
      <c r="V179" s="68"/>
      <c r="W179" s="68"/>
      <c r="X179" s="68">
        <f>+R179+V179</f>
        <v>5603896.2599999998</v>
      </c>
      <c r="Y179" s="69">
        <f>+R179+H179</f>
        <v>5603896.2599999998</v>
      </c>
      <c r="Z179" s="68">
        <f>+D179-Y179</f>
        <v>0</v>
      </c>
      <c r="AA179" s="68"/>
      <c r="AB179" s="69">
        <f>+D179-N179-X179</f>
        <v>0</v>
      </c>
      <c r="AC179" s="49" t="s">
        <v>323</v>
      </c>
      <c r="AD179" s="94">
        <f>+D149</f>
        <v>40000000</v>
      </c>
      <c r="AE179" s="94">
        <f>+E149</f>
        <v>40000000</v>
      </c>
      <c r="AF179" s="94">
        <f>+F149</f>
        <v>0</v>
      </c>
      <c r="AG179" s="94">
        <f>+AE179+AF179</f>
        <v>40000000</v>
      </c>
      <c r="AH179" s="94">
        <f>+L149</f>
        <v>0</v>
      </c>
      <c r="AI179" s="94">
        <f>+AG179+AH179</f>
        <v>40000000</v>
      </c>
      <c r="AJ179" s="94">
        <f>+O149</f>
        <v>0</v>
      </c>
      <c r="AK179" s="94">
        <f>+P149</f>
        <v>0</v>
      </c>
      <c r="AL179" s="94">
        <f>+AJ179+AK179</f>
        <v>0</v>
      </c>
      <c r="AM179" s="94">
        <f>+V149</f>
        <v>0</v>
      </c>
      <c r="AN179" s="94">
        <f>+AL179+AM179</f>
        <v>0</v>
      </c>
      <c r="AO179" s="94">
        <f>+AG179+AL179</f>
        <v>40000000</v>
      </c>
      <c r="AP179" s="94">
        <f>+AD179-AO179</f>
        <v>0</v>
      </c>
      <c r="AQ179" s="94">
        <f>+AD179-AI179-AN179</f>
        <v>0</v>
      </c>
    </row>
    <row r="180" spans="1:43" x14ac:dyDescent="0.25">
      <c r="A180" s="46"/>
      <c r="B180" s="23"/>
      <c r="C180" s="18"/>
      <c r="D180" s="70" t="s">
        <v>40</v>
      </c>
      <c r="E180" s="70" t="s">
        <v>40</v>
      </c>
      <c r="F180" s="70" t="s">
        <v>40</v>
      </c>
      <c r="G180" s="70"/>
      <c r="H180" s="70" t="s">
        <v>40</v>
      </c>
      <c r="I180" s="70" t="s">
        <v>40</v>
      </c>
      <c r="J180" s="70" t="s">
        <v>40</v>
      </c>
      <c r="K180" s="70" t="s">
        <v>40</v>
      </c>
      <c r="L180" s="70" t="s">
        <v>40</v>
      </c>
      <c r="M180" s="70"/>
      <c r="N180" s="70" t="s">
        <v>40</v>
      </c>
      <c r="O180" s="70" t="s">
        <v>40</v>
      </c>
      <c r="P180" s="70" t="s">
        <v>40</v>
      </c>
      <c r="Q180" s="70"/>
      <c r="R180" s="70" t="s">
        <v>40</v>
      </c>
      <c r="S180" s="70" t="s">
        <v>40</v>
      </c>
      <c r="T180" s="70" t="s">
        <v>40</v>
      </c>
      <c r="U180" s="70" t="s">
        <v>40</v>
      </c>
      <c r="V180" s="70" t="s">
        <v>40</v>
      </c>
      <c r="W180" s="70"/>
      <c r="X180" s="70" t="s">
        <v>40</v>
      </c>
      <c r="Y180" s="70" t="s">
        <v>40</v>
      </c>
      <c r="Z180" s="70" t="s">
        <v>40</v>
      </c>
      <c r="AA180" s="70" t="s">
        <v>40</v>
      </c>
      <c r="AB180" s="71" t="s">
        <v>165</v>
      </c>
      <c r="AC180" s="124" t="s">
        <v>298</v>
      </c>
      <c r="AD180" s="94">
        <f>+D126+D167</f>
        <v>13389000</v>
      </c>
      <c r="AE180" s="94">
        <f>+E126+E167</f>
        <v>13389000</v>
      </c>
      <c r="AF180" s="94">
        <f>+F126+F167</f>
        <v>0</v>
      </c>
      <c r="AG180" s="94">
        <f>+AE180+AF180</f>
        <v>13389000</v>
      </c>
      <c r="AH180" s="94">
        <f>+L126+L167+L501</f>
        <v>0</v>
      </c>
      <c r="AI180" s="94">
        <f>+AG180+AH180</f>
        <v>13389000</v>
      </c>
      <c r="AJ180" s="94">
        <f>+O126+O167+O501</f>
        <v>0</v>
      </c>
      <c r="AK180" s="94">
        <f>+P126+P167+P501</f>
        <v>0</v>
      </c>
      <c r="AL180" s="94">
        <f>+AJ180+AK180</f>
        <v>0</v>
      </c>
      <c r="AM180" s="94">
        <f>+V126+V167+V501</f>
        <v>0</v>
      </c>
      <c r="AN180" s="94">
        <f>+AL180+AM180</f>
        <v>0</v>
      </c>
      <c r="AO180" s="94">
        <f>+AG180+AL180</f>
        <v>13389000</v>
      </c>
      <c r="AP180" s="94">
        <f>+AD180-AO180</f>
        <v>0</v>
      </c>
      <c r="AQ180" s="94">
        <f>+AD180-AI180-AN180</f>
        <v>0</v>
      </c>
    </row>
    <row r="181" spans="1:43" x14ac:dyDescent="0.25">
      <c r="A181" s="46"/>
      <c r="B181" s="34"/>
      <c r="C181" s="18"/>
      <c r="D181" s="72">
        <f>SUM(D175:D179)</f>
        <v>36230769.519999996</v>
      </c>
      <c r="E181" s="72">
        <f>SUM(E175:E179)</f>
        <v>8654341</v>
      </c>
      <c r="F181" s="72">
        <f>SUM(F175:F179)</f>
        <v>0</v>
      </c>
      <c r="G181" s="72"/>
      <c r="H181" s="72">
        <f>SUM(H175:H179)</f>
        <v>8654341</v>
      </c>
      <c r="I181" s="72">
        <f>SUM(I175:I179)</f>
        <v>0</v>
      </c>
      <c r="J181" s="72">
        <f>SUM(J175:J179)</f>
        <v>0</v>
      </c>
      <c r="K181" s="72">
        <f>SUM(K175:K179)</f>
        <v>0</v>
      </c>
      <c r="L181" s="72">
        <f>SUM(L175:L179)</f>
        <v>0</v>
      </c>
      <c r="M181" s="72"/>
      <c r="N181" s="72">
        <f>SUM(N175:N179)</f>
        <v>8654341</v>
      </c>
      <c r="O181" s="72">
        <f>SUM(O175:O179)</f>
        <v>10113966.949999999</v>
      </c>
      <c r="P181" s="72">
        <f>SUM(P175:P179)</f>
        <v>0</v>
      </c>
      <c r="Q181" s="72"/>
      <c r="R181" s="72">
        <f>SUM(R175:R179)</f>
        <v>10113966.949999999</v>
      </c>
      <c r="S181" s="72">
        <f>SUM(S175:S179)</f>
        <v>0</v>
      </c>
      <c r="T181" s="72">
        <f>SUM(T175:T179)</f>
        <v>0</v>
      </c>
      <c r="U181" s="72">
        <f>SUM(U175:U179)</f>
        <v>0</v>
      </c>
      <c r="V181" s="72">
        <f>SUM(V175:V179)</f>
        <v>0</v>
      </c>
      <c r="W181" s="72"/>
      <c r="X181" s="72">
        <f>SUM(X175:X179)</f>
        <v>10113966.949999999</v>
      </c>
      <c r="Y181" s="72">
        <f>SUM(Y175:Y179)</f>
        <v>18768307.950000003</v>
      </c>
      <c r="Z181" s="72">
        <f>SUM(Z175:Z179)</f>
        <v>17462461.57</v>
      </c>
      <c r="AA181" s="72">
        <f>SUM(AA175:AA179)</f>
        <v>0</v>
      </c>
      <c r="AB181" s="72">
        <f>SUM(AB175:AB179)</f>
        <v>17462461.57</v>
      </c>
      <c r="AC181" s="49" t="s">
        <v>47</v>
      </c>
      <c r="AD181" s="94">
        <f>D124+D134+D144+D156+D165+D175+D184</f>
        <v>106783260.78000002</v>
      </c>
      <c r="AE181" s="94">
        <f>E124+E134+E144+E156+E165+E175+E184</f>
        <v>0</v>
      </c>
      <c r="AF181" s="94">
        <f>F124+F134+F144+F156+F165+F175+F184</f>
        <v>1207870.27</v>
      </c>
      <c r="AG181" s="94">
        <f>+AE181+AF181</f>
        <v>1207870.27</v>
      </c>
      <c r="AH181" s="94">
        <f>L124+L134+L144+L156+L165+L175+L184</f>
        <v>0</v>
      </c>
      <c r="AI181" s="94">
        <f>+AG181+AH181</f>
        <v>1207870.27</v>
      </c>
      <c r="AJ181" s="94">
        <f>O124+O134+O144+O156+O165+O175+O184</f>
        <v>2893589.86</v>
      </c>
      <c r="AK181" s="94">
        <f>P124+P134+P144+P156+P165+P175+P184</f>
        <v>0</v>
      </c>
      <c r="AL181" s="94">
        <f>+AJ181+AK181</f>
        <v>2893589.86</v>
      </c>
      <c r="AM181" s="94">
        <f>V124+V134+V144+V156+V165+V175+V184</f>
        <v>411900</v>
      </c>
      <c r="AN181" s="94">
        <f>+AL181+AM181</f>
        <v>3305489.86</v>
      </c>
      <c r="AO181" s="94">
        <f>+AG181+AL181</f>
        <v>4101460.13</v>
      </c>
      <c r="AP181" s="94">
        <f>+AD181-AO181</f>
        <v>102681800.65000002</v>
      </c>
      <c r="AQ181" s="94">
        <f>+AD181-AI181-AN181</f>
        <v>102269900.65000002</v>
      </c>
    </row>
    <row r="182" spans="1:43" x14ac:dyDescent="0.25">
      <c r="A182" s="46"/>
      <c r="B182" s="34"/>
      <c r="C182" s="18"/>
      <c r="D182" s="70" t="s">
        <v>40</v>
      </c>
      <c r="E182" s="70" t="s">
        <v>40</v>
      </c>
      <c r="F182" s="70" t="s">
        <v>40</v>
      </c>
      <c r="G182" s="70"/>
      <c r="H182" s="70" t="s">
        <v>40</v>
      </c>
      <c r="I182" s="70" t="s">
        <v>40</v>
      </c>
      <c r="J182" s="70" t="s">
        <v>40</v>
      </c>
      <c r="K182" s="70" t="s">
        <v>40</v>
      </c>
      <c r="L182" s="70" t="s">
        <v>40</v>
      </c>
      <c r="M182" s="70"/>
      <c r="N182" s="70" t="s">
        <v>40</v>
      </c>
      <c r="O182" s="70" t="s">
        <v>40</v>
      </c>
      <c r="P182" s="70" t="s">
        <v>40</v>
      </c>
      <c r="Q182" s="70"/>
      <c r="R182" s="70" t="s">
        <v>40</v>
      </c>
      <c r="S182" s="70" t="s">
        <v>40</v>
      </c>
      <c r="T182" s="70" t="s">
        <v>40</v>
      </c>
      <c r="U182" s="70" t="s">
        <v>40</v>
      </c>
      <c r="V182" s="70" t="s">
        <v>40</v>
      </c>
      <c r="W182" s="70"/>
      <c r="X182" s="70" t="s">
        <v>40</v>
      </c>
      <c r="Y182" s="70" t="s">
        <v>40</v>
      </c>
      <c r="Z182" s="70" t="s">
        <v>40</v>
      </c>
      <c r="AA182" s="70" t="s">
        <v>40</v>
      </c>
      <c r="AB182" s="71" t="s">
        <v>165</v>
      </c>
      <c r="AC182" s="49" t="s">
        <v>36</v>
      </c>
      <c r="AD182" s="94">
        <f>D125+D145+D157+D166</f>
        <v>10560642</v>
      </c>
      <c r="AE182" s="94">
        <f>E125+E145+E157+E166</f>
        <v>10560642</v>
      </c>
      <c r="AF182" s="94">
        <f>F125+F145+F157+F166</f>
        <v>0</v>
      </c>
      <c r="AG182" s="94">
        <f t="shared" ref="AG182:AG188" si="79">+AE182+AF182</f>
        <v>10560642</v>
      </c>
      <c r="AH182" s="94">
        <f>L125+L145+L157+L166</f>
        <v>0</v>
      </c>
      <c r="AI182" s="94">
        <f t="shared" ref="AI182:AI188" si="80">+AG182+AH182</f>
        <v>10560642</v>
      </c>
      <c r="AJ182" s="94">
        <f>O125+O145+O157+O166</f>
        <v>0</v>
      </c>
      <c r="AK182" s="94">
        <f>P125+P145+P157+P166</f>
        <v>0</v>
      </c>
      <c r="AL182" s="94">
        <f t="shared" ref="AL182:AL188" si="81">+AJ182+AK182</f>
        <v>0</v>
      </c>
      <c r="AM182" s="94">
        <f>V125+V145+V157+V166</f>
        <v>0</v>
      </c>
      <c r="AN182" s="94">
        <f t="shared" ref="AN182:AN188" si="82">+AL182+AM182</f>
        <v>0</v>
      </c>
      <c r="AO182" s="94">
        <f t="shared" ref="AO182:AO188" si="83">+AG182+AL182</f>
        <v>10560642</v>
      </c>
      <c r="AP182" s="94">
        <f t="shared" ref="AP182:AP188" si="84">+AD182-AO182</f>
        <v>0</v>
      </c>
      <c r="AQ182" s="94">
        <f t="shared" ref="AQ182:AQ188" si="85">+AD182-AI182-AN182</f>
        <v>0</v>
      </c>
    </row>
    <row r="183" spans="1:43" x14ac:dyDescent="0.25">
      <c r="A183" s="46"/>
      <c r="B183" s="34"/>
      <c r="C183" s="18"/>
      <c r="D183" s="72"/>
      <c r="E183" s="70"/>
      <c r="F183" s="70"/>
      <c r="G183" s="70"/>
      <c r="H183" s="67"/>
      <c r="I183" s="70"/>
      <c r="J183" s="70"/>
      <c r="K183" s="70"/>
      <c r="L183" s="70"/>
      <c r="M183" s="70"/>
      <c r="N183" s="68"/>
      <c r="O183" s="72"/>
      <c r="P183" s="70"/>
      <c r="Q183" s="70"/>
      <c r="R183" s="70"/>
      <c r="S183" s="70"/>
      <c r="T183" s="70"/>
      <c r="U183" s="68"/>
      <c r="V183" s="68"/>
      <c r="W183" s="68"/>
      <c r="X183" s="68"/>
      <c r="Y183" s="68"/>
      <c r="Z183" s="68"/>
      <c r="AA183" s="68"/>
      <c r="AB183" s="68"/>
      <c r="AC183" s="49" t="s">
        <v>53</v>
      </c>
      <c r="AD183" s="94">
        <f>D127+D136+D146+D159+D168+D178</f>
        <v>99623061.99000001</v>
      </c>
      <c r="AE183" s="94">
        <f>E127+E136+E146+E159+E168+E178</f>
        <v>0</v>
      </c>
      <c r="AF183" s="94">
        <f>F127+F136+F146+F159+F168+F178</f>
        <v>0</v>
      </c>
      <c r="AG183" s="94">
        <f t="shared" si="79"/>
        <v>0</v>
      </c>
      <c r="AH183" s="94">
        <f>L127+L136+L146+L159+L168+L178</f>
        <v>0</v>
      </c>
      <c r="AI183" s="94">
        <f t="shared" si="80"/>
        <v>0</v>
      </c>
      <c r="AJ183" s="94">
        <f>O127+O136+O146+O159+O168+O178</f>
        <v>88232170.729999989</v>
      </c>
      <c r="AK183" s="94">
        <f>P127+P136+P146+P159+P168+P178</f>
        <v>0</v>
      </c>
      <c r="AL183" s="94">
        <f t="shared" si="81"/>
        <v>88232170.729999989</v>
      </c>
      <c r="AM183" s="94">
        <f>V127+V136+V146+V159+V168+V178</f>
        <v>0</v>
      </c>
      <c r="AN183" s="94">
        <f t="shared" si="82"/>
        <v>88232170.729999989</v>
      </c>
      <c r="AO183" s="94">
        <f t="shared" si="83"/>
        <v>88232170.729999989</v>
      </c>
      <c r="AP183" s="94">
        <f t="shared" si="84"/>
        <v>11390891.26000002</v>
      </c>
      <c r="AQ183" s="94">
        <f t="shared" si="85"/>
        <v>11390891.26000002</v>
      </c>
    </row>
    <row r="184" spans="1:43" x14ac:dyDescent="0.25">
      <c r="A184" s="46">
        <v>18</v>
      </c>
      <c r="B184" s="34" t="s">
        <v>176</v>
      </c>
      <c r="C184" s="2" t="s">
        <v>35</v>
      </c>
      <c r="D184" s="73">
        <v>36311.56</v>
      </c>
      <c r="E184" s="68"/>
      <c r="F184" s="68"/>
      <c r="G184" s="68"/>
      <c r="H184" s="67">
        <f>+E184+F184</f>
        <v>0</v>
      </c>
      <c r="I184" s="68"/>
      <c r="J184" s="68"/>
      <c r="K184" s="68"/>
      <c r="L184" s="68"/>
      <c r="M184" s="68"/>
      <c r="N184" s="68">
        <f>+H184+L184</f>
        <v>0</v>
      </c>
      <c r="O184" s="73"/>
      <c r="P184" s="68"/>
      <c r="Q184" s="68"/>
      <c r="R184" s="67">
        <f>+O184+P184</f>
        <v>0</v>
      </c>
      <c r="S184" s="68"/>
      <c r="T184" s="68"/>
      <c r="U184" s="68"/>
      <c r="V184" s="68"/>
      <c r="W184" s="68"/>
      <c r="X184" s="68">
        <f>+R184+V184</f>
        <v>0</v>
      </c>
      <c r="Y184" s="69">
        <f>+R184+H184</f>
        <v>0</v>
      </c>
      <c r="Z184" s="68">
        <f>+D184-Y184</f>
        <v>36311.56</v>
      </c>
      <c r="AA184" s="68"/>
      <c r="AB184" s="69">
        <f>+D184-N184-X184</f>
        <v>36311.56</v>
      </c>
      <c r="AC184" s="49" t="s">
        <v>54</v>
      </c>
      <c r="AD184" s="94">
        <f>D129+D138+D147+D158+D169+D179</f>
        <v>27620491.449999996</v>
      </c>
      <c r="AE184" s="94">
        <f>E129+E138+E147+E158+E169+E179</f>
        <v>0</v>
      </c>
      <c r="AF184" s="94">
        <f>F129+F138+F147+F158+F169+F179</f>
        <v>0</v>
      </c>
      <c r="AG184" s="94">
        <f t="shared" si="79"/>
        <v>0</v>
      </c>
      <c r="AH184" s="94">
        <f>L129+L138+L147+L158+L169+L179</f>
        <v>0</v>
      </c>
      <c r="AI184" s="94">
        <f t="shared" si="80"/>
        <v>0</v>
      </c>
      <c r="AJ184" s="94">
        <f>O129+O138+O147+O158+O169+O179</f>
        <v>22282219.409999996</v>
      </c>
      <c r="AK184" s="94">
        <f>P129+P138+P147+P158+P169+P179</f>
        <v>0</v>
      </c>
      <c r="AL184" s="94">
        <f t="shared" si="81"/>
        <v>22282219.409999996</v>
      </c>
      <c r="AM184" s="94">
        <f>V129+V138+V147+V158+V169+V179</f>
        <v>0</v>
      </c>
      <c r="AN184" s="94">
        <f t="shared" si="82"/>
        <v>22282219.409999996</v>
      </c>
      <c r="AO184" s="94">
        <f t="shared" si="83"/>
        <v>22282219.409999996</v>
      </c>
      <c r="AP184" s="94">
        <f t="shared" si="84"/>
        <v>5338272.0399999991</v>
      </c>
      <c r="AQ184" s="94">
        <f t="shared" si="85"/>
        <v>5338272.0399999991</v>
      </c>
    </row>
    <row r="185" spans="1:43" x14ac:dyDescent="0.25">
      <c r="A185" s="46"/>
      <c r="B185" s="23"/>
      <c r="C185" s="18" t="s">
        <v>38</v>
      </c>
      <c r="D185" s="72">
        <v>500000</v>
      </c>
      <c r="E185" s="67"/>
      <c r="F185" s="67"/>
      <c r="G185" s="67"/>
      <c r="H185" s="67">
        <f>+E185+F185</f>
        <v>0</v>
      </c>
      <c r="I185" s="67"/>
      <c r="J185" s="67"/>
      <c r="K185" s="67"/>
      <c r="L185" s="67"/>
      <c r="M185" s="67"/>
      <c r="N185" s="68">
        <f>+H185+L185</f>
        <v>0</v>
      </c>
      <c r="O185" s="72"/>
      <c r="P185" s="67"/>
      <c r="Q185" s="67"/>
      <c r="R185" s="67">
        <f>+O185+P185</f>
        <v>0</v>
      </c>
      <c r="S185" s="67"/>
      <c r="T185" s="67"/>
      <c r="U185" s="68"/>
      <c r="V185" s="68"/>
      <c r="W185" s="68"/>
      <c r="X185" s="68">
        <f>+R185+V185</f>
        <v>0</v>
      </c>
      <c r="Y185" s="69">
        <f>+R185+H185</f>
        <v>0</v>
      </c>
      <c r="Z185" s="68">
        <f>+D185-Y185</f>
        <v>500000</v>
      </c>
      <c r="AA185" s="68"/>
      <c r="AB185" s="69">
        <f>+D185-N185-X185</f>
        <v>500000</v>
      </c>
      <c r="AC185" s="49" t="s">
        <v>38</v>
      </c>
      <c r="AD185" s="94">
        <f>D128+D137+D185</f>
        <v>14721000</v>
      </c>
      <c r="AE185" s="94">
        <f>E128+E137+E185</f>
        <v>0</v>
      </c>
      <c r="AF185" s="94">
        <f>F128+F137+F185</f>
        <v>0</v>
      </c>
      <c r="AG185" s="94">
        <f t="shared" si="79"/>
        <v>0</v>
      </c>
      <c r="AH185" s="94">
        <f>L128+L137+L185</f>
        <v>0</v>
      </c>
      <c r="AI185" s="94">
        <f t="shared" si="80"/>
        <v>0</v>
      </c>
      <c r="AJ185" s="94">
        <f>O128+O137+O185</f>
        <v>0</v>
      </c>
      <c r="AK185" s="94">
        <f>P128+P137+P185</f>
        <v>0</v>
      </c>
      <c r="AL185" s="94">
        <f t="shared" si="81"/>
        <v>0</v>
      </c>
      <c r="AM185" s="94">
        <f>V128+V137+V185</f>
        <v>0</v>
      </c>
      <c r="AN185" s="94">
        <f t="shared" si="82"/>
        <v>0</v>
      </c>
      <c r="AO185" s="94">
        <f t="shared" si="83"/>
        <v>0</v>
      </c>
      <c r="AP185" s="94">
        <f t="shared" si="84"/>
        <v>14721000</v>
      </c>
      <c r="AQ185" s="94">
        <f t="shared" si="85"/>
        <v>14721000</v>
      </c>
    </row>
    <row r="186" spans="1:43" x14ac:dyDescent="0.25">
      <c r="A186" s="46"/>
      <c r="B186" s="34"/>
      <c r="C186" s="18"/>
      <c r="D186" s="70" t="s">
        <v>40</v>
      </c>
      <c r="E186" s="70" t="s">
        <v>40</v>
      </c>
      <c r="F186" s="70" t="s">
        <v>40</v>
      </c>
      <c r="G186" s="70"/>
      <c r="H186" s="70" t="s">
        <v>40</v>
      </c>
      <c r="I186" s="70" t="s">
        <v>40</v>
      </c>
      <c r="J186" s="70" t="s">
        <v>40</v>
      </c>
      <c r="K186" s="70" t="s">
        <v>40</v>
      </c>
      <c r="L186" s="70" t="s">
        <v>40</v>
      </c>
      <c r="M186" s="70"/>
      <c r="N186" s="70" t="s">
        <v>40</v>
      </c>
      <c r="O186" s="70" t="s">
        <v>40</v>
      </c>
      <c r="P186" s="70" t="s">
        <v>40</v>
      </c>
      <c r="Q186" s="70"/>
      <c r="R186" s="70" t="s">
        <v>40</v>
      </c>
      <c r="S186" s="70" t="s">
        <v>40</v>
      </c>
      <c r="T186" s="70" t="s">
        <v>40</v>
      </c>
      <c r="U186" s="70" t="s">
        <v>40</v>
      </c>
      <c r="V186" s="70" t="s">
        <v>40</v>
      </c>
      <c r="W186" s="70"/>
      <c r="X186" s="70" t="s">
        <v>40</v>
      </c>
      <c r="Y186" s="70" t="s">
        <v>40</v>
      </c>
      <c r="Z186" s="70" t="s">
        <v>40</v>
      </c>
      <c r="AA186" s="70" t="s">
        <v>40</v>
      </c>
      <c r="AB186" s="71" t="s">
        <v>165</v>
      </c>
      <c r="AC186" s="49" t="s">
        <v>255</v>
      </c>
      <c r="AD186" s="94">
        <f>D150+D160+D176</f>
        <v>14279036.310000001</v>
      </c>
      <c r="AE186" s="94">
        <f>E150+E160+E176</f>
        <v>14279036.310000001</v>
      </c>
      <c r="AF186" s="94">
        <f>F150+F160+F176</f>
        <v>0</v>
      </c>
      <c r="AG186" s="94">
        <f t="shared" si="79"/>
        <v>14279036.310000001</v>
      </c>
      <c r="AH186" s="94">
        <f>L150+L160+L176</f>
        <v>0</v>
      </c>
      <c r="AI186" s="94">
        <f t="shared" si="80"/>
        <v>14279036.310000001</v>
      </c>
      <c r="AJ186" s="94">
        <f>O150+O160+O176</f>
        <v>0</v>
      </c>
      <c r="AK186" s="94">
        <f>P150+P160+P176</f>
        <v>0</v>
      </c>
      <c r="AL186" s="94">
        <f t="shared" si="81"/>
        <v>0</v>
      </c>
      <c r="AM186" s="94">
        <f>V150+V160+V176</f>
        <v>0</v>
      </c>
      <c r="AN186" s="94">
        <f t="shared" si="82"/>
        <v>0</v>
      </c>
      <c r="AO186" s="94">
        <f t="shared" si="83"/>
        <v>14279036.310000001</v>
      </c>
      <c r="AP186" s="94">
        <f t="shared" si="84"/>
        <v>0</v>
      </c>
      <c r="AQ186" s="94">
        <f t="shared" si="85"/>
        <v>0</v>
      </c>
    </row>
    <row r="187" spans="1:43" x14ac:dyDescent="0.25">
      <c r="A187" s="46"/>
      <c r="B187" s="34"/>
      <c r="C187" s="19"/>
      <c r="D187" s="73">
        <f>SUM(D184:D185)</f>
        <v>536311.56000000006</v>
      </c>
      <c r="E187" s="73">
        <f t="shared" ref="E187:AB187" si="86">SUM(E184:E185)</f>
        <v>0</v>
      </c>
      <c r="F187" s="73">
        <f t="shared" si="86"/>
        <v>0</v>
      </c>
      <c r="G187" s="73"/>
      <c r="H187" s="73">
        <f t="shared" si="86"/>
        <v>0</v>
      </c>
      <c r="I187" s="73">
        <f t="shared" si="86"/>
        <v>0</v>
      </c>
      <c r="J187" s="73">
        <f t="shared" si="86"/>
        <v>0</v>
      </c>
      <c r="K187" s="73">
        <f t="shared" si="86"/>
        <v>0</v>
      </c>
      <c r="L187" s="73">
        <f t="shared" si="86"/>
        <v>0</v>
      </c>
      <c r="M187" s="73"/>
      <c r="N187" s="73">
        <f t="shared" si="86"/>
        <v>0</v>
      </c>
      <c r="O187" s="73">
        <f t="shared" si="86"/>
        <v>0</v>
      </c>
      <c r="P187" s="73">
        <f t="shared" si="86"/>
        <v>0</v>
      </c>
      <c r="Q187" s="73"/>
      <c r="R187" s="73">
        <f t="shared" si="86"/>
        <v>0</v>
      </c>
      <c r="S187" s="73">
        <f t="shared" si="86"/>
        <v>0</v>
      </c>
      <c r="T187" s="73">
        <f t="shared" si="86"/>
        <v>0</v>
      </c>
      <c r="U187" s="73">
        <f t="shared" si="86"/>
        <v>0</v>
      </c>
      <c r="V187" s="73">
        <f t="shared" si="86"/>
        <v>0</v>
      </c>
      <c r="W187" s="73"/>
      <c r="X187" s="73">
        <f t="shared" si="86"/>
        <v>0</v>
      </c>
      <c r="Y187" s="73">
        <f t="shared" si="86"/>
        <v>0</v>
      </c>
      <c r="Z187" s="73">
        <f t="shared" si="86"/>
        <v>536311.56000000006</v>
      </c>
      <c r="AA187" s="73">
        <f t="shared" si="86"/>
        <v>0</v>
      </c>
      <c r="AB187" s="73">
        <f t="shared" si="86"/>
        <v>536311.56000000006</v>
      </c>
      <c r="AC187" s="49" t="s">
        <v>245</v>
      </c>
      <c r="AD187" s="94">
        <f>+D170</f>
        <v>434405</v>
      </c>
      <c r="AE187" s="94">
        <f>+E170</f>
        <v>0</v>
      </c>
      <c r="AF187" s="94">
        <f>+F170</f>
        <v>0</v>
      </c>
      <c r="AG187" s="94">
        <f t="shared" si="79"/>
        <v>0</v>
      </c>
      <c r="AH187" s="94">
        <f>+L170</f>
        <v>0</v>
      </c>
      <c r="AI187" s="94">
        <f t="shared" si="80"/>
        <v>0</v>
      </c>
      <c r="AJ187" s="94">
        <f>+O170</f>
        <v>0</v>
      </c>
      <c r="AK187" s="94">
        <f>+P170</f>
        <v>0</v>
      </c>
      <c r="AL187" s="94">
        <f t="shared" si="81"/>
        <v>0</v>
      </c>
      <c r="AM187" s="94">
        <f>+V170</f>
        <v>0</v>
      </c>
      <c r="AN187" s="94">
        <f t="shared" si="82"/>
        <v>0</v>
      </c>
      <c r="AO187" s="94">
        <f t="shared" si="83"/>
        <v>0</v>
      </c>
      <c r="AP187" s="94">
        <f t="shared" si="84"/>
        <v>434405</v>
      </c>
      <c r="AQ187" s="94">
        <f t="shared" si="85"/>
        <v>434405</v>
      </c>
    </row>
    <row r="188" spans="1:43" x14ac:dyDescent="0.25">
      <c r="A188" s="46"/>
      <c r="B188" s="34"/>
      <c r="C188" s="19"/>
      <c r="D188" s="70" t="s">
        <v>40</v>
      </c>
      <c r="E188" s="70" t="s">
        <v>40</v>
      </c>
      <c r="F188" s="70" t="s">
        <v>40</v>
      </c>
      <c r="G188" s="70"/>
      <c r="H188" s="70" t="s">
        <v>40</v>
      </c>
      <c r="I188" s="70" t="s">
        <v>40</v>
      </c>
      <c r="J188" s="70" t="s">
        <v>40</v>
      </c>
      <c r="K188" s="70" t="s">
        <v>40</v>
      </c>
      <c r="L188" s="70" t="s">
        <v>40</v>
      </c>
      <c r="M188" s="70"/>
      <c r="N188" s="70" t="s">
        <v>40</v>
      </c>
      <c r="O188" s="70" t="s">
        <v>40</v>
      </c>
      <c r="P188" s="70" t="s">
        <v>40</v>
      </c>
      <c r="Q188" s="70"/>
      <c r="R188" s="70" t="s">
        <v>40</v>
      </c>
      <c r="S188" s="70" t="s">
        <v>40</v>
      </c>
      <c r="T188" s="70" t="s">
        <v>40</v>
      </c>
      <c r="U188" s="70" t="s">
        <v>40</v>
      </c>
      <c r="V188" s="70" t="s">
        <v>40</v>
      </c>
      <c r="W188" s="70"/>
      <c r="X188" s="70" t="s">
        <v>40</v>
      </c>
      <c r="Y188" s="70" t="s">
        <v>40</v>
      </c>
      <c r="Z188" s="70" t="s">
        <v>40</v>
      </c>
      <c r="AA188" s="70" t="s">
        <v>40</v>
      </c>
      <c r="AB188" s="71" t="s">
        <v>165</v>
      </c>
      <c r="AC188" s="49" t="s">
        <v>167</v>
      </c>
      <c r="AD188" s="94">
        <f>+D151+D139</f>
        <v>4625000</v>
      </c>
      <c r="AE188" s="94">
        <f>+E151+E139</f>
        <v>0</v>
      </c>
      <c r="AF188" s="94">
        <f>+F151+F139</f>
        <v>0</v>
      </c>
      <c r="AG188" s="94">
        <f t="shared" si="79"/>
        <v>0</v>
      </c>
      <c r="AH188" s="94">
        <f>+L151+L139</f>
        <v>0</v>
      </c>
      <c r="AI188" s="94">
        <f t="shared" si="80"/>
        <v>0</v>
      </c>
      <c r="AJ188" s="94">
        <f>+O151+O139</f>
        <v>0</v>
      </c>
      <c r="AK188" s="94">
        <f>+P151+P139</f>
        <v>0</v>
      </c>
      <c r="AL188" s="94">
        <f t="shared" si="81"/>
        <v>0</v>
      </c>
      <c r="AM188" s="94">
        <f>+V151+V139</f>
        <v>0</v>
      </c>
      <c r="AN188" s="94">
        <f t="shared" si="82"/>
        <v>0</v>
      </c>
      <c r="AO188" s="94">
        <f t="shared" si="83"/>
        <v>0</v>
      </c>
      <c r="AP188" s="94">
        <f t="shared" si="84"/>
        <v>4625000</v>
      </c>
      <c r="AQ188" s="94">
        <f t="shared" si="85"/>
        <v>4625000</v>
      </c>
    </row>
    <row r="189" spans="1:43" x14ac:dyDescent="0.25">
      <c r="A189" s="46"/>
      <c r="B189" s="36" t="s">
        <v>177</v>
      </c>
      <c r="C189" s="19" t="s">
        <v>168</v>
      </c>
      <c r="D189" s="73">
        <f>D131+D141+D153+D162+D172+D181+D187</f>
        <v>352677139.58999997</v>
      </c>
      <c r="E189" s="73">
        <f>E131+E141+E153+E162+E172+E181+E187</f>
        <v>98869920.365999997</v>
      </c>
      <c r="F189" s="73">
        <f>F131+F141+F153+F162+F172+F181+F187</f>
        <v>1207870.27</v>
      </c>
      <c r="G189" s="73"/>
      <c r="H189" s="73">
        <f>H131+H141+H153+H162+H172+H181+H187</f>
        <v>100077790.63599999</v>
      </c>
      <c r="I189" s="73">
        <f>I131+I141+I153+I162+I172+I181+I187</f>
        <v>0</v>
      </c>
      <c r="J189" s="73">
        <f>J131+J141+J153+J162+J172+J181+J187</f>
        <v>0</v>
      </c>
      <c r="K189" s="73">
        <f>K131+K141+K153+K162+K172+K181+K187</f>
        <v>0</v>
      </c>
      <c r="L189" s="73">
        <f>L131+L141+L153+L162+L172+L181+L187</f>
        <v>0</v>
      </c>
      <c r="M189" s="73"/>
      <c r="N189" s="73">
        <f>N131+N141+N153+N162+N172+N181+N187</f>
        <v>100077790.63599999</v>
      </c>
      <c r="O189" s="73">
        <f>O131+O141+O153+O162+O172+O181+O187</f>
        <v>113407980</v>
      </c>
      <c r="P189" s="73">
        <f>P131+P141+P153+P162+P172+P181+P187</f>
        <v>0</v>
      </c>
      <c r="Q189" s="73"/>
      <c r="R189" s="73">
        <f>R131+R141+R153+R162+R172+R181+R187</f>
        <v>113407980</v>
      </c>
      <c r="S189" s="73">
        <f>S131+S141+S153+S162+S172+S181+S187</f>
        <v>0</v>
      </c>
      <c r="T189" s="73">
        <f>T131+T141+T153+T162+T172+T181+T187</f>
        <v>0</v>
      </c>
      <c r="U189" s="73">
        <f>U131+U141+U153+U162+U172+U181+U187</f>
        <v>0</v>
      </c>
      <c r="V189" s="73">
        <f>V131+V141+V153+V162+V172+V181+V187</f>
        <v>411900</v>
      </c>
      <c r="W189" s="73"/>
      <c r="X189" s="73">
        <f>X131+X141+X153+X162+X172+X181+X187</f>
        <v>113819880</v>
      </c>
      <c r="Y189" s="73">
        <f>Y131+Y141+Y153+Y162+Y172+Y181+Y187</f>
        <v>213485770.63599998</v>
      </c>
      <c r="Z189" s="73">
        <f>Z131+Z141+Z153+Z162+Z172+Z181+Z187</f>
        <v>139191368.954</v>
      </c>
      <c r="AA189" s="73">
        <f>AA131+AA141+AA153+AA162+AA172+AA181+AA187</f>
        <v>0</v>
      </c>
      <c r="AB189" s="73">
        <f>AB131+AB141+AB153+AB162+AB172+AB181+AB187</f>
        <v>138779468.954</v>
      </c>
      <c r="AD189" s="95">
        <f>SUM(AD178:AD188)</f>
        <v>352677139.59000003</v>
      </c>
      <c r="AE189" s="95">
        <f t="shared" ref="AE189:AQ189" si="87">SUM(AE178:AE188)</f>
        <v>98869920.365999997</v>
      </c>
      <c r="AF189" s="95">
        <f t="shared" si="87"/>
        <v>1207870.27</v>
      </c>
      <c r="AG189" s="95">
        <f t="shared" si="87"/>
        <v>100077790.63599999</v>
      </c>
      <c r="AH189" s="95">
        <f t="shared" si="87"/>
        <v>0</v>
      </c>
      <c r="AI189" s="95">
        <f t="shared" si="87"/>
        <v>100077790.63599999</v>
      </c>
      <c r="AJ189" s="95">
        <f t="shared" si="87"/>
        <v>113407979.99999999</v>
      </c>
      <c r="AK189" s="95">
        <f t="shared" si="87"/>
        <v>0</v>
      </c>
      <c r="AL189" s="95">
        <f t="shared" si="87"/>
        <v>113407979.99999999</v>
      </c>
      <c r="AM189" s="95">
        <f t="shared" si="87"/>
        <v>411900</v>
      </c>
      <c r="AN189" s="95">
        <f t="shared" si="87"/>
        <v>113819879.99999999</v>
      </c>
      <c r="AO189" s="95">
        <f t="shared" si="87"/>
        <v>213485770.63599998</v>
      </c>
      <c r="AP189" s="95">
        <f t="shared" si="87"/>
        <v>139191368.95400003</v>
      </c>
      <c r="AQ189" s="95">
        <f t="shared" si="87"/>
        <v>138779468.95400003</v>
      </c>
    </row>
    <row r="190" spans="1:43" x14ac:dyDescent="0.25">
      <c r="A190" s="46"/>
      <c r="B190" s="31"/>
      <c r="D190" s="74" t="s">
        <v>166</v>
      </c>
      <c r="E190" s="74" t="s">
        <v>166</v>
      </c>
      <c r="F190" s="74" t="s">
        <v>166</v>
      </c>
      <c r="G190" s="74"/>
      <c r="H190" s="74" t="s">
        <v>166</v>
      </c>
      <c r="I190" s="68"/>
      <c r="J190" s="68"/>
      <c r="K190" s="68"/>
      <c r="L190" s="74" t="s">
        <v>166</v>
      </c>
      <c r="M190" s="74"/>
      <c r="N190" s="74" t="s">
        <v>166</v>
      </c>
      <c r="O190" s="74" t="s">
        <v>166</v>
      </c>
      <c r="P190" s="74" t="s">
        <v>166</v>
      </c>
      <c r="Q190" s="74"/>
      <c r="R190" s="74" t="s">
        <v>166</v>
      </c>
      <c r="S190" s="68"/>
      <c r="T190" s="68"/>
      <c r="U190" s="68"/>
      <c r="V190" s="74" t="s">
        <v>166</v>
      </c>
      <c r="W190" s="74"/>
      <c r="X190" s="74" t="s">
        <v>166</v>
      </c>
      <c r="Y190" s="74" t="s">
        <v>166</v>
      </c>
      <c r="Z190" s="74" t="s">
        <v>166</v>
      </c>
      <c r="AA190" s="68"/>
      <c r="AB190" s="74" t="s">
        <v>166</v>
      </c>
      <c r="AO190" s="94"/>
    </row>
    <row r="191" spans="1:43" x14ac:dyDescent="0.25">
      <c r="A191" s="46"/>
      <c r="B191" s="34"/>
      <c r="C191" s="20"/>
      <c r="D191" s="75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73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</row>
    <row r="192" spans="1:43" x14ac:dyDescent="0.25">
      <c r="A192" s="46"/>
      <c r="B192" s="26"/>
      <c r="C192" s="4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73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Q192">
        <f>+AQ189-AB189</f>
        <v>0</v>
      </c>
    </row>
    <row r="193" spans="1:28" ht="19.5" x14ac:dyDescent="0.35">
      <c r="A193" s="46"/>
      <c r="B193" s="47" t="s">
        <v>58</v>
      </c>
      <c r="C193" s="4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73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</row>
    <row r="194" spans="1:28" x14ac:dyDescent="0.25">
      <c r="A194" s="46"/>
      <c r="B194" s="26"/>
      <c r="C194" s="4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73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</row>
    <row r="195" spans="1:28" x14ac:dyDescent="0.25">
      <c r="A195" s="46">
        <v>19</v>
      </c>
      <c r="B195" s="35" t="s">
        <v>59</v>
      </c>
      <c r="C195" s="3" t="s">
        <v>35</v>
      </c>
      <c r="D195" s="67">
        <f>22273876.77+1500000-8000000</f>
        <v>15773876.77</v>
      </c>
      <c r="E195" s="67">
        <v>1500000</v>
      </c>
      <c r="F195" s="68"/>
      <c r="G195" s="55"/>
      <c r="H195" s="67">
        <f>E195+F195</f>
        <v>1500000</v>
      </c>
      <c r="I195" s="68"/>
      <c r="J195" s="68"/>
      <c r="K195" s="68"/>
      <c r="L195" s="67"/>
      <c r="M195" s="67"/>
      <c r="N195" s="67">
        <f>H195+L195</f>
        <v>1500000</v>
      </c>
      <c r="O195" s="72">
        <f>508901.08+741457.66</f>
        <v>1250358.74</v>
      </c>
      <c r="P195" s="68"/>
      <c r="Q195" s="68"/>
      <c r="R195" s="67">
        <f>O195+P195</f>
        <v>1250358.74</v>
      </c>
      <c r="S195" s="68"/>
      <c r="T195" s="68"/>
      <c r="U195" s="68"/>
      <c r="V195" s="67"/>
      <c r="W195" s="67"/>
      <c r="X195" s="67">
        <f>R195+V195</f>
        <v>1250358.74</v>
      </c>
      <c r="Y195" s="67">
        <f t="shared" ref="Y195:Y200" si="88">R195+H195</f>
        <v>2750358.74</v>
      </c>
      <c r="Z195" s="67">
        <f t="shared" ref="Z195:Z200" si="89">D195-Y195</f>
        <v>13023518.029999999</v>
      </c>
      <c r="AA195" s="67">
        <f t="shared" ref="AA195:AA200" si="90">N195+X195</f>
        <v>2750358.74</v>
      </c>
      <c r="AB195" s="69">
        <f t="shared" ref="AB195:AB200" si="91">+D195-N195-X195</f>
        <v>13023518.029999999</v>
      </c>
    </row>
    <row r="196" spans="1:28" x14ac:dyDescent="0.25">
      <c r="A196" s="46"/>
      <c r="B196" s="26"/>
      <c r="C196" s="3" t="s">
        <v>36</v>
      </c>
      <c r="D196" s="67">
        <v>6001800</v>
      </c>
      <c r="E196" s="67">
        <v>6001800</v>
      </c>
      <c r="F196" s="68"/>
      <c r="G196" s="68"/>
      <c r="H196" s="67">
        <f>E196+F196</f>
        <v>6001800</v>
      </c>
      <c r="I196" s="68"/>
      <c r="J196" s="68"/>
      <c r="K196" s="68"/>
      <c r="L196" s="67"/>
      <c r="M196" s="67"/>
      <c r="N196" s="67">
        <f>H196+L196</f>
        <v>6001800</v>
      </c>
      <c r="O196" s="72">
        <v>0</v>
      </c>
      <c r="P196" s="68"/>
      <c r="Q196" s="68"/>
      <c r="R196" s="67">
        <f>O196+P196</f>
        <v>0</v>
      </c>
      <c r="S196" s="68"/>
      <c r="T196" s="68"/>
      <c r="U196" s="68"/>
      <c r="V196" s="67"/>
      <c r="W196" s="67"/>
      <c r="X196" s="67">
        <f>R196+V196</f>
        <v>0</v>
      </c>
      <c r="Y196" s="67">
        <f t="shared" si="88"/>
        <v>6001800</v>
      </c>
      <c r="Z196" s="67">
        <f t="shared" si="89"/>
        <v>0</v>
      </c>
      <c r="AA196" s="67">
        <f t="shared" si="90"/>
        <v>6001800</v>
      </c>
      <c r="AB196" s="69">
        <f t="shared" si="91"/>
        <v>0</v>
      </c>
    </row>
    <row r="197" spans="1:28" x14ac:dyDescent="0.25">
      <c r="C197" s="4" t="s">
        <v>324</v>
      </c>
      <c r="D197" s="55">
        <v>8000000</v>
      </c>
      <c r="E197" s="55">
        <v>7986192.0499999998</v>
      </c>
      <c r="F197" s="55"/>
      <c r="G197" s="55"/>
      <c r="H197" s="55">
        <f>+E197+F197</f>
        <v>7986192.0499999998</v>
      </c>
      <c r="I197" s="55"/>
      <c r="J197" s="55"/>
      <c r="K197" s="55"/>
      <c r="L197" s="55"/>
      <c r="M197" s="55"/>
      <c r="N197" s="55">
        <f>+H197+L197</f>
        <v>7986192.0499999998</v>
      </c>
      <c r="O197" s="55">
        <v>0</v>
      </c>
      <c r="P197" s="55"/>
      <c r="Q197" s="55"/>
      <c r="R197" s="55">
        <f>+O197+P197</f>
        <v>0</v>
      </c>
      <c r="S197" s="55"/>
      <c r="T197" s="55"/>
      <c r="U197" s="55"/>
      <c r="V197" s="55"/>
      <c r="W197" s="55"/>
      <c r="X197" s="55">
        <f>+R197+V197</f>
        <v>0</v>
      </c>
      <c r="Y197" s="67">
        <f t="shared" si="88"/>
        <v>7986192.0499999998</v>
      </c>
      <c r="Z197" s="67">
        <f t="shared" si="89"/>
        <v>13807.950000000186</v>
      </c>
      <c r="AA197" s="67">
        <f t="shared" si="90"/>
        <v>7986192.0499999998</v>
      </c>
      <c r="AB197" s="69">
        <f t="shared" si="91"/>
        <v>13807.950000000186</v>
      </c>
    </row>
    <row r="198" spans="1:28" x14ac:dyDescent="0.25">
      <c r="A198" s="46"/>
      <c r="B198" s="26"/>
      <c r="C198" s="3" t="s">
        <v>37</v>
      </c>
      <c r="D198" s="67">
        <v>0</v>
      </c>
      <c r="E198" s="67">
        <v>0</v>
      </c>
      <c r="F198" s="68"/>
      <c r="G198" s="68"/>
      <c r="H198" s="67">
        <f>E198+F198</f>
        <v>0</v>
      </c>
      <c r="I198" s="68"/>
      <c r="J198" s="68"/>
      <c r="K198" s="68"/>
      <c r="L198" s="67"/>
      <c r="M198" s="67"/>
      <c r="N198" s="67">
        <f>H198+L198</f>
        <v>0</v>
      </c>
      <c r="O198" s="72">
        <v>0</v>
      </c>
      <c r="P198" s="68"/>
      <c r="Q198" s="68"/>
      <c r="R198" s="67">
        <f>O198+P198</f>
        <v>0</v>
      </c>
      <c r="S198" s="68"/>
      <c r="T198" s="68"/>
      <c r="U198" s="68"/>
      <c r="V198" s="67"/>
      <c r="W198" s="67"/>
      <c r="X198" s="67">
        <f>R198+V198</f>
        <v>0</v>
      </c>
      <c r="Y198" s="67">
        <f t="shared" si="88"/>
        <v>0</v>
      </c>
      <c r="Z198" s="67">
        <f t="shared" si="89"/>
        <v>0</v>
      </c>
      <c r="AA198" s="67">
        <f t="shared" si="90"/>
        <v>0</v>
      </c>
      <c r="AB198" s="69">
        <f t="shared" si="91"/>
        <v>0</v>
      </c>
    </row>
    <row r="199" spans="1:28" x14ac:dyDescent="0.25">
      <c r="A199" s="46"/>
      <c r="B199" s="26"/>
      <c r="C199" s="3" t="s">
        <v>38</v>
      </c>
      <c r="D199" s="67">
        <v>12185690</v>
      </c>
      <c r="E199" s="67">
        <v>0</v>
      </c>
      <c r="F199" s="68"/>
      <c r="G199" s="68"/>
      <c r="H199" s="67">
        <f>E199+F199</f>
        <v>0</v>
      </c>
      <c r="I199" s="68"/>
      <c r="J199" s="68"/>
      <c r="K199" s="68"/>
      <c r="L199" s="67"/>
      <c r="M199" s="67"/>
      <c r="N199" s="67">
        <f>H199+L199</f>
        <v>0</v>
      </c>
      <c r="O199" s="72">
        <v>0</v>
      </c>
      <c r="P199" s="68">
        <v>141345.20000000001</v>
      </c>
      <c r="Q199" s="68"/>
      <c r="R199" s="67">
        <f>O199+P199</f>
        <v>141345.20000000001</v>
      </c>
      <c r="S199" s="68"/>
      <c r="T199" s="68"/>
      <c r="U199" s="68"/>
      <c r="V199" s="67"/>
      <c r="W199" s="67"/>
      <c r="X199" s="67">
        <f>R199+V199</f>
        <v>141345.20000000001</v>
      </c>
      <c r="Y199" s="67">
        <f t="shared" si="88"/>
        <v>141345.20000000001</v>
      </c>
      <c r="Z199" s="67">
        <f t="shared" si="89"/>
        <v>12044344.800000001</v>
      </c>
      <c r="AA199" s="67">
        <f t="shared" si="90"/>
        <v>141345.20000000001</v>
      </c>
      <c r="AB199" s="69">
        <f t="shared" si="91"/>
        <v>12044344.800000001</v>
      </c>
    </row>
    <row r="200" spans="1:28" x14ac:dyDescent="0.25">
      <c r="A200" s="46"/>
      <c r="B200" s="26"/>
      <c r="C200" s="9" t="s">
        <v>39</v>
      </c>
      <c r="D200" s="67">
        <v>549233.9</v>
      </c>
      <c r="E200" s="67">
        <v>0</v>
      </c>
      <c r="F200" s="68"/>
      <c r="G200" s="68"/>
      <c r="H200" s="67">
        <f>E200+F200</f>
        <v>0</v>
      </c>
      <c r="I200" s="68"/>
      <c r="J200" s="68"/>
      <c r="K200" s="68"/>
      <c r="L200" s="67"/>
      <c r="M200" s="67"/>
      <c r="N200" s="67">
        <f>H200+L200</f>
        <v>0</v>
      </c>
      <c r="O200" s="67">
        <v>0</v>
      </c>
      <c r="P200" s="68"/>
      <c r="Q200" s="68"/>
      <c r="R200" s="67">
        <f>O200+P200</f>
        <v>0</v>
      </c>
      <c r="S200" s="68"/>
      <c r="T200" s="68"/>
      <c r="U200" s="68"/>
      <c r="V200" s="67"/>
      <c r="W200" s="67"/>
      <c r="X200" s="67">
        <f>R200+V200</f>
        <v>0</v>
      </c>
      <c r="Y200" s="67">
        <f t="shared" si="88"/>
        <v>0</v>
      </c>
      <c r="Z200" s="67">
        <f t="shared" si="89"/>
        <v>549233.9</v>
      </c>
      <c r="AA200" s="67">
        <f t="shared" si="90"/>
        <v>0</v>
      </c>
      <c r="AB200" s="69">
        <f t="shared" si="91"/>
        <v>549233.9</v>
      </c>
    </row>
    <row r="201" spans="1:28" x14ac:dyDescent="0.25">
      <c r="A201" s="46"/>
      <c r="B201" s="26"/>
      <c r="C201" s="4"/>
      <c r="D201" s="70" t="s">
        <v>40</v>
      </c>
      <c r="E201" s="70" t="s">
        <v>40</v>
      </c>
      <c r="F201" s="70" t="s">
        <v>40</v>
      </c>
      <c r="G201" s="70"/>
      <c r="H201" s="70" t="s">
        <v>40</v>
      </c>
      <c r="I201" s="70" t="s">
        <v>40</v>
      </c>
      <c r="J201" s="70" t="s">
        <v>40</v>
      </c>
      <c r="K201" s="70" t="s">
        <v>40</v>
      </c>
      <c r="L201" s="70" t="s">
        <v>40</v>
      </c>
      <c r="M201" s="70"/>
      <c r="N201" s="70" t="s">
        <v>40</v>
      </c>
      <c r="O201" s="70" t="s">
        <v>40</v>
      </c>
      <c r="P201" s="70" t="s">
        <v>40</v>
      </c>
      <c r="Q201" s="70"/>
      <c r="R201" s="70" t="s">
        <v>40</v>
      </c>
      <c r="S201" s="70" t="s">
        <v>40</v>
      </c>
      <c r="T201" s="70" t="s">
        <v>40</v>
      </c>
      <c r="U201" s="70" t="s">
        <v>40</v>
      </c>
      <c r="V201" s="70" t="s">
        <v>40</v>
      </c>
      <c r="W201" s="70"/>
      <c r="X201" s="70" t="s">
        <v>40</v>
      </c>
      <c r="Y201" s="70" t="s">
        <v>40</v>
      </c>
      <c r="Z201" s="70" t="s">
        <v>40</v>
      </c>
      <c r="AA201" s="70" t="s">
        <v>40</v>
      </c>
      <c r="AB201" s="70" t="s">
        <v>40</v>
      </c>
    </row>
    <row r="202" spans="1:28" x14ac:dyDescent="0.25">
      <c r="A202" s="46"/>
      <c r="B202" s="26"/>
      <c r="C202" s="4"/>
      <c r="D202" s="67">
        <f>SUM(D195:D200)</f>
        <v>42510600.669999994</v>
      </c>
      <c r="E202" s="67">
        <f>SUM(E195:E200)</f>
        <v>15487992.050000001</v>
      </c>
      <c r="F202" s="67">
        <f>SUM(F195:F200)</f>
        <v>0</v>
      </c>
      <c r="G202" s="67"/>
      <c r="H202" s="67">
        <f>SUM(H195:H200)</f>
        <v>15487992.050000001</v>
      </c>
      <c r="I202" s="67">
        <f>SUM(I195:I200)</f>
        <v>0</v>
      </c>
      <c r="J202" s="67">
        <f>SUM(J195:J200)</f>
        <v>0</v>
      </c>
      <c r="K202" s="67">
        <f>SUM(K195:K200)</f>
        <v>0</v>
      </c>
      <c r="L202" s="67">
        <f>SUM(L195:L200)</f>
        <v>0</v>
      </c>
      <c r="M202" s="67"/>
      <c r="N202" s="67">
        <f>SUM(N195:N200)</f>
        <v>15487992.050000001</v>
      </c>
      <c r="O202" s="67">
        <f>SUM(O195:O200)</f>
        <v>1250358.74</v>
      </c>
      <c r="P202" s="67">
        <f>SUM(P195:P200)</f>
        <v>141345.20000000001</v>
      </c>
      <c r="Q202" s="67"/>
      <c r="R202" s="67">
        <f>SUM(R195:R200)</f>
        <v>1391703.94</v>
      </c>
      <c r="S202" s="67">
        <f>SUM(S195:S200)</f>
        <v>0</v>
      </c>
      <c r="T202" s="67">
        <f>SUM(T195:T200)</f>
        <v>0</v>
      </c>
      <c r="U202" s="67">
        <f>SUM(U195:U200)</f>
        <v>0</v>
      </c>
      <c r="V202" s="67">
        <f>SUM(V195:V200)</f>
        <v>0</v>
      </c>
      <c r="W202" s="67"/>
      <c r="X202" s="67">
        <f>SUM(X195:X200)</f>
        <v>1391703.94</v>
      </c>
      <c r="Y202" s="67">
        <f>SUM(Y195:Y200)</f>
        <v>16879695.989999998</v>
      </c>
      <c r="Z202" s="67">
        <f>SUM(Z195:Z200)</f>
        <v>25630904.68</v>
      </c>
      <c r="AA202" s="67">
        <f>SUM(AA195:AA200)</f>
        <v>16879695.989999998</v>
      </c>
      <c r="AB202" s="67">
        <f>SUM(AB195:AB200)</f>
        <v>25630904.68</v>
      </c>
    </row>
    <row r="203" spans="1:28" x14ac:dyDescent="0.25">
      <c r="A203" s="46"/>
      <c r="B203" s="26"/>
      <c r="C203" s="4"/>
      <c r="D203" s="70" t="s">
        <v>40</v>
      </c>
      <c r="E203" s="70" t="s">
        <v>40</v>
      </c>
      <c r="F203" s="70" t="s">
        <v>40</v>
      </c>
      <c r="G203" s="70"/>
      <c r="H203" s="70" t="s">
        <v>40</v>
      </c>
      <c r="I203" s="70" t="s">
        <v>40</v>
      </c>
      <c r="J203" s="70" t="s">
        <v>40</v>
      </c>
      <c r="K203" s="70" t="s">
        <v>40</v>
      </c>
      <c r="L203" s="70" t="s">
        <v>40</v>
      </c>
      <c r="M203" s="70"/>
      <c r="N203" s="70" t="s">
        <v>40</v>
      </c>
      <c r="O203" s="70" t="s">
        <v>40</v>
      </c>
      <c r="P203" s="70" t="s">
        <v>40</v>
      </c>
      <c r="Q203" s="70"/>
      <c r="R203" s="70" t="s">
        <v>40</v>
      </c>
      <c r="S203" s="70" t="s">
        <v>40</v>
      </c>
      <c r="T203" s="70" t="s">
        <v>40</v>
      </c>
      <c r="U203" s="70" t="s">
        <v>40</v>
      </c>
      <c r="V203" s="70" t="s">
        <v>40</v>
      </c>
      <c r="W203" s="70"/>
      <c r="X203" s="70" t="s">
        <v>40</v>
      </c>
      <c r="Y203" s="70" t="s">
        <v>40</v>
      </c>
      <c r="Z203" s="70" t="s">
        <v>40</v>
      </c>
      <c r="AA203" s="70" t="s">
        <v>40</v>
      </c>
      <c r="AB203" s="70" t="s">
        <v>40</v>
      </c>
    </row>
    <row r="204" spans="1:28" x14ac:dyDescent="0.25">
      <c r="A204" s="46"/>
      <c r="B204" s="26"/>
      <c r="C204" s="4"/>
      <c r="D204" s="70"/>
      <c r="G204" s="70"/>
      <c r="H204" s="140"/>
      <c r="I204" s="140"/>
      <c r="J204" s="140"/>
      <c r="K204" s="140"/>
      <c r="L204" s="140"/>
      <c r="M204" s="14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x14ac:dyDescent="0.25">
      <c r="A205" s="46">
        <v>20</v>
      </c>
      <c r="B205" s="23" t="s">
        <v>60</v>
      </c>
      <c r="C205" s="2" t="s">
        <v>35</v>
      </c>
      <c r="D205" s="67">
        <v>8363348.5300000003</v>
      </c>
      <c r="E205" s="67">
        <v>0</v>
      </c>
      <c r="F205" s="68"/>
      <c r="G205" s="68"/>
      <c r="H205" s="67">
        <f t="shared" ref="H205:H210" si="92">E205+F205</f>
        <v>0</v>
      </c>
      <c r="I205" s="68"/>
      <c r="J205" s="68"/>
      <c r="K205" s="68"/>
      <c r="L205" s="67"/>
      <c r="M205" s="67"/>
      <c r="N205" s="67">
        <f t="shared" ref="N205:N210" si="93">H205+L205</f>
        <v>0</v>
      </c>
      <c r="O205" s="67">
        <f>6079107.92-238665.99</f>
        <v>5840441.9299999997</v>
      </c>
      <c r="P205" s="68"/>
      <c r="Q205" s="68"/>
      <c r="R205" s="67">
        <f t="shared" ref="R205:R210" si="94">O205+P205</f>
        <v>5840441.9299999997</v>
      </c>
      <c r="S205" s="68"/>
      <c r="T205" s="68"/>
      <c r="U205" s="68"/>
      <c r="V205" s="67"/>
      <c r="W205" s="67"/>
      <c r="X205" s="67">
        <f t="shared" ref="X205:X210" si="95">R205+V205</f>
        <v>5840441.9299999997</v>
      </c>
      <c r="Y205" s="67">
        <f t="shared" ref="Y205:Y210" si="96">R205+H205</f>
        <v>5840441.9299999997</v>
      </c>
      <c r="Z205" s="67">
        <f t="shared" ref="Z205:Z210" si="97">D205-Y205</f>
        <v>2522906.6000000006</v>
      </c>
      <c r="AA205" s="67">
        <f t="shared" ref="AA205:AA210" si="98">N205+X205</f>
        <v>5840441.9299999997</v>
      </c>
      <c r="AB205" s="69">
        <f t="shared" ref="AB205:AB210" si="99">+D205-N205-X205</f>
        <v>2522906.6000000006</v>
      </c>
    </row>
    <row r="206" spans="1:28" x14ac:dyDescent="0.25">
      <c r="A206" s="46"/>
      <c r="B206" s="35" t="s">
        <v>61</v>
      </c>
      <c r="C206" s="3" t="s">
        <v>36</v>
      </c>
      <c r="D206" s="67">
        <v>2002111.68</v>
      </c>
      <c r="E206" s="67">
        <v>2002111.68</v>
      </c>
      <c r="F206" s="68"/>
      <c r="G206" s="68"/>
      <c r="H206" s="67">
        <f t="shared" si="92"/>
        <v>2002111.68</v>
      </c>
      <c r="I206" s="68"/>
      <c r="J206" s="68"/>
      <c r="K206" s="68"/>
      <c r="L206" s="67"/>
      <c r="M206" s="67"/>
      <c r="N206" s="67">
        <f t="shared" si="93"/>
        <v>2002111.68</v>
      </c>
      <c r="O206" s="67">
        <v>0</v>
      </c>
      <c r="P206" s="68"/>
      <c r="Q206" s="68"/>
      <c r="R206" s="67">
        <f t="shared" si="94"/>
        <v>0</v>
      </c>
      <c r="S206" s="68"/>
      <c r="T206" s="68"/>
      <c r="U206" s="68"/>
      <c r="V206" s="67"/>
      <c r="W206" s="67"/>
      <c r="X206" s="67">
        <f t="shared" si="95"/>
        <v>0</v>
      </c>
      <c r="Y206" s="67">
        <f t="shared" si="96"/>
        <v>2002111.68</v>
      </c>
      <c r="Z206" s="67">
        <f t="shared" si="97"/>
        <v>0</v>
      </c>
      <c r="AA206" s="67">
        <f t="shared" si="98"/>
        <v>2002111.68</v>
      </c>
      <c r="AB206" s="69">
        <f t="shared" si="99"/>
        <v>0</v>
      </c>
    </row>
    <row r="207" spans="1:28" x14ac:dyDescent="0.25">
      <c r="A207" s="46"/>
      <c r="B207" s="26"/>
      <c r="C207" s="3" t="s">
        <v>44</v>
      </c>
      <c r="D207" s="67">
        <f>57543000+9100000</f>
        <v>66643000</v>
      </c>
      <c r="E207" s="67">
        <f>57543000+9100000</f>
        <v>66643000</v>
      </c>
      <c r="F207" s="68"/>
      <c r="G207" s="68"/>
      <c r="H207" s="67">
        <f t="shared" si="92"/>
        <v>66643000</v>
      </c>
      <c r="I207" s="68"/>
      <c r="J207" s="68"/>
      <c r="K207" s="68"/>
      <c r="L207" s="67"/>
      <c r="M207" s="67"/>
      <c r="N207" s="67">
        <f t="shared" si="93"/>
        <v>66643000</v>
      </c>
      <c r="O207" s="67">
        <v>0</v>
      </c>
      <c r="P207" s="68"/>
      <c r="Q207" s="68"/>
      <c r="R207" s="67">
        <f t="shared" si="94"/>
        <v>0</v>
      </c>
      <c r="S207" s="68"/>
      <c r="T207" s="68"/>
      <c r="U207" s="68"/>
      <c r="V207" s="67"/>
      <c r="W207" s="67"/>
      <c r="X207" s="67">
        <f t="shared" si="95"/>
        <v>0</v>
      </c>
      <c r="Y207" s="67">
        <f t="shared" si="96"/>
        <v>66643000</v>
      </c>
      <c r="Z207" s="67">
        <f t="shared" si="97"/>
        <v>0</v>
      </c>
      <c r="AA207" s="67">
        <f t="shared" si="98"/>
        <v>66643000</v>
      </c>
      <c r="AB207" s="69">
        <f t="shared" si="99"/>
        <v>0</v>
      </c>
    </row>
    <row r="208" spans="1:28" x14ac:dyDescent="0.25">
      <c r="A208" s="46"/>
      <c r="B208" s="26"/>
      <c r="C208" s="9" t="s">
        <v>62</v>
      </c>
      <c r="D208" s="67">
        <v>3358890.77</v>
      </c>
      <c r="E208" s="67">
        <v>3358890.77</v>
      </c>
      <c r="F208" s="68"/>
      <c r="G208" s="68"/>
      <c r="H208" s="67">
        <f t="shared" si="92"/>
        <v>3358890.77</v>
      </c>
      <c r="I208" s="68"/>
      <c r="J208" s="68"/>
      <c r="K208" s="68"/>
      <c r="L208" s="67"/>
      <c r="M208" s="67"/>
      <c r="N208" s="67">
        <f t="shared" si="93"/>
        <v>3358890.77</v>
      </c>
      <c r="O208" s="67">
        <v>0</v>
      </c>
      <c r="P208" s="68"/>
      <c r="Q208" s="68"/>
      <c r="R208" s="67">
        <f t="shared" si="94"/>
        <v>0</v>
      </c>
      <c r="S208" s="68"/>
      <c r="T208" s="68"/>
      <c r="U208" s="68"/>
      <c r="V208" s="67"/>
      <c r="W208" s="67"/>
      <c r="X208" s="67">
        <f t="shared" si="95"/>
        <v>0</v>
      </c>
      <c r="Y208" s="67">
        <f t="shared" si="96"/>
        <v>3358890.77</v>
      </c>
      <c r="Z208" s="67">
        <f t="shared" si="97"/>
        <v>0</v>
      </c>
      <c r="AA208" s="67">
        <f t="shared" si="98"/>
        <v>3358890.77</v>
      </c>
      <c r="AB208" s="69">
        <f t="shared" si="99"/>
        <v>0</v>
      </c>
    </row>
    <row r="209" spans="1:28" x14ac:dyDescent="0.25">
      <c r="A209" s="46"/>
      <c r="B209" s="26"/>
      <c r="C209" s="2" t="s">
        <v>53</v>
      </c>
      <c r="D209" s="67">
        <v>30402912.289999999</v>
      </c>
      <c r="E209" s="67">
        <v>0</v>
      </c>
      <c r="F209" s="68"/>
      <c r="G209" s="68"/>
      <c r="H209" s="67">
        <f t="shared" si="92"/>
        <v>0</v>
      </c>
      <c r="I209" s="68"/>
      <c r="J209" s="68"/>
      <c r="K209" s="68"/>
      <c r="L209" s="67"/>
      <c r="M209" s="67"/>
      <c r="N209" s="67">
        <f t="shared" si="93"/>
        <v>0</v>
      </c>
      <c r="O209" s="67">
        <f>19428532.86+3643101.06+6662541.27-16526800.01</f>
        <v>13207375.179999998</v>
      </c>
      <c r="P209" s="67"/>
      <c r="Q209" s="67"/>
      <c r="R209" s="67">
        <f t="shared" si="94"/>
        <v>13207375.179999998</v>
      </c>
      <c r="S209" s="68"/>
      <c r="T209" s="68"/>
      <c r="U209" s="68"/>
      <c r="V209" s="67"/>
      <c r="W209" s="67"/>
      <c r="X209" s="67">
        <f t="shared" si="95"/>
        <v>13207375.179999998</v>
      </c>
      <c r="Y209" s="67">
        <f t="shared" si="96"/>
        <v>13207375.179999998</v>
      </c>
      <c r="Z209" s="67">
        <f t="shared" si="97"/>
        <v>17195537.109999999</v>
      </c>
      <c r="AA209" s="67">
        <f t="shared" si="98"/>
        <v>13207375.179999998</v>
      </c>
      <c r="AB209" s="69">
        <f t="shared" si="99"/>
        <v>17195537.109999999</v>
      </c>
    </row>
    <row r="210" spans="1:28" x14ac:dyDescent="0.25">
      <c r="A210" s="46"/>
      <c r="B210" s="26"/>
      <c r="C210" s="2" t="s">
        <v>54</v>
      </c>
      <c r="D210" s="67">
        <f>3401219.54+18063365.33</f>
        <v>21464584.869999997</v>
      </c>
      <c r="E210" s="67">
        <v>0</v>
      </c>
      <c r="F210" s="68"/>
      <c r="G210" s="68"/>
      <c r="H210" s="67">
        <f t="shared" si="92"/>
        <v>0</v>
      </c>
      <c r="I210" s="68"/>
      <c r="J210" s="68"/>
      <c r="K210" s="68"/>
      <c r="L210" s="67"/>
      <c r="M210" s="67"/>
      <c r="N210" s="67">
        <f t="shared" si="93"/>
        <v>0</v>
      </c>
      <c r="O210" s="67">
        <f>21464584.87</f>
        <v>21464584.870000001</v>
      </c>
      <c r="P210" s="68"/>
      <c r="Q210" s="68"/>
      <c r="R210" s="67">
        <f t="shared" si="94"/>
        <v>21464584.870000001</v>
      </c>
      <c r="S210" s="68"/>
      <c r="T210" s="68"/>
      <c r="U210" s="68"/>
      <c r="V210" s="67"/>
      <c r="W210" s="67"/>
      <c r="X210" s="67">
        <f t="shared" si="95"/>
        <v>21464584.870000001</v>
      </c>
      <c r="Y210" s="67">
        <f t="shared" si="96"/>
        <v>21464584.870000001</v>
      </c>
      <c r="Z210" s="67">
        <f t="shared" si="97"/>
        <v>0</v>
      </c>
      <c r="AA210" s="67">
        <f t="shared" si="98"/>
        <v>21464584.870000001</v>
      </c>
      <c r="AB210" s="69">
        <f t="shared" si="99"/>
        <v>0</v>
      </c>
    </row>
    <row r="211" spans="1:28" x14ac:dyDescent="0.25">
      <c r="A211" s="46"/>
      <c r="B211" s="26"/>
      <c r="C211" s="4"/>
      <c r="D211" s="70" t="s">
        <v>40</v>
      </c>
      <c r="E211" s="70" t="s">
        <v>40</v>
      </c>
      <c r="F211" s="70" t="s">
        <v>40</v>
      </c>
      <c r="G211" s="70"/>
      <c r="H211" s="70" t="s">
        <v>40</v>
      </c>
      <c r="I211" s="70" t="s">
        <v>40</v>
      </c>
      <c r="J211" s="70" t="s">
        <v>40</v>
      </c>
      <c r="K211" s="70" t="s">
        <v>40</v>
      </c>
      <c r="L211" s="70" t="s">
        <v>40</v>
      </c>
      <c r="M211" s="70"/>
      <c r="N211" s="70" t="s">
        <v>40</v>
      </c>
      <c r="O211" s="70" t="s">
        <v>40</v>
      </c>
      <c r="P211" s="70" t="s">
        <v>40</v>
      </c>
      <c r="Q211" s="70"/>
      <c r="R211" s="70" t="s">
        <v>40</v>
      </c>
      <c r="S211" s="70" t="s">
        <v>40</v>
      </c>
      <c r="T211" s="70" t="s">
        <v>40</v>
      </c>
      <c r="U211" s="70" t="s">
        <v>40</v>
      </c>
      <c r="V211" s="70" t="s">
        <v>40</v>
      </c>
      <c r="W211" s="70"/>
      <c r="X211" s="70" t="s">
        <v>40</v>
      </c>
      <c r="Y211" s="70" t="s">
        <v>40</v>
      </c>
      <c r="Z211" s="70" t="s">
        <v>40</v>
      </c>
      <c r="AA211" s="70" t="s">
        <v>40</v>
      </c>
      <c r="AB211" s="70" t="s">
        <v>40</v>
      </c>
    </row>
    <row r="212" spans="1:28" x14ac:dyDescent="0.25">
      <c r="A212" s="46"/>
      <c r="B212" s="26"/>
      <c r="C212" s="4"/>
      <c r="D212" s="67">
        <f t="shared" ref="D212:AB212" si="100">SUM(D205:D210)</f>
        <v>132234848.14000002</v>
      </c>
      <c r="E212" s="67">
        <f t="shared" si="100"/>
        <v>72004002.450000003</v>
      </c>
      <c r="F212" s="67">
        <f t="shared" si="100"/>
        <v>0</v>
      </c>
      <c r="G212" s="67"/>
      <c r="H212" s="67">
        <f t="shared" si="100"/>
        <v>72004002.450000003</v>
      </c>
      <c r="I212" s="67">
        <f t="shared" si="100"/>
        <v>0</v>
      </c>
      <c r="J212" s="67">
        <f t="shared" si="100"/>
        <v>0</v>
      </c>
      <c r="K212" s="67">
        <f t="shared" si="100"/>
        <v>0</v>
      </c>
      <c r="L212" s="67">
        <f t="shared" si="100"/>
        <v>0</v>
      </c>
      <c r="M212" s="67"/>
      <c r="N212" s="67">
        <f t="shared" si="100"/>
        <v>72004002.450000003</v>
      </c>
      <c r="O212" s="67">
        <f t="shared" si="100"/>
        <v>40512401.980000004</v>
      </c>
      <c r="P212" s="67">
        <f t="shared" si="100"/>
        <v>0</v>
      </c>
      <c r="Q212" s="67"/>
      <c r="R212" s="67">
        <f t="shared" si="100"/>
        <v>40512401.980000004</v>
      </c>
      <c r="S212" s="67">
        <f t="shared" si="100"/>
        <v>0</v>
      </c>
      <c r="T212" s="67">
        <f t="shared" si="100"/>
        <v>0</v>
      </c>
      <c r="U212" s="67">
        <f t="shared" si="100"/>
        <v>0</v>
      </c>
      <c r="V212" s="67">
        <f t="shared" si="100"/>
        <v>0</v>
      </c>
      <c r="W212" s="67"/>
      <c r="X212" s="67">
        <f t="shared" si="100"/>
        <v>40512401.980000004</v>
      </c>
      <c r="Y212" s="67">
        <f t="shared" si="100"/>
        <v>112516404.42999999</v>
      </c>
      <c r="Z212" s="67">
        <f t="shared" si="100"/>
        <v>19718443.710000001</v>
      </c>
      <c r="AA212" s="67">
        <f t="shared" si="100"/>
        <v>112516404.42999999</v>
      </c>
      <c r="AB212" s="67">
        <f t="shared" si="100"/>
        <v>19718443.710000001</v>
      </c>
    </row>
    <row r="213" spans="1:28" x14ac:dyDescent="0.25">
      <c r="A213" s="46"/>
      <c r="B213" s="4" t="s">
        <v>309</v>
      </c>
      <c r="C213" s="4"/>
      <c r="D213" s="70" t="s">
        <v>40</v>
      </c>
      <c r="E213" s="70" t="s">
        <v>40</v>
      </c>
      <c r="F213" s="70" t="s">
        <v>40</v>
      </c>
      <c r="G213" s="70"/>
      <c r="H213" s="70" t="s">
        <v>40</v>
      </c>
      <c r="I213" s="70" t="s">
        <v>40</v>
      </c>
      <c r="J213" s="70" t="s">
        <v>40</v>
      </c>
      <c r="K213" s="70" t="s">
        <v>40</v>
      </c>
      <c r="L213" s="70" t="s">
        <v>40</v>
      </c>
      <c r="M213" s="70"/>
      <c r="N213" s="70" t="s">
        <v>40</v>
      </c>
      <c r="O213" s="70" t="s">
        <v>40</v>
      </c>
      <c r="P213" s="70" t="s">
        <v>40</v>
      </c>
      <c r="Q213" s="70"/>
      <c r="R213" s="70" t="s">
        <v>40</v>
      </c>
      <c r="S213" s="70" t="s">
        <v>40</v>
      </c>
      <c r="T213" s="70" t="s">
        <v>40</v>
      </c>
      <c r="U213" s="70" t="s">
        <v>40</v>
      </c>
      <c r="V213" s="70" t="s">
        <v>40</v>
      </c>
      <c r="W213" s="70"/>
      <c r="X213" s="70" t="s">
        <v>40</v>
      </c>
      <c r="Y213" s="70" t="s">
        <v>40</v>
      </c>
      <c r="Z213" s="70" t="s">
        <v>40</v>
      </c>
      <c r="AA213" s="70" t="s">
        <v>40</v>
      </c>
      <c r="AB213" s="70" t="s">
        <v>40</v>
      </c>
    </row>
    <row r="214" spans="1:28" ht="16.5" thickBot="1" x14ac:dyDescent="0.3">
      <c r="A214" s="46"/>
      <c r="B214" s="112" t="s">
        <v>292</v>
      </c>
      <c r="C214" s="4"/>
      <c r="D214" s="113">
        <v>181752.55</v>
      </c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113">
        <v>181752.55</v>
      </c>
      <c r="P214" s="70"/>
      <c r="Q214" s="70"/>
      <c r="R214" s="113">
        <f>+O214+P214</f>
        <v>181752.55</v>
      </c>
      <c r="S214" s="70"/>
      <c r="T214" s="70"/>
      <c r="U214" s="70"/>
      <c r="V214" s="70"/>
      <c r="W214" s="70"/>
      <c r="X214" s="70"/>
      <c r="Y214" s="72"/>
      <c r="Z214" s="70"/>
      <c r="AA214" s="70"/>
      <c r="AB214" s="70"/>
    </row>
    <row r="215" spans="1:28" ht="16.5" thickTop="1" x14ac:dyDescent="0.25">
      <c r="A215" s="46">
        <v>21</v>
      </c>
      <c r="B215" s="23" t="s">
        <v>64</v>
      </c>
      <c r="C215" s="2" t="s">
        <v>35</v>
      </c>
      <c r="D215" s="67">
        <f>24737584.67-6525670.25</f>
        <v>18211914.420000002</v>
      </c>
      <c r="E215" s="67">
        <v>0</v>
      </c>
      <c r="F215" s="68"/>
      <c r="G215" s="68"/>
      <c r="H215" s="67">
        <f>E215+F215</f>
        <v>0</v>
      </c>
      <c r="I215" s="68"/>
      <c r="J215" s="68"/>
      <c r="K215" s="68"/>
      <c r="L215" s="67"/>
      <c r="M215" s="67"/>
      <c r="N215" s="67">
        <f>H215+L215</f>
        <v>0</v>
      </c>
      <c r="O215" s="67">
        <v>0</v>
      </c>
      <c r="P215" s="68"/>
      <c r="Q215" s="68"/>
      <c r="R215" s="67">
        <f>O215+P215</f>
        <v>0</v>
      </c>
      <c r="S215" s="68"/>
      <c r="T215" s="68"/>
      <c r="U215" s="68"/>
      <c r="V215" s="67"/>
      <c r="W215" s="67"/>
      <c r="X215" s="67">
        <f>R215+V215</f>
        <v>0</v>
      </c>
      <c r="Y215" s="67">
        <f t="shared" ref="Y215:Y221" si="101">R215+H215</f>
        <v>0</v>
      </c>
      <c r="Z215" s="67">
        <f t="shared" ref="Z215:Z221" si="102">D215-Y215</f>
        <v>18211914.420000002</v>
      </c>
      <c r="AA215" s="67">
        <f t="shared" ref="AA215:AA221" si="103">N215+X215</f>
        <v>0</v>
      </c>
      <c r="AB215" s="69">
        <f t="shared" ref="AB215:AB221" si="104">+D215-N215-X215</f>
        <v>18211914.420000002</v>
      </c>
    </row>
    <row r="216" spans="1:28" x14ac:dyDescent="0.25">
      <c r="C216" s="4" t="s">
        <v>317</v>
      </c>
      <c r="D216" s="55">
        <v>6525670.25</v>
      </c>
      <c r="E216" s="55">
        <v>6525670.25</v>
      </c>
      <c r="F216" s="55"/>
      <c r="G216" s="55"/>
      <c r="H216" s="55">
        <f>+E216+F216</f>
        <v>6525670.25</v>
      </c>
      <c r="I216" s="55"/>
      <c r="J216" s="55"/>
      <c r="K216" s="55"/>
      <c r="L216" s="55"/>
      <c r="M216" s="55"/>
      <c r="N216" s="55">
        <f>+H216+L216</f>
        <v>6525670.25</v>
      </c>
      <c r="O216" s="55">
        <v>0</v>
      </c>
      <c r="P216" s="55"/>
      <c r="Q216" s="55"/>
      <c r="R216" s="55">
        <f>+O216+P216</f>
        <v>0</v>
      </c>
      <c r="S216" s="55"/>
      <c r="T216" s="55"/>
      <c r="U216" s="55"/>
      <c r="V216" s="55"/>
      <c r="W216" s="55"/>
      <c r="X216" s="55">
        <f>+R216+V216</f>
        <v>0</v>
      </c>
      <c r="Y216" s="67">
        <f t="shared" si="101"/>
        <v>6525670.25</v>
      </c>
      <c r="Z216" s="67">
        <f t="shared" si="102"/>
        <v>0</v>
      </c>
      <c r="AA216" s="67">
        <f t="shared" si="103"/>
        <v>6525670.25</v>
      </c>
      <c r="AB216" s="69">
        <f t="shared" si="104"/>
        <v>0</v>
      </c>
    </row>
    <row r="217" spans="1:28" x14ac:dyDescent="0.25">
      <c r="A217" s="46"/>
      <c r="B217" s="26"/>
      <c r="C217" s="3" t="s">
        <v>36</v>
      </c>
      <c r="D217" s="67">
        <v>1918446.35</v>
      </c>
      <c r="E217" s="67">
        <v>1918446.35</v>
      </c>
      <c r="F217" s="68"/>
      <c r="G217" s="68"/>
      <c r="H217" s="67">
        <f>E217+F217</f>
        <v>1918446.35</v>
      </c>
      <c r="I217" s="68"/>
      <c r="J217" s="68"/>
      <c r="K217" s="68"/>
      <c r="L217" s="67"/>
      <c r="M217" s="67"/>
      <c r="N217" s="67">
        <f>H217+L217</f>
        <v>1918446.35</v>
      </c>
      <c r="O217" s="67">
        <v>0</v>
      </c>
      <c r="P217" s="68"/>
      <c r="Q217" s="68"/>
      <c r="R217" s="67">
        <f>O217+P217</f>
        <v>0</v>
      </c>
      <c r="S217" s="68"/>
      <c r="T217" s="68"/>
      <c r="U217" s="68"/>
      <c r="V217" s="67"/>
      <c r="W217" s="67"/>
      <c r="X217" s="67">
        <f>R217+V217</f>
        <v>0</v>
      </c>
      <c r="Y217" s="67">
        <f t="shared" si="101"/>
        <v>1918446.35</v>
      </c>
      <c r="Z217" s="67">
        <f t="shared" si="102"/>
        <v>0</v>
      </c>
      <c r="AA217" s="67">
        <f t="shared" si="103"/>
        <v>1918446.35</v>
      </c>
      <c r="AB217" s="69">
        <f t="shared" si="104"/>
        <v>0</v>
      </c>
    </row>
    <row r="218" spans="1:28" x14ac:dyDescent="0.25">
      <c r="A218" s="46"/>
      <c r="B218" s="26"/>
      <c r="C218" s="3" t="s">
        <v>65</v>
      </c>
      <c r="D218" s="67">
        <v>53471000</v>
      </c>
      <c r="E218" s="67">
        <v>53471000</v>
      </c>
      <c r="F218" s="68"/>
      <c r="G218" s="68"/>
      <c r="H218" s="67">
        <f>E218+F218</f>
        <v>53471000</v>
      </c>
      <c r="I218" s="68"/>
      <c r="J218" s="68"/>
      <c r="K218" s="68"/>
      <c r="L218" s="67"/>
      <c r="M218" s="67"/>
      <c r="N218" s="67">
        <f>H218+L218</f>
        <v>53471000</v>
      </c>
      <c r="O218" s="67">
        <v>0</v>
      </c>
      <c r="P218" s="68"/>
      <c r="Q218" s="68"/>
      <c r="R218" s="67">
        <f>O218+P218</f>
        <v>0</v>
      </c>
      <c r="S218" s="68"/>
      <c r="T218" s="68"/>
      <c r="U218" s="68"/>
      <c r="V218" s="67"/>
      <c r="W218" s="67"/>
      <c r="X218" s="67">
        <f>R218+V218</f>
        <v>0</v>
      </c>
      <c r="Y218" s="67">
        <f t="shared" si="101"/>
        <v>53471000</v>
      </c>
      <c r="Z218" s="67">
        <f t="shared" si="102"/>
        <v>0</v>
      </c>
      <c r="AA218" s="67">
        <f t="shared" si="103"/>
        <v>53471000</v>
      </c>
      <c r="AB218" s="69">
        <f t="shared" si="104"/>
        <v>0</v>
      </c>
    </row>
    <row r="219" spans="1:28" x14ac:dyDescent="0.25">
      <c r="A219" s="46"/>
      <c r="B219" s="26"/>
      <c r="C219" s="9" t="s">
        <v>62</v>
      </c>
      <c r="D219" s="67">
        <v>10740906.75</v>
      </c>
      <c r="E219" s="67">
        <v>10740906.75</v>
      </c>
      <c r="F219" s="68"/>
      <c r="G219" s="68"/>
      <c r="H219" s="67">
        <f>E219+F219</f>
        <v>10740906.75</v>
      </c>
      <c r="I219" s="68"/>
      <c r="J219" s="68"/>
      <c r="K219" s="68"/>
      <c r="L219" s="67"/>
      <c r="M219" s="67"/>
      <c r="N219" s="67">
        <f>H219+L219</f>
        <v>10740906.75</v>
      </c>
      <c r="O219" s="67">
        <v>0</v>
      </c>
      <c r="P219" s="68"/>
      <c r="Q219" s="68"/>
      <c r="R219" s="67">
        <f>O219+P219</f>
        <v>0</v>
      </c>
      <c r="S219" s="68"/>
      <c r="T219" s="68"/>
      <c r="U219" s="68"/>
      <c r="V219" s="67"/>
      <c r="W219" s="67"/>
      <c r="X219" s="67">
        <f>R219+V219</f>
        <v>0</v>
      </c>
      <c r="Y219" s="67">
        <f t="shared" si="101"/>
        <v>10740906.75</v>
      </c>
      <c r="Z219" s="67">
        <f t="shared" si="102"/>
        <v>0</v>
      </c>
      <c r="AA219" s="67">
        <f t="shared" si="103"/>
        <v>10740906.75</v>
      </c>
      <c r="AB219" s="69">
        <f t="shared" si="104"/>
        <v>0</v>
      </c>
    </row>
    <row r="220" spans="1:28" x14ac:dyDescent="0.25">
      <c r="A220" s="46"/>
      <c r="B220" s="26"/>
      <c r="C220" s="2" t="s">
        <v>53</v>
      </c>
      <c r="D220" s="67">
        <v>14772311.01</v>
      </c>
      <c r="E220" s="67">
        <v>0</v>
      </c>
      <c r="F220" s="68"/>
      <c r="G220" s="68"/>
      <c r="H220" s="67">
        <f>E220+F220</f>
        <v>0</v>
      </c>
      <c r="I220" s="68"/>
      <c r="J220" s="68"/>
      <c r="K220" s="68"/>
      <c r="L220" s="67"/>
      <c r="M220" s="67"/>
      <c r="N220" s="67">
        <f>H220+L220</f>
        <v>0</v>
      </c>
      <c r="O220" s="67">
        <v>7001934.4500000002</v>
      </c>
      <c r="P220" s="68"/>
      <c r="Q220" s="68"/>
      <c r="R220" s="67">
        <f>O220+P220</f>
        <v>7001934.4500000002</v>
      </c>
      <c r="S220" s="68"/>
      <c r="T220" s="68"/>
      <c r="U220" s="68"/>
      <c r="V220" s="67"/>
      <c r="W220" s="67"/>
      <c r="X220" s="67">
        <f>R220+V220</f>
        <v>7001934.4500000002</v>
      </c>
      <c r="Y220" s="67">
        <f t="shared" si="101"/>
        <v>7001934.4500000002</v>
      </c>
      <c r="Z220" s="67">
        <f t="shared" si="102"/>
        <v>7770376.5599999996</v>
      </c>
      <c r="AA220" s="67">
        <f t="shared" si="103"/>
        <v>7001934.4500000002</v>
      </c>
      <c r="AB220" s="69">
        <f t="shared" si="104"/>
        <v>7770376.5599999996</v>
      </c>
    </row>
    <row r="221" spans="1:28" x14ac:dyDescent="0.25">
      <c r="A221" s="46"/>
      <c r="B221" s="26"/>
      <c r="C221" s="2" t="s">
        <v>54</v>
      </c>
      <c r="D221" s="67">
        <f>70773.37+10629489.66</f>
        <v>10700263.029999999</v>
      </c>
      <c r="E221" s="67">
        <v>0</v>
      </c>
      <c r="F221" s="68"/>
      <c r="G221" s="68"/>
      <c r="H221" s="67">
        <f>E221+F221</f>
        <v>0</v>
      </c>
      <c r="I221" s="68"/>
      <c r="J221" s="68"/>
      <c r="K221" s="68"/>
      <c r="L221" s="67"/>
      <c r="M221" s="67"/>
      <c r="N221" s="67">
        <f>H221+L221</f>
        <v>0</v>
      </c>
      <c r="O221" s="67">
        <v>10700263.029999999</v>
      </c>
      <c r="P221" s="68"/>
      <c r="Q221" s="68"/>
      <c r="R221" s="67">
        <f>O221+P221</f>
        <v>10700263.029999999</v>
      </c>
      <c r="S221" s="68"/>
      <c r="T221" s="68"/>
      <c r="U221" s="68"/>
      <c r="V221" s="67"/>
      <c r="W221" s="67"/>
      <c r="X221" s="67">
        <f>R221+V221</f>
        <v>10700263.029999999</v>
      </c>
      <c r="Y221" s="67">
        <f t="shared" si="101"/>
        <v>10700263.029999999</v>
      </c>
      <c r="Z221" s="67">
        <f t="shared" si="102"/>
        <v>0</v>
      </c>
      <c r="AA221" s="67">
        <f t="shared" si="103"/>
        <v>10700263.029999999</v>
      </c>
      <c r="AB221" s="69">
        <f t="shared" si="104"/>
        <v>0</v>
      </c>
    </row>
    <row r="222" spans="1:28" x14ac:dyDescent="0.25">
      <c r="A222" s="46"/>
      <c r="B222" s="26"/>
      <c r="C222" s="4"/>
      <c r="D222" s="70" t="s">
        <v>40</v>
      </c>
      <c r="E222" s="70" t="s">
        <v>40</v>
      </c>
      <c r="F222" s="70" t="s">
        <v>40</v>
      </c>
      <c r="G222" s="70"/>
      <c r="H222" s="70" t="s">
        <v>40</v>
      </c>
      <c r="I222" s="70" t="s">
        <v>40</v>
      </c>
      <c r="J222" s="70" t="s">
        <v>40</v>
      </c>
      <c r="K222" s="70" t="s">
        <v>40</v>
      </c>
      <c r="L222" s="70" t="s">
        <v>40</v>
      </c>
      <c r="M222" s="70"/>
      <c r="N222" s="70" t="s">
        <v>40</v>
      </c>
      <c r="O222" s="70" t="s">
        <v>40</v>
      </c>
      <c r="P222" s="70" t="s">
        <v>40</v>
      </c>
      <c r="Q222" s="70"/>
      <c r="R222" s="70" t="s">
        <v>40</v>
      </c>
      <c r="S222" s="70" t="s">
        <v>40</v>
      </c>
      <c r="T222" s="70" t="s">
        <v>40</v>
      </c>
      <c r="U222" s="70" t="s">
        <v>40</v>
      </c>
      <c r="V222" s="70" t="s">
        <v>40</v>
      </c>
      <c r="W222" s="70"/>
      <c r="X222" s="70" t="s">
        <v>40</v>
      </c>
      <c r="Y222" s="70" t="s">
        <v>40</v>
      </c>
      <c r="Z222" s="70" t="s">
        <v>40</v>
      </c>
      <c r="AA222" s="70" t="s">
        <v>40</v>
      </c>
      <c r="AB222" s="70" t="s">
        <v>40</v>
      </c>
    </row>
    <row r="223" spans="1:28" x14ac:dyDescent="0.25">
      <c r="A223" s="46"/>
      <c r="B223" s="26"/>
      <c r="C223" s="4"/>
      <c r="D223" s="67">
        <f>SUM(D215:D221)</f>
        <v>116340511.81000002</v>
      </c>
      <c r="E223" s="67">
        <f>SUM(E215:E221)</f>
        <v>72656023.349999994</v>
      </c>
      <c r="F223" s="67">
        <f>SUM(F215:F221)</f>
        <v>0</v>
      </c>
      <c r="G223" s="67"/>
      <c r="H223" s="67">
        <f>SUM(H215:H221)</f>
        <v>72656023.349999994</v>
      </c>
      <c r="I223" s="67">
        <f>SUM(I215:I221)</f>
        <v>0</v>
      </c>
      <c r="J223" s="67">
        <f>SUM(J215:J221)</f>
        <v>0</v>
      </c>
      <c r="K223" s="67">
        <f>SUM(K215:K221)</f>
        <v>0</v>
      </c>
      <c r="L223" s="67">
        <f>SUM(L215:L221)</f>
        <v>0</v>
      </c>
      <c r="M223" s="67"/>
      <c r="N223" s="67">
        <f>SUM(N215:N221)</f>
        <v>72656023.349999994</v>
      </c>
      <c r="O223" s="67">
        <f>SUM(O215:O221)</f>
        <v>17702197.48</v>
      </c>
      <c r="P223" s="67">
        <f>SUM(P215:P221)</f>
        <v>0</v>
      </c>
      <c r="Q223" s="67"/>
      <c r="R223" s="67">
        <f>SUM(R215:R221)</f>
        <v>17702197.48</v>
      </c>
      <c r="S223" s="67">
        <f>SUM(S215:S221)</f>
        <v>0</v>
      </c>
      <c r="T223" s="67">
        <f>SUM(T215:T221)</f>
        <v>0</v>
      </c>
      <c r="U223" s="67">
        <f>SUM(U215:U221)</f>
        <v>0</v>
      </c>
      <c r="V223" s="67">
        <f>SUM(V215:V221)</f>
        <v>0</v>
      </c>
      <c r="W223" s="67"/>
      <c r="X223" s="67">
        <f>SUM(X215:X221)</f>
        <v>17702197.48</v>
      </c>
      <c r="Y223" s="67">
        <f>SUM(Y215:Y221)</f>
        <v>90358220.829999998</v>
      </c>
      <c r="Z223" s="67">
        <f>SUM(Z215:Z221)</f>
        <v>25982290.98</v>
      </c>
      <c r="AA223" s="67">
        <f>SUM(AA215:AA221)</f>
        <v>90358220.829999998</v>
      </c>
      <c r="AB223" s="67">
        <f>SUM(AB215:AB221)</f>
        <v>25982290.98</v>
      </c>
    </row>
    <row r="224" spans="1:28" x14ac:dyDescent="0.25">
      <c r="A224" s="46"/>
      <c r="B224" s="30"/>
      <c r="C224" s="4"/>
      <c r="D224" s="70" t="s">
        <v>40</v>
      </c>
      <c r="E224" s="70" t="s">
        <v>40</v>
      </c>
      <c r="F224" s="70" t="s">
        <v>40</v>
      </c>
      <c r="G224" s="70"/>
      <c r="H224" s="70" t="s">
        <v>40</v>
      </c>
      <c r="I224" s="70" t="s">
        <v>40</v>
      </c>
      <c r="J224" s="70" t="s">
        <v>40</v>
      </c>
      <c r="K224" s="70" t="s">
        <v>40</v>
      </c>
      <c r="L224" s="70" t="s">
        <v>40</v>
      </c>
      <c r="M224" s="70"/>
      <c r="N224" s="70" t="s">
        <v>40</v>
      </c>
      <c r="O224" s="70" t="s">
        <v>40</v>
      </c>
      <c r="P224" s="70" t="s">
        <v>40</v>
      </c>
      <c r="Q224" s="70"/>
      <c r="R224" s="70" t="s">
        <v>40</v>
      </c>
      <c r="S224" s="70" t="s">
        <v>40</v>
      </c>
      <c r="T224" s="70" t="s">
        <v>40</v>
      </c>
      <c r="U224" s="70" t="s">
        <v>40</v>
      </c>
      <c r="V224" s="70" t="s">
        <v>40</v>
      </c>
      <c r="W224" s="70"/>
      <c r="X224" s="70" t="s">
        <v>40</v>
      </c>
      <c r="Y224" s="70" t="s">
        <v>40</v>
      </c>
      <c r="Z224" s="70" t="s">
        <v>40</v>
      </c>
      <c r="AA224" s="70" t="s">
        <v>40</v>
      </c>
      <c r="AB224" s="70" t="s">
        <v>40</v>
      </c>
    </row>
    <row r="225" spans="1:28" x14ac:dyDescent="0.25">
      <c r="A225" s="46"/>
      <c r="B225" s="30"/>
      <c r="C225" s="4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</row>
    <row r="226" spans="1:28" x14ac:dyDescent="0.25">
      <c r="A226" s="46">
        <v>22</v>
      </c>
      <c r="B226" s="23" t="s">
        <v>66</v>
      </c>
      <c r="C226" s="2" t="s">
        <v>35</v>
      </c>
      <c r="D226" s="67">
        <f>43569226.71-16471819.57-4998998</f>
        <v>22098409.140000001</v>
      </c>
      <c r="E226" s="67">
        <f>7500000+2000000</f>
        <v>9500000</v>
      </c>
      <c r="F226" s="68"/>
      <c r="G226" s="68"/>
      <c r="H226" s="67">
        <f>E226+F226</f>
        <v>9500000</v>
      </c>
      <c r="I226" s="68"/>
      <c r="J226" s="68"/>
      <c r="K226" s="68"/>
      <c r="L226" s="67"/>
      <c r="M226" s="67"/>
      <c r="N226" s="67">
        <f>H226+L226</f>
        <v>9500000</v>
      </c>
      <c r="O226" s="67">
        <v>3310521.7</v>
      </c>
      <c r="P226" s="68"/>
      <c r="Q226" s="68"/>
      <c r="R226" s="67">
        <f>O226+P226</f>
        <v>3310521.7</v>
      </c>
      <c r="S226" s="68"/>
      <c r="T226" s="68"/>
      <c r="U226" s="68"/>
      <c r="V226" s="67"/>
      <c r="W226" s="67"/>
      <c r="X226" s="67">
        <f>R226+V226</f>
        <v>3310521.7</v>
      </c>
      <c r="Y226" s="67">
        <f t="shared" ref="Y226:Y232" si="105">R226+H226</f>
        <v>12810521.699999999</v>
      </c>
      <c r="Z226" s="67">
        <f t="shared" ref="Z226:Z232" si="106">D226-Y226</f>
        <v>9287887.4400000013</v>
      </c>
      <c r="AA226" s="67">
        <f t="shared" ref="AA226:AA232" si="107">N226+X226</f>
        <v>12810521.699999999</v>
      </c>
      <c r="AB226" s="69">
        <f t="shared" ref="AB226:AB232" si="108">+D226-N226-X226</f>
        <v>9287887.4400000013</v>
      </c>
    </row>
    <row r="227" spans="1:28" x14ac:dyDescent="0.25">
      <c r="C227" s="4" t="s">
        <v>317</v>
      </c>
      <c r="D227" s="55">
        <v>4998998</v>
      </c>
      <c r="E227" s="55">
        <v>4998998</v>
      </c>
      <c r="F227" s="55"/>
      <c r="G227" s="55"/>
      <c r="H227" s="55">
        <f>+E227+F227</f>
        <v>4998998</v>
      </c>
      <c r="I227" s="55"/>
      <c r="J227" s="55"/>
      <c r="K227" s="55"/>
      <c r="L227" s="55"/>
      <c r="M227" s="55"/>
      <c r="N227" s="55">
        <f>+H227+L227</f>
        <v>4998998</v>
      </c>
      <c r="O227" s="55">
        <v>0</v>
      </c>
      <c r="P227" s="55"/>
      <c r="Q227" s="55"/>
      <c r="R227" s="55">
        <f>+O227+P227</f>
        <v>0</v>
      </c>
      <c r="S227" s="55"/>
      <c r="T227" s="55"/>
      <c r="U227" s="55"/>
      <c r="V227" s="55"/>
      <c r="W227" s="55"/>
      <c r="X227" s="55">
        <f>+R227+V227</f>
        <v>0</v>
      </c>
      <c r="Y227" s="67">
        <f t="shared" si="105"/>
        <v>4998998</v>
      </c>
      <c r="Z227" s="67">
        <f t="shared" si="106"/>
        <v>0</v>
      </c>
      <c r="AA227" s="67">
        <f t="shared" si="107"/>
        <v>4998998</v>
      </c>
      <c r="AB227" s="69">
        <f t="shared" si="108"/>
        <v>0</v>
      </c>
    </row>
    <row r="228" spans="1:28" x14ac:dyDescent="0.25">
      <c r="A228" s="46"/>
      <c r="B228" s="26"/>
      <c r="C228" s="3" t="s">
        <v>36</v>
      </c>
      <c r="D228" s="67">
        <f>3298016+3000000+6607277.8</f>
        <v>12905293.800000001</v>
      </c>
      <c r="E228" s="67">
        <f>3298016+3000000+6607277.8</f>
        <v>12905293.800000001</v>
      </c>
      <c r="F228" s="68"/>
      <c r="G228" s="68"/>
      <c r="H228" s="67">
        <f>E228+F228</f>
        <v>12905293.800000001</v>
      </c>
      <c r="I228" s="68"/>
      <c r="J228" s="68"/>
      <c r="K228" s="68"/>
      <c r="L228" s="67"/>
      <c r="M228" s="67"/>
      <c r="N228" s="67">
        <f>H228+L228</f>
        <v>12905293.800000001</v>
      </c>
      <c r="O228" s="67">
        <v>0</v>
      </c>
      <c r="P228" s="68"/>
      <c r="Q228" s="68"/>
      <c r="R228" s="67">
        <f>O228+P228</f>
        <v>0</v>
      </c>
      <c r="S228" s="68"/>
      <c r="T228" s="68"/>
      <c r="U228" s="68"/>
      <c r="V228" s="67"/>
      <c r="W228" s="67"/>
      <c r="X228" s="67">
        <f>R228+V228</f>
        <v>0</v>
      </c>
      <c r="Y228" s="67">
        <f t="shared" si="105"/>
        <v>12905293.800000001</v>
      </c>
      <c r="Z228" s="67">
        <f t="shared" si="106"/>
        <v>0</v>
      </c>
      <c r="AA228" s="67">
        <f t="shared" si="107"/>
        <v>12905293.800000001</v>
      </c>
      <c r="AB228" s="69">
        <f t="shared" si="108"/>
        <v>0</v>
      </c>
    </row>
    <row r="229" spans="1:28" x14ac:dyDescent="0.25">
      <c r="A229" s="46"/>
      <c r="B229" s="26"/>
      <c r="C229" s="3" t="s">
        <v>65</v>
      </c>
      <c r="D229" s="67">
        <v>65638000</v>
      </c>
      <c r="E229" s="67">
        <v>65638000</v>
      </c>
      <c r="F229" s="68"/>
      <c r="G229" s="68"/>
      <c r="H229" s="67">
        <f>E229+F229</f>
        <v>65638000</v>
      </c>
      <c r="I229" s="68"/>
      <c r="J229" s="68"/>
      <c r="K229" s="68"/>
      <c r="L229" s="67"/>
      <c r="M229" s="67"/>
      <c r="N229" s="67">
        <f>H229+L229</f>
        <v>65638000</v>
      </c>
      <c r="O229" s="67">
        <v>0</v>
      </c>
      <c r="P229" s="68"/>
      <c r="Q229" s="68"/>
      <c r="R229" s="67">
        <f>O229+P229</f>
        <v>0</v>
      </c>
      <c r="S229" s="68"/>
      <c r="T229" s="68"/>
      <c r="U229" s="68"/>
      <c r="V229" s="67"/>
      <c r="W229" s="67"/>
      <c r="X229" s="67">
        <f>R229+V229</f>
        <v>0</v>
      </c>
      <c r="Y229" s="67">
        <f t="shared" si="105"/>
        <v>65638000</v>
      </c>
      <c r="Z229" s="67">
        <f t="shared" si="106"/>
        <v>0</v>
      </c>
      <c r="AA229" s="67">
        <f t="shared" si="107"/>
        <v>65638000</v>
      </c>
      <c r="AB229" s="69">
        <f t="shared" si="108"/>
        <v>0</v>
      </c>
    </row>
    <row r="230" spans="1:28" x14ac:dyDescent="0.25">
      <c r="A230" s="46"/>
      <c r="B230" s="26"/>
      <c r="C230" s="9" t="s">
        <v>62</v>
      </c>
      <c r="D230" s="67">
        <v>2082100.44</v>
      </c>
      <c r="E230" s="67">
        <v>2082100.44</v>
      </c>
      <c r="F230" s="68"/>
      <c r="G230" s="68"/>
      <c r="H230" s="67">
        <f>E230+F230</f>
        <v>2082100.44</v>
      </c>
      <c r="I230" s="68"/>
      <c r="J230" s="68"/>
      <c r="K230" s="68"/>
      <c r="L230" s="67"/>
      <c r="M230" s="67"/>
      <c r="N230" s="67">
        <f>H230+L230</f>
        <v>2082100.44</v>
      </c>
      <c r="O230" s="67">
        <v>0</v>
      </c>
      <c r="P230" s="68"/>
      <c r="Q230" s="68"/>
      <c r="R230" s="67">
        <f>O230+P230</f>
        <v>0</v>
      </c>
      <c r="S230" s="68"/>
      <c r="T230" s="68"/>
      <c r="U230" s="68"/>
      <c r="V230" s="67"/>
      <c r="W230" s="67"/>
      <c r="X230" s="67">
        <f>R230+V230</f>
        <v>0</v>
      </c>
      <c r="Y230" s="67">
        <f t="shared" si="105"/>
        <v>2082100.44</v>
      </c>
      <c r="Z230" s="67">
        <f t="shared" si="106"/>
        <v>0</v>
      </c>
      <c r="AA230" s="67">
        <f t="shared" si="107"/>
        <v>2082100.44</v>
      </c>
      <c r="AB230" s="69">
        <f t="shared" si="108"/>
        <v>0</v>
      </c>
    </row>
    <row r="231" spans="1:28" x14ac:dyDescent="0.25">
      <c r="A231" s="46"/>
      <c r="B231" s="26"/>
      <c r="C231" s="3" t="s">
        <v>53</v>
      </c>
      <c r="D231" s="67">
        <f>-11027231.05+1899932.63+16471819.57</f>
        <v>7344521.1499999985</v>
      </c>
      <c r="E231" s="67">
        <v>0</v>
      </c>
      <c r="F231" s="68"/>
      <c r="G231" s="68"/>
      <c r="H231" s="67">
        <f>E231+F231</f>
        <v>0</v>
      </c>
      <c r="I231" s="68"/>
      <c r="J231" s="68"/>
      <c r="K231" s="68"/>
      <c r="L231" s="67"/>
      <c r="M231" s="67"/>
      <c r="N231" s="67">
        <f>H231+L231</f>
        <v>0</v>
      </c>
      <c r="O231" s="67">
        <f>5444588.52+1899932.63</f>
        <v>7344521.1499999994</v>
      </c>
      <c r="P231" s="68"/>
      <c r="Q231" s="68"/>
      <c r="R231" s="67">
        <f>O231+P231</f>
        <v>7344521.1499999994</v>
      </c>
      <c r="S231" s="68"/>
      <c r="T231" s="68"/>
      <c r="U231" s="68"/>
      <c r="V231" s="67"/>
      <c r="W231" s="67"/>
      <c r="X231" s="67">
        <f>R231+V231</f>
        <v>7344521.1499999994</v>
      </c>
      <c r="Y231" s="67">
        <f t="shared" si="105"/>
        <v>7344521.1499999994</v>
      </c>
      <c r="Z231" s="67">
        <f t="shared" si="106"/>
        <v>0</v>
      </c>
      <c r="AA231" s="67">
        <f t="shared" si="107"/>
        <v>7344521.1499999994</v>
      </c>
      <c r="AB231" s="69">
        <f t="shared" si="108"/>
        <v>0</v>
      </c>
    </row>
    <row r="232" spans="1:28" x14ac:dyDescent="0.25">
      <c r="A232" s="46"/>
      <c r="B232" s="26"/>
      <c r="C232" s="2" t="s">
        <v>54</v>
      </c>
      <c r="D232" s="67">
        <v>8977927.5</v>
      </c>
      <c r="E232" s="67">
        <v>0</v>
      </c>
      <c r="F232" s="68"/>
      <c r="G232" s="68"/>
      <c r="H232" s="67">
        <f>E232+F232</f>
        <v>0</v>
      </c>
      <c r="I232" s="68"/>
      <c r="J232" s="68"/>
      <c r="K232" s="68"/>
      <c r="L232" s="67"/>
      <c r="M232" s="67"/>
      <c r="N232" s="67">
        <f>H232+L232</f>
        <v>0</v>
      </c>
      <c r="O232" s="67">
        <v>5603896.2599999998</v>
      </c>
      <c r="P232" s="68"/>
      <c r="Q232" s="68"/>
      <c r="R232" s="67">
        <f>O232+P232</f>
        <v>5603896.2599999998</v>
      </c>
      <c r="S232" s="68"/>
      <c r="T232" s="68"/>
      <c r="U232" s="68"/>
      <c r="V232" s="67"/>
      <c r="W232" s="67"/>
      <c r="X232" s="67">
        <f>R232+V232</f>
        <v>5603896.2599999998</v>
      </c>
      <c r="Y232" s="67">
        <f t="shared" si="105"/>
        <v>5603896.2599999998</v>
      </c>
      <c r="Z232" s="67">
        <f t="shared" si="106"/>
        <v>3374031.24</v>
      </c>
      <c r="AA232" s="67">
        <f t="shared" si="107"/>
        <v>5603896.2599999998</v>
      </c>
      <c r="AB232" s="69">
        <f t="shared" si="108"/>
        <v>3374031.24</v>
      </c>
    </row>
    <row r="233" spans="1:28" x14ac:dyDescent="0.25">
      <c r="A233" s="46"/>
      <c r="B233" s="26"/>
      <c r="C233" s="4"/>
      <c r="D233" s="70" t="s">
        <v>40</v>
      </c>
      <c r="E233" s="70" t="s">
        <v>40</v>
      </c>
      <c r="F233" s="70" t="s">
        <v>40</v>
      </c>
      <c r="G233" s="70"/>
      <c r="H233" s="70" t="s">
        <v>40</v>
      </c>
      <c r="I233" s="70" t="s">
        <v>40</v>
      </c>
      <c r="J233" s="70" t="s">
        <v>40</v>
      </c>
      <c r="K233" s="70" t="s">
        <v>40</v>
      </c>
      <c r="L233" s="70" t="s">
        <v>40</v>
      </c>
      <c r="M233" s="70"/>
      <c r="N233" s="70" t="s">
        <v>40</v>
      </c>
      <c r="O233" s="70" t="s">
        <v>40</v>
      </c>
      <c r="P233" s="70" t="s">
        <v>40</v>
      </c>
      <c r="Q233" s="70"/>
      <c r="R233" s="70" t="s">
        <v>40</v>
      </c>
      <c r="S233" s="70" t="s">
        <v>40</v>
      </c>
      <c r="T233" s="70" t="s">
        <v>40</v>
      </c>
      <c r="U233" s="70" t="s">
        <v>40</v>
      </c>
      <c r="V233" s="70" t="s">
        <v>40</v>
      </c>
      <c r="W233" s="70"/>
      <c r="X233" s="70" t="s">
        <v>40</v>
      </c>
      <c r="Y233" s="70" t="s">
        <v>40</v>
      </c>
      <c r="Z233" s="70" t="s">
        <v>40</v>
      </c>
      <c r="AA233" s="70" t="s">
        <v>40</v>
      </c>
      <c r="AB233" s="70" t="s">
        <v>40</v>
      </c>
    </row>
    <row r="234" spans="1:28" x14ac:dyDescent="0.25">
      <c r="A234" s="46"/>
      <c r="B234" s="26"/>
      <c r="C234" s="4"/>
      <c r="D234" s="67">
        <f>SUM(D226:D232)</f>
        <v>124045250.03</v>
      </c>
      <c r="E234" s="67">
        <f>SUM(E226:E232)</f>
        <v>95124392.239999995</v>
      </c>
      <c r="F234" s="67">
        <f>SUM(F226:F232)</f>
        <v>0</v>
      </c>
      <c r="G234" s="67"/>
      <c r="H234" s="67">
        <f>SUM(H226:H232)</f>
        <v>95124392.239999995</v>
      </c>
      <c r="I234" s="67">
        <f>SUM(I226:I232)</f>
        <v>0</v>
      </c>
      <c r="J234" s="67">
        <f>SUM(J226:J232)</f>
        <v>0</v>
      </c>
      <c r="K234" s="67">
        <f>SUM(K226:K232)</f>
        <v>0</v>
      </c>
      <c r="L234" s="67">
        <f>SUM(L226:L232)</f>
        <v>0</v>
      </c>
      <c r="M234" s="67"/>
      <c r="N234" s="67">
        <f>SUM(N226:N232)</f>
        <v>95124392.239999995</v>
      </c>
      <c r="O234" s="67">
        <f>SUM(O226:O232)</f>
        <v>16258939.109999999</v>
      </c>
      <c r="P234" s="67">
        <f>SUM(P226:P232)</f>
        <v>0</v>
      </c>
      <c r="Q234" s="67"/>
      <c r="R234" s="67">
        <f>SUM(R226:R232)</f>
        <v>16258939.109999999</v>
      </c>
      <c r="S234" s="67">
        <f>SUM(S226:S232)</f>
        <v>0</v>
      </c>
      <c r="T234" s="67">
        <f>SUM(T226:T232)</f>
        <v>0</v>
      </c>
      <c r="U234" s="67">
        <f>SUM(U226:U232)</f>
        <v>0</v>
      </c>
      <c r="V234" s="67">
        <f>SUM(V226:V232)</f>
        <v>0</v>
      </c>
      <c r="W234" s="67"/>
      <c r="X234" s="67">
        <f>SUM(X226:X232)</f>
        <v>16258939.109999999</v>
      </c>
      <c r="Y234" s="67">
        <f>SUM(Y226:Y232)</f>
        <v>111383331.35000001</v>
      </c>
      <c r="Z234" s="67">
        <f>SUM(Z226:Z232)</f>
        <v>12661918.680000002</v>
      </c>
      <c r="AA234" s="67">
        <f>SUM(AA226:AA232)</f>
        <v>111383331.35000001</v>
      </c>
      <c r="AB234" s="67">
        <f>SUM(AB226:AB232)</f>
        <v>12661918.680000002</v>
      </c>
    </row>
    <row r="235" spans="1:28" x14ac:dyDescent="0.25">
      <c r="A235" s="46"/>
      <c r="B235" s="26"/>
      <c r="C235" s="4"/>
      <c r="D235" s="70" t="s">
        <v>40</v>
      </c>
      <c r="E235" s="70" t="s">
        <v>40</v>
      </c>
      <c r="F235" s="70" t="s">
        <v>40</v>
      </c>
      <c r="G235" s="70"/>
      <c r="H235" s="70" t="s">
        <v>40</v>
      </c>
      <c r="I235" s="70" t="s">
        <v>40</v>
      </c>
      <c r="J235" s="70" t="s">
        <v>40</v>
      </c>
      <c r="K235" s="70" t="s">
        <v>40</v>
      </c>
      <c r="L235" s="70" t="s">
        <v>40</v>
      </c>
      <c r="M235" s="70"/>
      <c r="N235" s="70" t="s">
        <v>40</v>
      </c>
      <c r="O235" s="70" t="s">
        <v>40</v>
      </c>
      <c r="P235" s="70" t="s">
        <v>40</v>
      </c>
      <c r="Q235" s="70"/>
      <c r="R235" s="70" t="s">
        <v>40</v>
      </c>
      <c r="S235" s="70" t="s">
        <v>40</v>
      </c>
      <c r="T235" s="70" t="s">
        <v>40</v>
      </c>
      <c r="U235" s="70" t="s">
        <v>40</v>
      </c>
      <c r="V235" s="70" t="s">
        <v>40</v>
      </c>
      <c r="W235" s="70"/>
      <c r="X235" s="70" t="s">
        <v>40</v>
      </c>
      <c r="Y235" s="70" t="s">
        <v>40</v>
      </c>
      <c r="Z235" s="70" t="s">
        <v>40</v>
      </c>
      <c r="AA235" s="70" t="s">
        <v>40</v>
      </c>
      <c r="AB235" s="70" t="s">
        <v>40</v>
      </c>
    </row>
    <row r="236" spans="1:28" x14ac:dyDescent="0.25">
      <c r="A236" s="46"/>
      <c r="B236" s="26"/>
      <c r="C236" s="4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</row>
    <row r="237" spans="1:28" x14ac:dyDescent="0.25">
      <c r="A237" s="46">
        <v>23</v>
      </c>
      <c r="B237" s="23" t="s">
        <v>67</v>
      </c>
      <c r="C237" s="2" t="s">
        <v>35</v>
      </c>
      <c r="D237" s="67">
        <f>81495373.9+1679973.84</f>
        <v>83175347.74000001</v>
      </c>
      <c r="E237" s="67">
        <v>2000000</v>
      </c>
      <c r="F237" s="68"/>
      <c r="G237" s="68"/>
      <c r="H237" s="67">
        <f t="shared" ref="H237:H242" si="109">E237+F237</f>
        <v>2000000</v>
      </c>
      <c r="I237" s="68"/>
      <c r="J237" s="68"/>
      <c r="K237" s="68"/>
      <c r="L237" s="67"/>
      <c r="M237" s="67"/>
      <c r="N237" s="67">
        <f t="shared" ref="N237:N242" si="110">H237+L237</f>
        <v>2000000</v>
      </c>
      <c r="O237" s="67">
        <f>2772751.74+1679973.84+2817962.84</f>
        <v>7270688.4199999999</v>
      </c>
      <c r="P237" s="68"/>
      <c r="Q237" s="68"/>
      <c r="R237" s="67">
        <f t="shared" ref="R237:R242" si="111">O237+P237</f>
        <v>7270688.4199999999</v>
      </c>
      <c r="S237" s="67"/>
      <c r="T237" s="68"/>
      <c r="U237" s="67"/>
      <c r="V237" s="67"/>
      <c r="W237" s="67"/>
      <c r="X237" s="67">
        <f t="shared" ref="X237:X242" si="112">R237+V237</f>
        <v>7270688.4199999999</v>
      </c>
      <c r="Y237" s="67">
        <f t="shared" ref="Y237:Y242" si="113">R237+H237</f>
        <v>9270688.4199999999</v>
      </c>
      <c r="Z237" s="67">
        <f t="shared" ref="Z237:Z242" si="114">D237-Y237</f>
        <v>73904659.320000008</v>
      </c>
      <c r="AA237" s="67">
        <f t="shared" ref="AA237:AA242" si="115">N237+X237</f>
        <v>9270688.4199999999</v>
      </c>
      <c r="AB237" s="69">
        <f t="shared" ref="AB237:AB242" si="116">+D237-N237-X237</f>
        <v>73904659.320000008</v>
      </c>
    </row>
    <row r="238" spans="1:28" x14ac:dyDescent="0.25">
      <c r="A238" s="46"/>
      <c r="B238" s="26"/>
      <c r="C238" s="3" t="s">
        <v>36</v>
      </c>
      <c r="D238" s="67">
        <f>2084000+500</f>
        <v>2084500</v>
      </c>
      <c r="E238" s="67">
        <v>2084500</v>
      </c>
      <c r="F238" s="68"/>
      <c r="G238" s="68"/>
      <c r="H238" s="67">
        <f t="shared" si="109"/>
        <v>2084500</v>
      </c>
      <c r="I238" s="68"/>
      <c r="J238" s="68"/>
      <c r="K238" s="68"/>
      <c r="L238" s="67"/>
      <c r="M238" s="67"/>
      <c r="N238" s="67">
        <f t="shared" si="110"/>
        <v>2084500</v>
      </c>
      <c r="O238" s="67">
        <v>0</v>
      </c>
      <c r="P238" s="68"/>
      <c r="Q238" s="68"/>
      <c r="R238" s="67">
        <f t="shared" si="111"/>
        <v>0</v>
      </c>
      <c r="S238" s="67"/>
      <c r="T238" s="68"/>
      <c r="U238" s="67"/>
      <c r="V238" s="67"/>
      <c r="W238" s="67"/>
      <c r="X238" s="67">
        <f t="shared" si="112"/>
        <v>0</v>
      </c>
      <c r="Y238" s="67">
        <f t="shared" si="113"/>
        <v>2084500</v>
      </c>
      <c r="Z238" s="67">
        <f t="shared" si="114"/>
        <v>0</v>
      </c>
      <c r="AA238" s="67">
        <f t="shared" si="115"/>
        <v>2084500</v>
      </c>
      <c r="AB238" s="69">
        <f t="shared" si="116"/>
        <v>0</v>
      </c>
    </row>
    <row r="239" spans="1:28" x14ac:dyDescent="0.25">
      <c r="A239" s="46"/>
      <c r="B239" s="26"/>
      <c r="C239" s="3" t="s">
        <v>65</v>
      </c>
      <c r="D239" s="67">
        <v>20736000</v>
      </c>
      <c r="E239" s="67">
        <v>20736000</v>
      </c>
      <c r="F239" s="68"/>
      <c r="G239" s="68"/>
      <c r="H239" s="67">
        <f t="shared" si="109"/>
        <v>20736000</v>
      </c>
      <c r="I239" s="68"/>
      <c r="J239" s="68"/>
      <c r="K239" s="68"/>
      <c r="L239" s="67"/>
      <c r="M239" s="67"/>
      <c r="N239" s="67">
        <f t="shared" si="110"/>
        <v>20736000</v>
      </c>
      <c r="O239" s="67">
        <v>0</v>
      </c>
      <c r="P239" s="68"/>
      <c r="Q239" s="68"/>
      <c r="R239" s="67">
        <f t="shared" si="111"/>
        <v>0</v>
      </c>
      <c r="S239" s="67"/>
      <c r="T239" s="68"/>
      <c r="U239" s="67"/>
      <c r="V239" s="67"/>
      <c r="W239" s="67"/>
      <c r="X239" s="67">
        <f t="shared" si="112"/>
        <v>0</v>
      </c>
      <c r="Y239" s="67">
        <f t="shared" si="113"/>
        <v>20736000</v>
      </c>
      <c r="Z239" s="67">
        <f t="shared" si="114"/>
        <v>0</v>
      </c>
      <c r="AA239" s="67">
        <f t="shared" si="115"/>
        <v>20736000</v>
      </c>
      <c r="AB239" s="69">
        <f t="shared" si="116"/>
        <v>0</v>
      </c>
    </row>
    <row r="240" spans="1:28" x14ac:dyDescent="0.25">
      <c r="A240" s="46"/>
      <c r="B240" s="26"/>
      <c r="C240" s="9" t="s">
        <v>62</v>
      </c>
      <c r="D240" s="67">
        <v>6697870</v>
      </c>
      <c r="E240" s="67">
        <v>6697870</v>
      </c>
      <c r="F240" s="68"/>
      <c r="G240" s="68"/>
      <c r="H240" s="67">
        <f t="shared" si="109"/>
        <v>6697870</v>
      </c>
      <c r="I240" s="68"/>
      <c r="J240" s="68"/>
      <c r="K240" s="68"/>
      <c r="L240" s="67"/>
      <c r="M240" s="67"/>
      <c r="N240" s="67">
        <f t="shared" si="110"/>
        <v>6697870</v>
      </c>
      <c r="O240" s="67">
        <v>0</v>
      </c>
      <c r="P240" s="68"/>
      <c r="Q240" s="68"/>
      <c r="R240" s="67">
        <f t="shared" si="111"/>
        <v>0</v>
      </c>
      <c r="S240" s="67"/>
      <c r="T240" s="68"/>
      <c r="U240" s="67"/>
      <c r="V240" s="67"/>
      <c r="W240" s="67"/>
      <c r="X240" s="67">
        <f t="shared" si="112"/>
        <v>0</v>
      </c>
      <c r="Y240" s="67">
        <f t="shared" si="113"/>
        <v>6697870</v>
      </c>
      <c r="Z240" s="67">
        <f t="shared" si="114"/>
        <v>0</v>
      </c>
      <c r="AA240" s="67">
        <f t="shared" si="115"/>
        <v>6697870</v>
      </c>
      <c r="AB240" s="69">
        <f t="shared" si="116"/>
        <v>0</v>
      </c>
    </row>
    <row r="241" spans="1:29" x14ac:dyDescent="0.25">
      <c r="A241" s="46"/>
      <c r="B241" s="26"/>
      <c r="C241" s="2" t="s">
        <v>37</v>
      </c>
      <c r="D241" s="67">
        <f>27499179.74-2699156.87</f>
        <v>24800022.869999997</v>
      </c>
      <c r="E241" s="67">
        <v>0</v>
      </c>
      <c r="F241" s="68"/>
      <c r="G241" s="68"/>
      <c r="H241" s="67">
        <f t="shared" si="109"/>
        <v>0</v>
      </c>
      <c r="I241" s="68"/>
      <c r="J241" s="68"/>
      <c r="K241" s="68"/>
      <c r="L241" s="67"/>
      <c r="M241" s="67"/>
      <c r="N241" s="67">
        <f t="shared" si="110"/>
        <v>0</v>
      </c>
      <c r="O241" s="67">
        <f>829987.6+413833.35+5502</f>
        <v>1249322.95</v>
      </c>
      <c r="P241" s="68"/>
      <c r="Q241" s="68"/>
      <c r="R241" s="67">
        <f t="shared" si="111"/>
        <v>1249322.95</v>
      </c>
      <c r="S241" s="67"/>
      <c r="T241" s="68"/>
      <c r="U241" s="68"/>
      <c r="V241" s="67"/>
      <c r="W241" s="67"/>
      <c r="X241" s="67">
        <f t="shared" si="112"/>
        <v>1249322.95</v>
      </c>
      <c r="Y241" s="67">
        <f t="shared" si="113"/>
        <v>1249322.95</v>
      </c>
      <c r="Z241" s="67">
        <f t="shared" si="114"/>
        <v>23550699.919999998</v>
      </c>
      <c r="AA241" s="67">
        <f t="shared" si="115"/>
        <v>1249322.95</v>
      </c>
      <c r="AB241" s="69">
        <f t="shared" si="116"/>
        <v>23550699.919999998</v>
      </c>
    </row>
    <row r="242" spans="1:29" x14ac:dyDescent="0.25">
      <c r="A242" s="46"/>
      <c r="B242" s="26"/>
      <c r="C242" s="2" t="s">
        <v>39</v>
      </c>
      <c r="D242" s="67">
        <v>5654204.3700000001</v>
      </c>
      <c r="E242" s="67">
        <v>0</v>
      </c>
      <c r="F242" s="68"/>
      <c r="G242" s="68"/>
      <c r="H242" s="67">
        <f t="shared" si="109"/>
        <v>0</v>
      </c>
      <c r="I242" s="68"/>
      <c r="J242" s="68"/>
      <c r="K242" s="68"/>
      <c r="L242" s="67"/>
      <c r="M242" s="67"/>
      <c r="N242" s="67">
        <f t="shared" si="110"/>
        <v>0</v>
      </c>
      <c r="O242" s="67">
        <v>0</v>
      </c>
      <c r="P242" s="68"/>
      <c r="Q242" s="68"/>
      <c r="R242" s="67">
        <f t="shared" si="111"/>
        <v>0</v>
      </c>
      <c r="S242" s="68"/>
      <c r="T242" s="68"/>
      <c r="U242" s="68"/>
      <c r="V242" s="67"/>
      <c r="W242" s="67"/>
      <c r="X242" s="67">
        <f t="shared" si="112"/>
        <v>0</v>
      </c>
      <c r="Y242" s="67">
        <f t="shared" si="113"/>
        <v>0</v>
      </c>
      <c r="Z242" s="67">
        <f t="shared" si="114"/>
        <v>5654204.3700000001</v>
      </c>
      <c r="AA242" s="67">
        <f t="shared" si="115"/>
        <v>0</v>
      </c>
      <c r="AB242" s="69">
        <f t="shared" si="116"/>
        <v>5654204.3700000001</v>
      </c>
    </row>
    <row r="243" spans="1:29" x14ac:dyDescent="0.25">
      <c r="A243" s="46"/>
      <c r="B243" s="26"/>
      <c r="C243" s="4"/>
      <c r="D243" s="70" t="s">
        <v>40</v>
      </c>
      <c r="E243" s="70" t="s">
        <v>40</v>
      </c>
      <c r="F243" s="70" t="s">
        <v>40</v>
      </c>
      <c r="G243" s="70"/>
      <c r="H243" s="70" t="s">
        <v>40</v>
      </c>
      <c r="I243" s="70" t="s">
        <v>40</v>
      </c>
      <c r="J243" s="70" t="s">
        <v>40</v>
      </c>
      <c r="K243" s="70" t="s">
        <v>40</v>
      </c>
      <c r="L243" s="70" t="s">
        <v>40</v>
      </c>
      <c r="M243" s="70"/>
      <c r="N243" s="70" t="s">
        <v>40</v>
      </c>
      <c r="O243" s="70" t="s">
        <v>40</v>
      </c>
      <c r="P243" s="70" t="s">
        <v>40</v>
      </c>
      <c r="Q243" s="70"/>
      <c r="R243" s="70" t="s">
        <v>40</v>
      </c>
      <c r="S243" s="70" t="s">
        <v>40</v>
      </c>
      <c r="T243" s="70" t="s">
        <v>40</v>
      </c>
      <c r="U243" s="70" t="s">
        <v>40</v>
      </c>
      <c r="V243" s="70" t="s">
        <v>40</v>
      </c>
      <c r="W243" s="70"/>
      <c r="X243" s="70" t="s">
        <v>40</v>
      </c>
      <c r="Y243" s="70" t="s">
        <v>40</v>
      </c>
      <c r="Z243" s="70" t="s">
        <v>40</v>
      </c>
      <c r="AA243" s="70" t="s">
        <v>40</v>
      </c>
      <c r="AB243" s="70" t="s">
        <v>40</v>
      </c>
    </row>
    <row r="244" spans="1:29" x14ac:dyDescent="0.25">
      <c r="A244" s="46"/>
      <c r="B244" s="26"/>
      <c r="C244" s="4"/>
      <c r="D244" s="67">
        <f t="shared" ref="D244:AB244" si="117">SUM(D237:D242)</f>
        <v>143147944.98000002</v>
      </c>
      <c r="E244" s="67">
        <f t="shared" si="117"/>
        <v>31518370</v>
      </c>
      <c r="F244" s="67">
        <f t="shared" si="117"/>
        <v>0</v>
      </c>
      <c r="G244" s="67"/>
      <c r="H244" s="67">
        <f t="shared" si="117"/>
        <v>31518370</v>
      </c>
      <c r="I244" s="67">
        <f t="shared" si="117"/>
        <v>0</v>
      </c>
      <c r="J244" s="67">
        <f t="shared" si="117"/>
        <v>0</v>
      </c>
      <c r="K244" s="67">
        <f t="shared" si="117"/>
        <v>0</v>
      </c>
      <c r="L244" s="67">
        <f t="shared" si="117"/>
        <v>0</v>
      </c>
      <c r="M244" s="67"/>
      <c r="N244" s="67">
        <f t="shared" si="117"/>
        <v>31518370</v>
      </c>
      <c r="O244" s="67">
        <f t="shared" si="117"/>
        <v>8520011.3699999992</v>
      </c>
      <c r="P244" s="67">
        <f t="shared" si="117"/>
        <v>0</v>
      </c>
      <c r="Q244" s="67"/>
      <c r="R244" s="67">
        <f t="shared" si="117"/>
        <v>8520011.3699999992</v>
      </c>
      <c r="S244" s="67">
        <f t="shared" si="117"/>
        <v>0</v>
      </c>
      <c r="T244" s="67">
        <f t="shared" si="117"/>
        <v>0</v>
      </c>
      <c r="U244" s="67">
        <f t="shared" si="117"/>
        <v>0</v>
      </c>
      <c r="V244" s="67">
        <f t="shared" si="117"/>
        <v>0</v>
      </c>
      <c r="W244" s="67"/>
      <c r="X244" s="67">
        <f t="shared" si="117"/>
        <v>8520011.3699999992</v>
      </c>
      <c r="Y244" s="67">
        <f t="shared" si="117"/>
        <v>40038381.370000005</v>
      </c>
      <c r="Z244" s="67">
        <f t="shared" si="117"/>
        <v>103109563.61000001</v>
      </c>
      <c r="AA244" s="67">
        <f t="shared" si="117"/>
        <v>40038381.370000005</v>
      </c>
      <c r="AB244" s="67">
        <f t="shared" si="117"/>
        <v>103109563.61000001</v>
      </c>
    </row>
    <row r="245" spans="1:29" x14ac:dyDescent="0.25">
      <c r="A245" s="46"/>
      <c r="B245" s="26"/>
      <c r="C245" s="4"/>
      <c r="D245" s="70" t="s">
        <v>40</v>
      </c>
      <c r="E245" s="70" t="s">
        <v>40</v>
      </c>
      <c r="F245" s="70" t="s">
        <v>40</v>
      </c>
      <c r="G245" s="70"/>
      <c r="H245" s="70" t="s">
        <v>40</v>
      </c>
      <c r="I245" s="70" t="s">
        <v>40</v>
      </c>
      <c r="J245" s="70" t="s">
        <v>40</v>
      </c>
      <c r="K245" s="70" t="s">
        <v>40</v>
      </c>
      <c r="L245" s="70" t="s">
        <v>40</v>
      </c>
      <c r="M245" s="70"/>
      <c r="N245" s="70" t="s">
        <v>40</v>
      </c>
      <c r="O245" s="70" t="s">
        <v>40</v>
      </c>
      <c r="P245" s="70" t="s">
        <v>40</v>
      </c>
      <c r="Q245" s="70"/>
      <c r="R245" s="70" t="s">
        <v>40</v>
      </c>
      <c r="S245" s="70" t="s">
        <v>40</v>
      </c>
      <c r="T245" s="70" t="s">
        <v>40</v>
      </c>
      <c r="U245" s="70" t="s">
        <v>40</v>
      </c>
      <c r="V245" s="70" t="s">
        <v>40</v>
      </c>
      <c r="W245" s="70"/>
      <c r="X245" s="70" t="s">
        <v>40</v>
      </c>
      <c r="Y245" s="70" t="s">
        <v>40</v>
      </c>
      <c r="Z245" s="70" t="s">
        <v>40</v>
      </c>
      <c r="AA245" s="70" t="s">
        <v>40</v>
      </c>
      <c r="AB245" s="70" t="s">
        <v>40</v>
      </c>
    </row>
    <row r="246" spans="1:29" x14ac:dyDescent="0.25">
      <c r="A246" s="46"/>
      <c r="B246" s="26"/>
      <c r="C246" s="4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119"/>
      <c r="P246" s="105"/>
      <c r="Q246" s="117"/>
      <c r="R246" s="117"/>
      <c r="S246" s="70"/>
      <c r="T246" s="70"/>
      <c r="U246" s="70"/>
      <c r="W246" s="70"/>
      <c r="X246" s="70"/>
      <c r="Y246" s="70"/>
      <c r="Z246" s="70"/>
      <c r="AA246" s="70"/>
      <c r="AB246" s="70"/>
    </row>
    <row r="247" spans="1:29" x14ac:dyDescent="0.25">
      <c r="A247" s="46"/>
      <c r="B247" s="26"/>
      <c r="C247" s="4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</row>
    <row r="248" spans="1:29" x14ac:dyDescent="0.25">
      <c r="A248" s="46">
        <v>24</v>
      </c>
      <c r="B248" s="23" t="s">
        <v>68</v>
      </c>
      <c r="C248" s="2" t="s">
        <v>35</v>
      </c>
      <c r="D248" s="67">
        <v>254173.54</v>
      </c>
      <c r="E248" s="67">
        <v>0</v>
      </c>
      <c r="F248" s="68"/>
      <c r="G248" s="68"/>
      <c r="H248" s="67">
        <f>E248+F248</f>
        <v>0</v>
      </c>
      <c r="I248" s="68"/>
      <c r="J248" s="68"/>
      <c r="K248" s="68"/>
      <c r="L248" s="67"/>
      <c r="M248" s="67"/>
      <c r="N248" s="67">
        <f>H248+L248</f>
        <v>0</v>
      </c>
      <c r="O248" s="67">
        <v>0</v>
      </c>
      <c r="P248" s="68"/>
      <c r="Q248" s="68"/>
      <c r="R248" s="67">
        <f>O248+P248</f>
        <v>0</v>
      </c>
      <c r="S248" s="68"/>
      <c r="T248" s="68"/>
      <c r="U248" s="68"/>
      <c r="V248" s="67"/>
      <c r="W248" s="67"/>
      <c r="X248" s="67">
        <f>R248+V248</f>
        <v>0</v>
      </c>
      <c r="Y248" s="67">
        <f>R248+H248</f>
        <v>0</v>
      </c>
      <c r="Z248" s="67">
        <f>D248-Y248</f>
        <v>254173.54</v>
      </c>
      <c r="AA248" s="67">
        <f>N248+X248</f>
        <v>0</v>
      </c>
      <c r="AB248" s="69">
        <f>+D248-N248-X248</f>
        <v>254173.54</v>
      </c>
    </row>
    <row r="249" spans="1:29" x14ac:dyDescent="0.25">
      <c r="C249" s="4" t="s">
        <v>298</v>
      </c>
      <c r="D249" s="55">
        <v>3882200</v>
      </c>
      <c r="E249" s="55"/>
      <c r="F249" s="55">
        <v>3882200</v>
      </c>
      <c r="G249" s="55"/>
      <c r="H249" s="55">
        <f>+E249+F249</f>
        <v>3882200</v>
      </c>
      <c r="I249" s="55"/>
      <c r="J249" s="55"/>
      <c r="K249" s="55"/>
      <c r="L249" s="55"/>
      <c r="M249" s="55"/>
      <c r="N249" s="55">
        <f>+H249+L249</f>
        <v>3882200</v>
      </c>
      <c r="O249" s="55">
        <v>0</v>
      </c>
      <c r="P249" s="55"/>
      <c r="Q249" s="55"/>
      <c r="R249" s="55">
        <f>+O249+P249</f>
        <v>0</v>
      </c>
      <c r="S249" s="55"/>
      <c r="T249" s="55"/>
      <c r="U249" s="55"/>
      <c r="V249" s="55"/>
      <c r="W249" s="55"/>
      <c r="X249" s="55">
        <f>+R249+V249</f>
        <v>0</v>
      </c>
      <c r="Y249" s="67">
        <f>R249+H249</f>
        <v>3882200</v>
      </c>
      <c r="Z249" s="67">
        <f>D249-Y249</f>
        <v>0</v>
      </c>
      <c r="AA249" s="67">
        <f>N249+X249</f>
        <v>3882200</v>
      </c>
      <c r="AB249" s="69">
        <f>+D249-N249-X249</f>
        <v>0</v>
      </c>
    </row>
    <row r="250" spans="1:29" x14ac:dyDescent="0.25">
      <c r="A250" s="46"/>
      <c r="B250" s="26"/>
      <c r="C250" s="9" t="s">
        <v>62</v>
      </c>
      <c r="D250" s="67">
        <v>2917000</v>
      </c>
      <c r="E250" s="67">
        <v>2917000</v>
      </c>
      <c r="F250" s="68"/>
      <c r="G250" s="68"/>
      <c r="H250" s="67">
        <f>E250+F250</f>
        <v>2917000</v>
      </c>
      <c r="I250" s="68"/>
      <c r="J250" s="68"/>
      <c r="K250" s="68"/>
      <c r="L250" s="67"/>
      <c r="M250" s="67"/>
      <c r="N250" s="67">
        <f>H250+L250</f>
        <v>2917000</v>
      </c>
      <c r="O250" s="67">
        <v>0</v>
      </c>
      <c r="P250" s="68"/>
      <c r="Q250" s="68"/>
      <c r="R250" s="67">
        <f>O250+P250</f>
        <v>0</v>
      </c>
      <c r="S250" s="68"/>
      <c r="T250" s="68"/>
      <c r="U250" s="68"/>
      <c r="V250" s="67"/>
      <c r="W250" s="67"/>
      <c r="X250" s="67">
        <f>R250+V250</f>
        <v>0</v>
      </c>
      <c r="Y250" s="67">
        <f>R250+H250</f>
        <v>2917000</v>
      </c>
      <c r="Z250" s="67">
        <f>D250-Y250</f>
        <v>0</v>
      </c>
      <c r="AA250" s="67">
        <f>N250+X250</f>
        <v>2917000</v>
      </c>
      <c r="AB250" s="69">
        <f>+D250-N250-X250</f>
        <v>0</v>
      </c>
    </row>
    <row r="251" spans="1:29" x14ac:dyDescent="0.25">
      <c r="A251" s="46"/>
      <c r="B251" s="26"/>
      <c r="C251" s="4"/>
      <c r="D251" s="70" t="s">
        <v>40</v>
      </c>
      <c r="E251" s="70" t="s">
        <v>40</v>
      </c>
      <c r="F251" s="70" t="s">
        <v>40</v>
      </c>
      <c r="G251" s="70"/>
      <c r="H251" s="70" t="s">
        <v>40</v>
      </c>
      <c r="I251" s="70" t="s">
        <v>40</v>
      </c>
      <c r="J251" s="70" t="s">
        <v>40</v>
      </c>
      <c r="K251" s="70" t="s">
        <v>40</v>
      </c>
      <c r="L251" s="70" t="s">
        <v>40</v>
      </c>
      <c r="M251" s="70"/>
      <c r="N251" s="70" t="s">
        <v>40</v>
      </c>
      <c r="O251" s="70" t="s">
        <v>40</v>
      </c>
      <c r="P251" s="70" t="s">
        <v>40</v>
      </c>
      <c r="Q251" s="70"/>
      <c r="R251" s="70" t="s">
        <v>40</v>
      </c>
      <c r="S251" s="70" t="s">
        <v>40</v>
      </c>
      <c r="T251" s="70" t="s">
        <v>40</v>
      </c>
      <c r="U251" s="70" t="s">
        <v>40</v>
      </c>
      <c r="V251" s="70" t="s">
        <v>40</v>
      </c>
      <c r="W251" s="70"/>
      <c r="X251" s="70" t="s">
        <v>40</v>
      </c>
      <c r="Y251" s="70" t="s">
        <v>40</v>
      </c>
      <c r="Z251" s="70" t="s">
        <v>40</v>
      </c>
      <c r="AA251" s="70" t="s">
        <v>40</v>
      </c>
      <c r="AB251" s="70" t="s">
        <v>40</v>
      </c>
    </row>
    <row r="252" spans="1:29" x14ac:dyDescent="0.25">
      <c r="A252" s="46"/>
      <c r="B252" s="26"/>
      <c r="C252" s="4"/>
      <c r="D252" s="67">
        <f>SUM(D248:D250)</f>
        <v>7053373.54</v>
      </c>
      <c r="E252" s="67">
        <f t="shared" ref="E252:AB252" si="118">SUM(E248:E250)</f>
        <v>2917000</v>
      </c>
      <c r="F252" s="67">
        <f t="shared" si="118"/>
        <v>3882200</v>
      </c>
      <c r="G252" s="67">
        <f t="shared" si="118"/>
        <v>0</v>
      </c>
      <c r="H252" s="67">
        <f t="shared" si="118"/>
        <v>6799200</v>
      </c>
      <c r="I252" s="67">
        <f t="shared" si="118"/>
        <v>0</v>
      </c>
      <c r="J252" s="67">
        <f t="shared" si="118"/>
        <v>0</v>
      </c>
      <c r="K252" s="67">
        <f t="shared" si="118"/>
        <v>0</v>
      </c>
      <c r="L252" s="67">
        <f t="shared" si="118"/>
        <v>0</v>
      </c>
      <c r="M252" s="67">
        <f t="shared" si="118"/>
        <v>0</v>
      </c>
      <c r="N252" s="67">
        <f t="shared" si="118"/>
        <v>6799200</v>
      </c>
      <c r="O252" s="67">
        <f t="shared" si="118"/>
        <v>0</v>
      </c>
      <c r="P252" s="67">
        <f t="shared" si="118"/>
        <v>0</v>
      </c>
      <c r="Q252" s="67"/>
      <c r="R252" s="67">
        <f t="shared" si="118"/>
        <v>0</v>
      </c>
      <c r="S252" s="67">
        <f t="shared" si="118"/>
        <v>0</v>
      </c>
      <c r="T252" s="67">
        <f t="shared" si="118"/>
        <v>0</v>
      </c>
      <c r="U252" s="67">
        <f t="shared" si="118"/>
        <v>0</v>
      </c>
      <c r="V252" s="67">
        <f t="shared" si="118"/>
        <v>0</v>
      </c>
      <c r="W252" s="67">
        <f t="shared" si="118"/>
        <v>0</v>
      </c>
      <c r="X252" s="67">
        <f t="shared" si="118"/>
        <v>0</v>
      </c>
      <c r="Y252" s="67">
        <f t="shared" si="118"/>
        <v>6799200</v>
      </c>
      <c r="Z252" s="67">
        <f t="shared" si="118"/>
        <v>254173.54</v>
      </c>
      <c r="AA252" s="67">
        <f t="shared" si="118"/>
        <v>6799200</v>
      </c>
      <c r="AB252" s="67">
        <f t="shared" si="118"/>
        <v>254173.54</v>
      </c>
    </row>
    <row r="253" spans="1:29" x14ac:dyDescent="0.25">
      <c r="A253" s="46"/>
      <c r="B253" s="26"/>
      <c r="C253" s="4"/>
      <c r="D253" s="70" t="s">
        <v>40</v>
      </c>
      <c r="E253" s="70" t="s">
        <v>40</v>
      </c>
      <c r="F253" s="70" t="s">
        <v>40</v>
      </c>
      <c r="G253" s="70"/>
      <c r="H253" s="70" t="s">
        <v>40</v>
      </c>
      <c r="I253" s="70" t="s">
        <v>40</v>
      </c>
      <c r="J253" s="70" t="s">
        <v>40</v>
      </c>
      <c r="K253" s="70" t="s">
        <v>40</v>
      </c>
      <c r="L253" s="70" t="s">
        <v>40</v>
      </c>
      <c r="M253" s="70"/>
      <c r="N253" s="70" t="s">
        <v>40</v>
      </c>
      <c r="O253" s="70" t="s">
        <v>40</v>
      </c>
      <c r="P253" s="70" t="s">
        <v>40</v>
      </c>
      <c r="Q253" s="70"/>
      <c r="R253" s="70" t="s">
        <v>40</v>
      </c>
      <c r="S253" s="70" t="s">
        <v>40</v>
      </c>
      <c r="T253" s="70" t="s">
        <v>40</v>
      </c>
      <c r="U253" s="70" t="s">
        <v>40</v>
      </c>
      <c r="V253" s="70" t="s">
        <v>40</v>
      </c>
      <c r="W253" s="70"/>
      <c r="X253" s="70" t="s">
        <v>40</v>
      </c>
      <c r="Y253" s="70" t="s">
        <v>40</v>
      </c>
      <c r="Z253" s="70" t="s">
        <v>40</v>
      </c>
      <c r="AA253" s="70" t="s">
        <v>40</v>
      </c>
      <c r="AB253" s="70" t="s">
        <v>40</v>
      </c>
    </row>
    <row r="254" spans="1:29" x14ac:dyDescent="0.25">
      <c r="A254" s="46"/>
      <c r="B254" s="26"/>
      <c r="C254" s="4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</row>
    <row r="255" spans="1:29" ht="19.5" x14ac:dyDescent="0.35">
      <c r="A255" s="46">
        <v>25</v>
      </c>
      <c r="B255" s="23" t="s">
        <v>246</v>
      </c>
      <c r="C255" s="4" t="str">
        <f>+C248</f>
        <v>RURAL ELEC.</v>
      </c>
      <c r="D255" s="67">
        <f>9346.03+6372273.4</f>
        <v>6381619.4300000006</v>
      </c>
      <c r="E255" s="67">
        <v>0</v>
      </c>
      <c r="F255" s="68"/>
      <c r="G255" s="68"/>
      <c r="H255" s="67">
        <f>E255+F255</f>
        <v>0</v>
      </c>
      <c r="I255" s="68"/>
      <c r="J255" s="68"/>
      <c r="K255" s="68"/>
      <c r="L255" s="67"/>
      <c r="M255" s="67"/>
      <c r="N255" s="67">
        <f>H255+L255</f>
        <v>0</v>
      </c>
      <c r="O255" s="67">
        <f>6381619.43+307098.4+210246.6</f>
        <v>6898964.4299999997</v>
      </c>
      <c r="P255" s="67"/>
      <c r="Q255" s="67"/>
      <c r="R255" s="67">
        <f>O255+P255</f>
        <v>6898964.4299999997</v>
      </c>
      <c r="S255" s="67">
        <f>916399.84-307098.4-399054.84</f>
        <v>210246.59999999992</v>
      </c>
      <c r="T255" s="68">
        <v>210246.6</v>
      </c>
      <c r="U255" s="67"/>
      <c r="V255" s="67"/>
      <c r="W255" s="67"/>
      <c r="X255" s="67">
        <f>R255+V255</f>
        <v>6898964.4299999997</v>
      </c>
      <c r="Y255" s="67">
        <f>R255+H255</f>
        <v>6898964.4299999997</v>
      </c>
      <c r="Z255" s="67">
        <f>D255-Y255</f>
        <v>-517344.99999999907</v>
      </c>
      <c r="AA255" s="67">
        <f>N255+X255</f>
        <v>6898964.4299999997</v>
      </c>
      <c r="AB255" s="69">
        <f>+D255-N255-X255</f>
        <v>-517344.99999999907</v>
      </c>
      <c r="AC255" s="48" t="s">
        <v>321</v>
      </c>
    </row>
    <row r="256" spans="1:29" x14ac:dyDescent="0.25">
      <c r="A256" s="46"/>
      <c r="B256" s="26"/>
      <c r="C256" s="3" t="s">
        <v>36</v>
      </c>
      <c r="D256" s="67">
        <v>2708365.92</v>
      </c>
      <c r="E256" s="67">
        <v>2708365.92</v>
      </c>
      <c r="F256" s="68"/>
      <c r="G256" s="68"/>
      <c r="H256" s="67">
        <f>E256+F256</f>
        <v>2708365.92</v>
      </c>
      <c r="I256" s="68"/>
      <c r="J256" s="68"/>
      <c r="K256" s="68"/>
      <c r="L256" s="67"/>
      <c r="M256" s="67"/>
      <c r="N256" s="67">
        <f>H256+L256</f>
        <v>2708365.92</v>
      </c>
      <c r="O256" s="67">
        <v>0</v>
      </c>
      <c r="P256" s="68"/>
      <c r="Q256" s="68"/>
      <c r="R256" s="67">
        <f>O256+P256</f>
        <v>0</v>
      </c>
      <c r="S256" s="67"/>
      <c r="T256" s="68"/>
      <c r="U256" s="67"/>
      <c r="V256" s="67"/>
      <c r="W256" s="67"/>
      <c r="X256" s="67">
        <f>R256+V256</f>
        <v>0</v>
      </c>
      <c r="Y256" s="67">
        <f>R256+H256</f>
        <v>2708365.92</v>
      </c>
      <c r="Z256" s="67">
        <f>D256-Y256</f>
        <v>0</v>
      </c>
      <c r="AA256" s="67">
        <f>N256+X256</f>
        <v>2708365.92</v>
      </c>
      <c r="AB256" s="69">
        <f>+D256-N256-X256</f>
        <v>0</v>
      </c>
    </row>
    <row r="257" spans="1:43" x14ac:dyDescent="0.25">
      <c r="A257" s="46"/>
      <c r="B257" s="26"/>
      <c r="C257" s="3" t="s">
        <v>65</v>
      </c>
      <c r="D257" s="67">
        <v>49855000</v>
      </c>
      <c r="E257" s="67">
        <v>49855000</v>
      </c>
      <c r="F257" s="68"/>
      <c r="G257" s="68"/>
      <c r="H257" s="67">
        <f>E257+F257</f>
        <v>49855000</v>
      </c>
      <c r="I257" s="68"/>
      <c r="J257" s="68"/>
      <c r="K257" s="68"/>
      <c r="L257" s="67"/>
      <c r="M257" s="67"/>
      <c r="N257" s="67">
        <f>H257+L257</f>
        <v>49855000</v>
      </c>
      <c r="O257" s="67">
        <v>0</v>
      </c>
      <c r="P257" s="68"/>
      <c r="Q257" s="68"/>
      <c r="R257" s="67">
        <f>O257+P257</f>
        <v>0</v>
      </c>
      <c r="S257" s="68"/>
      <c r="T257" s="68"/>
      <c r="U257" s="68"/>
      <c r="V257" s="67"/>
      <c r="W257" s="67"/>
      <c r="X257" s="67">
        <f>R257+V257</f>
        <v>0</v>
      </c>
      <c r="Y257" s="67">
        <f>R257+H257</f>
        <v>49855000</v>
      </c>
      <c r="Z257" s="67">
        <f>D257-Y257</f>
        <v>0</v>
      </c>
      <c r="AA257" s="67">
        <f>N257+X257</f>
        <v>49855000</v>
      </c>
      <c r="AB257" s="69">
        <f>+D257-N257-X257</f>
        <v>0</v>
      </c>
    </row>
    <row r="258" spans="1:43" x14ac:dyDescent="0.25">
      <c r="A258" s="46"/>
      <c r="B258" s="26"/>
      <c r="C258" s="3" t="s">
        <v>54</v>
      </c>
      <c r="D258" s="67">
        <v>10256792.35</v>
      </c>
      <c r="E258" s="67">
        <v>0</v>
      </c>
      <c r="F258" s="68"/>
      <c r="G258" s="68"/>
      <c r="H258" s="67">
        <f>E258+F258</f>
        <v>0</v>
      </c>
      <c r="I258" s="68"/>
      <c r="J258" s="68"/>
      <c r="K258" s="68"/>
      <c r="L258" s="67"/>
      <c r="M258" s="67"/>
      <c r="N258" s="67">
        <f>H258+L258</f>
        <v>0</v>
      </c>
      <c r="O258" s="67">
        <v>10256792.35</v>
      </c>
      <c r="P258" s="67"/>
      <c r="Q258" s="67"/>
      <c r="R258" s="67">
        <f>O258+P258</f>
        <v>10256792.35</v>
      </c>
      <c r="S258" s="67"/>
      <c r="T258" s="68"/>
      <c r="U258" s="67"/>
      <c r="V258" s="67"/>
      <c r="W258" s="67"/>
      <c r="X258" s="67">
        <f>R258+V258</f>
        <v>10256792.35</v>
      </c>
      <c r="Y258" s="67">
        <f>R258+H258</f>
        <v>10256792.35</v>
      </c>
      <c r="Z258" s="67">
        <f>D258-Y258</f>
        <v>0</v>
      </c>
      <c r="AA258" s="67">
        <f>N258+X258</f>
        <v>10256792.35</v>
      </c>
      <c r="AB258" s="69">
        <f>+D258-N258-X258</f>
        <v>0</v>
      </c>
    </row>
    <row r="259" spans="1:43" x14ac:dyDescent="0.25">
      <c r="A259" s="46"/>
      <c r="B259" s="26"/>
      <c r="C259" s="4"/>
      <c r="D259" s="70" t="s">
        <v>40</v>
      </c>
      <c r="E259" s="70" t="s">
        <v>40</v>
      </c>
      <c r="F259" s="70" t="s">
        <v>40</v>
      </c>
      <c r="G259" s="70"/>
      <c r="H259" s="70" t="s">
        <v>40</v>
      </c>
      <c r="I259" s="70" t="s">
        <v>40</v>
      </c>
      <c r="J259" s="70" t="s">
        <v>40</v>
      </c>
      <c r="K259" s="70" t="s">
        <v>40</v>
      </c>
      <c r="L259" s="70" t="s">
        <v>40</v>
      </c>
      <c r="M259" s="70"/>
      <c r="N259" s="70" t="s">
        <v>40</v>
      </c>
      <c r="O259" s="70" t="s">
        <v>40</v>
      </c>
      <c r="P259" s="70" t="s">
        <v>40</v>
      </c>
      <c r="Q259" s="70"/>
      <c r="R259" s="70" t="s">
        <v>40</v>
      </c>
      <c r="S259" s="70" t="s">
        <v>40</v>
      </c>
      <c r="T259" s="70" t="s">
        <v>40</v>
      </c>
      <c r="U259" s="70" t="s">
        <v>40</v>
      </c>
      <c r="V259" s="70" t="s">
        <v>40</v>
      </c>
      <c r="W259" s="70"/>
      <c r="X259" s="70" t="s">
        <v>40</v>
      </c>
      <c r="Y259" s="70" t="s">
        <v>40</v>
      </c>
      <c r="Z259" s="70" t="s">
        <v>40</v>
      </c>
      <c r="AA259" s="70" t="s">
        <v>40</v>
      </c>
      <c r="AB259" s="70" t="s">
        <v>40</v>
      </c>
    </row>
    <row r="260" spans="1:43" x14ac:dyDescent="0.25">
      <c r="A260" s="46"/>
      <c r="B260" s="26"/>
      <c r="C260" s="4"/>
      <c r="D260" s="67">
        <f t="shared" ref="D260:AB260" si="119">SUM(D255:D258)</f>
        <v>69201777.700000003</v>
      </c>
      <c r="E260" s="67">
        <f t="shared" si="119"/>
        <v>52563365.920000002</v>
      </c>
      <c r="F260" s="67">
        <f t="shared" si="119"/>
        <v>0</v>
      </c>
      <c r="G260" s="67"/>
      <c r="H260" s="67">
        <f t="shared" si="119"/>
        <v>52563365.920000002</v>
      </c>
      <c r="I260" s="67">
        <f t="shared" si="119"/>
        <v>0</v>
      </c>
      <c r="J260" s="67">
        <f t="shared" si="119"/>
        <v>0</v>
      </c>
      <c r="K260" s="67">
        <f t="shared" si="119"/>
        <v>0</v>
      </c>
      <c r="L260" s="67">
        <f t="shared" si="119"/>
        <v>0</v>
      </c>
      <c r="M260" s="67"/>
      <c r="N260" s="67">
        <f t="shared" si="119"/>
        <v>52563365.920000002</v>
      </c>
      <c r="O260" s="67">
        <f t="shared" si="119"/>
        <v>17155756.780000001</v>
      </c>
      <c r="P260" s="67">
        <f t="shared" si="119"/>
        <v>0</v>
      </c>
      <c r="Q260" s="67"/>
      <c r="R260" s="67">
        <f t="shared" si="119"/>
        <v>17155756.780000001</v>
      </c>
      <c r="S260" s="67">
        <f t="shared" si="119"/>
        <v>210246.59999999992</v>
      </c>
      <c r="T260" s="67">
        <f t="shared" si="119"/>
        <v>210246.6</v>
      </c>
      <c r="U260" s="67">
        <f t="shared" si="119"/>
        <v>0</v>
      </c>
      <c r="V260" s="67">
        <f t="shared" si="119"/>
        <v>0</v>
      </c>
      <c r="W260" s="67"/>
      <c r="X260" s="67">
        <f t="shared" si="119"/>
        <v>17155756.780000001</v>
      </c>
      <c r="Y260" s="67">
        <f t="shared" si="119"/>
        <v>69719122.700000003</v>
      </c>
      <c r="Z260" s="67">
        <f t="shared" si="119"/>
        <v>-517344.99999999907</v>
      </c>
      <c r="AA260" s="67">
        <f t="shared" si="119"/>
        <v>69719122.700000003</v>
      </c>
      <c r="AB260" s="67">
        <f t="shared" si="119"/>
        <v>-517344.99999999907</v>
      </c>
    </row>
    <row r="261" spans="1:43" x14ac:dyDescent="0.25">
      <c r="A261" s="46"/>
      <c r="B261" s="26"/>
      <c r="C261" s="4"/>
      <c r="D261" s="70" t="s">
        <v>40</v>
      </c>
      <c r="E261" s="70" t="s">
        <v>40</v>
      </c>
      <c r="F261" s="70" t="s">
        <v>40</v>
      </c>
      <c r="G261" s="70"/>
      <c r="H261" s="70" t="s">
        <v>40</v>
      </c>
      <c r="I261" s="70" t="s">
        <v>40</v>
      </c>
      <c r="J261" s="70" t="s">
        <v>40</v>
      </c>
      <c r="K261" s="70" t="s">
        <v>40</v>
      </c>
      <c r="L261" s="70" t="s">
        <v>40</v>
      </c>
      <c r="M261" s="70"/>
      <c r="N261" s="70" t="s">
        <v>40</v>
      </c>
      <c r="O261" s="70" t="s">
        <v>40</v>
      </c>
      <c r="P261" s="70" t="s">
        <v>40</v>
      </c>
      <c r="Q261" s="70"/>
      <c r="R261" s="70" t="s">
        <v>40</v>
      </c>
      <c r="S261" s="70" t="s">
        <v>40</v>
      </c>
      <c r="T261" s="70" t="s">
        <v>40</v>
      </c>
      <c r="U261" s="70" t="s">
        <v>40</v>
      </c>
      <c r="V261" s="70" t="s">
        <v>40</v>
      </c>
      <c r="W261" s="70"/>
      <c r="X261" s="70" t="s">
        <v>40</v>
      </c>
      <c r="Y261" s="70" t="s">
        <v>40</v>
      </c>
      <c r="Z261" s="70" t="s">
        <v>40</v>
      </c>
      <c r="AA261" s="70" t="s">
        <v>40</v>
      </c>
      <c r="AB261" s="70" t="s">
        <v>40</v>
      </c>
    </row>
    <row r="262" spans="1:43" x14ac:dyDescent="0.25">
      <c r="A262" s="46"/>
      <c r="B262" s="26"/>
      <c r="C262" s="4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9" t="s">
        <v>326</v>
      </c>
      <c r="Z262" s="70"/>
      <c r="AA262" s="70"/>
      <c r="AB262" s="70"/>
    </row>
    <row r="264" spans="1:43" x14ac:dyDescent="0.25">
      <c r="A264" s="46">
        <v>26</v>
      </c>
      <c r="B264" s="23" t="s">
        <v>325</v>
      </c>
      <c r="C264" s="2" t="s">
        <v>35</v>
      </c>
      <c r="D264" s="67">
        <f>44322892.05-3024977.75-4816155.25</f>
        <v>36481759.049999997</v>
      </c>
      <c r="E264" s="67">
        <v>0</v>
      </c>
      <c r="F264" s="68"/>
      <c r="G264" s="68"/>
      <c r="H264" s="67">
        <f>E264+F264</f>
        <v>0</v>
      </c>
      <c r="I264" s="68"/>
      <c r="J264" s="68"/>
      <c r="K264" s="68"/>
      <c r="L264" s="67"/>
      <c r="M264" s="67"/>
      <c r="N264" s="67">
        <f>H264+L264</f>
        <v>0</v>
      </c>
      <c r="O264" s="67">
        <v>0</v>
      </c>
      <c r="P264" s="68"/>
      <c r="Q264" s="68"/>
      <c r="R264" s="67">
        <f>O264+P264</f>
        <v>0</v>
      </c>
      <c r="S264" s="68"/>
      <c r="T264" s="68"/>
      <c r="U264" s="68"/>
      <c r="V264" s="67"/>
      <c r="W264" s="67"/>
      <c r="X264" s="67">
        <f>R264+V264</f>
        <v>0</v>
      </c>
      <c r="Y264" s="67">
        <f t="shared" ref="Y264:Y272" si="120">R264+H264</f>
        <v>0</v>
      </c>
      <c r="Z264" s="67">
        <f t="shared" ref="Z264:Z272" si="121">D264-Y264</f>
        <v>36481759.049999997</v>
      </c>
      <c r="AA264" s="67">
        <f t="shared" ref="AA264:AA272" si="122">N264+X264</f>
        <v>0</v>
      </c>
      <c r="AB264" s="69">
        <f t="shared" ref="AB264:AB272" si="123">+D264-N264-X264</f>
        <v>36481759.049999997</v>
      </c>
    </row>
    <row r="265" spans="1:43" x14ac:dyDescent="0.25">
      <c r="A265" s="46"/>
      <c r="B265" s="26"/>
      <c r="C265" s="3" t="s">
        <v>36</v>
      </c>
      <c r="D265" s="67">
        <v>1244396.24</v>
      </c>
      <c r="E265" s="67">
        <v>1244396.24</v>
      </c>
      <c r="F265" s="68"/>
      <c r="G265" s="68"/>
      <c r="H265" s="67">
        <f>E265+F265</f>
        <v>1244396.24</v>
      </c>
      <c r="I265" s="68"/>
      <c r="J265" s="68"/>
      <c r="K265" s="68"/>
      <c r="L265" s="67"/>
      <c r="M265" s="67"/>
      <c r="N265" s="67">
        <f>H265+L265</f>
        <v>1244396.24</v>
      </c>
      <c r="O265" s="67">
        <v>0</v>
      </c>
      <c r="P265" s="68"/>
      <c r="Q265" s="68"/>
      <c r="R265" s="67">
        <f>O265+P265</f>
        <v>0</v>
      </c>
      <c r="S265" s="68"/>
      <c r="T265" s="68"/>
      <c r="U265" s="68"/>
      <c r="V265" s="67"/>
      <c r="W265" s="67"/>
      <c r="X265" s="67">
        <f>R265+V265</f>
        <v>0</v>
      </c>
      <c r="Y265" s="67">
        <f t="shared" si="120"/>
        <v>1244396.24</v>
      </c>
      <c r="Z265" s="67">
        <f t="shared" si="121"/>
        <v>0</v>
      </c>
      <c r="AA265" s="67">
        <f t="shared" si="122"/>
        <v>1244396.24</v>
      </c>
      <c r="AB265" s="69">
        <f t="shared" si="123"/>
        <v>0</v>
      </c>
    </row>
    <row r="266" spans="1:43" x14ac:dyDescent="0.25">
      <c r="A266" s="4"/>
      <c r="B266" s="4"/>
      <c r="C266" s="22" t="s">
        <v>304</v>
      </c>
      <c r="D266" s="55">
        <v>20000000</v>
      </c>
      <c r="E266" s="55">
        <v>20000000</v>
      </c>
      <c r="F266" s="55"/>
      <c r="G266" s="55"/>
      <c r="H266" s="55">
        <f>+E266+F266</f>
        <v>20000000</v>
      </c>
      <c r="I266" s="55"/>
      <c r="J266" s="55"/>
      <c r="K266" s="55"/>
      <c r="L266" s="55"/>
      <c r="M266" s="55"/>
      <c r="N266" s="55">
        <f>+H266+L266</f>
        <v>20000000</v>
      </c>
      <c r="O266" s="55">
        <v>0</v>
      </c>
      <c r="P266" s="55"/>
      <c r="Q266" s="55"/>
      <c r="R266" s="55">
        <f>+O266+P266</f>
        <v>0</v>
      </c>
      <c r="S266" s="55"/>
      <c r="T266" s="55"/>
      <c r="U266" s="55"/>
      <c r="V266" s="55"/>
      <c r="W266" s="55"/>
      <c r="X266" s="55">
        <f>+R266+V266</f>
        <v>0</v>
      </c>
      <c r="Y266" s="67">
        <f t="shared" si="120"/>
        <v>20000000</v>
      </c>
      <c r="Z266" s="67">
        <f t="shared" si="121"/>
        <v>0</v>
      </c>
      <c r="AA266" s="67">
        <f t="shared" si="122"/>
        <v>20000000</v>
      </c>
      <c r="AB266" s="69">
        <f t="shared" si="123"/>
        <v>0</v>
      </c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</row>
    <row r="267" spans="1:43" x14ac:dyDescent="0.25">
      <c r="C267" s="4" t="s">
        <v>317</v>
      </c>
      <c r="D267" s="55">
        <f>3024977.75+4816155.25</f>
        <v>7841133</v>
      </c>
      <c r="E267" s="55">
        <f>3024977.75+4816155.25</f>
        <v>7841133</v>
      </c>
      <c r="F267" s="55"/>
      <c r="G267" s="55"/>
      <c r="H267" s="55">
        <f>+E267+F267</f>
        <v>7841133</v>
      </c>
      <c r="I267" s="55"/>
      <c r="J267" s="55"/>
      <c r="K267" s="55"/>
      <c r="L267" s="55"/>
      <c r="M267" s="55"/>
      <c r="N267" s="55">
        <f>+H267+L267</f>
        <v>7841133</v>
      </c>
      <c r="O267" s="55">
        <v>0</v>
      </c>
      <c r="P267" s="55"/>
      <c r="Q267" s="55"/>
      <c r="R267" s="55">
        <f>+O267+P267</f>
        <v>0</v>
      </c>
      <c r="S267" s="55"/>
      <c r="T267" s="55"/>
      <c r="U267" s="55"/>
      <c r="V267" s="55"/>
      <c r="W267" s="55"/>
      <c r="X267" s="55">
        <f>+R267+V267</f>
        <v>0</v>
      </c>
      <c r="Y267" s="67">
        <f t="shared" si="120"/>
        <v>7841133</v>
      </c>
      <c r="Z267" s="67">
        <f t="shared" si="121"/>
        <v>0</v>
      </c>
      <c r="AA267" s="67">
        <f t="shared" si="122"/>
        <v>7841133</v>
      </c>
      <c r="AB267" s="69">
        <f t="shared" si="123"/>
        <v>0</v>
      </c>
    </row>
    <row r="268" spans="1:43" x14ac:dyDescent="0.25">
      <c r="A268" s="46"/>
      <c r="B268" s="26"/>
      <c r="C268" s="3" t="s">
        <v>44</v>
      </c>
      <c r="D268" s="67">
        <v>32258000</v>
      </c>
      <c r="E268" s="67">
        <v>32258000</v>
      </c>
      <c r="F268" s="68"/>
      <c r="G268" s="68"/>
      <c r="H268" s="67">
        <f>E268+F268</f>
        <v>32258000</v>
      </c>
      <c r="I268" s="68"/>
      <c r="J268" s="68"/>
      <c r="K268" s="68"/>
      <c r="L268" s="67"/>
      <c r="M268" s="67"/>
      <c r="N268" s="67">
        <f>H268+L268</f>
        <v>32258000</v>
      </c>
      <c r="O268" s="67">
        <v>0</v>
      </c>
      <c r="P268" s="68"/>
      <c r="Q268" s="68"/>
      <c r="R268" s="67">
        <f>O268+P268</f>
        <v>0</v>
      </c>
      <c r="S268" s="68"/>
      <c r="T268" s="68"/>
      <c r="U268" s="68"/>
      <c r="V268" s="67"/>
      <c r="W268" s="67"/>
      <c r="X268" s="67">
        <f>R268+V268</f>
        <v>0</v>
      </c>
      <c r="Y268" s="67">
        <f t="shared" si="120"/>
        <v>32258000</v>
      </c>
      <c r="Z268" s="67">
        <f t="shared" si="121"/>
        <v>0</v>
      </c>
      <c r="AA268" s="67">
        <f t="shared" si="122"/>
        <v>32258000</v>
      </c>
      <c r="AB268" s="69">
        <f t="shared" si="123"/>
        <v>0</v>
      </c>
    </row>
    <row r="269" spans="1:43" x14ac:dyDescent="0.25">
      <c r="A269" s="46"/>
      <c r="B269" s="26"/>
      <c r="C269" s="3" t="s">
        <v>48</v>
      </c>
      <c r="D269" s="67">
        <v>966136.01</v>
      </c>
      <c r="E269" s="67">
        <v>966136.01</v>
      </c>
      <c r="F269" s="68"/>
      <c r="G269" s="68"/>
      <c r="H269" s="67">
        <f>E269+F269</f>
        <v>966136.01</v>
      </c>
      <c r="I269" s="68"/>
      <c r="J269" s="68"/>
      <c r="K269" s="68"/>
      <c r="L269" s="67"/>
      <c r="M269" s="67"/>
      <c r="N269" s="67">
        <f>H269+L269</f>
        <v>966136.01</v>
      </c>
      <c r="O269" s="67">
        <v>0</v>
      </c>
      <c r="P269" s="68"/>
      <c r="Q269" s="68"/>
      <c r="R269" s="67">
        <f>O269+P269</f>
        <v>0</v>
      </c>
      <c r="S269" s="68"/>
      <c r="T269" s="68"/>
      <c r="U269" s="68"/>
      <c r="V269" s="67"/>
      <c r="W269" s="67"/>
      <c r="X269" s="67">
        <f>R269+V269</f>
        <v>0</v>
      </c>
      <c r="Y269" s="67">
        <f t="shared" si="120"/>
        <v>966136.01</v>
      </c>
      <c r="Z269" s="67">
        <f t="shared" si="121"/>
        <v>0</v>
      </c>
      <c r="AA269" s="67">
        <f t="shared" si="122"/>
        <v>966136.01</v>
      </c>
      <c r="AB269" s="69">
        <f t="shared" si="123"/>
        <v>0</v>
      </c>
    </row>
    <row r="270" spans="1:43" x14ac:dyDescent="0.25">
      <c r="A270" s="46"/>
      <c r="B270" s="26"/>
      <c r="C270" s="2" t="s">
        <v>53</v>
      </c>
      <c r="D270" s="67">
        <f>51080910.92+1019932.5+4379740.63</f>
        <v>56480584.050000004</v>
      </c>
      <c r="E270" s="67">
        <v>0</v>
      </c>
      <c r="F270" s="68"/>
      <c r="G270" s="68"/>
      <c r="H270" s="67">
        <f>E270+F270</f>
        <v>0</v>
      </c>
      <c r="I270" s="68"/>
      <c r="J270" s="68"/>
      <c r="K270" s="68"/>
      <c r="L270" s="67"/>
      <c r="M270" s="67"/>
      <c r="N270" s="67">
        <f>H270+L270</f>
        <v>0</v>
      </c>
      <c r="O270" s="67">
        <f>3123881.9+17566973.03+4379740.63</f>
        <v>25070595.559999999</v>
      </c>
      <c r="P270" s="68"/>
      <c r="Q270" s="68"/>
      <c r="R270" s="67">
        <f>O270+P270</f>
        <v>25070595.559999999</v>
      </c>
      <c r="S270" s="68"/>
      <c r="T270" s="68"/>
      <c r="U270" s="68"/>
      <c r="V270" s="67"/>
      <c r="W270" s="67"/>
      <c r="X270" s="67">
        <f>R270+V270</f>
        <v>25070595.559999999</v>
      </c>
      <c r="Y270" s="67">
        <f t="shared" si="120"/>
        <v>25070595.559999999</v>
      </c>
      <c r="Z270" s="67">
        <f t="shared" si="121"/>
        <v>31409988.490000006</v>
      </c>
      <c r="AA270" s="67">
        <f t="shared" si="122"/>
        <v>25070595.559999999</v>
      </c>
      <c r="AB270" s="69">
        <f t="shared" si="123"/>
        <v>31409988.490000006</v>
      </c>
    </row>
    <row r="271" spans="1:43" x14ac:dyDescent="0.25">
      <c r="A271" s="46"/>
      <c r="B271" s="26"/>
      <c r="C271" s="2" t="s">
        <v>54</v>
      </c>
      <c r="D271" s="67">
        <f>11247164.13+4549465.67</f>
        <v>15796629.800000001</v>
      </c>
      <c r="E271" s="67">
        <v>0</v>
      </c>
      <c r="F271" s="68"/>
      <c r="G271" s="68"/>
      <c r="H271" s="67">
        <f>E271+F271</f>
        <v>0</v>
      </c>
      <c r="I271" s="68"/>
      <c r="J271" s="68"/>
      <c r="K271" s="68"/>
      <c r="L271" s="67"/>
      <c r="M271" s="67"/>
      <c r="N271" s="67">
        <f>H271+L271</f>
        <v>0</v>
      </c>
      <c r="O271" s="67">
        <v>15796629.800000001</v>
      </c>
      <c r="P271" s="67"/>
      <c r="Q271" s="67"/>
      <c r="R271" s="67">
        <f>O271+P271</f>
        <v>15796629.800000001</v>
      </c>
      <c r="S271" s="68"/>
      <c r="T271" s="68"/>
      <c r="U271" s="68"/>
      <c r="V271" s="67"/>
      <c r="W271" s="67"/>
      <c r="X271" s="67">
        <f>R271+V271</f>
        <v>15796629.800000001</v>
      </c>
      <c r="Y271" s="67">
        <f t="shared" si="120"/>
        <v>15796629.800000001</v>
      </c>
      <c r="Z271" s="67">
        <f t="shared" si="121"/>
        <v>0</v>
      </c>
      <c r="AA271" s="67">
        <f t="shared" si="122"/>
        <v>15796629.800000001</v>
      </c>
      <c r="AB271" s="69">
        <f t="shared" si="123"/>
        <v>0</v>
      </c>
    </row>
    <row r="272" spans="1:43" x14ac:dyDescent="0.25">
      <c r="A272" s="46"/>
      <c r="B272" s="26"/>
      <c r="C272" s="2" t="s">
        <v>143</v>
      </c>
      <c r="D272" s="67">
        <v>837838.57</v>
      </c>
      <c r="E272" s="67">
        <v>837838.57</v>
      </c>
      <c r="F272" s="68"/>
      <c r="G272" s="68"/>
      <c r="H272" s="67">
        <f>E272+F272</f>
        <v>837838.57</v>
      </c>
      <c r="I272" s="68"/>
      <c r="J272" s="68"/>
      <c r="K272" s="68"/>
      <c r="L272" s="67"/>
      <c r="M272" s="67"/>
      <c r="N272" s="67">
        <f>H272+L272</f>
        <v>837838.57</v>
      </c>
      <c r="O272" s="67">
        <v>0</v>
      </c>
      <c r="P272" s="67"/>
      <c r="Q272" s="67"/>
      <c r="R272" s="67">
        <f>O272+P272</f>
        <v>0</v>
      </c>
      <c r="S272" s="68"/>
      <c r="T272" s="68"/>
      <c r="U272" s="68"/>
      <c r="V272" s="67"/>
      <c r="W272" s="67"/>
      <c r="X272" s="67">
        <f>R272+V272</f>
        <v>0</v>
      </c>
      <c r="Y272" s="67">
        <f t="shared" si="120"/>
        <v>837838.57</v>
      </c>
      <c r="Z272" s="67">
        <f t="shared" si="121"/>
        <v>0</v>
      </c>
      <c r="AA272" s="67">
        <f t="shared" si="122"/>
        <v>837838.57</v>
      </c>
      <c r="AB272" s="69">
        <f t="shared" si="123"/>
        <v>0</v>
      </c>
    </row>
    <row r="273" spans="1:28" x14ac:dyDescent="0.25">
      <c r="A273" s="46"/>
      <c r="B273" s="26"/>
      <c r="C273" s="4"/>
      <c r="D273" s="70" t="s">
        <v>40</v>
      </c>
      <c r="E273" s="70" t="s">
        <v>40</v>
      </c>
      <c r="F273" s="70" t="s">
        <v>40</v>
      </c>
      <c r="G273" s="70"/>
      <c r="H273" s="70" t="s">
        <v>40</v>
      </c>
      <c r="I273" s="70" t="s">
        <v>40</v>
      </c>
      <c r="J273" s="70" t="s">
        <v>40</v>
      </c>
      <c r="K273" s="70" t="s">
        <v>40</v>
      </c>
      <c r="L273" s="70" t="s">
        <v>40</v>
      </c>
      <c r="M273" s="70"/>
      <c r="N273" s="70" t="s">
        <v>40</v>
      </c>
      <c r="O273" s="70" t="s">
        <v>40</v>
      </c>
      <c r="P273" s="70" t="s">
        <v>40</v>
      </c>
      <c r="Q273" s="70"/>
      <c r="R273" s="70" t="s">
        <v>40</v>
      </c>
      <c r="S273" s="70" t="s">
        <v>40</v>
      </c>
      <c r="T273" s="70" t="s">
        <v>40</v>
      </c>
      <c r="U273" s="70" t="s">
        <v>40</v>
      </c>
      <c r="V273" s="70" t="s">
        <v>40</v>
      </c>
      <c r="W273" s="70"/>
      <c r="X273" s="70" t="s">
        <v>40</v>
      </c>
      <c r="Y273" s="70" t="s">
        <v>40</v>
      </c>
      <c r="Z273" s="70" t="s">
        <v>40</v>
      </c>
      <c r="AA273" s="70" t="s">
        <v>40</v>
      </c>
      <c r="AB273" s="70" t="s">
        <v>40</v>
      </c>
    </row>
    <row r="274" spans="1:28" x14ac:dyDescent="0.25">
      <c r="A274" s="46"/>
      <c r="B274" s="26"/>
      <c r="C274" s="4"/>
      <c r="D274" s="67">
        <f>SUM(D264:D272)</f>
        <v>171906476.72</v>
      </c>
      <c r="E274" s="67">
        <f>SUM(E264:E272)</f>
        <v>63147503.819999993</v>
      </c>
      <c r="F274" s="67">
        <f>SUM(F264:F272)</f>
        <v>0</v>
      </c>
      <c r="G274" s="67"/>
      <c r="H274" s="67">
        <f>SUM(H264:H272)</f>
        <v>63147503.819999993</v>
      </c>
      <c r="I274" s="67">
        <f>SUM(I264:I272)</f>
        <v>0</v>
      </c>
      <c r="J274" s="67">
        <f>SUM(J264:J272)</f>
        <v>0</v>
      </c>
      <c r="K274" s="67">
        <f>SUM(K264:K272)</f>
        <v>0</v>
      </c>
      <c r="L274" s="67">
        <f>SUM(L264:L272)</f>
        <v>0</v>
      </c>
      <c r="M274" s="67"/>
      <c r="N274" s="67">
        <f>SUM(N264:N272)</f>
        <v>63147503.819999993</v>
      </c>
      <c r="O274" s="67">
        <f>SUM(O264:O272)</f>
        <v>40867225.359999999</v>
      </c>
      <c r="P274" s="67">
        <f>SUM(P264:P272)</f>
        <v>0</v>
      </c>
      <c r="Q274" s="67"/>
      <c r="R274" s="67">
        <f>SUM(R264:R272)</f>
        <v>40867225.359999999</v>
      </c>
      <c r="S274" s="67">
        <f>SUM(S264:S272)</f>
        <v>0</v>
      </c>
      <c r="T274" s="67">
        <f>SUM(T264:T272)</f>
        <v>0</v>
      </c>
      <c r="U274" s="67">
        <f>SUM(U264:U272)</f>
        <v>0</v>
      </c>
      <c r="V274" s="67">
        <f>SUM(V264:V272)</f>
        <v>0</v>
      </c>
      <c r="W274" s="67"/>
      <c r="X274" s="67">
        <f>SUM(X264:X272)</f>
        <v>40867225.359999999</v>
      </c>
      <c r="Y274" s="67">
        <f>SUM(Y264:Y272)</f>
        <v>104014729.17999998</v>
      </c>
      <c r="Z274" s="67">
        <f>SUM(Z264:Z272)</f>
        <v>67891747.540000007</v>
      </c>
      <c r="AA274" s="67">
        <f>SUM(AA264:AA272)</f>
        <v>104014729.17999998</v>
      </c>
      <c r="AB274" s="67">
        <f>SUM(AB264:AB272)</f>
        <v>67891747.540000007</v>
      </c>
    </row>
    <row r="275" spans="1:28" x14ac:dyDescent="0.25">
      <c r="A275" s="46"/>
      <c r="B275" s="26"/>
      <c r="C275" s="4"/>
      <c r="D275" s="70" t="s">
        <v>40</v>
      </c>
      <c r="E275" s="70" t="s">
        <v>40</v>
      </c>
      <c r="F275" s="70" t="s">
        <v>40</v>
      </c>
      <c r="G275" s="70"/>
      <c r="H275" s="70" t="s">
        <v>40</v>
      </c>
      <c r="I275" s="70" t="s">
        <v>40</v>
      </c>
      <c r="J275" s="70" t="s">
        <v>40</v>
      </c>
      <c r="K275" s="70" t="s">
        <v>40</v>
      </c>
      <c r="L275" s="70" t="s">
        <v>40</v>
      </c>
      <c r="M275" s="70"/>
      <c r="N275" s="70" t="s">
        <v>40</v>
      </c>
      <c r="O275" s="70" t="s">
        <v>40</v>
      </c>
      <c r="P275" s="70" t="s">
        <v>40</v>
      </c>
      <c r="Q275" s="70"/>
      <c r="R275" s="70" t="s">
        <v>40</v>
      </c>
      <c r="S275" s="70" t="s">
        <v>40</v>
      </c>
      <c r="T275" s="70" t="s">
        <v>40</v>
      </c>
      <c r="U275" s="70" t="s">
        <v>40</v>
      </c>
      <c r="V275" s="70" t="s">
        <v>40</v>
      </c>
      <c r="W275" s="70"/>
      <c r="X275" s="70" t="s">
        <v>40</v>
      </c>
      <c r="Y275" s="70" t="s">
        <v>40</v>
      </c>
      <c r="Z275" s="70" t="s">
        <v>40</v>
      </c>
      <c r="AA275" s="70" t="s">
        <v>40</v>
      </c>
      <c r="AB275" s="70" t="s">
        <v>40</v>
      </c>
    </row>
    <row r="276" spans="1:28" x14ac:dyDescent="0.25">
      <c r="A276" s="46"/>
      <c r="B276" s="26"/>
      <c r="C276" s="4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</row>
    <row r="277" spans="1:28" x14ac:dyDescent="0.25">
      <c r="A277" s="46">
        <v>27</v>
      </c>
      <c r="B277" s="23" t="s">
        <v>69</v>
      </c>
      <c r="C277" s="2" t="s">
        <v>35</v>
      </c>
      <c r="D277" s="67">
        <v>26635000</v>
      </c>
      <c r="E277" s="67">
        <v>0</v>
      </c>
      <c r="F277" s="68"/>
      <c r="G277" s="68"/>
      <c r="H277" s="67">
        <f>E277+F277</f>
        <v>0</v>
      </c>
      <c r="I277" s="68"/>
      <c r="J277" s="68"/>
      <c r="K277" s="68"/>
      <c r="L277" s="67"/>
      <c r="M277" s="67"/>
      <c r="N277" s="67">
        <f>H277+L277</f>
        <v>0</v>
      </c>
      <c r="O277" s="67">
        <v>0</v>
      </c>
      <c r="P277" s="68"/>
      <c r="Q277" s="68"/>
      <c r="R277" s="67">
        <f>O277+P277</f>
        <v>0</v>
      </c>
      <c r="S277" s="68"/>
      <c r="T277" s="68"/>
      <c r="U277" s="68"/>
      <c r="V277" s="67"/>
      <c r="W277" s="67"/>
      <c r="X277" s="67">
        <f>R277+V277</f>
        <v>0</v>
      </c>
      <c r="Y277" s="67">
        <f>R277+H277</f>
        <v>0</v>
      </c>
      <c r="Z277" s="67">
        <f>D277-Y277</f>
        <v>26635000</v>
      </c>
      <c r="AA277" s="67">
        <f>N277+X277</f>
        <v>0</v>
      </c>
      <c r="AB277" s="69">
        <f>+D277-N277-X277</f>
        <v>26635000</v>
      </c>
    </row>
    <row r="278" spans="1:28" x14ac:dyDescent="0.25">
      <c r="A278" s="46"/>
      <c r="B278" s="26"/>
      <c r="C278" s="2" t="s">
        <v>37</v>
      </c>
      <c r="D278" s="67">
        <v>43698000</v>
      </c>
      <c r="E278" s="67">
        <v>0</v>
      </c>
      <c r="F278" s="68"/>
      <c r="G278" s="68"/>
      <c r="H278" s="67">
        <f>E278+F278</f>
        <v>0</v>
      </c>
      <c r="I278" s="68"/>
      <c r="J278" s="68"/>
      <c r="K278" s="68"/>
      <c r="L278" s="67"/>
      <c r="M278" s="67"/>
      <c r="N278" s="67">
        <f>H278+L278</f>
        <v>0</v>
      </c>
      <c r="O278" s="67">
        <v>0</v>
      </c>
      <c r="P278" s="68"/>
      <c r="Q278" s="68"/>
      <c r="R278" s="67">
        <f>O278+P278</f>
        <v>0</v>
      </c>
      <c r="S278" s="68"/>
      <c r="T278" s="68"/>
      <c r="U278" s="68"/>
      <c r="V278" s="67"/>
      <c r="W278" s="67"/>
      <c r="X278" s="67">
        <f>R278+V278</f>
        <v>0</v>
      </c>
      <c r="Y278" s="67">
        <f>R278+H278</f>
        <v>0</v>
      </c>
      <c r="Z278" s="67">
        <f>D278-Y278</f>
        <v>43698000</v>
      </c>
      <c r="AA278" s="67">
        <f>N278+X278</f>
        <v>0</v>
      </c>
      <c r="AB278" s="69">
        <f>+D278-N278-X278</f>
        <v>43698000</v>
      </c>
    </row>
    <row r="279" spans="1:28" x14ac:dyDescent="0.25">
      <c r="A279" s="46"/>
      <c r="B279" s="26"/>
      <c r="C279" s="2" t="s">
        <v>38</v>
      </c>
      <c r="D279" s="67">
        <v>6594000</v>
      </c>
      <c r="E279" s="67">
        <v>0</v>
      </c>
      <c r="F279" s="68"/>
      <c r="G279" s="68"/>
      <c r="H279" s="67">
        <f>E279+F279</f>
        <v>0</v>
      </c>
      <c r="I279" s="68"/>
      <c r="J279" s="68"/>
      <c r="K279" s="68"/>
      <c r="L279" s="67"/>
      <c r="M279" s="67"/>
      <c r="N279" s="67">
        <f>H279+L279</f>
        <v>0</v>
      </c>
      <c r="O279" s="67">
        <v>0</v>
      </c>
      <c r="P279" s="68"/>
      <c r="Q279" s="68"/>
      <c r="R279" s="67">
        <f>O279+P279</f>
        <v>0</v>
      </c>
      <c r="S279" s="68"/>
      <c r="T279" s="68"/>
      <c r="U279" s="68"/>
      <c r="V279" s="67"/>
      <c r="W279" s="67"/>
      <c r="X279" s="67">
        <f>R279+V279</f>
        <v>0</v>
      </c>
      <c r="Y279" s="67">
        <f>R279+H279</f>
        <v>0</v>
      </c>
      <c r="Z279" s="67">
        <f>D279-Y279</f>
        <v>6594000</v>
      </c>
      <c r="AA279" s="67">
        <f>N279+X279</f>
        <v>0</v>
      </c>
      <c r="AB279" s="69">
        <f>+D279-N279-X279</f>
        <v>6594000</v>
      </c>
    </row>
    <row r="280" spans="1:28" x14ac:dyDescent="0.25">
      <c r="A280" s="46"/>
      <c r="B280" s="26"/>
      <c r="C280" s="8" t="s">
        <v>39</v>
      </c>
      <c r="D280" s="67">
        <v>6302000</v>
      </c>
      <c r="E280" s="67">
        <v>0</v>
      </c>
      <c r="F280" s="68"/>
      <c r="G280" s="68"/>
      <c r="H280" s="67">
        <f>E280+F280</f>
        <v>0</v>
      </c>
      <c r="I280" s="68"/>
      <c r="J280" s="68"/>
      <c r="K280" s="68"/>
      <c r="L280" s="67"/>
      <c r="M280" s="67"/>
      <c r="N280" s="67">
        <f>H280+L280</f>
        <v>0</v>
      </c>
      <c r="O280" s="67">
        <v>0</v>
      </c>
      <c r="P280" s="68"/>
      <c r="Q280" s="68"/>
      <c r="R280" s="67">
        <f>O280+P280</f>
        <v>0</v>
      </c>
      <c r="S280" s="68"/>
      <c r="T280" s="68"/>
      <c r="U280" s="68"/>
      <c r="V280" s="67"/>
      <c r="W280" s="67"/>
      <c r="X280" s="67">
        <f>R280+V280</f>
        <v>0</v>
      </c>
      <c r="Y280" s="67">
        <f>R280+H280</f>
        <v>0</v>
      </c>
      <c r="Z280" s="67">
        <f>D280-Y280</f>
        <v>6302000</v>
      </c>
      <c r="AA280" s="67">
        <f>N280+X280</f>
        <v>0</v>
      </c>
      <c r="AB280" s="69">
        <f>+D280-N280-X280</f>
        <v>6302000</v>
      </c>
    </row>
    <row r="281" spans="1:28" x14ac:dyDescent="0.25">
      <c r="A281" s="46"/>
      <c r="B281" s="26"/>
      <c r="C281" s="4"/>
      <c r="D281" s="70" t="s">
        <v>40</v>
      </c>
      <c r="E281" s="70" t="s">
        <v>40</v>
      </c>
      <c r="F281" s="70" t="s">
        <v>40</v>
      </c>
      <c r="G281" s="70"/>
      <c r="H281" s="70" t="s">
        <v>40</v>
      </c>
      <c r="I281" s="70" t="s">
        <v>40</v>
      </c>
      <c r="J281" s="70" t="s">
        <v>40</v>
      </c>
      <c r="K281" s="70" t="s">
        <v>40</v>
      </c>
      <c r="L281" s="70" t="s">
        <v>40</v>
      </c>
      <c r="M281" s="70"/>
      <c r="N281" s="70" t="s">
        <v>40</v>
      </c>
      <c r="O281" s="70" t="s">
        <v>40</v>
      </c>
      <c r="P281" s="70" t="s">
        <v>40</v>
      </c>
      <c r="Q281" s="70"/>
      <c r="R281" s="70" t="s">
        <v>40</v>
      </c>
      <c r="S281" s="70" t="s">
        <v>40</v>
      </c>
      <c r="T281" s="70" t="s">
        <v>40</v>
      </c>
      <c r="U281" s="70" t="s">
        <v>40</v>
      </c>
      <c r="V281" s="70" t="s">
        <v>40</v>
      </c>
      <c r="W281" s="70"/>
      <c r="X281" s="70" t="s">
        <v>40</v>
      </c>
      <c r="Y281" s="70" t="s">
        <v>40</v>
      </c>
      <c r="Z281" s="70" t="s">
        <v>40</v>
      </c>
      <c r="AA281" s="70" t="s">
        <v>40</v>
      </c>
      <c r="AB281" s="70" t="s">
        <v>40</v>
      </c>
    </row>
    <row r="282" spans="1:28" x14ac:dyDescent="0.25">
      <c r="A282" s="46"/>
      <c r="B282" s="26"/>
      <c r="C282" s="4"/>
      <c r="D282" s="67">
        <f t="shared" ref="D282:AB282" si="124">SUM(D277:D280)</f>
        <v>83229000</v>
      </c>
      <c r="E282" s="67">
        <f t="shared" si="124"/>
        <v>0</v>
      </c>
      <c r="F282" s="67">
        <f t="shared" si="124"/>
        <v>0</v>
      </c>
      <c r="G282" s="67"/>
      <c r="H282" s="67">
        <f t="shared" si="124"/>
        <v>0</v>
      </c>
      <c r="I282" s="67">
        <f t="shared" si="124"/>
        <v>0</v>
      </c>
      <c r="J282" s="67">
        <f t="shared" si="124"/>
        <v>0</v>
      </c>
      <c r="K282" s="67">
        <f t="shared" si="124"/>
        <v>0</v>
      </c>
      <c r="L282" s="67">
        <f t="shared" si="124"/>
        <v>0</v>
      </c>
      <c r="M282" s="67"/>
      <c r="N282" s="67">
        <f t="shared" si="124"/>
        <v>0</v>
      </c>
      <c r="O282" s="67">
        <f t="shared" si="124"/>
        <v>0</v>
      </c>
      <c r="P282" s="67">
        <f t="shared" si="124"/>
        <v>0</v>
      </c>
      <c r="Q282" s="67"/>
      <c r="R282" s="67">
        <f t="shared" si="124"/>
        <v>0</v>
      </c>
      <c r="S282" s="67">
        <f t="shared" si="124"/>
        <v>0</v>
      </c>
      <c r="T282" s="67">
        <f t="shared" si="124"/>
        <v>0</v>
      </c>
      <c r="U282" s="67">
        <f t="shared" si="124"/>
        <v>0</v>
      </c>
      <c r="V282" s="67">
        <f t="shared" si="124"/>
        <v>0</v>
      </c>
      <c r="W282" s="67"/>
      <c r="X282" s="67">
        <f t="shared" si="124"/>
        <v>0</v>
      </c>
      <c r="Y282" s="67">
        <f t="shared" si="124"/>
        <v>0</v>
      </c>
      <c r="Z282" s="67">
        <f t="shared" si="124"/>
        <v>83229000</v>
      </c>
      <c r="AA282" s="67">
        <f t="shared" si="124"/>
        <v>0</v>
      </c>
      <c r="AB282" s="67">
        <f t="shared" si="124"/>
        <v>83229000</v>
      </c>
    </row>
    <row r="283" spans="1:28" x14ac:dyDescent="0.25">
      <c r="A283" s="46"/>
      <c r="B283" s="26"/>
      <c r="C283" s="4"/>
      <c r="D283" s="70" t="s">
        <v>40</v>
      </c>
      <c r="E283" s="70" t="s">
        <v>40</v>
      </c>
      <c r="F283" s="70" t="s">
        <v>40</v>
      </c>
      <c r="G283" s="70"/>
      <c r="H283" s="70" t="s">
        <v>40</v>
      </c>
      <c r="I283" s="70" t="s">
        <v>40</v>
      </c>
      <c r="J283" s="70" t="s">
        <v>40</v>
      </c>
      <c r="K283" s="70" t="s">
        <v>40</v>
      </c>
      <c r="L283" s="70" t="s">
        <v>40</v>
      </c>
      <c r="M283" s="70"/>
      <c r="N283" s="70" t="s">
        <v>40</v>
      </c>
      <c r="O283" s="70" t="s">
        <v>40</v>
      </c>
      <c r="P283" s="70" t="s">
        <v>40</v>
      </c>
      <c r="Q283" s="70"/>
      <c r="R283" s="70" t="s">
        <v>40</v>
      </c>
      <c r="S283" s="70" t="s">
        <v>40</v>
      </c>
      <c r="T283" s="70" t="s">
        <v>40</v>
      </c>
      <c r="U283" s="70" t="s">
        <v>40</v>
      </c>
      <c r="V283" s="70" t="s">
        <v>40</v>
      </c>
      <c r="W283" s="70"/>
      <c r="X283" s="70" t="s">
        <v>40</v>
      </c>
      <c r="Y283" s="70" t="s">
        <v>40</v>
      </c>
      <c r="Z283" s="70" t="s">
        <v>40</v>
      </c>
      <c r="AA283" s="70" t="s">
        <v>40</v>
      </c>
      <c r="AB283" s="70" t="s">
        <v>40</v>
      </c>
    </row>
    <row r="284" spans="1:28" x14ac:dyDescent="0.25">
      <c r="A284" s="46"/>
      <c r="B284" s="26"/>
      <c r="C284" s="4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</row>
    <row r="285" spans="1:28" x14ac:dyDescent="0.25">
      <c r="A285" s="46">
        <v>28</v>
      </c>
      <c r="B285" s="23" t="s">
        <v>70</v>
      </c>
      <c r="C285" s="2" t="s">
        <v>35</v>
      </c>
      <c r="D285" s="67">
        <v>1456783.46</v>
      </c>
      <c r="E285" s="67">
        <v>0</v>
      </c>
      <c r="F285" s="68"/>
      <c r="G285" s="68"/>
      <c r="H285" s="67">
        <f t="shared" ref="H285:H290" si="125">E285+F285</f>
        <v>0</v>
      </c>
      <c r="I285" s="68"/>
      <c r="J285" s="68"/>
      <c r="K285" s="68"/>
      <c r="L285" s="67"/>
      <c r="M285" s="67"/>
      <c r="N285" s="67">
        <f t="shared" ref="N285:N290" si="126">H285+L285</f>
        <v>0</v>
      </c>
      <c r="O285" s="67">
        <v>484427.9</v>
      </c>
      <c r="P285" s="68"/>
      <c r="Q285" s="68"/>
      <c r="R285" s="67">
        <f t="shared" ref="R285:R290" si="127">O285+P285</f>
        <v>484427.9</v>
      </c>
      <c r="S285" s="68"/>
      <c r="T285" s="68"/>
      <c r="U285" s="68"/>
      <c r="V285" s="67"/>
      <c r="W285" s="67"/>
      <c r="X285" s="67">
        <f t="shared" ref="X285:X290" si="128">R285+V285</f>
        <v>484427.9</v>
      </c>
      <c r="Y285" s="67">
        <f t="shared" ref="Y285:Y290" si="129">R285+H285</f>
        <v>484427.9</v>
      </c>
      <c r="Z285" s="67">
        <f t="shared" ref="Z285:Z290" si="130">D285-Y285</f>
        <v>972355.55999999994</v>
      </c>
      <c r="AA285" s="67">
        <f t="shared" ref="AA285:AA290" si="131">N285+X285</f>
        <v>484427.9</v>
      </c>
      <c r="AB285" s="69">
        <f t="shared" ref="AB285:AB290" si="132">+D285-N285-X285</f>
        <v>972355.55999999994</v>
      </c>
    </row>
    <row r="286" spans="1:28" x14ac:dyDescent="0.25">
      <c r="A286" s="46"/>
      <c r="B286" s="26"/>
      <c r="C286" s="3" t="s">
        <v>36</v>
      </c>
      <c r="D286" s="67">
        <f>1767751.52+4544423.9</f>
        <v>6312175.4199999999</v>
      </c>
      <c r="E286" s="67">
        <f>1767751.52+4544423.9</f>
        <v>6312175.4199999999</v>
      </c>
      <c r="F286" s="68"/>
      <c r="G286" s="68"/>
      <c r="H286" s="67">
        <f t="shared" si="125"/>
        <v>6312175.4199999999</v>
      </c>
      <c r="I286" s="68"/>
      <c r="J286" s="68"/>
      <c r="K286" s="68"/>
      <c r="L286" s="67"/>
      <c r="M286" s="67"/>
      <c r="N286" s="67">
        <f t="shared" si="126"/>
        <v>6312175.4199999999</v>
      </c>
      <c r="O286" s="67">
        <v>0</v>
      </c>
      <c r="P286" s="68"/>
      <c r="Q286" s="68"/>
      <c r="R286" s="67">
        <f t="shared" si="127"/>
        <v>0</v>
      </c>
      <c r="S286" s="68"/>
      <c r="T286" s="68"/>
      <c r="U286" s="68"/>
      <c r="V286" s="67"/>
      <c r="W286" s="67"/>
      <c r="X286" s="67">
        <f t="shared" si="128"/>
        <v>0</v>
      </c>
      <c r="Y286" s="67">
        <f t="shared" si="129"/>
        <v>6312175.4199999999</v>
      </c>
      <c r="Z286" s="67">
        <f t="shared" si="130"/>
        <v>0</v>
      </c>
      <c r="AA286" s="67">
        <f t="shared" si="131"/>
        <v>6312175.4199999999</v>
      </c>
      <c r="AB286" s="69">
        <f t="shared" si="132"/>
        <v>0</v>
      </c>
    </row>
    <row r="287" spans="1:28" x14ac:dyDescent="0.25">
      <c r="A287" s="46"/>
      <c r="B287" s="26"/>
      <c r="C287" s="3" t="s">
        <v>44</v>
      </c>
      <c r="D287" s="67">
        <v>17130000</v>
      </c>
      <c r="E287" s="67">
        <v>17130000</v>
      </c>
      <c r="F287" s="68"/>
      <c r="G287" s="68"/>
      <c r="H287" s="67">
        <f t="shared" si="125"/>
        <v>17130000</v>
      </c>
      <c r="I287" s="68"/>
      <c r="J287" s="68"/>
      <c r="K287" s="68"/>
      <c r="L287" s="67"/>
      <c r="M287" s="67"/>
      <c r="N287" s="67">
        <f t="shared" si="126"/>
        <v>17130000</v>
      </c>
      <c r="O287" s="67">
        <v>0</v>
      </c>
      <c r="P287" s="68"/>
      <c r="Q287" s="68"/>
      <c r="R287" s="67">
        <f t="shared" si="127"/>
        <v>0</v>
      </c>
      <c r="S287" s="68"/>
      <c r="T287" s="68"/>
      <c r="U287" s="68"/>
      <c r="V287" s="67"/>
      <c r="W287" s="67"/>
      <c r="X287" s="67">
        <f t="shared" si="128"/>
        <v>0</v>
      </c>
      <c r="Y287" s="67">
        <f t="shared" si="129"/>
        <v>17130000</v>
      </c>
      <c r="Z287" s="67">
        <f t="shared" si="130"/>
        <v>0</v>
      </c>
      <c r="AA287" s="67">
        <f t="shared" si="131"/>
        <v>17130000</v>
      </c>
      <c r="AB287" s="69">
        <f t="shared" si="132"/>
        <v>0</v>
      </c>
    </row>
    <row r="288" spans="1:28" x14ac:dyDescent="0.25">
      <c r="A288" s="46"/>
      <c r="B288" s="26"/>
      <c r="C288" s="2" t="s">
        <v>142</v>
      </c>
      <c r="D288" s="67">
        <f>1545852.28</f>
        <v>1545852.28</v>
      </c>
      <c r="E288" s="67">
        <v>0</v>
      </c>
      <c r="F288" s="68"/>
      <c r="G288" s="68"/>
      <c r="H288" s="67">
        <f t="shared" si="125"/>
        <v>0</v>
      </c>
      <c r="I288" s="68"/>
      <c r="J288" s="68"/>
      <c r="K288" s="68"/>
      <c r="L288" s="67"/>
      <c r="M288" s="98"/>
      <c r="N288" s="67">
        <f t="shared" si="126"/>
        <v>0</v>
      </c>
      <c r="O288" s="67">
        <f>1545852.28+98258.61+3977998.98-4076257.59</f>
        <v>1545852.2800000003</v>
      </c>
      <c r="P288" s="68"/>
      <c r="Q288" s="68"/>
      <c r="R288" s="67">
        <f t="shared" si="127"/>
        <v>1545852.2800000003</v>
      </c>
      <c r="S288" s="68"/>
      <c r="T288" s="68"/>
      <c r="U288" s="68"/>
      <c r="V288" s="67"/>
      <c r="W288" s="98"/>
      <c r="X288" s="67">
        <f t="shared" si="128"/>
        <v>1545852.2800000003</v>
      </c>
      <c r="Y288" s="67">
        <f t="shared" si="129"/>
        <v>1545852.2800000003</v>
      </c>
      <c r="Z288" s="67">
        <f t="shared" si="130"/>
        <v>0</v>
      </c>
      <c r="AA288" s="67">
        <f t="shared" si="131"/>
        <v>1545852.2800000003</v>
      </c>
      <c r="AB288" s="69">
        <f t="shared" si="132"/>
        <v>0</v>
      </c>
    </row>
    <row r="289" spans="1:43" x14ac:dyDescent="0.25">
      <c r="A289" s="46"/>
      <c r="B289" s="26"/>
      <c r="C289" s="2" t="s">
        <v>38</v>
      </c>
      <c r="D289" s="67">
        <v>13773200</v>
      </c>
      <c r="E289" s="67">
        <v>0</v>
      </c>
      <c r="F289" s="68"/>
      <c r="G289" s="68"/>
      <c r="H289" s="67">
        <f t="shared" si="125"/>
        <v>0</v>
      </c>
      <c r="I289" s="68"/>
      <c r="J289" s="68"/>
      <c r="K289" s="68"/>
      <c r="L289" s="67"/>
      <c r="M289" s="67"/>
      <c r="N289" s="67">
        <f t="shared" si="126"/>
        <v>0</v>
      </c>
      <c r="O289" s="67">
        <v>0</v>
      </c>
      <c r="P289" s="68"/>
      <c r="Q289" s="68"/>
      <c r="R289" s="67">
        <f t="shared" si="127"/>
        <v>0</v>
      </c>
      <c r="S289" s="68"/>
      <c r="T289" s="68"/>
      <c r="U289" s="68"/>
      <c r="V289" s="67"/>
      <c r="W289" s="67"/>
      <c r="X289" s="67">
        <f t="shared" si="128"/>
        <v>0</v>
      </c>
      <c r="Y289" s="67">
        <f t="shared" si="129"/>
        <v>0</v>
      </c>
      <c r="Z289" s="67">
        <f t="shared" si="130"/>
        <v>13773200</v>
      </c>
      <c r="AA289" s="67">
        <f t="shared" si="131"/>
        <v>0</v>
      </c>
      <c r="AB289" s="69">
        <f t="shared" si="132"/>
        <v>13773200</v>
      </c>
    </row>
    <row r="290" spans="1:43" x14ac:dyDescent="0.25">
      <c r="A290" s="46"/>
      <c r="B290" s="26"/>
      <c r="C290" s="8" t="s">
        <v>39</v>
      </c>
      <c r="D290" s="67">
        <v>3836055.49</v>
      </c>
      <c r="E290" s="67">
        <v>0</v>
      </c>
      <c r="F290" s="68"/>
      <c r="G290" s="68"/>
      <c r="H290" s="67">
        <f t="shared" si="125"/>
        <v>0</v>
      </c>
      <c r="I290" s="68"/>
      <c r="J290" s="68"/>
      <c r="K290" s="68"/>
      <c r="L290" s="67"/>
      <c r="M290" s="67"/>
      <c r="N290" s="67">
        <f t="shared" si="126"/>
        <v>0</v>
      </c>
      <c r="O290" s="67">
        <v>0</v>
      </c>
      <c r="P290" s="68"/>
      <c r="Q290" s="68"/>
      <c r="R290" s="67">
        <f t="shared" si="127"/>
        <v>0</v>
      </c>
      <c r="S290" s="68"/>
      <c r="T290" s="68"/>
      <c r="U290" s="68"/>
      <c r="V290" s="67"/>
      <c r="W290" s="67"/>
      <c r="X290" s="67">
        <f t="shared" si="128"/>
        <v>0</v>
      </c>
      <c r="Y290" s="67">
        <f t="shared" si="129"/>
        <v>0</v>
      </c>
      <c r="Z290" s="67">
        <f t="shared" si="130"/>
        <v>3836055.49</v>
      </c>
      <c r="AA290" s="67">
        <f t="shared" si="131"/>
        <v>0</v>
      </c>
      <c r="AB290" s="69">
        <f t="shared" si="132"/>
        <v>3836055.49</v>
      </c>
    </row>
    <row r="291" spans="1:43" x14ac:dyDescent="0.25">
      <c r="A291" s="46"/>
      <c r="B291" s="26"/>
      <c r="C291" s="25" t="str">
        <f>+C65</f>
        <v>WB-RERP- STNG. AREA</v>
      </c>
      <c r="D291" s="67">
        <v>9500000</v>
      </c>
      <c r="E291" s="67">
        <v>5549055.1900000004</v>
      </c>
      <c r="F291" s="68"/>
      <c r="G291" s="68"/>
      <c r="H291" s="67">
        <f>E291+F291</f>
        <v>5549055.1900000004</v>
      </c>
      <c r="I291" s="68"/>
      <c r="J291" s="68"/>
      <c r="K291" s="68"/>
      <c r="L291" s="67"/>
      <c r="M291" s="67"/>
      <c r="N291" s="67">
        <f>H291+L291</f>
        <v>5549055.1900000004</v>
      </c>
      <c r="O291" s="67">
        <v>835222.3</v>
      </c>
      <c r="P291" s="68"/>
      <c r="Q291" s="68"/>
      <c r="R291" s="67">
        <f>O291+P291</f>
        <v>835222.3</v>
      </c>
      <c r="S291" s="68"/>
      <c r="T291" s="68"/>
      <c r="U291" s="68"/>
      <c r="V291" s="67"/>
      <c r="W291" s="67"/>
      <c r="X291" s="67">
        <f>R291+V291</f>
        <v>835222.3</v>
      </c>
      <c r="Y291" s="67">
        <f>R291+H291</f>
        <v>6384277.4900000002</v>
      </c>
      <c r="Z291" s="67">
        <f>D291-Y291</f>
        <v>3115722.51</v>
      </c>
      <c r="AA291" s="67">
        <f>N291+X291</f>
        <v>6384277.4900000002</v>
      </c>
      <c r="AB291" s="69">
        <f>+D291-N291-X291</f>
        <v>3115722.51</v>
      </c>
    </row>
    <row r="292" spans="1:43" x14ac:dyDescent="0.25">
      <c r="A292" s="46"/>
      <c r="B292" s="26"/>
      <c r="C292" s="4"/>
      <c r="D292" s="70" t="s">
        <v>40</v>
      </c>
      <c r="E292" s="70" t="s">
        <v>40</v>
      </c>
      <c r="F292" s="70" t="s">
        <v>40</v>
      </c>
      <c r="G292" s="70"/>
      <c r="H292" s="70" t="s">
        <v>40</v>
      </c>
      <c r="I292" s="70" t="s">
        <v>40</v>
      </c>
      <c r="J292" s="70" t="s">
        <v>40</v>
      </c>
      <c r="K292" s="70" t="s">
        <v>40</v>
      </c>
      <c r="L292" s="70" t="s">
        <v>40</v>
      </c>
      <c r="M292" s="70"/>
      <c r="N292" s="70" t="s">
        <v>40</v>
      </c>
      <c r="O292" s="70" t="s">
        <v>40</v>
      </c>
      <c r="P292" s="70" t="s">
        <v>40</v>
      </c>
      <c r="Q292" s="70"/>
      <c r="R292" s="70" t="s">
        <v>40</v>
      </c>
      <c r="S292" s="70" t="s">
        <v>40</v>
      </c>
      <c r="T292" s="70" t="s">
        <v>40</v>
      </c>
      <c r="U292" s="70" t="s">
        <v>40</v>
      </c>
      <c r="V292" s="70" t="s">
        <v>40</v>
      </c>
      <c r="W292" s="70"/>
      <c r="X292" s="70" t="s">
        <v>40</v>
      </c>
      <c r="Y292" s="70" t="s">
        <v>40</v>
      </c>
      <c r="Z292" s="70" t="s">
        <v>40</v>
      </c>
      <c r="AA292" s="70" t="s">
        <v>40</v>
      </c>
      <c r="AB292" s="70" t="s">
        <v>40</v>
      </c>
    </row>
    <row r="293" spans="1:43" x14ac:dyDescent="0.25">
      <c r="A293" s="46"/>
      <c r="B293" s="26"/>
      <c r="C293" s="4"/>
      <c r="D293" s="67">
        <f>SUM(D285:D291)</f>
        <v>53554066.649999999</v>
      </c>
      <c r="E293" s="67">
        <f>SUM(E285:E291)</f>
        <v>28991230.610000003</v>
      </c>
      <c r="F293" s="67">
        <f>SUM(F285:F291)</f>
        <v>0</v>
      </c>
      <c r="G293" s="67"/>
      <c r="H293" s="67">
        <f>SUM(H285:H291)</f>
        <v>28991230.610000003</v>
      </c>
      <c r="I293" s="67">
        <f>SUM(I285:I291)</f>
        <v>0</v>
      </c>
      <c r="J293" s="67">
        <f>SUM(J285:J291)</f>
        <v>0</v>
      </c>
      <c r="K293" s="67">
        <f>SUM(K285:K291)</f>
        <v>0</v>
      </c>
      <c r="L293" s="67">
        <f>SUM(L285:L291)</f>
        <v>0</v>
      </c>
      <c r="M293" s="67"/>
      <c r="N293" s="67">
        <f>SUM(N285:N291)</f>
        <v>28991230.610000003</v>
      </c>
      <c r="O293" s="67">
        <f>SUM(O285:O291)</f>
        <v>2865502.4800000004</v>
      </c>
      <c r="P293" s="67">
        <f>SUM(P285:P291)</f>
        <v>0</v>
      </c>
      <c r="Q293" s="67"/>
      <c r="R293" s="67">
        <f>SUM(R285:R291)</f>
        <v>2865502.4800000004</v>
      </c>
      <c r="S293" s="67">
        <f>SUM(S285:S291)</f>
        <v>0</v>
      </c>
      <c r="T293" s="67">
        <f>SUM(T285:T291)</f>
        <v>0</v>
      </c>
      <c r="U293" s="67">
        <f>SUM(U285:U291)</f>
        <v>0</v>
      </c>
      <c r="V293" s="67">
        <f>SUM(V285:V291)</f>
        <v>0</v>
      </c>
      <c r="W293" s="67"/>
      <c r="X293" s="67">
        <f>SUM(X285:X291)</f>
        <v>2865502.4800000004</v>
      </c>
      <c r="Y293" s="67">
        <f>SUM(Y285:Y291)</f>
        <v>31856733.090000004</v>
      </c>
      <c r="Z293" s="67">
        <f>SUM(Z285:Z291)</f>
        <v>21697333.560000002</v>
      </c>
      <c r="AA293" s="67">
        <f>SUM(AA285:AA291)</f>
        <v>31856733.090000004</v>
      </c>
      <c r="AB293" s="67">
        <f>SUM(AB285:AB291)</f>
        <v>21697333.560000002</v>
      </c>
    </row>
    <row r="294" spans="1:43" x14ac:dyDescent="0.25">
      <c r="A294" s="46"/>
      <c r="B294" s="4" t="s">
        <v>70</v>
      </c>
      <c r="C294" s="4"/>
      <c r="D294" s="70" t="s">
        <v>40</v>
      </c>
      <c r="E294" s="70" t="s">
        <v>40</v>
      </c>
      <c r="F294" s="70" t="s">
        <v>40</v>
      </c>
      <c r="G294" s="70"/>
      <c r="H294" s="70" t="s">
        <v>40</v>
      </c>
      <c r="I294" s="70" t="s">
        <v>40</v>
      </c>
      <c r="J294" s="70" t="s">
        <v>40</v>
      </c>
      <c r="K294" s="70" t="s">
        <v>40</v>
      </c>
      <c r="L294" s="70" t="s">
        <v>40</v>
      </c>
      <c r="M294" s="70"/>
      <c r="N294" s="70" t="s">
        <v>40</v>
      </c>
      <c r="O294" s="70" t="s">
        <v>40</v>
      </c>
      <c r="P294" s="70" t="s">
        <v>40</v>
      </c>
      <c r="Q294" s="70"/>
      <c r="R294" s="70" t="s">
        <v>40</v>
      </c>
      <c r="S294" s="70" t="s">
        <v>40</v>
      </c>
      <c r="T294" s="70" t="s">
        <v>40</v>
      </c>
      <c r="U294" s="70" t="s">
        <v>40</v>
      </c>
      <c r="V294" s="70" t="s">
        <v>40</v>
      </c>
      <c r="W294" s="70"/>
      <c r="X294" s="70" t="s">
        <v>40</v>
      </c>
      <c r="Y294" s="70" t="s">
        <v>40</v>
      </c>
      <c r="Z294" s="70" t="s">
        <v>40</v>
      </c>
      <c r="AA294" s="70" t="s">
        <v>40</v>
      </c>
      <c r="AB294" s="70" t="s">
        <v>40</v>
      </c>
    </row>
    <row r="295" spans="1:43" ht="16.5" thickBot="1" x14ac:dyDescent="0.3">
      <c r="A295" s="111"/>
      <c r="B295" s="112" t="s">
        <v>292</v>
      </c>
      <c r="C295" s="108"/>
      <c r="D295" s="113">
        <f>7719269.53+199977.84+3167997.92+3717686.14-3167997.72</f>
        <v>11636933.709999999</v>
      </c>
      <c r="E295" s="72"/>
      <c r="F295" s="72"/>
      <c r="G295" s="72"/>
      <c r="H295" s="72"/>
      <c r="I295" s="72"/>
      <c r="J295" s="72"/>
      <c r="K295" s="72"/>
      <c r="L295" s="72"/>
      <c r="M295" s="109"/>
      <c r="N295" s="72"/>
      <c r="O295" s="113">
        <f>7719269.53+199977.84+3167997.92+3717686.14-3167997.72</f>
        <v>11636933.709999999</v>
      </c>
      <c r="P295" s="104"/>
      <c r="Q295" s="110"/>
      <c r="R295" s="113">
        <f>+O295+P295</f>
        <v>11636933.709999999</v>
      </c>
      <c r="S295" s="72"/>
      <c r="T295" s="72"/>
      <c r="U295" s="72"/>
      <c r="V295" s="72"/>
      <c r="W295" s="110"/>
      <c r="X295" s="72"/>
      <c r="Y295" s="104"/>
      <c r="Z295" s="104"/>
      <c r="AA295" s="72"/>
      <c r="AB295" s="72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</row>
    <row r="296" spans="1:43" ht="16.5" thickTop="1" x14ac:dyDescent="0.25">
      <c r="A296" s="46">
        <v>29</v>
      </c>
      <c r="B296" s="23" t="s">
        <v>71</v>
      </c>
      <c r="C296" s="2" t="s">
        <v>35</v>
      </c>
      <c r="D296" s="67">
        <v>21059632.809999999</v>
      </c>
      <c r="E296" s="67">
        <v>0</v>
      </c>
      <c r="F296" s="68"/>
      <c r="G296" s="68"/>
      <c r="H296" s="67">
        <f>E296+F296</f>
        <v>0</v>
      </c>
      <c r="I296" s="68"/>
      <c r="J296" s="68"/>
      <c r="K296" s="68"/>
      <c r="L296" s="67"/>
      <c r="M296" s="67"/>
      <c r="N296" s="67">
        <f>H296+L296</f>
        <v>0</v>
      </c>
      <c r="O296" s="68">
        <v>103522.44</v>
      </c>
      <c r="P296" s="68"/>
      <c r="Q296" s="68"/>
      <c r="R296" s="67">
        <f>O296+P296</f>
        <v>103522.44</v>
      </c>
      <c r="S296" s="67"/>
      <c r="T296" s="68"/>
      <c r="U296" s="68"/>
      <c r="V296" s="67"/>
      <c r="W296" s="67"/>
      <c r="X296" s="67">
        <f>R296+V296</f>
        <v>103522.44</v>
      </c>
      <c r="Y296" s="67">
        <f>R296+H296</f>
        <v>103522.44</v>
      </c>
      <c r="Z296" s="67">
        <f>D296-Y296</f>
        <v>20956110.369999997</v>
      </c>
      <c r="AA296" s="67">
        <f>N296+X296</f>
        <v>103522.44</v>
      </c>
      <c r="AB296" s="69">
        <f>+D296-N296-X296</f>
        <v>20956110.369999997</v>
      </c>
    </row>
    <row r="297" spans="1:43" x14ac:dyDescent="0.25">
      <c r="A297" s="46"/>
      <c r="B297" s="26"/>
      <c r="C297" s="3" t="s">
        <v>36</v>
      </c>
      <c r="D297" s="67">
        <f>1488828+5711832+7139790.46</f>
        <v>14340450.460000001</v>
      </c>
      <c r="E297" s="67">
        <f>1488828+5711832+7139790.46</f>
        <v>14340450.460000001</v>
      </c>
      <c r="F297" s="68"/>
      <c r="G297" s="68"/>
      <c r="H297" s="67">
        <f>E297+F297</f>
        <v>14340450.460000001</v>
      </c>
      <c r="I297" s="68"/>
      <c r="J297" s="68"/>
      <c r="K297" s="68"/>
      <c r="L297" s="67"/>
      <c r="M297" s="67"/>
      <c r="N297" s="67">
        <f>H297+L297</f>
        <v>14340450.460000001</v>
      </c>
      <c r="O297" s="67">
        <v>0</v>
      </c>
      <c r="P297" s="68"/>
      <c r="Q297" s="68"/>
      <c r="R297" s="67">
        <f>O297+P297</f>
        <v>0</v>
      </c>
      <c r="S297" s="68"/>
      <c r="T297" s="68"/>
      <c r="U297" s="68"/>
      <c r="V297" s="67"/>
      <c r="W297" s="67"/>
      <c r="X297" s="67">
        <f>R297+V297</f>
        <v>0</v>
      </c>
      <c r="Y297" s="67">
        <f>R297+H297</f>
        <v>14340450.460000001</v>
      </c>
      <c r="Z297" s="67">
        <f>D297-Y297</f>
        <v>0</v>
      </c>
      <c r="AA297" s="67">
        <f>N297+X297</f>
        <v>14340450.460000001</v>
      </c>
      <c r="AB297" s="69">
        <f>+D297-N297-X297</f>
        <v>0</v>
      </c>
    </row>
    <row r="298" spans="1:43" x14ac:dyDescent="0.25">
      <c r="A298" s="46"/>
      <c r="B298" s="26"/>
      <c r="C298" s="3" t="s">
        <v>72</v>
      </c>
      <c r="D298" s="67">
        <v>8840000</v>
      </c>
      <c r="E298" s="67">
        <v>8840000</v>
      </c>
      <c r="F298" s="68"/>
      <c r="G298" s="68"/>
      <c r="H298" s="67">
        <f>E298+F298</f>
        <v>8840000</v>
      </c>
      <c r="I298" s="68"/>
      <c r="J298" s="68"/>
      <c r="K298" s="68"/>
      <c r="L298" s="67"/>
      <c r="M298" s="67"/>
      <c r="N298" s="67">
        <f>H298+L298</f>
        <v>8840000</v>
      </c>
      <c r="O298" s="67">
        <v>0</v>
      </c>
      <c r="P298" s="68"/>
      <c r="Q298" s="68"/>
      <c r="R298" s="67">
        <f>O298+P298</f>
        <v>0</v>
      </c>
      <c r="S298" s="68"/>
      <c r="T298" s="68"/>
      <c r="U298" s="68"/>
      <c r="V298" s="67"/>
      <c r="W298" s="67"/>
      <c r="X298" s="67">
        <f>R298+V298</f>
        <v>0</v>
      </c>
      <c r="Y298" s="67">
        <f>R298+H298</f>
        <v>8840000</v>
      </c>
      <c r="Z298" s="67">
        <f>D298-Y298</f>
        <v>0</v>
      </c>
      <c r="AA298" s="67">
        <f>N298+X298</f>
        <v>8840000</v>
      </c>
      <c r="AB298" s="69">
        <f>+D298-N298-X298</f>
        <v>0</v>
      </c>
    </row>
    <row r="299" spans="1:43" x14ac:dyDescent="0.25">
      <c r="A299" s="46"/>
      <c r="B299" s="26"/>
      <c r="C299" s="3" t="s">
        <v>48</v>
      </c>
      <c r="D299" s="67">
        <v>700971.62</v>
      </c>
      <c r="E299" s="67">
        <v>700971.62</v>
      </c>
      <c r="F299" s="68"/>
      <c r="G299" s="68"/>
      <c r="H299" s="67">
        <f>E299+F299</f>
        <v>700971.62</v>
      </c>
      <c r="I299" s="68"/>
      <c r="J299" s="68"/>
      <c r="K299" s="68"/>
      <c r="L299" s="67"/>
      <c r="M299" s="67"/>
      <c r="N299" s="67">
        <f>H299+L299</f>
        <v>700971.62</v>
      </c>
      <c r="O299" s="67">
        <v>0</v>
      </c>
      <c r="P299" s="68"/>
      <c r="Q299" s="68"/>
      <c r="R299" s="67">
        <f>O299+P299</f>
        <v>0</v>
      </c>
      <c r="S299" s="68"/>
      <c r="T299" s="68"/>
      <c r="U299" s="68"/>
      <c r="V299" s="67"/>
      <c r="W299" s="67"/>
      <c r="X299" s="67">
        <f>R299+V299</f>
        <v>0</v>
      </c>
      <c r="Y299" s="67">
        <f>R299+H299</f>
        <v>700971.62</v>
      </c>
      <c r="Z299" s="67">
        <f>D299-Y299</f>
        <v>0</v>
      </c>
      <c r="AA299" s="67">
        <f>N299+X299</f>
        <v>700971.62</v>
      </c>
      <c r="AB299" s="69">
        <f>+D299-N299-X299</f>
        <v>0</v>
      </c>
    </row>
    <row r="300" spans="1:43" x14ac:dyDescent="0.25">
      <c r="A300" s="46"/>
      <c r="B300" s="26"/>
      <c r="C300" s="4"/>
      <c r="D300" s="70" t="s">
        <v>40</v>
      </c>
      <c r="E300" s="70" t="s">
        <v>40</v>
      </c>
      <c r="F300" s="70" t="s">
        <v>40</v>
      </c>
      <c r="G300" s="70"/>
      <c r="H300" s="70" t="s">
        <v>40</v>
      </c>
      <c r="I300" s="70" t="s">
        <v>40</v>
      </c>
      <c r="J300" s="70" t="s">
        <v>40</v>
      </c>
      <c r="K300" s="70" t="s">
        <v>40</v>
      </c>
      <c r="L300" s="70" t="s">
        <v>40</v>
      </c>
      <c r="M300" s="70"/>
      <c r="N300" s="70" t="s">
        <v>40</v>
      </c>
      <c r="O300" s="70" t="s">
        <v>40</v>
      </c>
      <c r="P300" s="70" t="s">
        <v>40</v>
      </c>
      <c r="Q300" s="70"/>
      <c r="R300" s="70" t="s">
        <v>40</v>
      </c>
      <c r="S300" s="70" t="s">
        <v>40</v>
      </c>
      <c r="T300" s="70" t="s">
        <v>40</v>
      </c>
      <c r="U300" s="70" t="s">
        <v>40</v>
      </c>
      <c r="V300" s="70" t="s">
        <v>40</v>
      </c>
      <c r="W300" s="70"/>
      <c r="X300" s="70" t="s">
        <v>40</v>
      </c>
      <c r="Y300" s="70" t="s">
        <v>40</v>
      </c>
      <c r="Z300" s="70" t="s">
        <v>40</v>
      </c>
      <c r="AA300" s="70" t="s">
        <v>40</v>
      </c>
      <c r="AB300" s="70" t="s">
        <v>40</v>
      </c>
    </row>
    <row r="301" spans="1:43" x14ac:dyDescent="0.25">
      <c r="A301" s="46"/>
      <c r="B301" s="26"/>
      <c r="C301" s="4"/>
      <c r="D301" s="67">
        <f t="shared" ref="D301:AB301" si="133">SUM(D296:D299)</f>
        <v>44941054.889999993</v>
      </c>
      <c r="E301" s="67">
        <f t="shared" si="133"/>
        <v>23881422.080000002</v>
      </c>
      <c r="F301" s="67">
        <f t="shared" si="133"/>
        <v>0</v>
      </c>
      <c r="G301" s="67"/>
      <c r="H301" s="67">
        <f t="shared" si="133"/>
        <v>23881422.080000002</v>
      </c>
      <c r="I301" s="67">
        <f t="shared" si="133"/>
        <v>0</v>
      </c>
      <c r="J301" s="67">
        <f t="shared" si="133"/>
        <v>0</v>
      </c>
      <c r="K301" s="67">
        <f t="shared" si="133"/>
        <v>0</v>
      </c>
      <c r="L301" s="67">
        <f t="shared" si="133"/>
        <v>0</v>
      </c>
      <c r="M301" s="67"/>
      <c r="N301" s="67">
        <f t="shared" si="133"/>
        <v>23881422.080000002</v>
      </c>
      <c r="O301" s="67">
        <f t="shared" si="133"/>
        <v>103522.44</v>
      </c>
      <c r="P301" s="67">
        <f t="shared" si="133"/>
        <v>0</v>
      </c>
      <c r="Q301" s="67"/>
      <c r="R301" s="67">
        <f t="shared" si="133"/>
        <v>103522.44</v>
      </c>
      <c r="S301" s="67">
        <f t="shared" si="133"/>
        <v>0</v>
      </c>
      <c r="T301" s="67">
        <f t="shared" si="133"/>
        <v>0</v>
      </c>
      <c r="U301" s="67">
        <f t="shared" si="133"/>
        <v>0</v>
      </c>
      <c r="V301" s="67">
        <f t="shared" si="133"/>
        <v>0</v>
      </c>
      <c r="W301" s="67"/>
      <c r="X301" s="67">
        <f t="shared" si="133"/>
        <v>103522.44</v>
      </c>
      <c r="Y301" s="67">
        <f t="shared" si="133"/>
        <v>23984944.52</v>
      </c>
      <c r="Z301" s="67">
        <f t="shared" si="133"/>
        <v>20956110.369999997</v>
      </c>
      <c r="AA301" s="67">
        <f t="shared" si="133"/>
        <v>23984944.52</v>
      </c>
      <c r="AB301" s="67">
        <f t="shared" si="133"/>
        <v>20956110.369999997</v>
      </c>
    </row>
    <row r="302" spans="1:43" x14ac:dyDescent="0.25">
      <c r="A302" s="46"/>
      <c r="B302" s="4" t="s">
        <v>293</v>
      </c>
      <c r="C302" s="4"/>
      <c r="D302" s="70" t="s">
        <v>40</v>
      </c>
      <c r="E302" s="70" t="s">
        <v>40</v>
      </c>
      <c r="F302" s="70" t="s">
        <v>40</v>
      </c>
      <c r="G302" s="70"/>
      <c r="H302" s="70" t="s">
        <v>40</v>
      </c>
      <c r="I302" s="70" t="s">
        <v>40</v>
      </c>
      <c r="J302" s="70" t="s">
        <v>40</v>
      </c>
      <c r="K302" s="70" t="s">
        <v>40</v>
      </c>
      <c r="L302" s="70" t="s">
        <v>40</v>
      </c>
      <c r="M302" s="70"/>
      <c r="N302" s="70" t="s">
        <v>40</v>
      </c>
      <c r="O302" s="70" t="s">
        <v>40</v>
      </c>
      <c r="P302" s="70" t="s">
        <v>40</v>
      </c>
      <c r="Q302" s="70"/>
      <c r="R302" s="70" t="s">
        <v>40</v>
      </c>
      <c r="S302" s="70" t="s">
        <v>40</v>
      </c>
      <c r="T302" s="70" t="s">
        <v>40</v>
      </c>
      <c r="U302" s="70" t="s">
        <v>40</v>
      </c>
      <c r="V302" s="70" t="s">
        <v>40</v>
      </c>
      <c r="W302" s="70"/>
      <c r="X302" s="70" t="s">
        <v>40</v>
      </c>
      <c r="Y302" s="70" t="s">
        <v>40</v>
      </c>
      <c r="Z302" s="70" t="s">
        <v>40</v>
      </c>
      <c r="AA302" s="70" t="s">
        <v>40</v>
      </c>
      <c r="AB302" s="70" t="s">
        <v>40</v>
      </c>
    </row>
    <row r="303" spans="1:43" ht="16.5" thickBot="1" x14ac:dyDescent="0.3">
      <c r="A303" s="46"/>
      <c r="B303" s="112" t="s">
        <v>292</v>
      </c>
      <c r="C303" s="108"/>
      <c r="D303" s="113">
        <v>181752.55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113">
        <v>181752.55</v>
      </c>
      <c r="P303" s="104"/>
      <c r="Q303" s="72"/>
      <c r="R303" s="113">
        <f>+O303+P303</f>
        <v>181752.55</v>
      </c>
      <c r="S303" s="72"/>
      <c r="T303" s="72"/>
      <c r="U303" s="72"/>
      <c r="V303" s="72"/>
      <c r="W303" s="72"/>
      <c r="X303" s="72"/>
      <c r="Y303" s="104"/>
      <c r="Z303" s="104"/>
      <c r="AA303" s="72"/>
      <c r="AB303" s="72"/>
    </row>
    <row r="304" spans="1:43" ht="16.5" thickTop="1" x14ac:dyDescent="0.25">
      <c r="A304" s="46">
        <v>30</v>
      </c>
      <c r="B304" s="23" t="s">
        <v>73</v>
      </c>
      <c r="C304" s="2" t="s">
        <v>74</v>
      </c>
      <c r="D304" s="67">
        <f>9257922.5+99410.99-2937500</f>
        <v>6419833.4900000002</v>
      </c>
      <c r="E304" s="67">
        <v>0</v>
      </c>
      <c r="F304" s="68"/>
      <c r="G304" s="68"/>
      <c r="H304" s="67">
        <f>E304+F304</f>
        <v>0</v>
      </c>
      <c r="I304" s="68"/>
      <c r="J304" s="68"/>
      <c r="K304" s="68"/>
      <c r="L304" s="67"/>
      <c r="M304" s="67"/>
      <c r="N304" s="67">
        <f>H304+L304</f>
        <v>0</v>
      </c>
      <c r="O304" s="67">
        <f>9313274.49-3879315.3</f>
        <v>5433959.1900000004</v>
      </c>
      <c r="P304" s="67"/>
      <c r="Q304" s="67"/>
      <c r="R304" s="67">
        <f>O304+P304</f>
        <v>5433959.1900000004</v>
      </c>
      <c r="S304" s="67">
        <v>1479754</v>
      </c>
      <c r="T304" s="68"/>
      <c r="U304" s="68"/>
      <c r="V304" s="67"/>
      <c r="W304" s="67"/>
      <c r="X304" s="67">
        <f>R304+V304</f>
        <v>5433959.1900000004</v>
      </c>
      <c r="Y304" s="67">
        <f t="shared" ref="Y304:Y310" si="134">R304+H304</f>
        <v>5433959.1900000004</v>
      </c>
      <c r="Z304" s="67">
        <f t="shared" ref="Z304:Z310" si="135">D304-Y304</f>
        <v>985874.29999999981</v>
      </c>
      <c r="AA304" s="67">
        <f t="shared" ref="AA304:AA310" si="136">N304+X304</f>
        <v>5433959.1900000004</v>
      </c>
      <c r="AB304" s="69">
        <f t="shared" ref="AB304:AB310" si="137">+D304-N304-X304</f>
        <v>985874.29999999981</v>
      </c>
    </row>
    <row r="305" spans="1:43" x14ac:dyDescent="0.25">
      <c r="A305" s="46"/>
      <c r="B305" s="4"/>
      <c r="C305" s="4" t="s">
        <v>290</v>
      </c>
      <c r="D305" s="55">
        <f>11081000+3614640.14+11081000+8000000+5000000+6000000</f>
        <v>44776640.140000001</v>
      </c>
      <c r="E305" s="55">
        <f>3614640.14+11081000+11081000+8000000+11000000</f>
        <v>44776640.140000001</v>
      </c>
      <c r="F305" s="55"/>
      <c r="G305" s="55"/>
      <c r="H305" s="55">
        <f>+E305+F305</f>
        <v>44776640.140000001</v>
      </c>
      <c r="I305" s="55"/>
      <c r="J305" s="55"/>
      <c r="K305" s="55"/>
      <c r="L305" s="55"/>
      <c r="M305" s="55"/>
      <c r="N305" s="55">
        <f>+H305+L305</f>
        <v>44776640.140000001</v>
      </c>
      <c r="O305" s="55">
        <v>0</v>
      </c>
      <c r="P305" s="55"/>
      <c r="Q305" s="55"/>
      <c r="R305" s="55">
        <f>+O305+P305</f>
        <v>0</v>
      </c>
      <c r="S305" s="55"/>
      <c r="T305" s="55"/>
      <c r="U305" s="55"/>
      <c r="V305" s="55"/>
      <c r="W305" s="55"/>
      <c r="X305" s="55">
        <f>+R305+V305</f>
        <v>0</v>
      </c>
      <c r="Y305" s="67">
        <f t="shared" si="134"/>
        <v>44776640.140000001</v>
      </c>
      <c r="Z305" s="67">
        <f t="shared" si="135"/>
        <v>0</v>
      </c>
      <c r="AA305" s="67">
        <f t="shared" si="136"/>
        <v>44776640.140000001</v>
      </c>
      <c r="AB305" s="69">
        <f t="shared" si="137"/>
        <v>0</v>
      </c>
      <c r="AC305" s="50" t="s">
        <v>317</v>
      </c>
      <c r="AD305" s="97">
        <f>+D197+D306+D267+D227+D216</f>
        <v>35303301.25</v>
      </c>
      <c r="AE305" s="94">
        <f>+E197+E306+E267+E227+E216</f>
        <v>35289493.299999997</v>
      </c>
      <c r="AF305" s="94">
        <f>+F197+F306+F267+F227+F216</f>
        <v>0</v>
      </c>
      <c r="AG305" s="94">
        <f>+AE305+AF305</f>
        <v>35289493.299999997</v>
      </c>
      <c r="AH305" s="94">
        <f>+L197+L306+L267+L227+L216</f>
        <v>0</v>
      </c>
      <c r="AI305" s="94">
        <f>+AG305+AH305</f>
        <v>35289493.299999997</v>
      </c>
      <c r="AJ305" s="94">
        <f>+O197+O306+O267+O227+O216</f>
        <v>0</v>
      </c>
      <c r="AK305" s="94">
        <f>+P197+P306+P267+P227+P216</f>
        <v>0</v>
      </c>
      <c r="AL305" s="94">
        <f t="shared" ref="AL305:AN306" si="138">+AJ305+AK305</f>
        <v>0</v>
      </c>
      <c r="AM305" s="94">
        <f t="shared" si="138"/>
        <v>0</v>
      </c>
      <c r="AN305" s="94">
        <f t="shared" si="138"/>
        <v>0</v>
      </c>
      <c r="AO305" s="94">
        <f>+AG305+AL305</f>
        <v>35289493.299999997</v>
      </c>
      <c r="AP305" s="94">
        <f>+AD305-AO305</f>
        <v>13807.95000000298</v>
      </c>
      <c r="AQ305" s="94">
        <f>+AD305-AI305-AN305</f>
        <v>13807.95000000298</v>
      </c>
    </row>
    <row r="306" spans="1:43" x14ac:dyDescent="0.25">
      <c r="A306" s="4"/>
      <c r="B306" s="4"/>
      <c r="C306" s="4" t="s">
        <v>317</v>
      </c>
      <c r="D306" s="55">
        <f>5000000+2937500</f>
        <v>7937500</v>
      </c>
      <c r="E306" s="55">
        <f>5000000+2937500</f>
        <v>7937500</v>
      </c>
      <c r="F306" s="55"/>
      <c r="G306" s="55"/>
      <c r="H306" s="55">
        <f>+E306+F306</f>
        <v>7937500</v>
      </c>
      <c r="I306" s="55"/>
      <c r="J306" s="55"/>
      <c r="K306" s="55"/>
      <c r="L306" s="55"/>
      <c r="M306" s="55"/>
      <c r="N306" s="55">
        <f>+H306+L306</f>
        <v>7937500</v>
      </c>
      <c r="O306" s="55">
        <v>0</v>
      </c>
      <c r="P306" s="55"/>
      <c r="Q306" s="55"/>
      <c r="R306" s="55">
        <f>+O306+P306</f>
        <v>0</v>
      </c>
      <c r="S306" s="55"/>
      <c r="T306" s="55"/>
      <c r="U306" s="55"/>
      <c r="V306" s="55"/>
      <c r="W306" s="55"/>
      <c r="X306" s="55">
        <f>+R306+V306</f>
        <v>0</v>
      </c>
      <c r="Y306" s="67">
        <f t="shared" si="134"/>
        <v>7937500</v>
      </c>
      <c r="Z306" s="67">
        <f t="shared" si="135"/>
        <v>0</v>
      </c>
      <c r="AA306" s="67">
        <f t="shared" si="136"/>
        <v>7937500</v>
      </c>
      <c r="AB306" s="69">
        <f t="shared" si="137"/>
        <v>0</v>
      </c>
      <c r="AC306" s="50" t="s">
        <v>298</v>
      </c>
      <c r="AD306" s="97">
        <f>+D249</f>
        <v>3882200</v>
      </c>
      <c r="AE306" s="94">
        <f>+E249</f>
        <v>0</v>
      </c>
      <c r="AF306" s="94">
        <f>+F249</f>
        <v>3882200</v>
      </c>
      <c r="AG306" s="94">
        <f>+AE306+AF306</f>
        <v>3882200</v>
      </c>
      <c r="AH306" s="94">
        <f>+L249</f>
        <v>0</v>
      </c>
      <c r="AI306" s="94">
        <f>+AG306+AH306</f>
        <v>3882200</v>
      </c>
      <c r="AJ306" s="94">
        <f>+O249</f>
        <v>0</v>
      </c>
      <c r="AK306" s="94">
        <f>+P249</f>
        <v>0</v>
      </c>
      <c r="AL306" s="94">
        <f t="shared" si="138"/>
        <v>0</v>
      </c>
      <c r="AM306" s="94">
        <f t="shared" si="138"/>
        <v>0</v>
      </c>
      <c r="AN306" s="94">
        <f t="shared" si="138"/>
        <v>0</v>
      </c>
      <c r="AO306" s="94">
        <f>+AG306+AL306</f>
        <v>3882200</v>
      </c>
      <c r="AP306" s="94">
        <f>+AD306-AO306</f>
        <v>0</v>
      </c>
      <c r="AQ306" s="94">
        <f>+AD306-AI306-AN306</f>
        <v>0</v>
      </c>
    </row>
    <row r="307" spans="1:43" x14ac:dyDescent="0.25">
      <c r="A307" s="46"/>
      <c r="B307" s="26"/>
      <c r="C307" s="3" t="s">
        <v>36</v>
      </c>
      <c r="D307" s="67">
        <v>1484835.53</v>
      </c>
      <c r="E307" s="67">
        <v>1484835.53</v>
      </c>
      <c r="F307" s="68"/>
      <c r="G307" s="68"/>
      <c r="H307" s="67">
        <f>E307+F307</f>
        <v>1484835.53</v>
      </c>
      <c r="I307" s="68"/>
      <c r="J307" s="68"/>
      <c r="K307" s="68"/>
      <c r="L307" s="67"/>
      <c r="M307" s="67"/>
      <c r="N307" s="67">
        <f>H307+L307</f>
        <v>1484835.53</v>
      </c>
      <c r="O307" s="67">
        <v>0</v>
      </c>
      <c r="P307" s="68"/>
      <c r="Q307" s="68"/>
      <c r="R307" s="67">
        <f>O307+P307</f>
        <v>0</v>
      </c>
      <c r="S307" s="68"/>
      <c r="T307" s="68"/>
      <c r="U307" s="68"/>
      <c r="V307" s="67"/>
      <c r="W307" s="67"/>
      <c r="X307" s="67">
        <f>R307+V307</f>
        <v>0</v>
      </c>
      <c r="Y307" s="67">
        <f t="shared" si="134"/>
        <v>1484835.53</v>
      </c>
      <c r="Z307" s="67">
        <f t="shared" si="135"/>
        <v>0</v>
      </c>
      <c r="AA307" s="67">
        <f t="shared" si="136"/>
        <v>1484835.53</v>
      </c>
      <c r="AB307" s="69">
        <f t="shared" si="137"/>
        <v>0</v>
      </c>
      <c r="AC307" s="49" t="s">
        <v>305</v>
      </c>
      <c r="AD307" s="94">
        <f>+D266</f>
        <v>20000000</v>
      </c>
      <c r="AE307" s="94">
        <f>+E266</f>
        <v>20000000</v>
      </c>
      <c r="AF307" s="94">
        <f>+F266</f>
        <v>0</v>
      </c>
      <c r="AG307" s="94">
        <f>+AE307+AF307</f>
        <v>20000000</v>
      </c>
      <c r="AH307" s="94">
        <f>+L266</f>
        <v>0</v>
      </c>
      <c r="AI307" s="94">
        <f>+AG307+AH307</f>
        <v>20000000</v>
      </c>
      <c r="AJ307" s="94">
        <f>+O266</f>
        <v>0</v>
      </c>
      <c r="AK307" s="94">
        <f>+P266</f>
        <v>0</v>
      </c>
      <c r="AL307" s="94">
        <f>+AJ307+AK307</f>
        <v>0</v>
      </c>
      <c r="AM307" s="94">
        <f>+AJ266</f>
        <v>0</v>
      </c>
      <c r="AN307" s="94">
        <f>+AL307+AM307</f>
        <v>0</v>
      </c>
      <c r="AO307" s="94">
        <f>+AG307+AL307</f>
        <v>20000000</v>
      </c>
      <c r="AP307" s="94">
        <f>+AD307-AO307</f>
        <v>0</v>
      </c>
      <c r="AQ307" s="94">
        <f>+AD307-AI307-AN307</f>
        <v>0</v>
      </c>
    </row>
    <row r="308" spans="1:43" x14ac:dyDescent="0.25">
      <c r="A308" s="46"/>
      <c r="B308" s="26"/>
      <c r="C308" s="2" t="s">
        <v>37</v>
      </c>
      <c r="D308" s="67">
        <v>53505179.850000001</v>
      </c>
      <c r="E308" s="67">
        <v>0</v>
      </c>
      <c r="F308" s="68"/>
      <c r="G308" s="68"/>
      <c r="H308" s="67">
        <f>E308+F308</f>
        <v>0</v>
      </c>
      <c r="I308" s="68"/>
      <c r="J308" s="68"/>
      <c r="K308" s="68"/>
      <c r="L308" s="67"/>
      <c r="M308" s="67"/>
      <c r="N308" s="67">
        <f>H308+L308</f>
        <v>0</v>
      </c>
      <c r="O308" s="67">
        <v>195860.51</v>
      </c>
      <c r="P308" s="68"/>
      <c r="Q308" s="68"/>
      <c r="R308" s="67">
        <f>O308+P308</f>
        <v>195860.51</v>
      </c>
      <c r="S308" s="67"/>
      <c r="T308" s="68"/>
      <c r="U308" s="68"/>
      <c r="V308" s="67"/>
      <c r="W308" s="67"/>
      <c r="X308" s="67">
        <f>R308+V308</f>
        <v>195860.51</v>
      </c>
      <c r="Y308" s="67">
        <f t="shared" si="134"/>
        <v>195860.51</v>
      </c>
      <c r="Z308" s="67">
        <f t="shared" si="135"/>
        <v>53309319.340000004</v>
      </c>
      <c r="AA308" s="67">
        <f t="shared" si="136"/>
        <v>195860.51</v>
      </c>
      <c r="AB308" s="69">
        <f t="shared" si="137"/>
        <v>53309319.340000004</v>
      </c>
      <c r="AC308" s="106" t="s">
        <v>290</v>
      </c>
      <c r="AD308" s="94">
        <f>+D305</f>
        <v>44776640.140000001</v>
      </c>
      <c r="AE308" s="94">
        <f>+E305</f>
        <v>44776640.140000001</v>
      </c>
      <c r="AF308" s="94">
        <f>+F305</f>
        <v>0</v>
      </c>
      <c r="AG308" s="94">
        <f>+AE308+AF308</f>
        <v>44776640.140000001</v>
      </c>
      <c r="AH308" s="94">
        <f>+L305</f>
        <v>0</v>
      </c>
      <c r="AI308" s="94">
        <f>+AG308+AH308</f>
        <v>44776640.140000001</v>
      </c>
      <c r="AJ308" s="94">
        <f>+O305</f>
        <v>0</v>
      </c>
      <c r="AK308" s="94">
        <f>+P305</f>
        <v>0</v>
      </c>
      <c r="AL308" s="94">
        <f>+AJ308+AK308</f>
        <v>0</v>
      </c>
      <c r="AM308" s="94">
        <f>+AJ305</f>
        <v>0</v>
      </c>
      <c r="AN308" s="94">
        <f>+AL308+AM308</f>
        <v>0</v>
      </c>
      <c r="AO308" s="94">
        <f>+AG308+AL308</f>
        <v>44776640.140000001</v>
      </c>
      <c r="AP308" s="94">
        <f>+AD308-AO308</f>
        <v>0</v>
      </c>
      <c r="AQ308" s="94">
        <f>+AD308-AI308-AN308</f>
        <v>0</v>
      </c>
    </row>
    <row r="309" spans="1:43" x14ac:dyDescent="0.25">
      <c r="A309" s="46"/>
      <c r="B309" s="26"/>
      <c r="C309" s="2" t="s">
        <v>38</v>
      </c>
      <c r="D309" s="67">
        <v>12000000</v>
      </c>
      <c r="E309" s="67">
        <v>0</v>
      </c>
      <c r="F309" s="68"/>
      <c r="G309" s="68"/>
      <c r="H309" s="67">
        <f>E309+F309</f>
        <v>0</v>
      </c>
      <c r="I309" s="68"/>
      <c r="J309" s="68"/>
      <c r="K309" s="68"/>
      <c r="L309" s="67"/>
      <c r="M309" s="67"/>
      <c r="N309" s="67">
        <f>H309+L309</f>
        <v>0</v>
      </c>
      <c r="O309" s="67">
        <v>0</v>
      </c>
      <c r="P309" s="68"/>
      <c r="Q309" s="68"/>
      <c r="R309" s="67">
        <f>O309+P309</f>
        <v>0</v>
      </c>
      <c r="S309" s="68"/>
      <c r="T309" s="68"/>
      <c r="U309" s="68"/>
      <c r="V309" s="67"/>
      <c r="W309" s="67"/>
      <c r="X309" s="67">
        <f>R309+V309</f>
        <v>0</v>
      </c>
      <c r="Y309" s="67">
        <f t="shared" si="134"/>
        <v>0</v>
      </c>
      <c r="Z309" s="67">
        <f t="shared" si="135"/>
        <v>12000000</v>
      </c>
      <c r="AA309" s="67">
        <f t="shared" si="136"/>
        <v>0</v>
      </c>
      <c r="AB309" s="69">
        <f t="shared" si="137"/>
        <v>12000000</v>
      </c>
      <c r="AC309" s="49" t="s">
        <v>47</v>
      </c>
      <c r="AD309" s="94">
        <f>D195+D205+D215+D226+D237+D248+D255+D264+D277+D285+D296+D304+D315</f>
        <v>300760878.96000004</v>
      </c>
      <c r="AE309" s="94">
        <f>E195+E205+E215+E226+E237+E248+E255+E264+E277+E285+E296+E304+E315</f>
        <v>13000000</v>
      </c>
      <c r="AF309" s="94">
        <f>+F226+F237</f>
        <v>0</v>
      </c>
      <c r="AG309" s="94">
        <f>+AE309+AF309</f>
        <v>13000000</v>
      </c>
      <c r="AH309" s="94">
        <f>L195+L205+L215+L226+L237+L248+L255+L264+L277+L285+L296+L304+L315</f>
        <v>0</v>
      </c>
      <c r="AI309" s="94">
        <f>+AG309+AH309</f>
        <v>13000000</v>
      </c>
      <c r="AJ309" s="94">
        <f>O195+O205+O215+O226+O237+O248+O255+O264+O277+O285+O296+O304+O315</f>
        <v>30592884.75</v>
      </c>
      <c r="AK309" s="94">
        <f>P195+P205+P215+P226+P237+P248+P255+P264+P277+P285+P296+P304+P315</f>
        <v>0</v>
      </c>
      <c r="AL309" s="94">
        <f>+AJ309+AK309</f>
        <v>30592884.75</v>
      </c>
      <c r="AM309" s="94">
        <f>V195+V205+V215+V226+V237+V248+V255+V264+V277+V285+V296+V304+V315</f>
        <v>0</v>
      </c>
      <c r="AN309" s="94">
        <f>+AL309+AM309</f>
        <v>30592884.75</v>
      </c>
      <c r="AO309" s="94">
        <f>+AG309+AL309</f>
        <v>43592884.75</v>
      </c>
      <c r="AP309" s="94">
        <f>+AD309-AO309</f>
        <v>257167994.21000004</v>
      </c>
      <c r="AQ309" s="94">
        <f>+AD309-AI309-AN309</f>
        <v>257167994.21000004</v>
      </c>
    </row>
    <row r="310" spans="1:43" x14ac:dyDescent="0.25">
      <c r="A310" s="46"/>
      <c r="B310" s="26"/>
      <c r="C310" s="8" t="s">
        <v>39</v>
      </c>
      <c r="D310" s="67">
        <v>2868222.76</v>
      </c>
      <c r="E310" s="67">
        <v>0</v>
      </c>
      <c r="F310" s="68"/>
      <c r="G310" s="68"/>
      <c r="H310" s="67">
        <f>E310+F310</f>
        <v>0</v>
      </c>
      <c r="I310" s="68"/>
      <c r="J310" s="68"/>
      <c r="K310" s="68"/>
      <c r="L310" s="67"/>
      <c r="M310" s="67"/>
      <c r="N310" s="67">
        <f>H310+L310</f>
        <v>0</v>
      </c>
      <c r="O310" s="67">
        <v>626845.6</v>
      </c>
      <c r="P310" s="68"/>
      <c r="Q310" s="68"/>
      <c r="R310" s="67">
        <f>O310+P310</f>
        <v>626845.6</v>
      </c>
      <c r="S310" s="68"/>
      <c r="T310" s="68"/>
      <c r="U310" s="68"/>
      <c r="V310" s="67"/>
      <c r="W310" s="67"/>
      <c r="X310" s="67">
        <f>R310+V310</f>
        <v>626845.6</v>
      </c>
      <c r="Y310" s="67">
        <f t="shared" si="134"/>
        <v>626845.6</v>
      </c>
      <c r="Z310" s="67">
        <f t="shared" si="135"/>
        <v>2241377.1599999997</v>
      </c>
      <c r="AA310" s="67">
        <f t="shared" si="136"/>
        <v>626845.6</v>
      </c>
      <c r="AB310" s="69">
        <f t="shared" si="137"/>
        <v>2241377.1599999997</v>
      </c>
      <c r="AC310" s="49" t="s">
        <v>36</v>
      </c>
      <c r="AD310" s="94">
        <f>D196+D206+D217+D228+D238+D256+D265+D286+D297+D307</f>
        <v>51002375.399999999</v>
      </c>
      <c r="AE310" s="94">
        <f>E196+E206+E217+E228+E238+E256+E265+E286+E297+E307</f>
        <v>51002375.399999999</v>
      </c>
      <c r="AF310" s="94">
        <f>F195+F205+F215+F255+F264+F285+F296+F304</f>
        <v>0</v>
      </c>
      <c r="AG310" s="94">
        <f t="shared" ref="AG310:AG322" si="139">+AE310+AF310</f>
        <v>51002375.399999999</v>
      </c>
      <c r="AH310" s="94">
        <f>L196+L206+L217+L228+L238+L256+L265+L286+L297+L307</f>
        <v>0</v>
      </c>
      <c r="AI310" s="94">
        <f t="shared" ref="AI310:AI322" si="140">+AG310+AH310</f>
        <v>51002375.399999999</v>
      </c>
      <c r="AJ310" s="94">
        <f>O196+O206+O217+O228+O238+O256+O265+O286+O297+O307</f>
        <v>0</v>
      </c>
      <c r="AK310" s="94">
        <f>P196+P206+P217+P228+P238+P256+P265+P286+P297+P307</f>
        <v>0</v>
      </c>
      <c r="AL310" s="94">
        <f t="shared" ref="AL310:AL322" si="141">+AJ310+AK310</f>
        <v>0</v>
      </c>
      <c r="AM310" s="94">
        <f>V196+V206+V217+V228+V238+V256+V265+V286+V297+V307</f>
        <v>0</v>
      </c>
      <c r="AN310" s="94">
        <f t="shared" ref="AN310:AN322" si="142">+AL310+AM310</f>
        <v>0</v>
      </c>
      <c r="AO310" s="94">
        <f t="shared" ref="AO310:AO322" si="143">+AG310+AL310</f>
        <v>51002375.399999999</v>
      </c>
      <c r="AP310" s="94">
        <f t="shared" ref="AP310:AP322" si="144">+AD310-AO310</f>
        <v>0</v>
      </c>
      <c r="AQ310" s="94">
        <f t="shared" ref="AQ310:AQ322" si="145">+AD310-AI310-AN310</f>
        <v>0</v>
      </c>
    </row>
    <row r="311" spans="1:43" x14ac:dyDescent="0.25">
      <c r="A311" s="46"/>
      <c r="B311" s="30"/>
      <c r="C311" s="4"/>
      <c r="D311" s="70" t="s">
        <v>40</v>
      </c>
      <c r="E311" s="70" t="s">
        <v>40</v>
      </c>
      <c r="F311" s="70" t="s">
        <v>40</v>
      </c>
      <c r="G311" s="70"/>
      <c r="H311" s="70" t="s">
        <v>40</v>
      </c>
      <c r="I311" s="70" t="s">
        <v>40</v>
      </c>
      <c r="J311" s="70" t="s">
        <v>40</v>
      </c>
      <c r="K311" s="70" t="s">
        <v>40</v>
      </c>
      <c r="L311" s="70" t="s">
        <v>40</v>
      </c>
      <c r="M311" s="70"/>
      <c r="N311" s="70" t="s">
        <v>40</v>
      </c>
      <c r="O311" s="70" t="s">
        <v>40</v>
      </c>
      <c r="P311" s="70" t="s">
        <v>40</v>
      </c>
      <c r="Q311" s="70"/>
      <c r="R311" s="70" t="s">
        <v>40</v>
      </c>
      <c r="S311" s="70" t="s">
        <v>40</v>
      </c>
      <c r="T311" s="70" t="s">
        <v>40</v>
      </c>
      <c r="U311" s="70" t="s">
        <v>40</v>
      </c>
      <c r="V311" s="70" t="s">
        <v>40</v>
      </c>
      <c r="W311" s="70"/>
      <c r="X311" s="70" t="s">
        <v>40</v>
      </c>
      <c r="Y311" s="70" t="s">
        <v>40</v>
      </c>
      <c r="Z311" s="70" t="s">
        <v>40</v>
      </c>
      <c r="AA311" s="70" t="s">
        <v>40</v>
      </c>
      <c r="AB311" s="70" t="s">
        <v>40</v>
      </c>
      <c r="AC311" s="49" t="s">
        <v>183</v>
      </c>
      <c r="AD311" s="94">
        <f>D198+D241+D278+D288+D308+D317</f>
        <v>219475424.91</v>
      </c>
      <c r="AE311" s="94">
        <f>E198+E241+E278+E288+E308+E317</f>
        <v>0</v>
      </c>
      <c r="AF311" s="94">
        <f>F196+F240+F277+F287+F307+F316</f>
        <v>0</v>
      </c>
      <c r="AG311" s="94">
        <f t="shared" si="139"/>
        <v>0</v>
      </c>
      <c r="AH311" s="94">
        <f>L198+L241+L278+L288+L308+L317</f>
        <v>0</v>
      </c>
      <c r="AI311" s="94">
        <f t="shared" si="140"/>
        <v>0</v>
      </c>
      <c r="AJ311" s="94">
        <f>O198+O241+O278+O288+O308+O317</f>
        <v>3586437.9400000004</v>
      </c>
      <c r="AK311" s="94">
        <f>P198+P241+P278+P288+P308+P317</f>
        <v>0</v>
      </c>
      <c r="AL311" s="94">
        <f t="shared" si="141"/>
        <v>3586437.9400000004</v>
      </c>
      <c r="AM311" s="94">
        <f>V198+V241+V278+V288+V308+V317</f>
        <v>0</v>
      </c>
      <c r="AN311" s="94">
        <f t="shared" si="142"/>
        <v>3586437.9400000004</v>
      </c>
      <c r="AO311" s="94">
        <f t="shared" si="143"/>
        <v>3586437.9400000004</v>
      </c>
      <c r="AP311" s="94">
        <f t="shared" si="144"/>
        <v>215888986.97</v>
      </c>
      <c r="AQ311" s="94">
        <f t="shared" si="145"/>
        <v>215888986.97</v>
      </c>
    </row>
    <row r="312" spans="1:43" x14ac:dyDescent="0.25">
      <c r="A312" s="46"/>
      <c r="B312" s="26"/>
      <c r="C312" s="4"/>
      <c r="D312" s="67">
        <f>SUM(D304:D310)</f>
        <v>128992211.77000001</v>
      </c>
      <c r="E312" s="67">
        <f>SUM(E304:E310)</f>
        <v>54198975.670000002</v>
      </c>
      <c r="F312" s="67">
        <f>SUM(F304:F310)</f>
        <v>0</v>
      </c>
      <c r="G312" s="67"/>
      <c r="H312" s="67">
        <f>SUM(H304:H310)</f>
        <v>54198975.670000002</v>
      </c>
      <c r="I312" s="67">
        <f>SUM(I304:I310)</f>
        <v>0</v>
      </c>
      <c r="J312" s="67">
        <f>SUM(J304:J310)</f>
        <v>0</v>
      </c>
      <c r="K312" s="67">
        <f>SUM(K304:K310)</f>
        <v>0</v>
      </c>
      <c r="L312" s="67">
        <f>SUM(L304:L310)</f>
        <v>0</v>
      </c>
      <c r="M312" s="67"/>
      <c r="N312" s="67">
        <f>SUM(N304:N310)</f>
        <v>54198975.670000002</v>
      </c>
      <c r="O312" s="67">
        <f>SUM(O304:O310)</f>
        <v>6256665.2999999998</v>
      </c>
      <c r="P312" s="67">
        <f>SUM(P304:P310)</f>
        <v>0</v>
      </c>
      <c r="Q312" s="67"/>
      <c r="R312" s="67">
        <f>SUM(R304:R310)</f>
        <v>6256665.2999999998</v>
      </c>
      <c r="S312" s="67">
        <f>SUM(S304:S310)</f>
        <v>1479754</v>
      </c>
      <c r="T312" s="67">
        <f>SUM(T304:T310)</f>
        <v>0</v>
      </c>
      <c r="U312" s="67">
        <f>SUM(U304:U310)</f>
        <v>0</v>
      </c>
      <c r="V312" s="67">
        <f>SUM(V304:V310)</f>
        <v>0</v>
      </c>
      <c r="W312" s="67"/>
      <c r="X312" s="67">
        <f>SUM(X304:X310)</f>
        <v>6256665.2999999998</v>
      </c>
      <c r="Y312" s="67">
        <f>SUM(Y304:Y310)</f>
        <v>60455640.969999999</v>
      </c>
      <c r="Z312" s="67">
        <f>SUM(Z304:Z310)</f>
        <v>68536570.799999997</v>
      </c>
      <c r="AA312" s="67">
        <f>SUM(AA304:AA310)</f>
        <v>60455640.969999999</v>
      </c>
      <c r="AB312" s="67">
        <f>SUM(AB304:AB310)</f>
        <v>68536570.799999997</v>
      </c>
      <c r="AC312" s="49" t="s">
        <v>184</v>
      </c>
      <c r="AD312" s="94">
        <f>D200+D242+D280+D290+D310+D319</f>
        <v>49233684.68</v>
      </c>
      <c r="AE312" s="94">
        <f>E200+E242+E280+E290+E310+E319</f>
        <v>0</v>
      </c>
      <c r="AF312" s="94">
        <f>F199+F241+F279+F289+F309+F318</f>
        <v>0</v>
      </c>
      <c r="AG312" s="94">
        <f t="shared" si="139"/>
        <v>0</v>
      </c>
      <c r="AH312" s="94">
        <f>L200+L242+L280+L290+L310+L319</f>
        <v>0</v>
      </c>
      <c r="AI312" s="94">
        <f t="shared" si="140"/>
        <v>0</v>
      </c>
      <c r="AJ312" s="94">
        <f>O200+O242+O280+O290+O310+O319</f>
        <v>626845.6</v>
      </c>
      <c r="AK312" s="94">
        <f>P200+P242+P280+P290+P310+P319</f>
        <v>0</v>
      </c>
      <c r="AL312" s="94">
        <f t="shared" si="141"/>
        <v>626845.6</v>
      </c>
      <c r="AM312" s="94">
        <f>V200+V242+V280+V290+V310+V319</f>
        <v>0</v>
      </c>
      <c r="AN312" s="94">
        <f t="shared" si="142"/>
        <v>626845.6</v>
      </c>
      <c r="AO312" s="94">
        <f t="shared" si="143"/>
        <v>626845.6</v>
      </c>
      <c r="AP312" s="94">
        <f t="shared" si="144"/>
        <v>48606839.079999998</v>
      </c>
      <c r="AQ312" s="94">
        <f t="shared" si="145"/>
        <v>48606839.079999998</v>
      </c>
    </row>
    <row r="313" spans="1:43" x14ac:dyDescent="0.25">
      <c r="A313" s="46"/>
      <c r="B313" s="26"/>
      <c r="C313" s="4"/>
      <c r="D313" s="70" t="s">
        <v>40</v>
      </c>
      <c r="E313" s="70" t="s">
        <v>40</v>
      </c>
      <c r="F313" s="70" t="s">
        <v>40</v>
      </c>
      <c r="G313" s="70"/>
      <c r="H313" s="70" t="s">
        <v>40</v>
      </c>
      <c r="I313" s="70" t="s">
        <v>40</v>
      </c>
      <c r="J313" s="70" t="s">
        <v>40</v>
      </c>
      <c r="K313" s="70" t="s">
        <v>40</v>
      </c>
      <c r="L313" s="70" t="s">
        <v>40</v>
      </c>
      <c r="M313" s="70"/>
      <c r="N313" s="70" t="s">
        <v>40</v>
      </c>
      <c r="O313" s="70" t="s">
        <v>40</v>
      </c>
      <c r="P313" s="70" t="s">
        <v>40</v>
      </c>
      <c r="Q313" s="70"/>
      <c r="R313" s="70" t="s">
        <v>40</v>
      </c>
      <c r="S313" s="70" t="s">
        <v>40</v>
      </c>
      <c r="T313" s="70" t="s">
        <v>40</v>
      </c>
      <c r="U313" s="70" t="s">
        <v>40</v>
      </c>
      <c r="V313" s="70" t="s">
        <v>40</v>
      </c>
      <c r="W313" s="70"/>
      <c r="X313" s="70" t="s">
        <v>40</v>
      </c>
      <c r="Y313" s="70" t="s">
        <v>40</v>
      </c>
      <c r="Z313" s="70" t="s">
        <v>40</v>
      </c>
      <c r="AA313" s="70" t="s">
        <v>40</v>
      </c>
      <c r="AB313" s="70" t="s">
        <v>40</v>
      </c>
      <c r="AC313" s="49" t="s">
        <v>38</v>
      </c>
      <c r="AD313" s="94">
        <f>D199+D279+D289+D309+D318</f>
        <v>60391472.990000002</v>
      </c>
      <c r="AE313" s="94">
        <f>E199+E279+E289+E309+E318</f>
        <v>0</v>
      </c>
      <c r="AF313" s="94">
        <f>F198+F278+F288+F308+F317</f>
        <v>0</v>
      </c>
      <c r="AG313" s="94">
        <f t="shared" si="139"/>
        <v>0</v>
      </c>
      <c r="AH313" s="94">
        <f>L199+L279+L289+L309+L318</f>
        <v>0</v>
      </c>
      <c r="AI313" s="94">
        <f t="shared" si="140"/>
        <v>0</v>
      </c>
      <c r="AJ313" s="94">
        <f>O199+O279+O289+O309+O318</f>
        <v>0</v>
      </c>
      <c r="AK313" s="94">
        <f>P199+P279+P289+P309+P318</f>
        <v>141345.20000000001</v>
      </c>
      <c r="AL313" s="94">
        <f t="shared" si="141"/>
        <v>141345.20000000001</v>
      </c>
      <c r="AM313" s="94">
        <f>V199+V279+V289+V309+V318</f>
        <v>0</v>
      </c>
      <c r="AN313" s="94">
        <f t="shared" si="142"/>
        <v>141345.20000000001</v>
      </c>
      <c r="AO313" s="94">
        <f t="shared" si="143"/>
        <v>141345.20000000001</v>
      </c>
      <c r="AP313" s="94">
        <f t="shared" si="144"/>
        <v>60250127.789999999</v>
      </c>
      <c r="AQ313" s="94">
        <f t="shared" si="145"/>
        <v>60250127.789999999</v>
      </c>
    </row>
    <row r="314" spans="1:43" x14ac:dyDescent="0.25">
      <c r="C314" s="4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49" t="s">
        <v>72</v>
      </c>
      <c r="AD314" s="94">
        <f>+D298</f>
        <v>8840000</v>
      </c>
      <c r="AE314" s="94">
        <f>+E298</f>
        <v>8840000</v>
      </c>
      <c r="AF314" s="94">
        <f>+F297</f>
        <v>0</v>
      </c>
      <c r="AG314" s="94">
        <f t="shared" si="139"/>
        <v>8840000</v>
      </c>
      <c r="AH314" s="94">
        <f>+L298</f>
        <v>0</v>
      </c>
      <c r="AI314" s="94">
        <f t="shared" si="140"/>
        <v>8840000</v>
      </c>
      <c r="AJ314" s="94">
        <f>+O298</f>
        <v>0</v>
      </c>
      <c r="AK314" s="94">
        <f>+P298</f>
        <v>0</v>
      </c>
      <c r="AL314" s="94">
        <f t="shared" si="141"/>
        <v>0</v>
      </c>
      <c r="AM314" s="94">
        <f>+V298</f>
        <v>0</v>
      </c>
      <c r="AN314" s="94">
        <f t="shared" si="142"/>
        <v>0</v>
      </c>
      <c r="AO314" s="94">
        <f t="shared" si="143"/>
        <v>8840000</v>
      </c>
      <c r="AP314" s="94">
        <f t="shared" si="144"/>
        <v>0</v>
      </c>
      <c r="AQ314" s="94">
        <f t="shared" si="145"/>
        <v>0</v>
      </c>
    </row>
    <row r="315" spans="1:43" x14ac:dyDescent="0.25">
      <c r="A315" s="46">
        <v>31</v>
      </c>
      <c r="B315" s="23" t="s">
        <v>75</v>
      </c>
      <c r="C315" s="2" t="s">
        <v>35</v>
      </c>
      <c r="D315" s="67">
        <v>54449180.579999998</v>
      </c>
      <c r="E315" s="67">
        <v>0</v>
      </c>
      <c r="F315" s="68"/>
      <c r="G315" s="68"/>
      <c r="H315" s="67">
        <f>E315+F315</f>
        <v>0</v>
      </c>
      <c r="I315" s="68"/>
      <c r="J315" s="68"/>
      <c r="K315" s="68"/>
      <c r="L315" s="67"/>
      <c r="M315" s="67"/>
      <c r="N315" s="67">
        <f>H315+L315</f>
        <v>0</v>
      </c>
      <c r="O315" s="67">
        <v>0</v>
      </c>
      <c r="P315" s="68"/>
      <c r="Q315" s="68"/>
      <c r="R315" s="67">
        <f>O315+P315</f>
        <v>0</v>
      </c>
      <c r="S315" s="68"/>
      <c r="T315" s="68"/>
      <c r="U315" s="68"/>
      <c r="V315" s="67"/>
      <c r="W315" s="67"/>
      <c r="X315" s="67">
        <f>R315+V315</f>
        <v>0</v>
      </c>
      <c r="Y315" s="67">
        <f>R315+H315</f>
        <v>0</v>
      </c>
      <c r="Z315" s="67">
        <f>D315-Y315</f>
        <v>54449180.579999998</v>
      </c>
      <c r="AA315" s="67">
        <f>N315+X315</f>
        <v>0</v>
      </c>
      <c r="AB315" s="69">
        <f>+D315-N315-X315</f>
        <v>54449180.579999998</v>
      </c>
      <c r="AC315" s="49" t="s">
        <v>263</v>
      </c>
      <c r="AD315" s="94">
        <f>D208+D219+D230+D240+D250</f>
        <v>25796767.960000001</v>
      </c>
      <c r="AE315" s="94">
        <f>E208+E219+E230+E240+E250</f>
        <v>25796767.960000001</v>
      </c>
      <c r="AF315" s="94">
        <f>F207+F218+F229+F239+F248</f>
        <v>0</v>
      </c>
      <c r="AG315" s="94">
        <f t="shared" si="139"/>
        <v>25796767.960000001</v>
      </c>
      <c r="AH315" s="94">
        <f>L208+L219+L230+L240+L250</f>
        <v>0</v>
      </c>
      <c r="AI315" s="94">
        <f t="shared" si="140"/>
        <v>25796767.960000001</v>
      </c>
      <c r="AJ315" s="94">
        <f>O208+O219+O230+O240+O250</f>
        <v>0</v>
      </c>
      <c r="AK315" s="94">
        <f>P208+P219+P230+P240+P250</f>
        <v>0</v>
      </c>
      <c r="AL315" s="94">
        <f t="shared" si="141"/>
        <v>0</v>
      </c>
      <c r="AM315" s="94">
        <f>V208+V219+V230+V240+V250</f>
        <v>0</v>
      </c>
      <c r="AN315" s="94">
        <f t="shared" si="142"/>
        <v>0</v>
      </c>
      <c r="AO315" s="94">
        <f t="shared" si="143"/>
        <v>25796767.960000001</v>
      </c>
      <c r="AP315" s="94">
        <f t="shared" si="144"/>
        <v>0</v>
      </c>
      <c r="AQ315" s="94">
        <f t="shared" si="145"/>
        <v>0</v>
      </c>
    </row>
    <row r="316" spans="1:43" x14ac:dyDescent="0.25">
      <c r="A316" s="46"/>
      <c r="B316" s="26"/>
      <c r="C316" s="2" t="s">
        <v>76</v>
      </c>
      <c r="D316" s="67">
        <v>1872417.01</v>
      </c>
      <c r="E316" s="67">
        <v>0</v>
      </c>
      <c r="F316" s="68"/>
      <c r="G316" s="68"/>
      <c r="H316" s="67">
        <f>E316+F316</f>
        <v>0</v>
      </c>
      <c r="I316" s="68"/>
      <c r="J316" s="68"/>
      <c r="K316" s="68"/>
      <c r="L316" s="67"/>
      <c r="M316" s="67"/>
      <c r="N316" s="67">
        <f>H316+L316</f>
        <v>0</v>
      </c>
      <c r="O316" s="67">
        <v>0</v>
      </c>
      <c r="P316" s="68"/>
      <c r="Q316" s="68"/>
      <c r="R316" s="67">
        <f>O316+P316</f>
        <v>0</v>
      </c>
      <c r="S316" s="68"/>
      <c r="T316" s="68"/>
      <c r="U316" s="68"/>
      <c r="V316" s="67"/>
      <c r="W316" s="67"/>
      <c r="X316" s="67">
        <f>R316+V316</f>
        <v>0</v>
      </c>
      <c r="Y316" s="67">
        <f>R316+H316</f>
        <v>0</v>
      </c>
      <c r="Z316" s="67">
        <f>D316-Y316</f>
        <v>1872417.01</v>
      </c>
      <c r="AA316" s="67">
        <f>N316+X316</f>
        <v>0</v>
      </c>
      <c r="AB316" s="69">
        <f>+D316-N316-X316</f>
        <v>1872417.01</v>
      </c>
      <c r="AC316" s="49" t="s">
        <v>65</v>
      </c>
      <c r="AD316" s="94">
        <f>D218+D229+D239+D257+D269+D299</f>
        <v>191367107.63</v>
      </c>
      <c r="AE316" s="94">
        <f>E218+E229+E239+E257+E269+E299</f>
        <v>191367107.63</v>
      </c>
      <c r="AF316" s="94">
        <f>F217+F228+F238+F256+F268+F298</f>
        <v>0</v>
      </c>
      <c r="AG316" s="94">
        <f t="shared" si="139"/>
        <v>191367107.63</v>
      </c>
      <c r="AH316" s="94">
        <f>L218+L229+L239+L257+L269+L299</f>
        <v>0</v>
      </c>
      <c r="AI316" s="94">
        <f t="shared" si="140"/>
        <v>191367107.63</v>
      </c>
      <c r="AJ316" s="94">
        <f>O218+O229+O239+O257+O269+O299</f>
        <v>0</v>
      </c>
      <c r="AK316" s="94">
        <f>P218+P229+P239+P257+P269+P299</f>
        <v>0</v>
      </c>
      <c r="AL316" s="94">
        <f t="shared" si="141"/>
        <v>0</v>
      </c>
      <c r="AM316" s="94">
        <f>V218+V229+V239+V257+V269+V299</f>
        <v>0</v>
      </c>
      <c r="AN316" s="94">
        <f t="shared" si="142"/>
        <v>0</v>
      </c>
      <c r="AO316" s="94">
        <f t="shared" si="143"/>
        <v>191367107.63</v>
      </c>
      <c r="AP316" s="94">
        <f t="shared" si="144"/>
        <v>0</v>
      </c>
      <c r="AQ316" s="94">
        <f t="shared" si="145"/>
        <v>0</v>
      </c>
    </row>
    <row r="317" spans="1:43" x14ac:dyDescent="0.25">
      <c r="A317" s="46"/>
      <c r="B317" s="26"/>
      <c r="C317" s="2" t="s">
        <v>37</v>
      </c>
      <c r="D317" s="67">
        <v>95926369.909999996</v>
      </c>
      <c r="E317" s="67">
        <v>0</v>
      </c>
      <c r="F317" s="68"/>
      <c r="G317" s="68"/>
      <c r="H317" s="67">
        <f>E317+F317</f>
        <v>0</v>
      </c>
      <c r="I317" s="68"/>
      <c r="J317" s="68"/>
      <c r="K317" s="68"/>
      <c r="L317" s="67"/>
      <c r="M317" s="67"/>
      <c r="N317" s="67">
        <f>H317+L317</f>
        <v>0</v>
      </c>
      <c r="O317" s="68">
        <v>595402.19999999995</v>
      </c>
      <c r="P317" s="68"/>
      <c r="Q317" s="68"/>
      <c r="R317" s="67">
        <f>O317+P317</f>
        <v>595402.19999999995</v>
      </c>
      <c r="S317" s="68"/>
      <c r="T317" s="68"/>
      <c r="U317" s="68"/>
      <c r="V317" s="67"/>
      <c r="W317" s="67"/>
      <c r="X317" s="67">
        <f>R317+V317</f>
        <v>595402.19999999995</v>
      </c>
      <c r="Y317" s="67">
        <f>R317+H317</f>
        <v>595402.19999999995</v>
      </c>
      <c r="Z317" s="67">
        <f>D317-Y317</f>
        <v>95330967.709999993</v>
      </c>
      <c r="AA317" s="67">
        <f>N317+X317</f>
        <v>595402.19999999995</v>
      </c>
      <c r="AB317" s="69">
        <f>+D317-N317-X317</f>
        <v>95330967.709999993</v>
      </c>
      <c r="AC317" s="49" t="s">
        <v>262</v>
      </c>
      <c r="AD317" s="94">
        <f>D207+D268+D287</f>
        <v>116031000</v>
      </c>
      <c r="AE317" s="94">
        <f>E207+E268+E287</f>
        <v>116031000</v>
      </c>
      <c r="AF317" s="94">
        <f>F206+F265+F286</f>
        <v>0</v>
      </c>
      <c r="AG317" s="94">
        <f t="shared" si="139"/>
        <v>116031000</v>
      </c>
      <c r="AH317" s="94">
        <f>L207+L268+L287</f>
        <v>0</v>
      </c>
      <c r="AI317" s="94">
        <f t="shared" si="140"/>
        <v>116031000</v>
      </c>
      <c r="AJ317" s="94">
        <f>O207+O268+O287</f>
        <v>0</v>
      </c>
      <c r="AK317" s="94">
        <f>P207+P268+P287</f>
        <v>0</v>
      </c>
      <c r="AL317" s="94">
        <f t="shared" si="141"/>
        <v>0</v>
      </c>
      <c r="AM317" s="94">
        <f>V207+V268+V287</f>
        <v>0</v>
      </c>
      <c r="AN317" s="94">
        <f t="shared" si="142"/>
        <v>0</v>
      </c>
      <c r="AO317" s="94">
        <f t="shared" si="143"/>
        <v>116031000</v>
      </c>
      <c r="AP317" s="94">
        <f t="shared" si="144"/>
        <v>0</v>
      </c>
      <c r="AQ317" s="94">
        <f t="shared" si="145"/>
        <v>0</v>
      </c>
    </row>
    <row r="318" spans="1:43" x14ac:dyDescent="0.25">
      <c r="A318" s="46"/>
      <c r="B318" s="26"/>
      <c r="C318" s="2" t="s">
        <v>38</v>
      </c>
      <c r="D318" s="67">
        <v>15838582.99</v>
      </c>
      <c r="E318" s="67">
        <v>0</v>
      </c>
      <c r="F318" s="68"/>
      <c r="G318" s="68"/>
      <c r="H318" s="67">
        <f>E318+F318</f>
        <v>0</v>
      </c>
      <c r="I318" s="68"/>
      <c r="J318" s="68"/>
      <c r="K318" s="68"/>
      <c r="L318" s="67"/>
      <c r="M318" s="67"/>
      <c r="N318" s="67">
        <f>H318+L318</f>
        <v>0</v>
      </c>
      <c r="O318" s="67">
        <v>0</v>
      </c>
      <c r="P318" s="68"/>
      <c r="Q318" s="68"/>
      <c r="R318" s="67">
        <f>O318+P318</f>
        <v>0</v>
      </c>
      <c r="S318" s="68"/>
      <c r="T318" s="68"/>
      <c r="U318" s="68"/>
      <c r="V318" s="67"/>
      <c r="W318" s="67"/>
      <c r="X318" s="67">
        <f>R318+V318</f>
        <v>0</v>
      </c>
      <c r="Y318" s="67">
        <f>R318+H318</f>
        <v>0</v>
      </c>
      <c r="Z318" s="67">
        <f>D318-Y318</f>
        <v>15838582.99</v>
      </c>
      <c r="AA318" s="67">
        <f>N318+X318</f>
        <v>0</v>
      </c>
      <c r="AB318" s="69">
        <f>+D318-N318-X318</f>
        <v>15838582.99</v>
      </c>
      <c r="AC318" s="49" t="s">
        <v>259</v>
      </c>
      <c r="AD318" s="94">
        <f>+D291</f>
        <v>9500000</v>
      </c>
      <c r="AE318" s="94">
        <f>+E291</f>
        <v>5549055.1900000004</v>
      </c>
      <c r="AF318" s="94">
        <f>+F290</f>
        <v>0</v>
      </c>
      <c r="AG318" s="94">
        <f t="shared" si="139"/>
        <v>5549055.1900000004</v>
      </c>
      <c r="AH318" s="94">
        <f>+L291</f>
        <v>0</v>
      </c>
      <c r="AI318" s="94">
        <f t="shared" si="140"/>
        <v>5549055.1900000004</v>
      </c>
      <c r="AJ318" s="94">
        <f>+O291</f>
        <v>835222.3</v>
      </c>
      <c r="AK318" s="94">
        <f>+P291</f>
        <v>0</v>
      </c>
      <c r="AL318" s="94">
        <f t="shared" si="141"/>
        <v>835222.3</v>
      </c>
      <c r="AM318" s="94">
        <f>+V291</f>
        <v>0</v>
      </c>
      <c r="AN318" s="94">
        <f t="shared" si="142"/>
        <v>835222.3</v>
      </c>
      <c r="AO318" s="94">
        <f t="shared" si="143"/>
        <v>6384277.4900000002</v>
      </c>
      <c r="AP318" s="94">
        <f t="shared" si="144"/>
        <v>3115722.51</v>
      </c>
      <c r="AQ318" s="94">
        <f t="shared" si="145"/>
        <v>3115722.51</v>
      </c>
    </row>
    <row r="319" spans="1:43" x14ac:dyDescent="0.25">
      <c r="A319" s="46"/>
      <c r="B319" s="26"/>
      <c r="C319" s="8" t="s">
        <v>39</v>
      </c>
      <c r="D319" s="67">
        <v>30023968.16</v>
      </c>
      <c r="E319" s="67">
        <v>0</v>
      </c>
      <c r="F319" s="68"/>
      <c r="G319" s="68"/>
      <c r="H319" s="67">
        <f>E319+F319</f>
        <v>0</v>
      </c>
      <c r="I319" s="68"/>
      <c r="J319" s="68"/>
      <c r="K319" s="68"/>
      <c r="L319" s="67"/>
      <c r="M319" s="67"/>
      <c r="N319" s="67">
        <f>H319+L319</f>
        <v>0</v>
      </c>
      <c r="O319" s="67">
        <v>0</v>
      </c>
      <c r="P319" s="68"/>
      <c r="Q319" s="68"/>
      <c r="R319" s="67">
        <f>O319+P319</f>
        <v>0</v>
      </c>
      <c r="S319" s="68"/>
      <c r="T319" s="68"/>
      <c r="U319" s="68"/>
      <c r="V319" s="67"/>
      <c r="W319" s="67"/>
      <c r="X319" s="67">
        <f>R319+V319</f>
        <v>0</v>
      </c>
      <c r="Y319" s="67">
        <f>R319+H319</f>
        <v>0</v>
      </c>
      <c r="Z319" s="67">
        <f>D319-Y319</f>
        <v>30023968.16</v>
      </c>
      <c r="AA319" s="67">
        <f>N319+X319</f>
        <v>0</v>
      </c>
      <c r="AB319" s="69">
        <f>+D319-N319-X319</f>
        <v>30023968.16</v>
      </c>
      <c r="AC319" s="49" t="s">
        <v>53</v>
      </c>
      <c r="AD319" s="94">
        <f>D209+D220+D231+D270</f>
        <v>109000328.5</v>
      </c>
      <c r="AE319" s="94">
        <f>E209+E220+E231+E270</f>
        <v>0</v>
      </c>
      <c r="AF319" s="94">
        <f>F208+F219+F230+F269</f>
        <v>0</v>
      </c>
      <c r="AG319" s="94">
        <f>+AE319+AF319</f>
        <v>0</v>
      </c>
      <c r="AH319" s="94">
        <f>L209+L220+L231+L270</f>
        <v>0</v>
      </c>
      <c r="AI319" s="94">
        <f>+AG319+AH319</f>
        <v>0</v>
      </c>
      <c r="AJ319" s="94">
        <f>O209+O220+O231+O270</f>
        <v>52624426.339999996</v>
      </c>
      <c r="AK319" s="94">
        <f>P209+P220+P231+P270</f>
        <v>0</v>
      </c>
      <c r="AL319" s="94">
        <f>+AJ319+AK319</f>
        <v>52624426.339999996</v>
      </c>
      <c r="AM319" s="94">
        <f>+V231</f>
        <v>0</v>
      </c>
      <c r="AN319" s="94">
        <f>+AL319+AM319</f>
        <v>52624426.339999996</v>
      </c>
      <c r="AO319" s="94">
        <f>+AG319+AL319</f>
        <v>52624426.339999996</v>
      </c>
      <c r="AP319" s="94">
        <f>+AD319-AO319</f>
        <v>56375902.160000004</v>
      </c>
      <c r="AQ319" s="94">
        <f t="shared" si="145"/>
        <v>56375902.160000004</v>
      </c>
    </row>
    <row r="320" spans="1:43" x14ac:dyDescent="0.25">
      <c r="A320" s="46"/>
      <c r="B320" s="26"/>
      <c r="C320" s="4"/>
      <c r="D320" s="70" t="s">
        <v>40</v>
      </c>
      <c r="E320" s="70" t="s">
        <v>40</v>
      </c>
      <c r="F320" s="70" t="s">
        <v>40</v>
      </c>
      <c r="G320" s="70"/>
      <c r="H320" s="70" t="s">
        <v>40</v>
      </c>
      <c r="I320" s="70" t="s">
        <v>40</v>
      </c>
      <c r="J320" s="70" t="s">
        <v>40</v>
      </c>
      <c r="K320" s="70" t="s">
        <v>40</v>
      </c>
      <c r="L320" s="70" t="s">
        <v>40</v>
      </c>
      <c r="M320" s="70"/>
      <c r="N320" s="70" t="s">
        <v>40</v>
      </c>
      <c r="O320" s="70" t="s">
        <v>40</v>
      </c>
      <c r="P320" s="70" t="s">
        <v>40</v>
      </c>
      <c r="Q320" s="70"/>
      <c r="R320" s="70" t="s">
        <v>40</v>
      </c>
      <c r="S320" s="70" t="s">
        <v>40</v>
      </c>
      <c r="T320" s="70" t="s">
        <v>40</v>
      </c>
      <c r="U320" s="70" t="s">
        <v>40</v>
      </c>
      <c r="V320" s="70" t="s">
        <v>40</v>
      </c>
      <c r="W320" s="70"/>
      <c r="X320" s="70" t="s">
        <v>40</v>
      </c>
      <c r="Y320" s="70" t="s">
        <v>40</v>
      </c>
      <c r="Z320" s="70" t="s">
        <v>40</v>
      </c>
      <c r="AA320" s="70" t="s">
        <v>40</v>
      </c>
      <c r="AB320" s="70" t="s">
        <v>40</v>
      </c>
      <c r="AC320" s="49" t="s">
        <v>54</v>
      </c>
      <c r="AD320" s="94">
        <f>D210+D221+D232+D258+D271</f>
        <v>67196197.549999997</v>
      </c>
      <c r="AE320" s="94">
        <f>E210+E221+E232+E258+E271</f>
        <v>0</v>
      </c>
      <c r="AF320" s="94">
        <f>F209+F220+F231+F257+F270</f>
        <v>0</v>
      </c>
      <c r="AG320" s="94">
        <f t="shared" si="139"/>
        <v>0</v>
      </c>
      <c r="AH320" s="94">
        <f>L210+L221+L232+L258+L271</f>
        <v>0</v>
      </c>
      <c r="AI320" s="94">
        <f t="shared" si="140"/>
        <v>0</v>
      </c>
      <c r="AJ320" s="94">
        <f>O210+O221+O232+O258+O271</f>
        <v>63822166.310000002</v>
      </c>
      <c r="AK320" s="94">
        <f>P210+P221+P232+P258+P271</f>
        <v>0</v>
      </c>
      <c r="AL320" s="94">
        <f>+AJ320+AK320</f>
        <v>63822166.310000002</v>
      </c>
      <c r="AM320" s="94">
        <f>V210+V221+V232+V258+V271</f>
        <v>0</v>
      </c>
      <c r="AN320" s="94">
        <f t="shared" si="142"/>
        <v>63822166.310000002</v>
      </c>
      <c r="AO320" s="94">
        <f t="shared" si="143"/>
        <v>63822166.310000002</v>
      </c>
      <c r="AP320" s="94">
        <f t="shared" si="144"/>
        <v>3374031.2399999946</v>
      </c>
      <c r="AQ320" s="94">
        <f t="shared" si="145"/>
        <v>3374031.2399999946</v>
      </c>
    </row>
    <row r="321" spans="1:43" x14ac:dyDescent="0.25">
      <c r="A321" s="46"/>
      <c r="B321" s="26"/>
      <c r="C321" s="4"/>
      <c r="D321" s="67">
        <f t="shared" ref="D321:AB321" si="146">SUM(D315:D319)</f>
        <v>198110518.65000001</v>
      </c>
      <c r="E321" s="67">
        <f t="shared" si="146"/>
        <v>0</v>
      </c>
      <c r="F321" s="67">
        <f t="shared" si="146"/>
        <v>0</v>
      </c>
      <c r="G321" s="67"/>
      <c r="H321" s="67">
        <f t="shared" si="146"/>
        <v>0</v>
      </c>
      <c r="I321" s="67">
        <f t="shared" si="146"/>
        <v>0</v>
      </c>
      <c r="J321" s="67">
        <f t="shared" si="146"/>
        <v>0</v>
      </c>
      <c r="K321" s="67">
        <f t="shared" si="146"/>
        <v>0</v>
      </c>
      <c r="L321" s="67">
        <f t="shared" si="146"/>
        <v>0</v>
      </c>
      <c r="M321" s="67"/>
      <c r="N321" s="67">
        <f t="shared" si="146"/>
        <v>0</v>
      </c>
      <c r="O321" s="67">
        <f t="shared" si="146"/>
        <v>595402.19999999995</v>
      </c>
      <c r="P321" s="67">
        <f t="shared" si="146"/>
        <v>0</v>
      </c>
      <c r="Q321" s="67"/>
      <c r="R321" s="67">
        <f t="shared" si="146"/>
        <v>595402.19999999995</v>
      </c>
      <c r="S321" s="67">
        <f t="shared" si="146"/>
        <v>0</v>
      </c>
      <c r="T321" s="67">
        <f t="shared" si="146"/>
        <v>0</v>
      </c>
      <c r="U321" s="67">
        <f t="shared" si="146"/>
        <v>0</v>
      </c>
      <c r="V321" s="67">
        <f t="shared" si="146"/>
        <v>0</v>
      </c>
      <c r="W321" s="67"/>
      <c r="X321" s="67">
        <f t="shared" si="146"/>
        <v>595402.19999999995</v>
      </c>
      <c r="Y321" s="67">
        <f t="shared" si="146"/>
        <v>595402.19999999995</v>
      </c>
      <c r="Z321" s="67">
        <f t="shared" si="146"/>
        <v>197515116.44999999</v>
      </c>
      <c r="AA321" s="67">
        <f t="shared" si="146"/>
        <v>595402.19999999995</v>
      </c>
      <c r="AB321" s="67">
        <f t="shared" si="146"/>
        <v>197515116.44999999</v>
      </c>
      <c r="AC321" s="49" t="s">
        <v>264</v>
      </c>
      <c r="AD321" s="94">
        <f>+D316</f>
        <v>1872417.01</v>
      </c>
      <c r="AE321" s="94">
        <f>+E316</f>
        <v>0</v>
      </c>
      <c r="AF321" s="94">
        <f>+F315</f>
        <v>0</v>
      </c>
      <c r="AG321" s="94">
        <f t="shared" si="139"/>
        <v>0</v>
      </c>
      <c r="AH321" s="94">
        <f>+L316</f>
        <v>0</v>
      </c>
      <c r="AI321" s="94">
        <f t="shared" si="140"/>
        <v>0</v>
      </c>
      <c r="AJ321" s="94">
        <f>+O316</f>
        <v>0</v>
      </c>
      <c r="AK321" s="94">
        <f>+P316</f>
        <v>0</v>
      </c>
      <c r="AL321" s="94">
        <f t="shared" si="141"/>
        <v>0</v>
      </c>
      <c r="AM321" s="94">
        <f>+V316</f>
        <v>0</v>
      </c>
      <c r="AN321" s="94">
        <f t="shared" si="142"/>
        <v>0</v>
      </c>
      <c r="AO321" s="94">
        <f t="shared" si="143"/>
        <v>0</v>
      </c>
      <c r="AP321" s="94">
        <f t="shared" si="144"/>
        <v>1872417.01</v>
      </c>
      <c r="AQ321" s="94">
        <f t="shared" si="145"/>
        <v>1872417.01</v>
      </c>
    </row>
    <row r="322" spans="1:43" x14ac:dyDescent="0.25">
      <c r="A322" s="46"/>
      <c r="C322" s="4"/>
      <c r="D322" s="70" t="s">
        <v>40</v>
      </c>
      <c r="E322" s="70" t="s">
        <v>40</v>
      </c>
      <c r="F322" s="70" t="s">
        <v>40</v>
      </c>
      <c r="G322" s="70"/>
      <c r="H322" s="70" t="s">
        <v>40</v>
      </c>
      <c r="I322" s="70" t="s">
        <v>40</v>
      </c>
      <c r="J322" s="70" t="s">
        <v>40</v>
      </c>
      <c r="K322" s="70" t="s">
        <v>40</v>
      </c>
      <c r="L322" s="70" t="s">
        <v>40</v>
      </c>
      <c r="M322" s="70"/>
      <c r="N322" s="70" t="s">
        <v>40</v>
      </c>
      <c r="O322" s="70" t="s">
        <v>40</v>
      </c>
      <c r="P322" s="70" t="s">
        <v>40</v>
      </c>
      <c r="Q322" s="70"/>
      <c r="R322" s="70" t="s">
        <v>40</v>
      </c>
      <c r="S322" s="70" t="s">
        <v>40</v>
      </c>
      <c r="T322" s="70" t="s">
        <v>40</v>
      </c>
      <c r="U322" s="70" t="s">
        <v>40</v>
      </c>
      <c r="V322" s="70" t="s">
        <v>40</v>
      </c>
      <c r="W322" s="70"/>
      <c r="X322" s="70" t="s">
        <v>40</v>
      </c>
      <c r="Y322" s="70" t="s">
        <v>40</v>
      </c>
      <c r="Z322" s="70" t="s">
        <v>40</v>
      </c>
      <c r="AA322" s="70" t="s">
        <v>40</v>
      </c>
      <c r="AB322" s="70" t="s">
        <v>40</v>
      </c>
      <c r="AC322" s="52" t="s">
        <v>143</v>
      </c>
      <c r="AD322" s="94">
        <f>+D272</f>
        <v>837838.57</v>
      </c>
      <c r="AE322" s="94">
        <f>+E272</f>
        <v>837838.57</v>
      </c>
      <c r="AF322" s="94">
        <f>+F271</f>
        <v>0</v>
      </c>
      <c r="AG322" s="94">
        <f t="shared" si="139"/>
        <v>837838.57</v>
      </c>
      <c r="AH322" s="94">
        <f>+L272</f>
        <v>0</v>
      </c>
      <c r="AI322" s="94">
        <f t="shared" si="140"/>
        <v>837838.57</v>
      </c>
      <c r="AJ322" s="94">
        <f>+O272</f>
        <v>0</v>
      </c>
      <c r="AK322" s="94">
        <f>+P272</f>
        <v>0</v>
      </c>
      <c r="AL322" s="94">
        <f t="shared" si="141"/>
        <v>0</v>
      </c>
      <c r="AM322" s="94">
        <f>+V272</f>
        <v>0</v>
      </c>
      <c r="AN322" s="94">
        <f t="shared" si="142"/>
        <v>0</v>
      </c>
      <c r="AO322" s="94">
        <f t="shared" si="143"/>
        <v>837838.57</v>
      </c>
      <c r="AP322" s="94">
        <f t="shared" si="144"/>
        <v>0</v>
      </c>
      <c r="AQ322" s="94">
        <f t="shared" si="145"/>
        <v>0</v>
      </c>
    </row>
    <row r="323" spans="1:43" x14ac:dyDescent="0.25">
      <c r="A323" s="46"/>
      <c r="B323" s="37" t="s">
        <v>26</v>
      </c>
      <c r="C323" s="2" t="s">
        <v>58</v>
      </c>
      <c r="D323" s="67">
        <f>D321+D312+D301+D293+D282+D274+D260+D252+D244+D234+D223+D212+D202</f>
        <v>1315267635.5500002</v>
      </c>
      <c r="E323" s="67">
        <f>E321+E312+E301+E293+E282+E274+E260+E252+E244+E234+E223+E212+E202</f>
        <v>512490278.19000006</v>
      </c>
      <c r="F323" s="67">
        <f>F321+F312+F301+F293+F282+F274+F260+F252+F244+F234+F223+F212+F202</f>
        <v>3882200</v>
      </c>
      <c r="G323" s="67"/>
      <c r="H323" s="67">
        <f>H321+H312+H301+H293+H282+H274+H260+H252+H244+H234+H223+H212+H202</f>
        <v>516372478.19000006</v>
      </c>
      <c r="I323" s="67">
        <f>I321+I312+I301+I293+I282+I274+I260+I252+I244+I234+I223+I212+I202</f>
        <v>0</v>
      </c>
      <c r="J323" s="67">
        <f>J321+J312+J301+J293+J282+J274+J260+J252+J244+J234+J223+J212+J202</f>
        <v>0</v>
      </c>
      <c r="K323" s="67">
        <f>K321+K312+K301+K293+K282+K274+K260+K252+K244+K234+K223+K212+K202</f>
        <v>0</v>
      </c>
      <c r="L323" s="67">
        <f>L321+L312+L301+L293+L282+L274+L260+L252+L244+L234+L223+L212+L202</f>
        <v>0</v>
      </c>
      <c r="M323" s="67"/>
      <c r="N323" s="67">
        <f>N321+N312+N301+N293+N282+N274+N260+N252+N244+N234+N223+N212+N202</f>
        <v>516372478.19000006</v>
      </c>
      <c r="O323" s="67">
        <f>O321+O312+O301+O293+O282+O274+O260+O252+O244+O234+O223+O212+O202</f>
        <v>152087983.24000001</v>
      </c>
      <c r="P323" s="67">
        <f>P321+P312+P301+P293+P282+P274+P260+P252+P244+P234+P223+P212+P202</f>
        <v>141345.20000000001</v>
      </c>
      <c r="Q323" s="67"/>
      <c r="R323" s="67">
        <f>R321+R312+R301+R293+R282+R274+R260+R252+R244+R234+R223+R212+R202</f>
        <v>152229328.44</v>
      </c>
      <c r="S323" s="67">
        <f>S321+S312+S301+S293+S282+S274+S260+S252+S244+S234+S223+S212+S202</f>
        <v>1690000.5999999999</v>
      </c>
      <c r="T323" s="67">
        <f>T321+T312+T301+T293+T282+T274+T260+T252+T244+T234+T223+T212+T202</f>
        <v>210246.6</v>
      </c>
      <c r="U323" s="67">
        <f>U321+U312+U301+U293+U282+U274+U260+U252+U244+U234+U223+U212+U202</f>
        <v>0</v>
      </c>
      <c r="V323" s="67">
        <f>V321+V312+V301+V293+V282+V274+V260+V252+V244+V234+V223+V212+V202</f>
        <v>0</v>
      </c>
      <c r="W323" s="67"/>
      <c r="X323" s="67">
        <f>X321+X312+X301+X293+X282+X274+X260+X252+X244+X234+X223+X212+X202</f>
        <v>152229328.44</v>
      </c>
      <c r="Y323" s="67">
        <f>Y321+Y312+Y301+Y293+Y282+Y274+Y260+Y252+Y244+Y234+Y223+Y212+Y202</f>
        <v>668601806.63</v>
      </c>
      <c r="Z323" s="67">
        <f>Z321+Z312+Z301+Z293+Z282+Z274+Z260+Z252+Z244+Z234+Z223+Z212+Z202</f>
        <v>646665828.92000008</v>
      </c>
      <c r="AA323" s="67">
        <f>AA321+AA312+AA301+AA293+AA282+AA274+AA260+AA252+AA244+AA234+AA223+AA212+AA202</f>
        <v>668601806.63</v>
      </c>
      <c r="AB323" s="67">
        <f>AB321+AB312+AB301+AB293+AB282+AB274+AB260+AB252+AB244+AB234+AB223+AB212+AB202</f>
        <v>646665828.92000008</v>
      </c>
      <c r="AD323" s="95">
        <f>SUM(AD305:AD322)</f>
        <v>1315267635.55</v>
      </c>
      <c r="AE323" s="95">
        <f t="shared" ref="AE323:AQ323" si="147">SUM(AE305:AE322)</f>
        <v>512490278.19</v>
      </c>
      <c r="AF323" s="95">
        <f t="shared" si="147"/>
        <v>3882200</v>
      </c>
      <c r="AG323" s="95">
        <f t="shared" si="147"/>
        <v>516372478.19</v>
      </c>
      <c r="AH323" s="95">
        <f t="shared" si="147"/>
        <v>0</v>
      </c>
      <c r="AI323" s="95">
        <f t="shared" si="147"/>
        <v>516372478.19</v>
      </c>
      <c r="AJ323" s="95">
        <f t="shared" si="147"/>
        <v>152087983.24000001</v>
      </c>
      <c r="AK323" s="95">
        <f t="shared" si="147"/>
        <v>141345.20000000001</v>
      </c>
      <c r="AL323" s="95">
        <f t="shared" si="147"/>
        <v>152229328.44</v>
      </c>
      <c r="AM323" s="95">
        <f t="shared" si="147"/>
        <v>0</v>
      </c>
      <c r="AN323" s="95">
        <f t="shared" si="147"/>
        <v>152229328.44</v>
      </c>
      <c r="AO323" s="95">
        <f t="shared" si="147"/>
        <v>668601806.63</v>
      </c>
      <c r="AP323" s="95">
        <f t="shared" si="147"/>
        <v>646665828.91999996</v>
      </c>
      <c r="AQ323" s="95">
        <f t="shared" si="147"/>
        <v>646665828.91999996</v>
      </c>
    </row>
    <row r="324" spans="1:43" x14ac:dyDescent="0.25">
      <c r="A324" s="46"/>
      <c r="B324" s="26"/>
      <c r="C324" s="4"/>
      <c r="D324" s="70" t="s">
        <v>50</v>
      </c>
      <c r="E324" s="70" t="s">
        <v>50</v>
      </c>
      <c r="F324" s="70" t="s">
        <v>50</v>
      </c>
      <c r="G324" s="70"/>
      <c r="H324" s="70" t="s">
        <v>50</v>
      </c>
      <c r="I324" s="70" t="s">
        <v>50</v>
      </c>
      <c r="J324" s="70" t="s">
        <v>50</v>
      </c>
      <c r="K324" s="70" t="s">
        <v>50</v>
      </c>
      <c r="L324" s="70" t="s">
        <v>50</v>
      </c>
      <c r="M324" s="70"/>
      <c r="N324" s="70" t="s">
        <v>50</v>
      </c>
      <c r="O324" s="70" t="s">
        <v>50</v>
      </c>
      <c r="P324" s="70" t="s">
        <v>50</v>
      </c>
      <c r="Q324" s="70"/>
      <c r="R324" s="70" t="s">
        <v>50</v>
      </c>
      <c r="S324" s="70" t="s">
        <v>50</v>
      </c>
      <c r="T324" s="70" t="s">
        <v>50</v>
      </c>
      <c r="U324" s="70" t="s">
        <v>50</v>
      </c>
      <c r="V324" s="70" t="s">
        <v>50</v>
      </c>
      <c r="W324" s="70"/>
      <c r="X324" s="70" t="s">
        <v>50</v>
      </c>
      <c r="Y324" s="70" t="s">
        <v>50</v>
      </c>
      <c r="Z324" s="70" t="s">
        <v>50</v>
      </c>
      <c r="AA324" s="70" t="s">
        <v>50</v>
      </c>
      <c r="AB324" s="70" t="s">
        <v>50</v>
      </c>
    </row>
    <row r="325" spans="1:43" ht="19.5" x14ac:dyDescent="0.35">
      <c r="A325" s="46"/>
      <c r="B325" s="48" t="s">
        <v>178</v>
      </c>
      <c r="C325" s="20"/>
      <c r="D325" s="75"/>
      <c r="E325" s="72"/>
      <c r="F325" s="70"/>
      <c r="G325" s="70"/>
      <c r="H325" s="70"/>
      <c r="I325" s="70"/>
      <c r="J325" s="70"/>
      <c r="K325" s="70"/>
      <c r="L325" s="70"/>
      <c r="M325" s="70"/>
      <c r="N325" s="70"/>
      <c r="O325" s="72"/>
      <c r="P325" s="70"/>
      <c r="Q325" s="70"/>
      <c r="R325" s="70"/>
      <c r="S325" s="70"/>
      <c r="T325" s="70"/>
      <c r="U325" s="70"/>
      <c r="V325" s="72"/>
      <c r="W325" s="70"/>
      <c r="X325" s="70"/>
      <c r="Y325" s="70"/>
      <c r="Z325" s="70"/>
      <c r="AA325" s="70"/>
      <c r="AB325" s="70"/>
    </row>
    <row r="326" spans="1:43" x14ac:dyDescent="0.25">
      <c r="A326" s="46"/>
      <c r="B326" s="26"/>
      <c r="C326" s="4"/>
      <c r="D326" s="79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M326">
        <f>+AM323-V323</f>
        <v>0</v>
      </c>
    </row>
    <row r="327" spans="1:43" x14ac:dyDescent="0.25">
      <c r="C327" s="4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</row>
    <row r="328" spans="1:43" x14ac:dyDescent="0.25">
      <c r="A328" s="46">
        <v>32</v>
      </c>
      <c r="B328" s="26" t="s">
        <v>179</v>
      </c>
      <c r="C328" s="2" t="s">
        <v>35</v>
      </c>
      <c r="D328" s="72">
        <v>11108782.310000001</v>
      </c>
      <c r="E328" s="70"/>
      <c r="F328" s="72"/>
      <c r="G328" s="70"/>
      <c r="H328" s="67">
        <f>E328+F328</f>
        <v>0</v>
      </c>
      <c r="I328" s="70"/>
      <c r="J328" s="70"/>
      <c r="K328" s="70"/>
      <c r="L328" s="70"/>
      <c r="M328" s="70"/>
      <c r="N328" s="67">
        <f t="shared" ref="N328:N334" si="148">H328+L328</f>
        <v>0</v>
      </c>
      <c r="O328" s="72">
        <v>11108782.310000001</v>
      </c>
      <c r="P328" s="70"/>
      <c r="Q328" s="70"/>
      <c r="R328" s="67">
        <f>O328+P328</f>
        <v>11108782.310000001</v>
      </c>
      <c r="S328" s="70"/>
      <c r="T328" s="70"/>
      <c r="U328" s="70"/>
      <c r="V328" s="70"/>
      <c r="W328" s="70"/>
      <c r="X328" s="67">
        <f t="shared" ref="X328:X334" si="149">R328+V328</f>
        <v>11108782.310000001</v>
      </c>
      <c r="Y328" s="67">
        <f t="shared" ref="Y328:Y334" si="150">R328+H328</f>
        <v>11108782.310000001</v>
      </c>
      <c r="Z328" s="67">
        <f t="shared" ref="Z328:Z334" si="151">D328-Y328</f>
        <v>0</v>
      </c>
      <c r="AA328" s="67">
        <f t="shared" ref="AA328:AA334" si="152">N328+X328</f>
        <v>11108782.310000001</v>
      </c>
      <c r="AB328" s="69">
        <f t="shared" ref="AB328:AB334" si="153">+D328-N328-X328</f>
        <v>0</v>
      </c>
    </row>
    <row r="329" spans="1:43" x14ac:dyDescent="0.25">
      <c r="A329" s="46"/>
      <c r="B329" s="26"/>
      <c r="C329" s="4" t="s">
        <v>36</v>
      </c>
      <c r="D329" s="72">
        <v>1551040</v>
      </c>
      <c r="E329" s="72">
        <v>1551040</v>
      </c>
      <c r="F329" s="70"/>
      <c r="G329" s="70"/>
      <c r="H329" s="67">
        <f>E329+F329</f>
        <v>1551040</v>
      </c>
      <c r="I329" s="70"/>
      <c r="J329" s="70"/>
      <c r="K329" s="70"/>
      <c r="L329" s="70"/>
      <c r="M329" s="70"/>
      <c r="N329" s="67">
        <f t="shared" si="148"/>
        <v>1551040</v>
      </c>
      <c r="O329" s="72"/>
      <c r="P329" s="70"/>
      <c r="Q329" s="70"/>
      <c r="R329" s="67">
        <f>O329+P329</f>
        <v>0</v>
      </c>
      <c r="S329" s="70"/>
      <c r="T329" s="70"/>
      <c r="U329" s="70"/>
      <c r="V329" s="70"/>
      <c r="W329" s="70"/>
      <c r="X329" s="67">
        <f t="shared" si="149"/>
        <v>0</v>
      </c>
      <c r="Y329" s="67">
        <f t="shared" si="150"/>
        <v>1551040</v>
      </c>
      <c r="Z329" s="67">
        <f t="shared" si="151"/>
        <v>0</v>
      </c>
      <c r="AA329" s="67">
        <f t="shared" si="152"/>
        <v>1551040</v>
      </c>
      <c r="AB329" s="69">
        <f t="shared" si="153"/>
        <v>0</v>
      </c>
    </row>
    <row r="330" spans="1:43" x14ac:dyDescent="0.25">
      <c r="A330" s="46"/>
      <c r="B330" s="26"/>
      <c r="C330" s="4" t="s">
        <v>180</v>
      </c>
      <c r="D330" s="72">
        <f>3756635.78+17595</f>
        <v>3774230.78</v>
      </c>
      <c r="E330" s="70"/>
      <c r="F330" s="70"/>
      <c r="G330" s="70"/>
      <c r="H330" s="67">
        <f>E330+F330</f>
        <v>0</v>
      </c>
      <c r="I330" s="70"/>
      <c r="J330" s="70"/>
      <c r="K330" s="70"/>
      <c r="L330" s="70"/>
      <c r="M330" s="70"/>
      <c r="N330" s="67">
        <f t="shared" si="148"/>
        <v>0</v>
      </c>
      <c r="O330" s="72">
        <f>1303740.25+17595</f>
        <v>1321335.25</v>
      </c>
      <c r="P330" s="72"/>
      <c r="Q330" s="70"/>
      <c r="R330" s="67">
        <f>O330+P330</f>
        <v>1321335.25</v>
      </c>
      <c r="S330" s="70"/>
      <c r="T330" s="70"/>
      <c r="U330" s="70"/>
      <c r="V330" s="72">
        <v>4137609.23</v>
      </c>
      <c r="W330" s="72"/>
      <c r="X330" s="67">
        <f t="shared" si="149"/>
        <v>5458944.4800000004</v>
      </c>
      <c r="Y330" s="67">
        <f t="shared" si="150"/>
        <v>1321335.25</v>
      </c>
      <c r="Z330" s="67">
        <f t="shared" si="151"/>
        <v>2452895.5299999998</v>
      </c>
      <c r="AA330" s="67">
        <f t="shared" si="152"/>
        <v>5458944.4800000004</v>
      </c>
      <c r="AB330" s="69">
        <f t="shared" si="153"/>
        <v>-1684713.7000000007</v>
      </c>
    </row>
    <row r="331" spans="1:43" x14ac:dyDescent="0.25">
      <c r="A331" s="46"/>
      <c r="B331" s="26"/>
      <c r="C331" s="4" t="s">
        <v>181</v>
      </c>
      <c r="D331" s="72">
        <v>11690201.449999999</v>
      </c>
      <c r="E331" s="70"/>
      <c r="F331" s="70"/>
      <c r="G331" s="70"/>
      <c r="H331" s="67">
        <f>E331+F331</f>
        <v>0</v>
      </c>
      <c r="I331" s="70"/>
      <c r="J331" s="70"/>
      <c r="K331" s="70"/>
      <c r="L331" s="70"/>
      <c r="M331" s="70"/>
      <c r="N331" s="67">
        <f t="shared" si="148"/>
        <v>0</v>
      </c>
      <c r="O331" s="72"/>
      <c r="P331" s="70"/>
      <c r="Q331" s="70"/>
      <c r="R331" s="67">
        <f>O331+P331</f>
        <v>0</v>
      </c>
      <c r="S331" s="70"/>
      <c r="T331" s="70"/>
      <c r="U331" s="70"/>
      <c r="V331" s="70"/>
      <c r="W331" s="70"/>
      <c r="X331" s="67">
        <f t="shared" si="149"/>
        <v>0</v>
      </c>
      <c r="Y331" s="67">
        <f t="shared" si="150"/>
        <v>0</v>
      </c>
      <c r="Z331" s="67">
        <f t="shared" si="151"/>
        <v>11690201.449999999</v>
      </c>
      <c r="AA331" s="67">
        <f t="shared" si="152"/>
        <v>0</v>
      </c>
      <c r="AB331" s="69">
        <f t="shared" si="153"/>
        <v>11690201.449999999</v>
      </c>
    </row>
    <row r="332" spans="1:43" x14ac:dyDescent="0.25">
      <c r="C332" s="4" t="s">
        <v>298</v>
      </c>
      <c r="D332" s="55">
        <v>8000000</v>
      </c>
      <c r="E332" s="55">
        <v>8000000</v>
      </c>
      <c r="F332" s="55"/>
      <c r="G332" s="55"/>
      <c r="H332" s="55">
        <f>+E332+F332</f>
        <v>8000000</v>
      </c>
      <c r="I332" s="55"/>
      <c r="J332" s="55"/>
      <c r="K332" s="55"/>
      <c r="L332" s="55"/>
      <c r="M332" s="55"/>
      <c r="N332" s="55">
        <f t="shared" si="148"/>
        <v>8000000</v>
      </c>
      <c r="O332" s="55"/>
      <c r="P332" s="55"/>
      <c r="Q332" s="55"/>
      <c r="R332" s="55">
        <f>+O332+P332</f>
        <v>0</v>
      </c>
      <c r="S332" s="55"/>
      <c r="T332" s="55"/>
      <c r="U332" s="55"/>
      <c r="V332" s="55"/>
      <c r="W332" s="55"/>
      <c r="X332" s="55">
        <f t="shared" si="149"/>
        <v>0</v>
      </c>
      <c r="Y332" s="55">
        <f t="shared" si="150"/>
        <v>8000000</v>
      </c>
      <c r="Z332" s="55">
        <f t="shared" si="151"/>
        <v>0</v>
      </c>
      <c r="AA332" s="55">
        <f t="shared" si="152"/>
        <v>8000000</v>
      </c>
      <c r="AB332" s="55">
        <f t="shared" si="153"/>
        <v>0</v>
      </c>
    </row>
    <row r="333" spans="1:43" x14ac:dyDescent="0.25">
      <c r="A333" s="46"/>
      <c r="B333" s="26"/>
      <c r="C333" s="29" t="s">
        <v>247</v>
      </c>
      <c r="D333" s="72">
        <v>9500000</v>
      </c>
      <c r="E333" s="72">
        <v>5617680.4800000004</v>
      </c>
      <c r="F333" s="70"/>
      <c r="G333" s="70"/>
      <c r="H333" s="67">
        <f>E333+F333</f>
        <v>5617680.4800000004</v>
      </c>
      <c r="I333" s="70"/>
      <c r="J333" s="70"/>
      <c r="K333" s="70"/>
      <c r="L333" s="70"/>
      <c r="M333" s="70"/>
      <c r="N333" s="67">
        <f t="shared" si="148"/>
        <v>5617680.4800000004</v>
      </c>
      <c r="O333" s="72">
        <v>835222.3</v>
      </c>
      <c r="P333" s="70"/>
      <c r="Q333" s="70"/>
      <c r="R333" s="67">
        <f>O333+P333</f>
        <v>835222.3</v>
      </c>
      <c r="S333" s="70"/>
      <c r="T333" s="70"/>
      <c r="U333" s="70"/>
      <c r="V333" s="70"/>
      <c r="W333" s="70"/>
      <c r="X333" s="67">
        <f t="shared" si="149"/>
        <v>835222.3</v>
      </c>
      <c r="Y333" s="67">
        <f t="shared" si="150"/>
        <v>6452902.7800000003</v>
      </c>
      <c r="Z333" s="67">
        <f t="shared" si="151"/>
        <v>3047097.2199999997</v>
      </c>
      <c r="AA333" s="67">
        <f t="shared" si="152"/>
        <v>6452902.7800000003</v>
      </c>
      <c r="AB333" s="69">
        <f t="shared" si="153"/>
        <v>3047097.2199999997</v>
      </c>
    </row>
    <row r="334" spans="1:43" x14ac:dyDescent="0.25">
      <c r="A334" s="46"/>
      <c r="B334" s="26"/>
      <c r="C334" s="4" t="s">
        <v>44</v>
      </c>
      <c r="D334" s="72">
        <v>8500000</v>
      </c>
      <c r="E334" s="72">
        <v>8500000</v>
      </c>
      <c r="F334" s="70"/>
      <c r="G334" s="70"/>
      <c r="H334" s="67">
        <f>E334+F334</f>
        <v>8500000</v>
      </c>
      <c r="I334" s="70"/>
      <c r="J334" s="70"/>
      <c r="K334" s="70"/>
      <c r="L334" s="70"/>
      <c r="M334" s="70"/>
      <c r="N334" s="67">
        <f t="shared" si="148"/>
        <v>8500000</v>
      </c>
      <c r="O334" s="72"/>
      <c r="P334" s="70"/>
      <c r="Q334" s="70"/>
      <c r="R334" s="67">
        <f>O334+P334</f>
        <v>0</v>
      </c>
      <c r="S334" s="70"/>
      <c r="T334" s="70"/>
      <c r="U334" s="70"/>
      <c r="V334" s="70"/>
      <c r="W334" s="70"/>
      <c r="X334" s="67">
        <f t="shared" si="149"/>
        <v>0</v>
      </c>
      <c r="Y334" s="67">
        <f t="shared" si="150"/>
        <v>8500000</v>
      </c>
      <c r="Z334" s="67">
        <f t="shared" si="151"/>
        <v>0</v>
      </c>
      <c r="AA334" s="67">
        <f t="shared" si="152"/>
        <v>8500000</v>
      </c>
      <c r="AB334" s="69">
        <f t="shared" si="153"/>
        <v>0</v>
      </c>
    </row>
    <row r="335" spans="1:43" x14ac:dyDescent="0.25">
      <c r="A335" s="46"/>
      <c r="B335" s="26"/>
      <c r="C335" s="4"/>
      <c r="D335" s="70" t="s">
        <v>40</v>
      </c>
      <c r="E335" s="70" t="s">
        <v>40</v>
      </c>
      <c r="F335" s="70" t="s">
        <v>40</v>
      </c>
      <c r="G335" s="70"/>
      <c r="H335" s="70" t="s">
        <v>40</v>
      </c>
      <c r="I335" s="70" t="s">
        <v>40</v>
      </c>
      <c r="J335" s="70" t="s">
        <v>40</v>
      </c>
      <c r="K335" s="70" t="s">
        <v>40</v>
      </c>
      <c r="L335" s="70" t="s">
        <v>40</v>
      </c>
      <c r="M335" s="70"/>
      <c r="N335" s="70" t="s">
        <v>40</v>
      </c>
      <c r="O335" s="70" t="s">
        <v>40</v>
      </c>
      <c r="P335" s="70" t="s">
        <v>40</v>
      </c>
      <c r="Q335" s="70"/>
      <c r="R335" s="70" t="s">
        <v>40</v>
      </c>
      <c r="S335" s="70" t="s">
        <v>40</v>
      </c>
      <c r="T335" s="70" t="s">
        <v>40</v>
      </c>
      <c r="U335" s="70" t="s">
        <v>40</v>
      </c>
      <c r="V335" s="70" t="s">
        <v>40</v>
      </c>
      <c r="W335" s="70"/>
      <c r="X335" s="70" t="s">
        <v>40</v>
      </c>
      <c r="Y335" s="70" t="s">
        <v>40</v>
      </c>
      <c r="Z335" s="70" t="s">
        <v>40</v>
      </c>
      <c r="AA335" s="70" t="s">
        <v>40</v>
      </c>
      <c r="AB335" s="70" t="s">
        <v>40</v>
      </c>
    </row>
    <row r="336" spans="1:43" x14ac:dyDescent="0.25">
      <c r="A336" s="46"/>
      <c r="B336" s="26"/>
      <c r="C336" s="4"/>
      <c r="D336" s="72">
        <f>SUM(D328:D334)</f>
        <v>54124254.539999999</v>
      </c>
      <c r="E336" s="72">
        <f>SUM(E328:E334)</f>
        <v>23668720.48</v>
      </c>
      <c r="F336" s="72">
        <f>SUM(F328:F334)</f>
        <v>0</v>
      </c>
      <c r="G336" s="72"/>
      <c r="H336" s="72">
        <f>SUM(H328:H334)</f>
        <v>23668720.48</v>
      </c>
      <c r="I336" s="72">
        <f>SUM(I328:I334)</f>
        <v>0</v>
      </c>
      <c r="J336" s="72">
        <f>SUM(J328:J334)</f>
        <v>0</v>
      </c>
      <c r="K336" s="72">
        <f>SUM(K328:K334)</f>
        <v>0</v>
      </c>
      <c r="L336" s="72">
        <f>SUM(L328:L334)</f>
        <v>0</v>
      </c>
      <c r="M336" s="72"/>
      <c r="N336" s="72">
        <f>SUM(N328:N334)</f>
        <v>23668720.48</v>
      </c>
      <c r="O336" s="72">
        <f>SUM(O328:O334)</f>
        <v>13265339.860000001</v>
      </c>
      <c r="P336" s="72">
        <f>SUM(P328:P334)</f>
        <v>0</v>
      </c>
      <c r="Q336" s="72"/>
      <c r="R336" s="72">
        <f>SUM(R328:R334)</f>
        <v>13265339.860000001</v>
      </c>
      <c r="S336" s="72">
        <f>SUM(S328:S334)</f>
        <v>0</v>
      </c>
      <c r="T336" s="72">
        <f>SUM(T328:T334)</f>
        <v>0</v>
      </c>
      <c r="U336" s="72">
        <f>SUM(U328:U334)</f>
        <v>0</v>
      </c>
      <c r="V336" s="72">
        <f>SUM(V328:V334)</f>
        <v>4137609.23</v>
      </c>
      <c r="W336" s="72"/>
      <c r="X336" s="72">
        <f>SUM(X328:X334)</f>
        <v>17402949.09</v>
      </c>
      <c r="Y336" s="72">
        <f>SUM(Y328:Y334)</f>
        <v>36934060.340000004</v>
      </c>
      <c r="Z336" s="72">
        <f>SUM(Z328:Z334)</f>
        <v>17190194.199999999</v>
      </c>
      <c r="AA336" s="72">
        <f>SUM(AA328:AA334)</f>
        <v>41071669.57</v>
      </c>
      <c r="AB336" s="72">
        <f>SUM(AB328:AB334)</f>
        <v>13052584.969999999</v>
      </c>
    </row>
    <row r="337" spans="1:31" x14ac:dyDescent="0.25">
      <c r="A337" s="46"/>
      <c r="B337" s="4" t="str">
        <f>+B328</f>
        <v>BATANGAS I</v>
      </c>
      <c r="C337" s="4"/>
      <c r="D337" s="70" t="s">
        <v>40</v>
      </c>
      <c r="E337" s="70" t="s">
        <v>40</v>
      </c>
      <c r="F337" s="70" t="s">
        <v>40</v>
      </c>
      <c r="G337" s="70"/>
      <c r="H337" s="70" t="s">
        <v>40</v>
      </c>
      <c r="I337" s="70" t="s">
        <v>40</v>
      </c>
      <c r="J337" s="70" t="s">
        <v>40</v>
      </c>
      <c r="K337" s="70" t="s">
        <v>40</v>
      </c>
      <c r="L337" s="70" t="s">
        <v>40</v>
      </c>
      <c r="M337" s="70"/>
      <c r="N337" s="70" t="s">
        <v>40</v>
      </c>
      <c r="O337" s="70" t="s">
        <v>40</v>
      </c>
      <c r="P337" s="70" t="s">
        <v>40</v>
      </c>
      <c r="Q337" s="70"/>
      <c r="R337" s="70" t="s">
        <v>40</v>
      </c>
      <c r="S337" s="70" t="s">
        <v>40</v>
      </c>
      <c r="T337" s="70" t="s">
        <v>40</v>
      </c>
      <c r="U337" s="70" t="s">
        <v>40</v>
      </c>
      <c r="V337" s="70" t="s">
        <v>40</v>
      </c>
      <c r="W337" s="70"/>
      <c r="X337" s="70" t="s">
        <v>40</v>
      </c>
      <c r="Y337" s="70" t="s">
        <v>40</v>
      </c>
      <c r="Z337" s="70" t="s">
        <v>40</v>
      </c>
      <c r="AA337" s="70" t="s">
        <v>40</v>
      </c>
      <c r="AB337" s="70" t="s">
        <v>40</v>
      </c>
    </row>
    <row r="338" spans="1:31" ht="16.5" thickBot="1" x14ac:dyDescent="0.3">
      <c r="A338" s="46"/>
      <c r="B338" s="112" t="s">
        <v>292</v>
      </c>
      <c r="C338" s="4"/>
      <c r="D338" s="135">
        <f>2750813.03+1981149.75</f>
        <v>4731962.7799999993</v>
      </c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5">
        <f>2750813.03+1981149.75</f>
        <v>4731962.7799999993</v>
      </c>
      <c r="P338" s="136"/>
      <c r="Q338" s="133"/>
      <c r="R338" s="135">
        <f>+O338+P338</f>
        <v>4731962.7799999993</v>
      </c>
      <c r="S338" s="133"/>
      <c r="T338" s="133"/>
      <c r="U338" s="133"/>
      <c r="V338" s="135">
        <v>1366080</v>
      </c>
      <c r="W338" s="133"/>
      <c r="X338" s="133"/>
      <c r="Y338" s="133"/>
      <c r="Z338" s="133"/>
      <c r="AA338" s="133"/>
      <c r="AB338" s="133"/>
      <c r="AC338" s="134"/>
      <c r="AD338" s="134"/>
      <c r="AE338" s="49"/>
    </row>
    <row r="339" spans="1:31" ht="16.5" thickTop="1" x14ac:dyDescent="0.25">
      <c r="A339" s="46">
        <v>33</v>
      </c>
      <c r="B339" s="26" t="s">
        <v>182</v>
      </c>
      <c r="C339" s="2" t="s">
        <v>35</v>
      </c>
      <c r="D339" s="72">
        <v>61659384.090000004</v>
      </c>
      <c r="E339" s="72"/>
      <c r="F339" s="72"/>
      <c r="G339" s="72"/>
      <c r="H339" s="67">
        <f>E339+F339</f>
        <v>0</v>
      </c>
      <c r="I339" s="72"/>
      <c r="J339" s="72"/>
      <c r="K339" s="72"/>
      <c r="L339" s="72"/>
      <c r="M339" s="72"/>
      <c r="N339" s="67">
        <f>H339+L339</f>
        <v>0</v>
      </c>
      <c r="O339" s="72"/>
      <c r="P339" s="72"/>
      <c r="Q339" s="72"/>
      <c r="R339" s="67">
        <f>O339+P339</f>
        <v>0</v>
      </c>
      <c r="S339" s="72"/>
      <c r="T339" s="72"/>
      <c r="U339" s="72"/>
      <c r="V339" s="72"/>
      <c r="W339" s="72"/>
      <c r="X339" s="67">
        <f>R339+V339</f>
        <v>0</v>
      </c>
      <c r="Y339" s="67">
        <f>R339+H339</f>
        <v>0</v>
      </c>
      <c r="Z339" s="67">
        <f>D339-Y339</f>
        <v>61659384.090000004</v>
      </c>
      <c r="AA339" s="67">
        <f>N339+X339</f>
        <v>0</v>
      </c>
      <c r="AB339" s="69">
        <f>+D339-N339-X339</f>
        <v>61659384.090000004</v>
      </c>
    </row>
    <row r="340" spans="1:31" x14ac:dyDescent="0.25">
      <c r="A340" s="46"/>
      <c r="B340" s="26"/>
      <c r="C340" s="4" t="s">
        <v>36</v>
      </c>
      <c r="D340" s="72">
        <v>12221009</v>
      </c>
      <c r="E340" s="72">
        <v>12221009</v>
      </c>
      <c r="F340" s="72"/>
      <c r="G340" s="72"/>
      <c r="H340" s="67">
        <f>E340+F340</f>
        <v>12221009</v>
      </c>
      <c r="I340" s="72"/>
      <c r="J340" s="72"/>
      <c r="K340" s="72"/>
      <c r="L340" s="72"/>
      <c r="M340" s="72"/>
      <c r="N340" s="67">
        <f>H340+L340</f>
        <v>12221009</v>
      </c>
      <c r="O340" s="72"/>
      <c r="P340" s="72"/>
      <c r="Q340" s="72"/>
      <c r="R340" s="67">
        <f>O340+P340</f>
        <v>0</v>
      </c>
      <c r="S340" s="72"/>
      <c r="T340" s="72"/>
      <c r="U340" s="72"/>
      <c r="V340" s="72"/>
      <c r="W340" s="72"/>
      <c r="X340" s="67">
        <f>R340+V340</f>
        <v>0</v>
      </c>
      <c r="Y340" s="67">
        <f>R340+H340</f>
        <v>12221009</v>
      </c>
      <c r="Z340" s="67">
        <f>D340-Y340</f>
        <v>0</v>
      </c>
      <c r="AA340" s="67">
        <f>N340+X340</f>
        <v>12221009</v>
      </c>
      <c r="AB340" s="69">
        <f>+D340-N340-X340</f>
        <v>0</v>
      </c>
    </row>
    <row r="341" spans="1:31" x14ac:dyDescent="0.25">
      <c r="A341" s="46"/>
      <c r="B341" s="26"/>
      <c r="C341" s="4" t="s">
        <v>53</v>
      </c>
      <c r="D341" s="72">
        <f>115025121.65+572117.34</f>
        <v>115597238.99000001</v>
      </c>
      <c r="E341" s="72"/>
      <c r="F341" s="72"/>
      <c r="G341" s="72"/>
      <c r="H341" s="67">
        <f>E341+F341</f>
        <v>0</v>
      </c>
      <c r="I341" s="72"/>
      <c r="J341" s="72"/>
      <c r="K341" s="72"/>
      <c r="L341" s="72"/>
      <c r="M341" s="72"/>
      <c r="N341" s="67">
        <f>H341+L341</f>
        <v>0</v>
      </c>
      <c r="O341" s="72">
        <f>44384137.47+572117.34</f>
        <v>44956254.810000002</v>
      </c>
      <c r="P341" s="72"/>
      <c r="Q341" s="72"/>
      <c r="R341" s="67">
        <f>O341+P341</f>
        <v>44956254.810000002</v>
      </c>
      <c r="S341" s="72"/>
      <c r="T341" s="72"/>
      <c r="U341" s="72"/>
      <c r="V341" s="72"/>
      <c r="W341" s="72"/>
      <c r="X341" s="67">
        <f>R341+V341</f>
        <v>44956254.810000002</v>
      </c>
      <c r="Y341" s="67">
        <f>R341+H341</f>
        <v>44956254.810000002</v>
      </c>
      <c r="Z341" s="67">
        <f>D341-Y341</f>
        <v>70640984.180000007</v>
      </c>
      <c r="AA341" s="67">
        <f>N341+X341</f>
        <v>44956254.810000002</v>
      </c>
      <c r="AB341" s="69">
        <f>+D341-N341-X341</f>
        <v>70640984.180000007</v>
      </c>
    </row>
    <row r="342" spans="1:31" x14ac:dyDescent="0.25">
      <c r="A342" s="46"/>
      <c r="B342" s="26"/>
      <c r="C342" s="4" t="s">
        <v>54</v>
      </c>
      <c r="D342" s="72">
        <v>26496892.829999998</v>
      </c>
      <c r="E342" s="72"/>
      <c r="F342" s="72"/>
      <c r="G342" s="72"/>
      <c r="H342" s="67">
        <f>E342+F342</f>
        <v>0</v>
      </c>
      <c r="I342" s="72"/>
      <c r="J342" s="72"/>
      <c r="K342" s="72"/>
      <c r="L342" s="72"/>
      <c r="M342" s="72"/>
      <c r="N342" s="67">
        <f>H342+L342</f>
        <v>0</v>
      </c>
      <c r="O342" s="72">
        <f>26496892.83+181752.55+843176.8</f>
        <v>27521822.18</v>
      </c>
      <c r="P342" s="72"/>
      <c r="Q342" s="72"/>
      <c r="R342" s="67">
        <f>O342+P342</f>
        <v>27521822.18</v>
      </c>
      <c r="S342" s="72"/>
      <c r="T342" s="72"/>
      <c r="U342" s="72"/>
      <c r="V342" s="72"/>
      <c r="W342" s="72"/>
      <c r="X342" s="67">
        <f>R342+V342</f>
        <v>27521822.18</v>
      </c>
      <c r="Y342" s="67">
        <f>R342+H342</f>
        <v>27521822.18</v>
      </c>
      <c r="Z342" s="67">
        <f>D342-Y342</f>
        <v>-1024929.3500000015</v>
      </c>
      <c r="AA342" s="67">
        <f>N342+X342</f>
        <v>27521822.18</v>
      </c>
      <c r="AB342" s="69">
        <f>+D342-N342-X342</f>
        <v>-1024929.3500000015</v>
      </c>
    </row>
    <row r="343" spans="1:31" x14ac:dyDescent="0.25">
      <c r="A343" s="46"/>
      <c r="B343" s="26"/>
      <c r="C343" s="4" t="s">
        <v>44</v>
      </c>
      <c r="D343" s="72">
        <v>10000000</v>
      </c>
      <c r="E343" s="72">
        <v>10000000</v>
      </c>
      <c r="F343" s="72"/>
      <c r="G343" s="72"/>
      <c r="H343" s="67">
        <f>E343+F343</f>
        <v>10000000</v>
      </c>
      <c r="I343" s="72"/>
      <c r="J343" s="72"/>
      <c r="K343" s="72"/>
      <c r="L343" s="72"/>
      <c r="M343" s="72"/>
      <c r="N343" s="67">
        <f>H343+L343</f>
        <v>10000000</v>
      </c>
      <c r="O343" s="72"/>
      <c r="P343" s="72"/>
      <c r="Q343" s="72"/>
      <c r="R343" s="67">
        <f>O343+P343</f>
        <v>0</v>
      </c>
      <c r="S343" s="72"/>
      <c r="T343" s="72"/>
      <c r="U343" s="72"/>
      <c r="V343" s="72"/>
      <c r="W343" s="72"/>
      <c r="X343" s="67">
        <f>R343+V343</f>
        <v>0</v>
      </c>
      <c r="Y343" s="67">
        <f>R343+H343</f>
        <v>10000000</v>
      </c>
      <c r="Z343" s="67">
        <f>D343-Y343</f>
        <v>0</v>
      </c>
      <c r="AA343" s="67">
        <f>N343+X343</f>
        <v>10000000</v>
      </c>
      <c r="AB343" s="69">
        <f>+D343-N343-X343</f>
        <v>0</v>
      </c>
    </row>
    <row r="344" spans="1:31" x14ac:dyDescent="0.25">
      <c r="A344" s="46"/>
      <c r="B344" s="26"/>
      <c r="C344" s="4"/>
      <c r="D344" s="70" t="s">
        <v>40</v>
      </c>
      <c r="E344" s="70" t="s">
        <v>40</v>
      </c>
      <c r="F344" s="70" t="s">
        <v>40</v>
      </c>
      <c r="G344" s="70"/>
      <c r="H344" s="70" t="s">
        <v>40</v>
      </c>
      <c r="I344" s="70" t="s">
        <v>40</v>
      </c>
      <c r="J344" s="70" t="s">
        <v>40</v>
      </c>
      <c r="K344" s="70" t="s">
        <v>40</v>
      </c>
      <c r="L344" s="70" t="s">
        <v>40</v>
      </c>
      <c r="M344" s="70"/>
      <c r="N344" s="70" t="s">
        <v>40</v>
      </c>
      <c r="O344" s="70" t="s">
        <v>40</v>
      </c>
      <c r="P344" s="70" t="s">
        <v>40</v>
      </c>
      <c r="Q344" s="70"/>
      <c r="R344" s="70" t="s">
        <v>40</v>
      </c>
      <c r="S344" s="70" t="s">
        <v>40</v>
      </c>
      <c r="T344" s="70" t="s">
        <v>40</v>
      </c>
      <c r="U344" s="70" t="s">
        <v>40</v>
      </c>
      <c r="V344" s="70" t="s">
        <v>40</v>
      </c>
      <c r="W344" s="70"/>
      <c r="X344" s="70" t="s">
        <v>40</v>
      </c>
      <c r="Y344" s="70" t="s">
        <v>40</v>
      </c>
      <c r="Z344" s="70" t="s">
        <v>40</v>
      </c>
      <c r="AA344" s="70" t="s">
        <v>40</v>
      </c>
      <c r="AB344" s="70" t="s">
        <v>40</v>
      </c>
    </row>
    <row r="345" spans="1:31" x14ac:dyDescent="0.25">
      <c r="A345" s="46"/>
      <c r="B345" s="26"/>
      <c r="C345" s="4"/>
      <c r="D345" s="72">
        <f>SUM(D339:D343)</f>
        <v>225974524.91000003</v>
      </c>
      <c r="E345" s="72">
        <f t="shared" ref="E345:AB345" si="154">SUM(E339:E343)</f>
        <v>22221009</v>
      </c>
      <c r="F345" s="72">
        <f t="shared" si="154"/>
        <v>0</v>
      </c>
      <c r="G345" s="72"/>
      <c r="H345" s="72">
        <f t="shared" si="154"/>
        <v>22221009</v>
      </c>
      <c r="I345" s="72">
        <f t="shared" si="154"/>
        <v>0</v>
      </c>
      <c r="J345" s="72">
        <f t="shared" si="154"/>
        <v>0</v>
      </c>
      <c r="K345" s="72">
        <f t="shared" si="154"/>
        <v>0</v>
      </c>
      <c r="L345" s="72">
        <f t="shared" si="154"/>
        <v>0</v>
      </c>
      <c r="M345" s="72"/>
      <c r="N345" s="72">
        <f t="shared" si="154"/>
        <v>22221009</v>
      </c>
      <c r="O345" s="72">
        <f t="shared" si="154"/>
        <v>72478076.99000001</v>
      </c>
      <c r="P345" s="72">
        <f t="shared" si="154"/>
        <v>0</v>
      </c>
      <c r="Q345" s="72"/>
      <c r="R345" s="72">
        <f t="shared" si="154"/>
        <v>72478076.99000001</v>
      </c>
      <c r="S345" s="72">
        <f t="shared" si="154"/>
        <v>0</v>
      </c>
      <c r="T345" s="72">
        <f t="shared" si="154"/>
        <v>0</v>
      </c>
      <c r="U345" s="72">
        <f t="shared" si="154"/>
        <v>0</v>
      </c>
      <c r="V345" s="72">
        <f t="shared" si="154"/>
        <v>0</v>
      </c>
      <c r="W345" s="72"/>
      <c r="X345" s="72">
        <f t="shared" si="154"/>
        <v>72478076.99000001</v>
      </c>
      <c r="Y345" s="72">
        <f t="shared" si="154"/>
        <v>94699085.99000001</v>
      </c>
      <c r="Z345" s="72">
        <f t="shared" si="154"/>
        <v>131275438.92000002</v>
      </c>
      <c r="AA345" s="72">
        <f t="shared" si="154"/>
        <v>94699085.99000001</v>
      </c>
      <c r="AB345" s="72">
        <f t="shared" si="154"/>
        <v>131275438.92000002</v>
      </c>
    </row>
    <row r="346" spans="1:31" x14ac:dyDescent="0.25">
      <c r="A346" s="46"/>
      <c r="B346" s="26"/>
      <c r="C346" s="4"/>
      <c r="D346" s="70" t="s">
        <v>40</v>
      </c>
      <c r="E346" s="70" t="s">
        <v>40</v>
      </c>
      <c r="F346" s="70" t="s">
        <v>40</v>
      </c>
      <c r="G346" s="70"/>
      <c r="H346" s="70" t="s">
        <v>40</v>
      </c>
      <c r="I346" s="70" t="s">
        <v>40</v>
      </c>
      <c r="J346" s="70" t="s">
        <v>40</v>
      </c>
      <c r="K346" s="70" t="s">
        <v>40</v>
      </c>
      <c r="L346" s="70" t="s">
        <v>40</v>
      </c>
      <c r="M346" s="70"/>
      <c r="N346" s="70" t="s">
        <v>40</v>
      </c>
      <c r="O346" s="70" t="s">
        <v>40</v>
      </c>
      <c r="P346" s="70" t="s">
        <v>40</v>
      </c>
      <c r="Q346" s="70"/>
      <c r="R346" s="70" t="s">
        <v>40</v>
      </c>
      <c r="S346" s="70" t="s">
        <v>40</v>
      </c>
      <c r="T346" s="70" t="s">
        <v>40</v>
      </c>
      <c r="U346" s="70" t="s">
        <v>40</v>
      </c>
      <c r="V346" s="70" t="s">
        <v>40</v>
      </c>
      <c r="W346" s="70"/>
      <c r="X346" s="70" t="s">
        <v>40</v>
      </c>
      <c r="Y346" s="70" t="s">
        <v>40</v>
      </c>
      <c r="Z346" s="70" t="s">
        <v>40</v>
      </c>
      <c r="AA346" s="70" t="s">
        <v>40</v>
      </c>
      <c r="AB346" s="70" t="s">
        <v>40</v>
      </c>
    </row>
    <row r="347" spans="1:31" x14ac:dyDescent="0.25">
      <c r="A347" s="46"/>
      <c r="B347" s="26"/>
      <c r="C347" s="4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</row>
    <row r="348" spans="1:31" x14ac:dyDescent="0.25">
      <c r="A348" s="46">
        <v>34</v>
      </c>
      <c r="B348" s="26" t="s">
        <v>253</v>
      </c>
      <c r="C348" s="2" t="s">
        <v>35</v>
      </c>
      <c r="D348" s="72">
        <v>0</v>
      </c>
      <c r="E348" s="72"/>
      <c r="F348" s="72"/>
      <c r="G348" s="72"/>
      <c r="H348" s="67">
        <f>E348+F348</f>
        <v>0</v>
      </c>
      <c r="I348" s="72"/>
      <c r="J348" s="72"/>
      <c r="K348" s="72"/>
      <c r="L348" s="72"/>
      <c r="M348" s="72"/>
      <c r="N348" s="67">
        <f>H348+L348</f>
        <v>0</v>
      </c>
      <c r="O348" s="72"/>
      <c r="P348" s="72"/>
      <c r="Q348" s="72"/>
      <c r="R348" s="67">
        <f>O348+P348</f>
        <v>0</v>
      </c>
      <c r="S348" s="72"/>
      <c r="T348" s="72"/>
      <c r="U348" s="72"/>
      <c r="V348" s="72"/>
      <c r="W348" s="72"/>
      <c r="X348" s="67">
        <f>R348+V348</f>
        <v>0</v>
      </c>
      <c r="Y348" s="67">
        <f>R348+H348</f>
        <v>0</v>
      </c>
      <c r="Z348" s="67">
        <f>D348-Y348</f>
        <v>0</v>
      </c>
      <c r="AA348" s="67">
        <f>N348+X348</f>
        <v>0</v>
      </c>
      <c r="AB348" s="69">
        <f>+D348-N348-X348</f>
        <v>0</v>
      </c>
    </row>
    <row r="349" spans="1:31" x14ac:dyDescent="0.25">
      <c r="A349" s="46"/>
      <c r="B349" s="26"/>
      <c r="C349" s="4" t="s">
        <v>36</v>
      </c>
      <c r="D349" s="72">
        <v>2018058</v>
      </c>
      <c r="E349" s="72">
        <v>2018058</v>
      </c>
      <c r="F349" s="72"/>
      <c r="G349" s="72"/>
      <c r="H349" s="67">
        <f>E349+F349</f>
        <v>2018058</v>
      </c>
      <c r="I349" s="72"/>
      <c r="J349" s="72"/>
      <c r="K349" s="72"/>
      <c r="L349" s="72"/>
      <c r="M349" s="72"/>
      <c r="N349" s="67">
        <f>H349+L349</f>
        <v>2018058</v>
      </c>
      <c r="O349" s="72"/>
      <c r="P349" s="72"/>
      <c r="Q349" s="72"/>
      <c r="R349" s="67">
        <f>O349+P349</f>
        <v>0</v>
      </c>
      <c r="S349" s="72"/>
      <c r="T349" s="72"/>
      <c r="U349" s="72"/>
      <c r="V349" s="72"/>
      <c r="W349" s="72"/>
      <c r="X349" s="67">
        <f>R349+V349</f>
        <v>0</v>
      </c>
      <c r="Y349" s="67">
        <f>R349+H349</f>
        <v>2018058</v>
      </c>
      <c r="Z349" s="67">
        <f>D349-Y349</f>
        <v>0</v>
      </c>
      <c r="AA349" s="67">
        <f>N349+X349</f>
        <v>2018058</v>
      </c>
      <c r="AB349" s="69">
        <f>+D349-N349-X349</f>
        <v>0</v>
      </c>
    </row>
    <row r="350" spans="1:31" x14ac:dyDescent="0.25">
      <c r="A350" s="46"/>
      <c r="B350" s="26"/>
      <c r="C350" s="4" t="s">
        <v>183</v>
      </c>
      <c r="D350" s="72">
        <v>6538348.3499999996</v>
      </c>
      <c r="E350" s="72"/>
      <c r="F350" s="72"/>
      <c r="G350" s="72"/>
      <c r="H350" s="67">
        <f>E350+F350</f>
        <v>0</v>
      </c>
      <c r="I350" s="72"/>
      <c r="J350" s="72"/>
      <c r="K350" s="72"/>
      <c r="L350" s="72"/>
      <c r="M350" s="72"/>
      <c r="N350" s="67">
        <f>H350+L350</f>
        <v>0</v>
      </c>
      <c r="O350" s="72"/>
      <c r="P350" s="72"/>
      <c r="Q350" s="72"/>
      <c r="R350" s="67">
        <f>O350+P350</f>
        <v>0</v>
      </c>
      <c r="S350" s="72"/>
      <c r="T350" s="72"/>
      <c r="U350" s="72"/>
      <c r="V350" s="72"/>
      <c r="W350" s="72"/>
      <c r="X350" s="67">
        <f>R350+V350</f>
        <v>0</v>
      </c>
      <c r="Y350" s="67">
        <f>R350+H350</f>
        <v>0</v>
      </c>
      <c r="Z350" s="67">
        <f>D350-Y350</f>
        <v>6538348.3499999996</v>
      </c>
      <c r="AA350" s="67">
        <f>N350+X350</f>
        <v>0</v>
      </c>
      <c r="AB350" s="69">
        <f>+D350-N350-X350</f>
        <v>6538348.3499999996</v>
      </c>
    </row>
    <row r="351" spans="1:31" x14ac:dyDescent="0.25">
      <c r="A351" s="46"/>
      <c r="B351" s="26"/>
      <c r="C351" s="4" t="s">
        <v>184</v>
      </c>
      <c r="D351" s="72">
        <v>374163.86</v>
      </c>
      <c r="E351" s="72"/>
      <c r="F351" s="72"/>
      <c r="G351" s="72"/>
      <c r="H351" s="67">
        <f>E351+F351</f>
        <v>0</v>
      </c>
      <c r="I351" s="72"/>
      <c r="J351" s="72"/>
      <c r="K351" s="72"/>
      <c r="L351" s="72"/>
      <c r="M351" s="72"/>
      <c r="N351" s="67">
        <f>H351+L351</f>
        <v>0</v>
      </c>
      <c r="O351" s="72"/>
      <c r="P351" s="72"/>
      <c r="Q351" s="72"/>
      <c r="R351" s="67">
        <f>O351+P351</f>
        <v>0</v>
      </c>
      <c r="S351" s="72"/>
      <c r="T351" s="72"/>
      <c r="U351" s="72"/>
      <c r="V351" s="72"/>
      <c r="W351" s="72"/>
      <c r="X351" s="67">
        <f>R351+V351</f>
        <v>0</v>
      </c>
      <c r="Y351" s="67">
        <f>R351+H351</f>
        <v>0</v>
      </c>
      <c r="Z351" s="67">
        <f>D351-Y351</f>
        <v>374163.86</v>
      </c>
      <c r="AA351" s="67">
        <f>N351+X351</f>
        <v>0</v>
      </c>
      <c r="AB351" s="69">
        <f>+D351-N351-X351</f>
        <v>374163.86</v>
      </c>
    </row>
    <row r="352" spans="1:31" x14ac:dyDescent="0.25">
      <c r="A352" s="46"/>
      <c r="B352" s="26"/>
      <c r="C352" s="4" t="s">
        <v>44</v>
      </c>
      <c r="D352" s="72">
        <v>22029000</v>
      </c>
      <c r="E352" s="72">
        <v>22029000</v>
      </c>
      <c r="F352" s="72"/>
      <c r="G352" s="72"/>
      <c r="H352" s="67">
        <f>E352+F352</f>
        <v>22029000</v>
      </c>
      <c r="I352" s="72"/>
      <c r="J352" s="72"/>
      <c r="K352" s="72"/>
      <c r="L352" s="72"/>
      <c r="M352" s="72"/>
      <c r="N352" s="67">
        <f>H352+L352</f>
        <v>22029000</v>
      </c>
      <c r="O352" s="72"/>
      <c r="P352" s="72"/>
      <c r="Q352" s="72"/>
      <c r="R352" s="67">
        <f>O352+P352</f>
        <v>0</v>
      </c>
      <c r="S352" s="72"/>
      <c r="T352" s="72"/>
      <c r="U352" s="72"/>
      <c r="V352" s="72"/>
      <c r="W352" s="72"/>
      <c r="X352" s="67">
        <f>R352+V352</f>
        <v>0</v>
      </c>
      <c r="Y352" s="67">
        <f>R352+H352</f>
        <v>22029000</v>
      </c>
      <c r="Z352" s="67">
        <f>D352-Y352</f>
        <v>0</v>
      </c>
      <c r="AA352" s="67">
        <f>N352+X352</f>
        <v>22029000</v>
      </c>
      <c r="AB352" s="69">
        <f>+D352-N352-X352</f>
        <v>0</v>
      </c>
    </row>
    <row r="353" spans="1:28" x14ac:dyDescent="0.25">
      <c r="A353" s="46"/>
      <c r="B353" s="26"/>
      <c r="C353" s="4"/>
      <c r="D353" s="70" t="s">
        <v>40</v>
      </c>
      <c r="E353" s="70" t="s">
        <v>40</v>
      </c>
      <c r="F353" s="70" t="s">
        <v>40</v>
      </c>
      <c r="G353" s="70"/>
      <c r="H353" s="70" t="s">
        <v>40</v>
      </c>
      <c r="I353" s="70" t="s">
        <v>40</v>
      </c>
      <c r="J353" s="70" t="s">
        <v>40</v>
      </c>
      <c r="K353" s="70" t="s">
        <v>40</v>
      </c>
      <c r="L353" s="70" t="s">
        <v>40</v>
      </c>
      <c r="M353" s="70"/>
      <c r="N353" s="70" t="s">
        <v>40</v>
      </c>
      <c r="O353" s="70" t="s">
        <v>40</v>
      </c>
      <c r="P353" s="70" t="s">
        <v>40</v>
      </c>
      <c r="Q353" s="70"/>
      <c r="R353" s="70" t="s">
        <v>40</v>
      </c>
      <c r="S353" s="70" t="s">
        <v>40</v>
      </c>
      <c r="T353" s="70" t="s">
        <v>40</v>
      </c>
      <c r="U353" s="70" t="s">
        <v>40</v>
      </c>
      <c r="V353" s="70" t="s">
        <v>40</v>
      </c>
      <c r="W353" s="70"/>
      <c r="X353" s="70" t="s">
        <v>40</v>
      </c>
      <c r="Y353" s="70" t="s">
        <v>40</v>
      </c>
      <c r="Z353" s="70" t="s">
        <v>40</v>
      </c>
      <c r="AA353" s="70" t="s">
        <v>40</v>
      </c>
      <c r="AB353" s="70" t="s">
        <v>40</v>
      </c>
    </row>
    <row r="354" spans="1:28" x14ac:dyDescent="0.25">
      <c r="A354" s="46"/>
      <c r="B354" s="26"/>
      <c r="C354" s="4"/>
      <c r="D354" s="72">
        <f>SUM(D348:D352)</f>
        <v>30959570.210000001</v>
      </c>
      <c r="E354" s="72">
        <f t="shared" ref="E354:AB354" si="155">SUM(E348:E352)</f>
        <v>24047058</v>
      </c>
      <c r="F354" s="72">
        <f t="shared" si="155"/>
        <v>0</v>
      </c>
      <c r="G354" s="72"/>
      <c r="H354" s="72">
        <f t="shared" si="155"/>
        <v>24047058</v>
      </c>
      <c r="I354" s="72">
        <f t="shared" si="155"/>
        <v>0</v>
      </c>
      <c r="J354" s="72">
        <f t="shared" si="155"/>
        <v>0</v>
      </c>
      <c r="K354" s="72">
        <f t="shared" si="155"/>
        <v>0</v>
      </c>
      <c r="L354" s="72">
        <f t="shared" si="155"/>
        <v>0</v>
      </c>
      <c r="M354" s="72"/>
      <c r="N354" s="72">
        <f t="shared" si="155"/>
        <v>24047058</v>
      </c>
      <c r="O354" s="72">
        <f t="shared" si="155"/>
        <v>0</v>
      </c>
      <c r="P354" s="72">
        <f t="shared" si="155"/>
        <v>0</v>
      </c>
      <c r="Q354" s="72"/>
      <c r="R354" s="72">
        <f t="shared" si="155"/>
        <v>0</v>
      </c>
      <c r="S354" s="72">
        <f t="shared" si="155"/>
        <v>0</v>
      </c>
      <c r="T354" s="72">
        <f t="shared" si="155"/>
        <v>0</v>
      </c>
      <c r="U354" s="72">
        <f t="shared" si="155"/>
        <v>0</v>
      </c>
      <c r="V354" s="72">
        <f t="shared" si="155"/>
        <v>0</v>
      </c>
      <c r="W354" s="72"/>
      <c r="X354" s="72">
        <f t="shared" si="155"/>
        <v>0</v>
      </c>
      <c r="Y354" s="72">
        <f>SUM(Y348:Y352)</f>
        <v>24047058</v>
      </c>
      <c r="Z354" s="72">
        <f t="shared" si="155"/>
        <v>6912512.21</v>
      </c>
      <c r="AA354" s="72">
        <f t="shared" si="155"/>
        <v>24047058</v>
      </c>
      <c r="AB354" s="72">
        <f t="shared" si="155"/>
        <v>6912512.21</v>
      </c>
    </row>
    <row r="355" spans="1:28" x14ac:dyDescent="0.25">
      <c r="A355" s="46"/>
      <c r="B355" s="26"/>
      <c r="C355" s="4"/>
      <c r="D355" s="70" t="s">
        <v>40</v>
      </c>
      <c r="E355" s="70" t="s">
        <v>40</v>
      </c>
      <c r="F355" s="70" t="s">
        <v>40</v>
      </c>
      <c r="G355" s="70"/>
      <c r="H355" s="70" t="s">
        <v>40</v>
      </c>
      <c r="I355" s="70" t="s">
        <v>40</v>
      </c>
      <c r="J355" s="70" t="s">
        <v>40</v>
      </c>
      <c r="K355" s="70" t="s">
        <v>40</v>
      </c>
      <c r="L355" s="70" t="s">
        <v>40</v>
      </c>
      <c r="M355" s="70"/>
      <c r="N355" s="70" t="s">
        <v>40</v>
      </c>
      <c r="O355" s="70" t="s">
        <v>40</v>
      </c>
      <c r="P355" s="70" t="s">
        <v>40</v>
      </c>
      <c r="Q355" s="70"/>
      <c r="R355" s="70" t="s">
        <v>40</v>
      </c>
      <c r="S355" s="70" t="s">
        <v>40</v>
      </c>
      <c r="T355" s="70" t="s">
        <v>40</v>
      </c>
      <c r="U355" s="70" t="s">
        <v>40</v>
      </c>
      <c r="V355" s="70" t="s">
        <v>40</v>
      </c>
      <c r="W355" s="70"/>
      <c r="X355" s="70" t="s">
        <v>40</v>
      </c>
      <c r="Y355" s="70" t="s">
        <v>40</v>
      </c>
      <c r="Z355" s="70" t="s">
        <v>40</v>
      </c>
      <c r="AA355" s="70" t="s">
        <v>40</v>
      </c>
      <c r="AB355" s="70" t="s">
        <v>40</v>
      </c>
    </row>
    <row r="356" spans="1:28" x14ac:dyDescent="0.25">
      <c r="A356" s="46"/>
      <c r="B356" s="26"/>
      <c r="C356" s="4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</row>
    <row r="357" spans="1:28" x14ac:dyDescent="0.25">
      <c r="A357" s="46">
        <v>35</v>
      </c>
      <c r="B357" s="26" t="s">
        <v>185</v>
      </c>
      <c r="C357" s="2" t="s">
        <v>35</v>
      </c>
      <c r="D357" s="72">
        <v>34625096.560000002</v>
      </c>
      <c r="E357" s="72"/>
      <c r="F357" s="72"/>
      <c r="G357" s="72"/>
      <c r="H357" s="67">
        <f>E357+F357</f>
        <v>0</v>
      </c>
      <c r="I357" s="70"/>
      <c r="J357" s="70"/>
      <c r="K357" s="70"/>
      <c r="L357" s="70"/>
      <c r="M357" s="70"/>
      <c r="N357" s="67">
        <f>H357+L357</f>
        <v>0</v>
      </c>
      <c r="O357" s="70"/>
      <c r="P357" s="70"/>
      <c r="Q357" s="70"/>
      <c r="R357" s="67">
        <f>O357+P357</f>
        <v>0</v>
      </c>
      <c r="S357" s="70"/>
      <c r="T357" s="70"/>
      <c r="U357" s="70"/>
      <c r="V357" s="70"/>
      <c r="W357" s="70"/>
      <c r="X357" s="67">
        <f>R357+V357</f>
        <v>0</v>
      </c>
      <c r="Y357" s="67">
        <f>R357+H357</f>
        <v>0</v>
      </c>
      <c r="Z357" s="67">
        <f>D357-Y357</f>
        <v>34625096.560000002</v>
      </c>
      <c r="AA357" s="67">
        <f>N357+X357</f>
        <v>0</v>
      </c>
      <c r="AB357" s="69">
        <f>+D357-N357-X357</f>
        <v>34625096.560000002</v>
      </c>
    </row>
    <row r="358" spans="1:28" x14ac:dyDescent="0.25">
      <c r="A358" s="46"/>
      <c r="B358" s="26"/>
      <c r="C358" s="4" t="s">
        <v>36</v>
      </c>
      <c r="D358" s="72">
        <v>2193860</v>
      </c>
      <c r="E358" s="72">
        <v>2193860</v>
      </c>
      <c r="F358" s="72"/>
      <c r="G358" s="72"/>
      <c r="H358" s="67">
        <f>E358+F358</f>
        <v>2193860</v>
      </c>
      <c r="I358" s="70"/>
      <c r="J358" s="70"/>
      <c r="K358" s="70"/>
      <c r="L358" s="70"/>
      <c r="M358" s="70"/>
      <c r="N358" s="67">
        <f>H358+L358</f>
        <v>2193860</v>
      </c>
      <c r="O358" s="70"/>
      <c r="P358" s="70"/>
      <c r="Q358" s="70"/>
      <c r="R358" s="67">
        <f>O358+P358</f>
        <v>0</v>
      </c>
      <c r="S358" s="70"/>
      <c r="T358" s="70"/>
      <c r="U358" s="70"/>
      <c r="V358" s="70"/>
      <c r="W358" s="70"/>
      <c r="X358" s="67">
        <f>R358+V358</f>
        <v>0</v>
      </c>
      <c r="Y358" s="67">
        <f>R358+H358</f>
        <v>2193860</v>
      </c>
      <c r="Z358" s="67">
        <f>D358-Y358</f>
        <v>0</v>
      </c>
      <c r="AA358" s="67">
        <f>N358+X358</f>
        <v>2193860</v>
      </c>
      <c r="AB358" s="69">
        <f>+D358-N358-X358</f>
        <v>0</v>
      </c>
    </row>
    <row r="359" spans="1:28" x14ac:dyDescent="0.25">
      <c r="A359" s="46"/>
      <c r="B359" s="26"/>
      <c r="C359" s="4" t="s">
        <v>183</v>
      </c>
      <c r="D359" s="72">
        <v>2332291</v>
      </c>
      <c r="E359" s="72"/>
      <c r="F359" s="72"/>
      <c r="G359" s="72"/>
      <c r="H359" s="67">
        <f>E359+F359</f>
        <v>0</v>
      </c>
      <c r="I359" s="70"/>
      <c r="J359" s="70"/>
      <c r="K359" s="70"/>
      <c r="L359" s="70"/>
      <c r="M359" s="70"/>
      <c r="N359" s="67">
        <f>H359+L359</f>
        <v>0</v>
      </c>
      <c r="O359" s="70"/>
      <c r="P359" s="70"/>
      <c r="Q359" s="70"/>
      <c r="R359" s="67">
        <f>O359+P359</f>
        <v>0</v>
      </c>
      <c r="S359" s="70"/>
      <c r="T359" s="70"/>
      <c r="U359" s="70"/>
      <c r="V359" s="70"/>
      <c r="W359" s="70"/>
      <c r="X359" s="67">
        <f>R359+V359</f>
        <v>0</v>
      </c>
      <c r="Y359" s="67">
        <f>R359+H359</f>
        <v>0</v>
      </c>
      <c r="Z359" s="67">
        <f>D359-Y359</f>
        <v>2332291</v>
      </c>
      <c r="AA359" s="67">
        <f>N359+X359</f>
        <v>0</v>
      </c>
      <c r="AB359" s="69">
        <f>+D359-N359-X359</f>
        <v>2332291</v>
      </c>
    </row>
    <row r="360" spans="1:28" x14ac:dyDescent="0.25">
      <c r="A360" s="46"/>
      <c r="B360" s="26"/>
      <c r="C360" s="4" t="s">
        <v>53</v>
      </c>
      <c r="D360" s="72">
        <v>825552.7</v>
      </c>
      <c r="E360" s="72"/>
      <c r="F360" s="72"/>
      <c r="G360" s="72"/>
      <c r="H360" s="67">
        <f>E360+F360</f>
        <v>0</v>
      </c>
      <c r="I360" s="70"/>
      <c r="J360" s="70"/>
      <c r="K360" s="70"/>
      <c r="L360" s="70"/>
      <c r="M360" s="70"/>
      <c r="N360" s="67">
        <f>H360+L360</f>
        <v>0</v>
      </c>
      <c r="O360" s="70"/>
      <c r="P360" s="70"/>
      <c r="Q360" s="70"/>
      <c r="R360" s="67">
        <f>O360+P360</f>
        <v>0</v>
      </c>
      <c r="S360" s="70"/>
      <c r="T360" s="70"/>
      <c r="U360" s="70"/>
      <c r="V360" s="70"/>
      <c r="W360" s="70"/>
      <c r="X360" s="67">
        <f>R360+V360</f>
        <v>0</v>
      </c>
      <c r="Y360" s="67">
        <f>R360+H360</f>
        <v>0</v>
      </c>
      <c r="Z360" s="67">
        <f>D360-Y360</f>
        <v>825552.7</v>
      </c>
      <c r="AA360" s="67">
        <f>N360+X360</f>
        <v>0</v>
      </c>
      <c r="AB360" s="69">
        <f>+D360-N360-X360</f>
        <v>825552.7</v>
      </c>
    </row>
    <row r="361" spans="1:28" x14ac:dyDescent="0.25">
      <c r="A361" s="46"/>
      <c r="B361" s="26"/>
      <c r="C361" s="4" t="s">
        <v>54</v>
      </c>
      <c r="D361" s="72">
        <v>16304159.289999999</v>
      </c>
      <c r="E361" s="72"/>
      <c r="F361" s="72"/>
      <c r="G361" s="72"/>
      <c r="H361" s="67">
        <f>E361+F361</f>
        <v>0</v>
      </c>
      <c r="I361" s="70"/>
      <c r="J361" s="70"/>
      <c r="K361" s="70"/>
      <c r="L361" s="70"/>
      <c r="M361" s="70"/>
      <c r="N361" s="67">
        <f>H361+L361</f>
        <v>0</v>
      </c>
      <c r="O361" s="72">
        <v>16304159.289999999</v>
      </c>
      <c r="P361" s="72">
        <v>-5603896.2599999998</v>
      </c>
      <c r="Q361" s="70"/>
      <c r="R361" s="67">
        <f>O361+P361</f>
        <v>10700263.029999999</v>
      </c>
      <c r="S361" s="70"/>
      <c r="T361" s="70"/>
      <c r="U361" s="70"/>
      <c r="V361" s="70"/>
      <c r="W361" s="70"/>
      <c r="X361" s="67">
        <f>R361+V361</f>
        <v>10700263.029999999</v>
      </c>
      <c r="Y361" s="67">
        <f>R361+H361</f>
        <v>10700263.029999999</v>
      </c>
      <c r="Z361" s="67">
        <f>D361-Y361</f>
        <v>5603896.2599999998</v>
      </c>
      <c r="AA361" s="67">
        <f>N361+X361</f>
        <v>10700263.029999999</v>
      </c>
      <c r="AB361" s="69">
        <f>+D361-N361-X361</f>
        <v>5603896.2599999998</v>
      </c>
    </row>
    <row r="362" spans="1:28" x14ac:dyDescent="0.25">
      <c r="A362" s="46"/>
      <c r="B362" s="26"/>
      <c r="C362" s="4"/>
      <c r="D362" s="70" t="s">
        <v>40</v>
      </c>
      <c r="E362" s="70" t="s">
        <v>40</v>
      </c>
      <c r="F362" s="70" t="s">
        <v>40</v>
      </c>
      <c r="G362" s="70"/>
      <c r="H362" s="70" t="s">
        <v>40</v>
      </c>
      <c r="I362" s="70" t="s">
        <v>40</v>
      </c>
      <c r="J362" s="70" t="s">
        <v>40</v>
      </c>
      <c r="K362" s="70" t="s">
        <v>40</v>
      </c>
      <c r="L362" s="70" t="s">
        <v>40</v>
      </c>
      <c r="M362" s="70"/>
      <c r="N362" s="70" t="s">
        <v>40</v>
      </c>
      <c r="O362" s="70" t="s">
        <v>40</v>
      </c>
      <c r="P362" s="70" t="s">
        <v>40</v>
      </c>
      <c r="Q362" s="70"/>
      <c r="R362" s="70" t="s">
        <v>40</v>
      </c>
      <c r="S362" s="70" t="s">
        <v>40</v>
      </c>
      <c r="T362" s="70" t="s">
        <v>40</v>
      </c>
      <c r="U362" s="70" t="s">
        <v>40</v>
      </c>
      <c r="V362" s="70" t="s">
        <v>40</v>
      </c>
      <c r="W362" s="70"/>
      <c r="X362" s="70" t="s">
        <v>40</v>
      </c>
      <c r="Y362" s="70" t="s">
        <v>40</v>
      </c>
      <c r="Z362" s="70" t="s">
        <v>40</v>
      </c>
      <c r="AA362" s="70" t="s">
        <v>40</v>
      </c>
      <c r="AB362" s="70" t="s">
        <v>40</v>
      </c>
    </row>
    <row r="363" spans="1:28" x14ac:dyDescent="0.25">
      <c r="A363" s="46"/>
      <c r="B363" s="26"/>
      <c r="C363" s="4"/>
      <c r="D363" s="72">
        <f>SUM(D357:D361)</f>
        <v>56280959.550000004</v>
      </c>
      <c r="E363" s="72">
        <f t="shared" ref="E363:AB363" si="156">SUM(E357:E361)</f>
        <v>2193860</v>
      </c>
      <c r="F363" s="72">
        <f t="shared" si="156"/>
        <v>0</v>
      </c>
      <c r="G363" s="72"/>
      <c r="H363" s="72">
        <f t="shared" si="156"/>
        <v>2193860</v>
      </c>
      <c r="I363" s="72">
        <f t="shared" si="156"/>
        <v>0</v>
      </c>
      <c r="J363" s="72">
        <f t="shared" si="156"/>
        <v>0</v>
      </c>
      <c r="K363" s="72">
        <f t="shared" si="156"/>
        <v>0</v>
      </c>
      <c r="L363" s="72">
        <f t="shared" si="156"/>
        <v>0</v>
      </c>
      <c r="M363" s="72"/>
      <c r="N363" s="72">
        <f t="shared" si="156"/>
        <v>2193860</v>
      </c>
      <c r="O363" s="72">
        <f t="shared" si="156"/>
        <v>16304159.289999999</v>
      </c>
      <c r="P363" s="72">
        <f t="shared" si="156"/>
        <v>-5603896.2599999998</v>
      </c>
      <c r="Q363" s="72"/>
      <c r="R363" s="72">
        <f t="shared" si="156"/>
        <v>10700263.029999999</v>
      </c>
      <c r="S363" s="72">
        <f t="shared" si="156"/>
        <v>0</v>
      </c>
      <c r="T363" s="72">
        <f t="shared" si="156"/>
        <v>0</v>
      </c>
      <c r="U363" s="72">
        <f t="shared" si="156"/>
        <v>0</v>
      </c>
      <c r="V363" s="72">
        <f t="shared" si="156"/>
        <v>0</v>
      </c>
      <c r="W363" s="72"/>
      <c r="X363" s="72">
        <f t="shared" si="156"/>
        <v>10700263.029999999</v>
      </c>
      <c r="Y363" s="72">
        <f t="shared" si="156"/>
        <v>12894123.029999999</v>
      </c>
      <c r="Z363" s="72">
        <f t="shared" si="156"/>
        <v>43386836.520000003</v>
      </c>
      <c r="AA363" s="72">
        <f t="shared" si="156"/>
        <v>12894123.029999999</v>
      </c>
      <c r="AB363" s="72">
        <f t="shared" si="156"/>
        <v>43386836.520000003</v>
      </c>
    </row>
    <row r="364" spans="1:28" x14ac:dyDescent="0.25">
      <c r="A364" s="46"/>
      <c r="B364" s="26"/>
      <c r="C364" s="4"/>
      <c r="D364" s="70" t="s">
        <v>40</v>
      </c>
      <c r="E364" s="70" t="s">
        <v>40</v>
      </c>
      <c r="F364" s="70" t="s">
        <v>40</v>
      </c>
      <c r="G364" s="70"/>
      <c r="H364" s="70" t="s">
        <v>40</v>
      </c>
      <c r="I364" s="70" t="s">
        <v>40</v>
      </c>
      <c r="J364" s="70" t="s">
        <v>40</v>
      </c>
      <c r="K364" s="70" t="s">
        <v>40</v>
      </c>
      <c r="L364" s="70" t="s">
        <v>40</v>
      </c>
      <c r="M364" s="70"/>
      <c r="N364" s="70" t="s">
        <v>40</v>
      </c>
      <c r="O364" s="70" t="s">
        <v>40</v>
      </c>
      <c r="P364" s="70" t="s">
        <v>40</v>
      </c>
      <c r="Q364" s="70"/>
      <c r="R364" s="70" t="s">
        <v>40</v>
      </c>
      <c r="S364" s="70" t="s">
        <v>40</v>
      </c>
      <c r="T364" s="70" t="s">
        <v>40</v>
      </c>
      <c r="U364" s="70" t="s">
        <v>40</v>
      </c>
      <c r="V364" s="70" t="s">
        <v>40</v>
      </c>
      <c r="W364" s="70"/>
      <c r="X364" s="70" t="s">
        <v>40</v>
      </c>
      <c r="Y364" s="70" t="s">
        <v>40</v>
      </c>
      <c r="Z364" s="70" t="s">
        <v>40</v>
      </c>
      <c r="AA364" s="70" t="s">
        <v>40</v>
      </c>
      <c r="AB364" s="70" t="s">
        <v>40</v>
      </c>
    </row>
    <row r="365" spans="1:28" x14ac:dyDescent="0.25">
      <c r="A365" s="46"/>
      <c r="B365" s="26"/>
      <c r="C365" s="4"/>
      <c r="D365" s="72"/>
      <c r="E365" s="70"/>
      <c r="F365" s="70"/>
      <c r="G365" s="70"/>
      <c r="H365" s="67">
        <f>E365+F365</f>
        <v>0</v>
      </c>
      <c r="I365" s="70"/>
      <c r="J365" s="70"/>
      <c r="K365" s="70"/>
      <c r="L365" s="70"/>
      <c r="M365" s="70"/>
      <c r="N365" s="67">
        <f>H365+L365</f>
        <v>0</v>
      </c>
      <c r="O365" s="70"/>
      <c r="P365" s="70"/>
      <c r="Q365" s="70"/>
      <c r="R365" s="67">
        <f>O365+P365</f>
        <v>0</v>
      </c>
      <c r="S365" s="70"/>
      <c r="T365" s="70"/>
      <c r="U365" s="70"/>
      <c r="V365" s="70"/>
      <c r="W365" s="70"/>
      <c r="X365" s="67">
        <f>R365+V365</f>
        <v>0</v>
      </c>
      <c r="Y365" s="67"/>
      <c r="Z365" s="67"/>
      <c r="AA365" s="67">
        <f>N365+X365</f>
        <v>0</v>
      </c>
      <c r="AB365" s="67"/>
    </row>
    <row r="366" spans="1:28" x14ac:dyDescent="0.25">
      <c r="A366" s="46">
        <v>36</v>
      </c>
      <c r="B366" s="26" t="s">
        <v>186</v>
      </c>
      <c r="C366" s="2" t="s">
        <v>35</v>
      </c>
      <c r="D366" s="72">
        <f>16080477.23-3219573.06</f>
        <v>12860904.17</v>
      </c>
      <c r="E366" s="72">
        <f>12688340.15+4650327.54</f>
        <v>17338667.690000001</v>
      </c>
      <c r="F366" s="72"/>
      <c r="G366" s="70"/>
      <c r="H366" s="67">
        <f>E366+F366</f>
        <v>17338667.690000001</v>
      </c>
      <c r="I366" s="70"/>
      <c r="J366" s="70"/>
      <c r="K366" s="70"/>
      <c r="L366" s="70"/>
      <c r="M366" s="70"/>
      <c r="N366" s="67">
        <f>H366+L366</f>
        <v>17338667.690000001</v>
      </c>
      <c r="O366" s="70"/>
      <c r="P366" s="70"/>
      <c r="Q366" s="70"/>
      <c r="R366" s="67">
        <f>O366+P366</f>
        <v>0</v>
      </c>
      <c r="S366" s="70"/>
      <c r="T366" s="70"/>
      <c r="U366" s="70"/>
      <c r="V366" s="70"/>
      <c r="W366" s="70"/>
      <c r="X366" s="67">
        <f>R366+V366</f>
        <v>0</v>
      </c>
      <c r="Y366" s="67">
        <f>R366+H366</f>
        <v>17338667.690000001</v>
      </c>
      <c r="Z366" s="67">
        <f>D366-Y366</f>
        <v>-4477763.5200000014</v>
      </c>
      <c r="AA366" s="67">
        <f>N366+X366</f>
        <v>17338667.690000001</v>
      </c>
      <c r="AB366" s="69">
        <f>+D366-N366-X366</f>
        <v>-4477763.5200000014</v>
      </c>
    </row>
    <row r="367" spans="1:28" x14ac:dyDescent="0.25">
      <c r="A367" s="46"/>
      <c r="B367" s="26"/>
      <c r="C367" s="4" t="s">
        <v>36</v>
      </c>
      <c r="D367" s="72">
        <v>1949520</v>
      </c>
      <c r="E367" s="72">
        <v>1949520</v>
      </c>
      <c r="F367" s="70"/>
      <c r="G367" s="70"/>
      <c r="H367" s="67">
        <f>E367+F367</f>
        <v>1949520</v>
      </c>
      <c r="I367" s="70"/>
      <c r="J367" s="70"/>
      <c r="K367" s="70"/>
      <c r="L367" s="70"/>
      <c r="M367" s="70"/>
      <c r="N367" s="67">
        <f>H367+L367</f>
        <v>1949520</v>
      </c>
      <c r="O367" s="70"/>
      <c r="P367" s="70"/>
      <c r="Q367" s="70"/>
      <c r="R367" s="67">
        <f>O367+P367</f>
        <v>0</v>
      </c>
      <c r="S367" s="70"/>
      <c r="T367" s="70"/>
      <c r="U367" s="70"/>
      <c r="V367" s="70"/>
      <c r="W367" s="70"/>
      <c r="X367" s="67">
        <f>R367+V367</f>
        <v>0</v>
      </c>
      <c r="Y367" s="67">
        <f>R367+H367</f>
        <v>1949520</v>
      </c>
      <c r="Z367" s="67">
        <f>D367-Y367</f>
        <v>0</v>
      </c>
      <c r="AA367" s="67">
        <f>N367+X367</f>
        <v>1949520</v>
      </c>
      <c r="AB367" s="69">
        <f>+D367-N367-X367</f>
        <v>0</v>
      </c>
    </row>
    <row r="368" spans="1:28" x14ac:dyDescent="0.25">
      <c r="A368" s="46"/>
      <c r="B368" s="26"/>
      <c r="C368" s="4" t="s">
        <v>53</v>
      </c>
      <c r="D368" s="72">
        <f>11020246.42+3219573.06</f>
        <v>14239819.48</v>
      </c>
      <c r="E368" s="72"/>
      <c r="F368" s="70"/>
      <c r="G368" s="70"/>
      <c r="H368" s="67">
        <f>E368+F368</f>
        <v>0</v>
      </c>
      <c r="I368" s="70"/>
      <c r="J368" s="70"/>
      <c r="K368" s="70"/>
      <c r="L368" s="70"/>
      <c r="M368" s="70"/>
      <c r="N368" s="67">
        <f>H368+L368</f>
        <v>0</v>
      </c>
      <c r="O368" s="72">
        <v>14239819.48</v>
      </c>
      <c r="P368" s="70"/>
      <c r="Q368" s="70"/>
      <c r="R368" s="67">
        <f>O368+P368</f>
        <v>14239819.48</v>
      </c>
      <c r="S368" s="70"/>
      <c r="T368" s="70"/>
      <c r="U368" s="70"/>
      <c r="V368" s="70"/>
      <c r="W368" s="70"/>
      <c r="X368" s="67">
        <f>R368+V368</f>
        <v>14239819.48</v>
      </c>
      <c r="Y368" s="67">
        <f>R368+H368</f>
        <v>14239819.48</v>
      </c>
      <c r="Z368" s="67">
        <f>D368-Y368</f>
        <v>0</v>
      </c>
      <c r="AA368" s="67">
        <f>N368+X368</f>
        <v>14239819.48</v>
      </c>
      <c r="AB368" s="69">
        <f>+D368-N368-X368</f>
        <v>0</v>
      </c>
    </row>
    <row r="369" spans="1:29" x14ac:dyDescent="0.25">
      <c r="A369" s="46"/>
      <c r="B369" s="26"/>
      <c r="C369" s="4" t="s">
        <v>54</v>
      </c>
      <c r="D369" s="72">
        <v>10700263.029999999</v>
      </c>
      <c r="E369" s="72"/>
      <c r="F369" s="70"/>
      <c r="G369" s="70"/>
      <c r="H369" s="67">
        <f>E369+F369</f>
        <v>0</v>
      </c>
      <c r="I369" s="70"/>
      <c r="J369" s="70"/>
      <c r="K369" s="70"/>
      <c r="L369" s="70"/>
      <c r="M369" s="70"/>
      <c r="N369" s="67">
        <f>H369+L369</f>
        <v>0</v>
      </c>
      <c r="O369" s="72">
        <v>10700263.029999999</v>
      </c>
      <c r="P369" s="70"/>
      <c r="Q369" s="70"/>
      <c r="R369" s="67">
        <f>O369+P369</f>
        <v>10700263.029999999</v>
      </c>
      <c r="S369" s="70"/>
      <c r="T369" s="70"/>
      <c r="U369" s="70"/>
      <c r="V369" s="70"/>
      <c r="W369" s="70"/>
      <c r="X369" s="67">
        <f>R369+V369</f>
        <v>10700263.029999999</v>
      </c>
      <c r="Y369" s="67">
        <f>R369+H369</f>
        <v>10700263.029999999</v>
      </c>
      <c r="Z369" s="67">
        <f>D369-Y369</f>
        <v>0</v>
      </c>
      <c r="AA369" s="67">
        <f>N369+X369</f>
        <v>10700263.029999999</v>
      </c>
      <c r="AB369" s="69">
        <f>+D369-N369-X369</f>
        <v>0</v>
      </c>
    </row>
    <row r="370" spans="1:29" x14ac:dyDescent="0.25">
      <c r="A370" s="46"/>
      <c r="B370" s="26"/>
      <c r="C370" s="4"/>
      <c r="D370" s="70" t="s">
        <v>40</v>
      </c>
      <c r="E370" s="70" t="s">
        <v>40</v>
      </c>
      <c r="F370" s="70" t="s">
        <v>40</v>
      </c>
      <c r="G370" s="70"/>
      <c r="H370" s="70" t="s">
        <v>40</v>
      </c>
      <c r="I370" s="70" t="s">
        <v>40</v>
      </c>
      <c r="J370" s="70" t="s">
        <v>40</v>
      </c>
      <c r="K370" s="70" t="s">
        <v>40</v>
      </c>
      <c r="L370" s="70" t="s">
        <v>40</v>
      </c>
      <c r="M370" s="70"/>
      <c r="N370" s="70" t="s">
        <v>40</v>
      </c>
      <c r="O370" s="70" t="s">
        <v>40</v>
      </c>
      <c r="P370" s="70" t="s">
        <v>40</v>
      </c>
      <c r="Q370" s="70"/>
      <c r="R370" s="70" t="s">
        <v>40</v>
      </c>
      <c r="S370" s="70" t="s">
        <v>40</v>
      </c>
      <c r="T370" s="70" t="s">
        <v>40</v>
      </c>
      <c r="U370" s="70" t="s">
        <v>40</v>
      </c>
      <c r="V370" s="70" t="s">
        <v>40</v>
      </c>
      <c r="W370" s="70"/>
      <c r="X370" s="70" t="s">
        <v>40</v>
      </c>
      <c r="Y370" s="70" t="s">
        <v>40</v>
      </c>
      <c r="Z370" s="70" t="s">
        <v>40</v>
      </c>
      <c r="AA370" s="70" t="s">
        <v>40</v>
      </c>
      <c r="AB370" s="70" t="s">
        <v>40</v>
      </c>
    </row>
    <row r="371" spans="1:29" x14ac:dyDescent="0.25">
      <c r="A371" s="46"/>
      <c r="B371" s="26"/>
      <c r="C371" s="4"/>
      <c r="D371" s="72">
        <f>SUM(D366:D369)</f>
        <v>39750506.68</v>
      </c>
      <c r="E371" s="72">
        <f t="shared" ref="E371:AB371" si="157">SUM(E366:E369)</f>
        <v>19288187.690000001</v>
      </c>
      <c r="F371" s="72">
        <f t="shared" si="157"/>
        <v>0</v>
      </c>
      <c r="G371" s="72"/>
      <c r="H371" s="72">
        <f t="shared" si="157"/>
        <v>19288187.690000001</v>
      </c>
      <c r="I371" s="72">
        <f t="shared" si="157"/>
        <v>0</v>
      </c>
      <c r="J371" s="72">
        <f t="shared" si="157"/>
        <v>0</v>
      </c>
      <c r="K371" s="72">
        <f t="shared" si="157"/>
        <v>0</v>
      </c>
      <c r="L371" s="72">
        <f t="shared" si="157"/>
        <v>0</v>
      </c>
      <c r="M371" s="72"/>
      <c r="N371" s="72">
        <f t="shared" si="157"/>
        <v>19288187.690000001</v>
      </c>
      <c r="O371" s="72">
        <f t="shared" si="157"/>
        <v>24940082.509999998</v>
      </c>
      <c r="P371" s="72">
        <f t="shared" si="157"/>
        <v>0</v>
      </c>
      <c r="Q371" s="72"/>
      <c r="R371" s="72">
        <f t="shared" si="157"/>
        <v>24940082.509999998</v>
      </c>
      <c r="S371" s="72">
        <f t="shared" si="157"/>
        <v>0</v>
      </c>
      <c r="T371" s="72">
        <f t="shared" si="157"/>
        <v>0</v>
      </c>
      <c r="U371" s="72">
        <f t="shared" si="157"/>
        <v>0</v>
      </c>
      <c r="V371" s="72">
        <f t="shared" si="157"/>
        <v>0</v>
      </c>
      <c r="W371" s="72"/>
      <c r="X371" s="72">
        <f t="shared" si="157"/>
        <v>24940082.509999998</v>
      </c>
      <c r="Y371" s="72">
        <f t="shared" si="157"/>
        <v>44228270.200000003</v>
      </c>
      <c r="Z371" s="72">
        <f t="shared" si="157"/>
        <v>-4477763.5200000014</v>
      </c>
      <c r="AA371" s="72">
        <f t="shared" si="157"/>
        <v>44228270.200000003</v>
      </c>
      <c r="AB371" s="72">
        <f t="shared" si="157"/>
        <v>-4477763.5200000014</v>
      </c>
    </row>
    <row r="372" spans="1:29" x14ac:dyDescent="0.25">
      <c r="A372" s="46"/>
      <c r="B372" s="26"/>
      <c r="C372" s="4"/>
      <c r="D372" s="70" t="s">
        <v>40</v>
      </c>
      <c r="E372" s="70" t="s">
        <v>40</v>
      </c>
      <c r="F372" s="70" t="s">
        <v>40</v>
      </c>
      <c r="G372" s="70"/>
      <c r="H372" s="70" t="s">
        <v>40</v>
      </c>
      <c r="I372" s="70" t="s">
        <v>40</v>
      </c>
      <c r="J372" s="70" t="s">
        <v>40</v>
      </c>
      <c r="K372" s="70" t="s">
        <v>40</v>
      </c>
      <c r="L372" s="70" t="s">
        <v>40</v>
      </c>
      <c r="M372" s="70"/>
      <c r="N372" s="70" t="s">
        <v>40</v>
      </c>
      <c r="O372" s="70" t="s">
        <v>40</v>
      </c>
      <c r="P372" s="70" t="s">
        <v>40</v>
      </c>
      <c r="Q372" s="70"/>
      <c r="R372" s="70" t="s">
        <v>40</v>
      </c>
      <c r="S372" s="70" t="s">
        <v>40</v>
      </c>
      <c r="T372" s="70" t="s">
        <v>40</v>
      </c>
      <c r="U372" s="70" t="s">
        <v>40</v>
      </c>
      <c r="V372" s="70" t="s">
        <v>40</v>
      </c>
      <c r="W372" s="70"/>
      <c r="X372" s="70" t="s">
        <v>40</v>
      </c>
      <c r="Y372" s="70" t="s">
        <v>40</v>
      </c>
      <c r="Z372" s="70" t="s">
        <v>40</v>
      </c>
      <c r="AA372" s="70" t="s">
        <v>40</v>
      </c>
      <c r="AB372" s="70" t="s">
        <v>40</v>
      </c>
    </row>
    <row r="373" spans="1:29" ht="16.5" thickBot="1" x14ac:dyDescent="0.3">
      <c r="A373" s="46"/>
      <c r="B373" s="26"/>
      <c r="C373" s="4"/>
      <c r="D373" s="70"/>
      <c r="E373" s="70"/>
      <c r="F373" s="113">
        <v>4650327.54</v>
      </c>
      <c r="G373" s="149" t="s">
        <v>321</v>
      </c>
      <c r="H373" s="147" t="s">
        <v>329</v>
      </c>
      <c r="I373" s="70"/>
      <c r="J373" s="70"/>
      <c r="K373" s="70"/>
      <c r="L373" s="147" t="s">
        <v>331</v>
      </c>
      <c r="M373" s="148"/>
      <c r="N373" s="79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</row>
    <row r="374" spans="1:29" ht="16.5" thickTop="1" x14ac:dyDescent="0.25">
      <c r="A374" s="46">
        <v>37</v>
      </c>
      <c r="B374" s="26" t="s">
        <v>187</v>
      </c>
      <c r="C374" s="2" t="s">
        <v>35</v>
      </c>
      <c r="D374" s="72">
        <v>0</v>
      </c>
      <c r="E374" s="72">
        <v>6090896.5899999999</v>
      </c>
      <c r="F374" s="72"/>
      <c r="G374" s="70"/>
      <c r="H374" s="67">
        <f>E374+F374</f>
        <v>6090896.5899999999</v>
      </c>
      <c r="I374" s="70"/>
      <c r="J374" s="70"/>
      <c r="K374" s="70"/>
      <c r="L374" s="70"/>
      <c r="M374" s="70"/>
      <c r="N374" s="67">
        <f>H374+L374</f>
        <v>6090896.5899999999</v>
      </c>
      <c r="O374" s="70"/>
      <c r="P374" s="70"/>
      <c r="Q374" s="70"/>
      <c r="R374" s="67">
        <f>O374+P374</f>
        <v>0</v>
      </c>
      <c r="S374" s="70"/>
      <c r="T374" s="70"/>
      <c r="U374" s="70"/>
      <c r="V374" s="70"/>
      <c r="W374" s="70"/>
      <c r="X374" s="67">
        <f>R374+V374</f>
        <v>0</v>
      </c>
      <c r="Y374" s="67">
        <f>R374+H374</f>
        <v>6090896.5899999999</v>
      </c>
      <c r="Z374" s="67">
        <f>D374-Y374</f>
        <v>-6090896.5899999999</v>
      </c>
      <c r="AA374" s="67">
        <f>N374+X374</f>
        <v>6090896.5899999999</v>
      </c>
      <c r="AB374" s="67">
        <f>+D374-N374-X374</f>
        <v>-6090896.5899999999</v>
      </c>
    </row>
    <row r="375" spans="1:29" x14ac:dyDescent="0.25">
      <c r="A375" s="46"/>
      <c r="B375" s="26"/>
      <c r="C375" s="4" t="s">
        <v>36</v>
      </c>
      <c r="D375" s="72">
        <v>1693952</v>
      </c>
      <c r="E375" s="72">
        <v>1693952</v>
      </c>
      <c r="F375" s="70"/>
      <c r="G375" s="70"/>
      <c r="H375" s="67">
        <f>E375+F375</f>
        <v>1693952</v>
      </c>
      <c r="I375" s="70"/>
      <c r="J375" s="70"/>
      <c r="K375" s="70"/>
      <c r="L375" s="70"/>
      <c r="M375" s="70"/>
      <c r="N375" s="67">
        <f>H375+L375</f>
        <v>1693952</v>
      </c>
      <c r="O375" s="70"/>
      <c r="P375" s="70"/>
      <c r="Q375" s="70"/>
      <c r="R375" s="67">
        <f>O375+P375</f>
        <v>0</v>
      </c>
      <c r="S375" s="70"/>
      <c r="T375" s="70"/>
      <c r="U375" s="70"/>
      <c r="V375" s="70"/>
      <c r="W375" s="70"/>
      <c r="X375" s="67">
        <f>R375+V375</f>
        <v>0</v>
      </c>
      <c r="Y375" s="67">
        <f>R375+H375</f>
        <v>1693952</v>
      </c>
      <c r="Z375" s="67">
        <f>D375-Y375</f>
        <v>0</v>
      </c>
      <c r="AA375" s="67">
        <f>N375+X375</f>
        <v>1693952</v>
      </c>
      <c r="AB375" s="67">
        <f>+D375-N375-X375</f>
        <v>0</v>
      </c>
    </row>
    <row r="376" spans="1:29" x14ac:dyDescent="0.25">
      <c r="A376" s="46"/>
      <c r="B376" s="26"/>
      <c r="C376" s="4" t="s">
        <v>53</v>
      </c>
      <c r="D376" s="72">
        <f>13410831.92+4728957.99+835131.39</f>
        <v>18974921.300000001</v>
      </c>
      <c r="E376" s="70"/>
      <c r="F376" s="70"/>
      <c r="G376" s="70"/>
      <c r="H376" s="67">
        <f>E376+F376</f>
        <v>0</v>
      </c>
      <c r="I376" s="70"/>
      <c r="J376" s="70"/>
      <c r="K376" s="70"/>
      <c r="L376" s="72"/>
      <c r="M376" s="72"/>
      <c r="N376" s="67">
        <f>H376+L376</f>
        <v>0</v>
      </c>
      <c r="O376" s="72">
        <f>18138655.91+2709541.6</f>
        <v>20848197.510000002</v>
      </c>
      <c r="P376" s="72"/>
      <c r="Q376" s="70"/>
      <c r="R376" s="67">
        <f>O376+P376</f>
        <v>20848197.510000002</v>
      </c>
      <c r="S376" s="70"/>
      <c r="T376" s="70"/>
      <c r="U376" s="70"/>
      <c r="V376" s="72"/>
      <c r="W376" s="70"/>
      <c r="X376" s="67">
        <f>R376+V376</f>
        <v>20848197.510000002</v>
      </c>
      <c r="Y376" s="67">
        <f>R376+H376</f>
        <v>20848197.510000002</v>
      </c>
      <c r="Z376" s="67">
        <f>D376-Y376</f>
        <v>-1873276.2100000009</v>
      </c>
      <c r="AA376" s="67">
        <f>N376+X376</f>
        <v>20848197.510000002</v>
      </c>
      <c r="AB376" s="67">
        <f>+D376-N376-X376</f>
        <v>-1873276.2100000009</v>
      </c>
      <c r="AC376" t="s">
        <v>307</v>
      </c>
    </row>
    <row r="377" spans="1:29" x14ac:dyDescent="0.25">
      <c r="A377" s="46"/>
      <c r="B377" s="26"/>
      <c r="C377" s="4" t="s">
        <v>54</v>
      </c>
      <c r="D377" s="72">
        <f>10700263.03</f>
        <v>10700263.029999999</v>
      </c>
      <c r="E377" s="70"/>
      <c r="F377" s="70"/>
      <c r="G377" s="70"/>
      <c r="H377" s="67">
        <f>E377+F377</f>
        <v>0</v>
      </c>
      <c r="I377" s="70"/>
      <c r="J377" s="70"/>
      <c r="K377" s="70"/>
      <c r="L377" s="70"/>
      <c r="M377" s="70"/>
      <c r="N377" s="67">
        <f>H377+L377</f>
        <v>0</v>
      </c>
      <c r="O377" s="72">
        <v>10700263.029999999</v>
      </c>
      <c r="P377" s="70"/>
      <c r="Q377" s="70"/>
      <c r="R377" s="67">
        <f>O377+P377</f>
        <v>10700263.029999999</v>
      </c>
      <c r="S377" s="70"/>
      <c r="T377" s="70"/>
      <c r="U377" s="70"/>
      <c r="V377" s="70"/>
      <c r="W377" s="70"/>
      <c r="X377" s="67">
        <f>R377+V377</f>
        <v>10700263.029999999</v>
      </c>
      <c r="Y377" s="67">
        <f>R377+H377</f>
        <v>10700263.029999999</v>
      </c>
      <c r="Z377" s="67">
        <f>D377-Y377</f>
        <v>0</v>
      </c>
      <c r="AA377" s="67">
        <f>N377+X377</f>
        <v>10700263.029999999</v>
      </c>
      <c r="AB377" s="67">
        <f>+D377-N377-X377</f>
        <v>0</v>
      </c>
    </row>
    <row r="378" spans="1:29" x14ac:dyDescent="0.25">
      <c r="A378" s="46"/>
      <c r="B378" s="26"/>
      <c r="C378" s="4"/>
      <c r="D378" s="70" t="s">
        <v>40</v>
      </c>
      <c r="E378" s="70" t="s">
        <v>40</v>
      </c>
      <c r="F378" s="70" t="s">
        <v>40</v>
      </c>
      <c r="G378" s="70"/>
      <c r="H378" s="70" t="s">
        <v>40</v>
      </c>
      <c r="I378" s="70" t="s">
        <v>40</v>
      </c>
      <c r="J378" s="70" t="s">
        <v>40</v>
      </c>
      <c r="K378" s="70" t="s">
        <v>40</v>
      </c>
      <c r="L378" s="70" t="s">
        <v>40</v>
      </c>
      <c r="M378" s="70"/>
      <c r="N378" s="70" t="s">
        <v>40</v>
      </c>
      <c r="O378" s="70" t="s">
        <v>40</v>
      </c>
      <c r="P378" s="70" t="s">
        <v>40</v>
      </c>
      <c r="Q378" s="70"/>
      <c r="R378" s="70" t="s">
        <v>40</v>
      </c>
      <c r="S378" s="70" t="s">
        <v>40</v>
      </c>
      <c r="T378" s="70" t="s">
        <v>40</v>
      </c>
      <c r="U378" s="70" t="s">
        <v>40</v>
      </c>
      <c r="V378" s="70" t="s">
        <v>40</v>
      </c>
      <c r="W378" s="70"/>
      <c r="X378" s="70" t="s">
        <v>40</v>
      </c>
      <c r="Y378" s="70" t="s">
        <v>40</v>
      </c>
      <c r="Z378" s="70" t="s">
        <v>40</v>
      </c>
      <c r="AA378" s="70" t="s">
        <v>40</v>
      </c>
      <c r="AB378" s="70" t="s">
        <v>40</v>
      </c>
    </row>
    <row r="379" spans="1:29" x14ac:dyDescent="0.25">
      <c r="A379" s="46"/>
      <c r="B379" s="26"/>
      <c r="C379" s="4"/>
      <c r="D379" s="72">
        <f>SUM(D374:D377)</f>
        <v>31369136.329999998</v>
      </c>
      <c r="E379" s="72">
        <f t="shared" ref="E379:AB379" si="158">SUM(E374:E377)</f>
        <v>7784848.5899999999</v>
      </c>
      <c r="F379" s="72">
        <f t="shared" si="158"/>
        <v>0</v>
      </c>
      <c r="G379" s="72"/>
      <c r="H379" s="72">
        <f t="shared" si="158"/>
        <v>7784848.5899999999</v>
      </c>
      <c r="I379" s="72">
        <f t="shared" si="158"/>
        <v>0</v>
      </c>
      <c r="J379" s="72">
        <f t="shared" si="158"/>
        <v>0</v>
      </c>
      <c r="K379" s="72">
        <f t="shared" si="158"/>
        <v>0</v>
      </c>
      <c r="L379" s="72">
        <f t="shared" si="158"/>
        <v>0</v>
      </c>
      <c r="M379" s="72"/>
      <c r="N379" s="72">
        <f t="shared" si="158"/>
        <v>7784848.5899999999</v>
      </c>
      <c r="O379" s="72">
        <f t="shared" si="158"/>
        <v>31548460.539999999</v>
      </c>
      <c r="P379" s="72">
        <f t="shared" si="158"/>
        <v>0</v>
      </c>
      <c r="Q379" s="72"/>
      <c r="R379" s="72">
        <f t="shared" si="158"/>
        <v>31548460.539999999</v>
      </c>
      <c r="S379" s="72">
        <f t="shared" si="158"/>
        <v>0</v>
      </c>
      <c r="T379" s="72">
        <f t="shared" si="158"/>
        <v>0</v>
      </c>
      <c r="U379" s="72">
        <f t="shared" si="158"/>
        <v>0</v>
      </c>
      <c r="V379" s="72">
        <f t="shared" si="158"/>
        <v>0</v>
      </c>
      <c r="W379" s="72"/>
      <c r="X379" s="72">
        <f t="shared" si="158"/>
        <v>31548460.539999999</v>
      </c>
      <c r="Y379" s="72">
        <f t="shared" si="158"/>
        <v>39333309.130000003</v>
      </c>
      <c r="Z379" s="72">
        <f t="shared" si="158"/>
        <v>-7964172.8000000007</v>
      </c>
      <c r="AA379" s="72">
        <f t="shared" si="158"/>
        <v>39333309.130000003</v>
      </c>
      <c r="AB379" s="72">
        <f t="shared" si="158"/>
        <v>-7964172.8000000007</v>
      </c>
    </row>
    <row r="380" spans="1:29" x14ac:dyDescent="0.25">
      <c r="A380" s="46"/>
      <c r="B380" s="26"/>
      <c r="C380" s="4"/>
      <c r="D380" s="70" t="s">
        <v>40</v>
      </c>
      <c r="E380" s="70" t="s">
        <v>40</v>
      </c>
      <c r="F380" s="70" t="s">
        <v>40</v>
      </c>
      <c r="G380" s="70"/>
      <c r="H380" s="70" t="s">
        <v>40</v>
      </c>
      <c r="I380" s="70" t="s">
        <v>40</v>
      </c>
      <c r="J380" s="70" t="s">
        <v>40</v>
      </c>
      <c r="K380" s="70" t="s">
        <v>40</v>
      </c>
      <c r="L380" s="70" t="s">
        <v>40</v>
      </c>
      <c r="M380" s="70"/>
      <c r="N380" s="70" t="s">
        <v>40</v>
      </c>
      <c r="O380" s="70" t="s">
        <v>40</v>
      </c>
      <c r="P380" s="70" t="s">
        <v>40</v>
      </c>
      <c r="Q380" s="70"/>
      <c r="R380" s="70" t="s">
        <v>40</v>
      </c>
      <c r="S380" s="70" t="s">
        <v>40</v>
      </c>
      <c r="T380" s="70" t="s">
        <v>40</v>
      </c>
      <c r="U380" s="70" t="s">
        <v>40</v>
      </c>
      <c r="V380" s="70" t="s">
        <v>40</v>
      </c>
      <c r="W380" s="70"/>
      <c r="X380" s="70" t="s">
        <v>40</v>
      </c>
      <c r="Y380" s="70" t="s">
        <v>40</v>
      </c>
      <c r="Z380" s="70" t="s">
        <v>40</v>
      </c>
      <c r="AA380" s="70" t="s">
        <v>40</v>
      </c>
      <c r="AB380" s="70" t="s">
        <v>40</v>
      </c>
    </row>
    <row r="381" spans="1:29" ht="16.5" thickBot="1" x14ac:dyDescent="0.3">
      <c r="A381" s="46"/>
      <c r="B381" s="26"/>
      <c r="C381" s="4"/>
      <c r="D381" s="70"/>
      <c r="E381" s="70"/>
      <c r="F381" s="113">
        <v>6090896.5899999999</v>
      </c>
      <c r="G381" s="149" t="s">
        <v>321</v>
      </c>
      <c r="H381" s="147" t="s">
        <v>329</v>
      </c>
      <c r="I381" s="70"/>
      <c r="J381" s="70"/>
      <c r="K381" s="70"/>
      <c r="L381" s="147" t="s">
        <v>331</v>
      </c>
      <c r="M381" s="148"/>
      <c r="N381" s="79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</row>
    <row r="382" spans="1:29" ht="16.5" thickTop="1" x14ac:dyDescent="0.25">
      <c r="A382" s="46">
        <v>38</v>
      </c>
      <c r="B382" s="26" t="s">
        <v>188</v>
      </c>
      <c r="C382" s="2" t="s">
        <v>35</v>
      </c>
      <c r="D382" s="72">
        <v>53418439.899999999</v>
      </c>
      <c r="E382" s="70"/>
      <c r="F382" s="70"/>
      <c r="G382" s="70"/>
      <c r="H382" s="67">
        <f>E382+F382</f>
        <v>0</v>
      </c>
      <c r="I382" s="70"/>
      <c r="J382" s="70"/>
      <c r="K382" s="70"/>
      <c r="L382" s="70"/>
      <c r="M382" s="70"/>
      <c r="N382" s="67">
        <f>H382+L382</f>
        <v>0</v>
      </c>
      <c r="O382" s="70"/>
      <c r="P382" s="72"/>
      <c r="Q382" s="70"/>
      <c r="R382" s="67">
        <f>O382+P382</f>
        <v>0</v>
      </c>
      <c r="S382" s="70"/>
      <c r="T382" s="70"/>
      <c r="U382" s="70"/>
      <c r="V382" s="70"/>
      <c r="W382" s="70"/>
      <c r="X382" s="67">
        <f>R382+V382</f>
        <v>0</v>
      </c>
      <c r="Y382" s="67">
        <f>R382+H382</f>
        <v>0</v>
      </c>
      <c r="Z382" s="67">
        <f>D382-Y382</f>
        <v>53418439.899999999</v>
      </c>
      <c r="AA382" s="67">
        <f>N382+X382</f>
        <v>0</v>
      </c>
      <c r="AB382" s="67">
        <f>+D382-N382-X382</f>
        <v>53418439.899999999</v>
      </c>
    </row>
    <row r="383" spans="1:29" x14ac:dyDescent="0.25">
      <c r="A383" s="46"/>
      <c r="B383" s="26"/>
      <c r="C383" s="4" t="s">
        <v>36</v>
      </c>
      <c r="D383" s="72">
        <v>2565137</v>
      </c>
      <c r="E383" s="68">
        <v>2565137</v>
      </c>
      <c r="F383" s="68"/>
      <c r="G383" s="68"/>
      <c r="H383" s="67">
        <f>E383+F383</f>
        <v>2565137</v>
      </c>
      <c r="I383" s="68"/>
      <c r="J383" s="68"/>
      <c r="K383" s="68"/>
      <c r="L383" s="68"/>
      <c r="M383" s="68"/>
      <c r="N383" s="67">
        <f>H383+L383</f>
        <v>2565137</v>
      </c>
      <c r="O383" s="68"/>
      <c r="P383" s="68"/>
      <c r="Q383" s="68"/>
      <c r="R383" s="67">
        <f>O383+P383</f>
        <v>0</v>
      </c>
      <c r="S383" s="68"/>
      <c r="T383" s="68"/>
      <c r="U383" s="68"/>
      <c r="V383" s="68"/>
      <c r="W383" s="68"/>
      <c r="X383" s="67">
        <f>R383+V383</f>
        <v>0</v>
      </c>
      <c r="Y383" s="67">
        <f>R383+H383</f>
        <v>2565137</v>
      </c>
      <c r="Z383" s="67">
        <f>D383-Y383</f>
        <v>0</v>
      </c>
      <c r="AA383" s="67">
        <f>N383+X383</f>
        <v>2565137</v>
      </c>
      <c r="AB383" s="67">
        <f>+D383-N383-X383</f>
        <v>0</v>
      </c>
    </row>
    <row r="384" spans="1:29" x14ac:dyDescent="0.25">
      <c r="A384" s="46"/>
      <c r="B384" s="26"/>
      <c r="C384" s="4" t="s">
        <v>38</v>
      </c>
      <c r="D384" s="72">
        <v>3912782.83</v>
      </c>
      <c r="E384" s="68"/>
      <c r="F384" s="68"/>
      <c r="G384" s="68"/>
      <c r="H384" s="67">
        <f>E384+F384</f>
        <v>0</v>
      </c>
      <c r="I384" s="68"/>
      <c r="J384" s="68"/>
      <c r="K384" s="68"/>
      <c r="L384" s="68"/>
      <c r="M384" s="68"/>
      <c r="N384" s="67">
        <f>H384+L384</f>
        <v>0</v>
      </c>
      <c r="O384" s="68"/>
      <c r="P384" s="68"/>
      <c r="Q384" s="68"/>
      <c r="R384" s="67">
        <f>O384+P384</f>
        <v>0</v>
      </c>
      <c r="S384" s="68"/>
      <c r="T384" s="68"/>
      <c r="U384" s="68"/>
      <c r="V384" s="68"/>
      <c r="W384" s="68"/>
      <c r="X384" s="67">
        <f>R384+V384</f>
        <v>0</v>
      </c>
      <c r="Y384" s="67">
        <f>R384+H384</f>
        <v>0</v>
      </c>
      <c r="Z384" s="67">
        <f>D384-Y384</f>
        <v>3912782.83</v>
      </c>
      <c r="AA384" s="67">
        <f>N384+X384</f>
        <v>0</v>
      </c>
      <c r="AB384" s="67">
        <f>+D384-N384-X384</f>
        <v>3912782.83</v>
      </c>
    </row>
    <row r="385" spans="1:28" x14ac:dyDescent="0.25">
      <c r="A385" s="46"/>
      <c r="B385" s="26"/>
      <c r="C385" s="4"/>
      <c r="D385" s="70" t="s">
        <v>40</v>
      </c>
      <c r="E385" s="70" t="s">
        <v>40</v>
      </c>
      <c r="F385" s="70" t="s">
        <v>40</v>
      </c>
      <c r="G385" s="70"/>
      <c r="H385" s="70" t="s">
        <v>40</v>
      </c>
      <c r="I385" s="70" t="s">
        <v>40</v>
      </c>
      <c r="J385" s="70" t="s">
        <v>40</v>
      </c>
      <c r="K385" s="70" t="s">
        <v>40</v>
      </c>
      <c r="L385" s="70" t="s">
        <v>40</v>
      </c>
      <c r="M385" s="70"/>
      <c r="N385" s="70" t="s">
        <v>40</v>
      </c>
      <c r="O385" s="70" t="s">
        <v>40</v>
      </c>
      <c r="P385" s="70" t="s">
        <v>40</v>
      </c>
      <c r="Q385" s="70"/>
      <c r="R385" s="70" t="s">
        <v>40</v>
      </c>
      <c r="S385" s="70" t="s">
        <v>40</v>
      </c>
      <c r="T385" s="70" t="s">
        <v>40</v>
      </c>
      <c r="U385" s="70" t="s">
        <v>40</v>
      </c>
      <c r="V385" s="70" t="s">
        <v>40</v>
      </c>
      <c r="W385" s="70"/>
      <c r="X385" s="70" t="s">
        <v>40</v>
      </c>
      <c r="Y385" s="70" t="s">
        <v>40</v>
      </c>
      <c r="Z385" s="70" t="s">
        <v>40</v>
      </c>
      <c r="AA385" s="70" t="s">
        <v>40</v>
      </c>
      <c r="AB385" s="70" t="s">
        <v>40</v>
      </c>
    </row>
    <row r="386" spans="1:28" x14ac:dyDescent="0.25">
      <c r="A386" s="46"/>
      <c r="B386" s="26"/>
      <c r="C386" s="4"/>
      <c r="D386" s="72">
        <f>SUM(D382:D384)</f>
        <v>59896359.729999997</v>
      </c>
      <c r="E386" s="72">
        <f t="shared" ref="E386:AB386" si="159">SUM(E382:E384)</f>
        <v>2565137</v>
      </c>
      <c r="F386" s="72">
        <f t="shared" si="159"/>
        <v>0</v>
      </c>
      <c r="G386" s="72"/>
      <c r="H386" s="72">
        <f t="shared" si="159"/>
        <v>2565137</v>
      </c>
      <c r="I386" s="72">
        <f t="shared" si="159"/>
        <v>0</v>
      </c>
      <c r="J386" s="72">
        <f t="shared" si="159"/>
        <v>0</v>
      </c>
      <c r="K386" s="72">
        <f t="shared" si="159"/>
        <v>0</v>
      </c>
      <c r="L386" s="72">
        <f t="shared" si="159"/>
        <v>0</v>
      </c>
      <c r="M386" s="72"/>
      <c r="N386" s="72">
        <f t="shared" si="159"/>
        <v>2565137</v>
      </c>
      <c r="O386" s="72">
        <f t="shared" si="159"/>
        <v>0</v>
      </c>
      <c r="P386" s="72">
        <f t="shared" si="159"/>
        <v>0</v>
      </c>
      <c r="Q386" s="72"/>
      <c r="R386" s="72">
        <f t="shared" si="159"/>
        <v>0</v>
      </c>
      <c r="S386" s="72">
        <f t="shared" si="159"/>
        <v>0</v>
      </c>
      <c r="T386" s="72">
        <f t="shared" si="159"/>
        <v>0</v>
      </c>
      <c r="U386" s="72">
        <f t="shared" si="159"/>
        <v>0</v>
      </c>
      <c r="V386" s="72">
        <f t="shared" si="159"/>
        <v>0</v>
      </c>
      <c r="W386" s="72"/>
      <c r="X386" s="72">
        <f t="shared" si="159"/>
        <v>0</v>
      </c>
      <c r="Y386" s="72">
        <f t="shared" si="159"/>
        <v>2565137</v>
      </c>
      <c r="Z386" s="72">
        <f t="shared" si="159"/>
        <v>57331222.729999997</v>
      </c>
      <c r="AA386" s="72">
        <f t="shared" si="159"/>
        <v>2565137</v>
      </c>
      <c r="AB386" s="72">
        <f t="shared" si="159"/>
        <v>57331222.729999997</v>
      </c>
    </row>
    <row r="387" spans="1:28" x14ac:dyDescent="0.25">
      <c r="A387" s="46"/>
      <c r="B387" s="26"/>
      <c r="C387" s="4"/>
      <c r="D387" s="70" t="s">
        <v>40</v>
      </c>
      <c r="E387" s="70" t="s">
        <v>40</v>
      </c>
      <c r="F387" s="70" t="s">
        <v>40</v>
      </c>
      <c r="G387" s="70"/>
      <c r="H387" s="70" t="s">
        <v>40</v>
      </c>
      <c r="I387" s="70" t="s">
        <v>40</v>
      </c>
      <c r="J387" s="70" t="s">
        <v>40</v>
      </c>
      <c r="K387" s="70" t="s">
        <v>40</v>
      </c>
      <c r="L387" s="70" t="s">
        <v>40</v>
      </c>
      <c r="M387" s="70"/>
      <c r="N387" s="70" t="s">
        <v>40</v>
      </c>
      <c r="O387" s="70" t="s">
        <v>40</v>
      </c>
      <c r="P387" s="70" t="s">
        <v>40</v>
      </c>
      <c r="Q387" s="70"/>
      <c r="R387" s="70" t="s">
        <v>40</v>
      </c>
      <c r="S387" s="70" t="s">
        <v>40</v>
      </c>
      <c r="T387" s="70" t="s">
        <v>40</v>
      </c>
      <c r="U387" s="70" t="s">
        <v>40</v>
      </c>
      <c r="V387" s="70" t="s">
        <v>40</v>
      </c>
      <c r="W387" s="70"/>
      <c r="X387" s="70" t="s">
        <v>40</v>
      </c>
      <c r="Y387" s="70" t="s">
        <v>40</v>
      </c>
      <c r="Z387" s="70" t="s">
        <v>40</v>
      </c>
      <c r="AA387" s="68"/>
      <c r="AB387" s="70" t="s">
        <v>40</v>
      </c>
    </row>
    <row r="388" spans="1:28" x14ac:dyDescent="0.25">
      <c r="A388" s="46"/>
      <c r="B388" s="26"/>
      <c r="C388" s="4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6"/>
      <c r="Q388" s="70"/>
      <c r="R388" s="70"/>
      <c r="S388" s="70"/>
      <c r="T388" s="70"/>
      <c r="U388" s="70"/>
      <c r="V388" s="70"/>
      <c r="W388" s="70"/>
      <c r="X388" s="70"/>
      <c r="Y388" s="72"/>
      <c r="Z388" s="72"/>
      <c r="AA388" s="68"/>
      <c r="AB388" s="72"/>
    </row>
    <row r="389" spans="1:28" x14ac:dyDescent="0.25">
      <c r="A389" s="46">
        <v>39</v>
      </c>
      <c r="B389" s="26" t="s">
        <v>189</v>
      </c>
      <c r="C389" s="2" t="s">
        <v>35</v>
      </c>
      <c r="D389" s="72">
        <v>50603874.039999999</v>
      </c>
      <c r="E389" s="68"/>
      <c r="F389" s="68"/>
      <c r="G389" s="68"/>
      <c r="H389" s="67">
        <f>E389+F389</f>
        <v>0</v>
      </c>
      <c r="I389" s="68"/>
      <c r="J389" s="68"/>
      <c r="K389" s="68"/>
      <c r="L389" s="68"/>
      <c r="M389" s="68"/>
      <c r="N389" s="67">
        <f>H389+L389</f>
        <v>0</v>
      </c>
      <c r="O389" s="68"/>
      <c r="P389" s="68"/>
      <c r="Q389" s="68"/>
      <c r="R389" s="67">
        <f>O389+P389</f>
        <v>0</v>
      </c>
      <c r="S389" s="68"/>
      <c r="T389" s="68"/>
      <c r="U389" s="68"/>
      <c r="V389" s="68"/>
      <c r="W389" s="68"/>
      <c r="X389" s="67">
        <f>R389+V389</f>
        <v>0</v>
      </c>
      <c r="Y389" s="67">
        <f>R389+H389</f>
        <v>0</v>
      </c>
      <c r="Z389" s="67">
        <f>D389-Y389</f>
        <v>50603874.039999999</v>
      </c>
      <c r="AA389" s="67">
        <f>N389+X389</f>
        <v>0</v>
      </c>
      <c r="AB389" s="67">
        <f>+D389-N389-X389</f>
        <v>50603874.039999999</v>
      </c>
    </row>
    <row r="390" spans="1:28" x14ac:dyDescent="0.25">
      <c r="A390" s="46"/>
      <c r="B390" s="26"/>
      <c r="C390" s="4" t="s">
        <v>36</v>
      </c>
      <c r="D390" s="72">
        <v>2083523</v>
      </c>
      <c r="E390" s="68">
        <v>2083523</v>
      </c>
      <c r="F390" s="68"/>
      <c r="G390" s="68"/>
      <c r="H390" s="67">
        <f>E390+F390</f>
        <v>2083523</v>
      </c>
      <c r="I390" s="68"/>
      <c r="J390" s="68"/>
      <c r="K390" s="68"/>
      <c r="L390" s="68"/>
      <c r="M390" s="68"/>
      <c r="N390" s="67">
        <f>H390+L390</f>
        <v>2083523</v>
      </c>
      <c r="O390" s="68"/>
      <c r="P390" s="68"/>
      <c r="Q390" s="68"/>
      <c r="R390" s="67">
        <f>O390+P390</f>
        <v>0</v>
      </c>
      <c r="S390" s="68"/>
      <c r="T390" s="68"/>
      <c r="U390" s="68"/>
      <c r="V390" s="68"/>
      <c r="W390" s="68"/>
      <c r="X390" s="67">
        <f>R390+V390</f>
        <v>0</v>
      </c>
      <c r="Y390" s="67">
        <f>R390+H390</f>
        <v>2083523</v>
      </c>
      <c r="Z390" s="67">
        <f>D390-Y390</f>
        <v>0</v>
      </c>
      <c r="AA390" s="67">
        <f>N390+X390</f>
        <v>2083523</v>
      </c>
      <c r="AB390" s="67">
        <f>+D390-N390-X390</f>
        <v>0</v>
      </c>
    </row>
    <row r="391" spans="1:28" x14ac:dyDescent="0.25">
      <c r="A391" s="46"/>
      <c r="B391" s="26"/>
      <c r="C391" s="4" t="s">
        <v>38</v>
      </c>
      <c r="D391" s="72">
        <v>1533021.58</v>
      </c>
      <c r="E391" s="68"/>
      <c r="F391" s="68"/>
      <c r="G391" s="68"/>
      <c r="H391" s="67">
        <f>E391+F391</f>
        <v>0</v>
      </c>
      <c r="I391" s="68"/>
      <c r="J391" s="68"/>
      <c r="K391" s="68"/>
      <c r="L391" s="68"/>
      <c r="M391" s="68"/>
      <c r="N391" s="67">
        <f>H391+L391</f>
        <v>0</v>
      </c>
      <c r="O391" s="68"/>
      <c r="P391" s="68"/>
      <c r="Q391" s="68"/>
      <c r="R391" s="67">
        <f>O391+P391</f>
        <v>0</v>
      </c>
      <c r="S391" s="68"/>
      <c r="T391" s="68"/>
      <c r="U391" s="68"/>
      <c r="V391" s="68"/>
      <c r="W391" s="68"/>
      <c r="X391" s="67">
        <f>R391+V391</f>
        <v>0</v>
      </c>
      <c r="Y391" s="67">
        <f>R391+H391</f>
        <v>0</v>
      </c>
      <c r="Z391" s="67">
        <f>D391-Y391</f>
        <v>1533021.58</v>
      </c>
      <c r="AA391" s="67">
        <f>N391+X391</f>
        <v>0</v>
      </c>
      <c r="AB391" s="67">
        <f>+D391-N391-X391</f>
        <v>1533021.58</v>
      </c>
    </row>
    <row r="392" spans="1:28" x14ac:dyDescent="0.25">
      <c r="A392" s="46"/>
      <c r="B392" s="26"/>
      <c r="C392" s="27" t="str">
        <f>+C81</f>
        <v>EL-CONCESSIONAL</v>
      </c>
      <c r="D392" s="72">
        <v>201.5</v>
      </c>
      <c r="E392" s="68"/>
      <c r="F392" s="68"/>
      <c r="G392" s="68"/>
      <c r="H392" s="67">
        <f>E392+F392</f>
        <v>0</v>
      </c>
      <c r="I392" s="68"/>
      <c r="J392" s="68"/>
      <c r="K392" s="68"/>
      <c r="L392" s="68"/>
      <c r="M392" s="68"/>
      <c r="N392" s="67">
        <f>H392+L392</f>
        <v>0</v>
      </c>
      <c r="O392" s="68"/>
      <c r="P392" s="68"/>
      <c r="Q392" s="68"/>
      <c r="R392" s="67">
        <f>O392+P392</f>
        <v>0</v>
      </c>
      <c r="S392" s="68"/>
      <c r="T392" s="68"/>
      <c r="U392" s="68"/>
      <c r="V392" s="68"/>
      <c r="W392" s="68"/>
      <c r="X392" s="67">
        <f>R392+V392</f>
        <v>0</v>
      </c>
      <c r="Y392" s="67">
        <f>R392+H392</f>
        <v>0</v>
      </c>
      <c r="Z392" s="67">
        <f>D392-Y392</f>
        <v>201.5</v>
      </c>
      <c r="AA392" s="67">
        <f>N392+X392</f>
        <v>0</v>
      </c>
      <c r="AB392" s="67">
        <f>+D392-N392-X392</f>
        <v>201.5</v>
      </c>
    </row>
    <row r="393" spans="1:28" x14ac:dyDescent="0.25">
      <c r="A393" s="46"/>
      <c r="B393" s="26"/>
      <c r="C393" s="4"/>
      <c r="D393" s="70" t="s">
        <v>40</v>
      </c>
      <c r="E393" s="70" t="s">
        <v>40</v>
      </c>
      <c r="F393" s="70" t="s">
        <v>40</v>
      </c>
      <c r="G393" s="70"/>
      <c r="H393" s="70" t="s">
        <v>40</v>
      </c>
      <c r="I393" s="70" t="s">
        <v>40</v>
      </c>
      <c r="J393" s="70" t="s">
        <v>40</v>
      </c>
      <c r="K393" s="70" t="s">
        <v>40</v>
      </c>
      <c r="L393" s="70" t="s">
        <v>40</v>
      </c>
      <c r="M393" s="70"/>
      <c r="N393" s="70" t="s">
        <v>40</v>
      </c>
      <c r="O393" s="70" t="s">
        <v>40</v>
      </c>
      <c r="P393" s="70" t="s">
        <v>40</v>
      </c>
      <c r="Q393" s="70"/>
      <c r="R393" s="70" t="s">
        <v>40</v>
      </c>
      <c r="S393" s="70" t="s">
        <v>40</v>
      </c>
      <c r="T393" s="70" t="s">
        <v>40</v>
      </c>
      <c r="U393" s="70" t="s">
        <v>40</v>
      </c>
      <c r="V393" s="70" t="s">
        <v>40</v>
      </c>
      <c r="W393" s="70"/>
      <c r="X393" s="70" t="s">
        <v>40</v>
      </c>
      <c r="Y393" s="70" t="s">
        <v>40</v>
      </c>
      <c r="Z393" s="70" t="s">
        <v>40</v>
      </c>
      <c r="AA393" s="70" t="s">
        <v>40</v>
      </c>
      <c r="AB393" s="70" t="s">
        <v>40</v>
      </c>
    </row>
    <row r="394" spans="1:28" x14ac:dyDescent="0.25">
      <c r="A394" s="46"/>
      <c r="B394" s="26"/>
      <c r="C394" s="4"/>
      <c r="D394" s="72">
        <f>SUM(D389:D392)</f>
        <v>54220620.119999997</v>
      </c>
      <c r="E394" s="72">
        <f t="shared" ref="E394:AB394" si="160">SUM(E389:E392)</f>
        <v>2083523</v>
      </c>
      <c r="F394" s="72">
        <f t="shared" si="160"/>
        <v>0</v>
      </c>
      <c r="G394" s="72"/>
      <c r="H394" s="72">
        <f t="shared" si="160"/>
        <v>2083523</v>
      </c>
      <c r="I394" s="72">
        <f t="shared" si="160"/>
        <v>0</v>
      </c>
      <c r="J394" s="72">
        <f t="shared" si="160"/>
        <v>0</v>
      </c>
      <c r="K394" s="72">
        <f t="shared" si="160"/>
        <v>0</v>
      </c>
      <c r="L394" s="72">
        <f t="shared" si="160"/>
        <v>0</v>
      </c>
      <c r="M394" s="72"/>
      <c r="N394" s="72">
        <f t="shared" si="160"/>
        <v>2083523</v>
      </c>
      <c r="O394" s="72">
        <f t="shared" si="160"/>
        <v>0</v>
      </c>
      <c r="P394" s="72">
        <f t="shared" si="160"/>
        <v>0</v>
      </c>
      <c r="Q394" s="72"/>
      <c r="R394" s="72">
        <f t="shared" si="160"/>
        <v>0</v>
      </c>
      <c r="S394" s="72">
        <f t="shared" si="160"/>
        <v>0</v>
      </c>
      <c r="T394" s="72">
        <f t="shared" si="160"/>
        <v>0</v>
      </c>
      <c r="U394" s="72">
        <f t="shared" si="160"/>
        <v>0</v>
      </c>
      <c r="V394" s="72">
        <f t="shared" si="160"/>
        <v>0</v>
      </c>
      <c r="W394" s="72"/>
      <c r="X394" s="72">
        <f t="shared" si="160"/>
        <v>0</v>
      </c>
      <c r="Y394" s="72">
        <f t="shared" si="160"/>
        <v>2083523</v>
      </c>
      <c r="Z394" s="72">
        <f t="shared" si="160"/>
        <v>52137097.119999997</v>
      </c>
      <c r="AA394" s="72">
        <f t="shared" si="160"/>
        <v>2083523</v>
      </c>
      <c r="AB394" s="72">
        <f t="shared" si="160"/>
        <v>52137097.119999997</v>
      </c>
    </row>
    <row r="395" spans="1:28" x14ac:dyDescent="0.25">
      <c r="A395" s="46"/>
      <c r="B395" s="26"/>
      <c r="C395" s="4"/>
      <c r="D395" s="70" t="s">
        <v>40</v>
      </c>
      <c r="E395" s="70" t="s">
        <v>40</v>
      </c>
      <c r="F395" s="70" t="s">
        <v>40</v>
      </c>
      <c r="G395" s="70"/>
      <c r="H395" s="70" t="s">
        <v>40</v>
      </c>
      <c r="I395" s="70" t="s">
        <v>40</v>
      </c>
      <c r="J395" s="70" t="s">
        <v>40</v>
      </c>
      <c r="K395" s="70" t="s">
        <v>40</v>
      </c>
      <c r="L395" s="70" t="s">
        <v>40</v>
      </c>
      <c r="M395" s="70"/>
      <c r="N395" s="70" t="s">
        <v>40</v>
      </c>
      <c r="O395" s="70" t="s">
        <v>40</v>
      </c>
      <c r="P395" s="70" t="s">
        <v>40</v>
      </c>
      <c r="Q395" s="70"/>
      <c r="R395" s="70" t="s">
        <v>40</v>
      </c>
      <c r="S395" s="70" t="s">
        <v>40</v>
      </c>
      <c r="T395" s="70" t="s">
        <v>40</v>
      </c>
      <c r="U395" s="70" t="s">
        <v>40</v>
      </c>
      <c r="V395" s="70" t="s">
        <v>40</v>
      </c>
      <c r="W395" s="70"/>
      <c r="X395" s="70" t="s">
        <v>40</v>
      </c>
      <c r="Y395" s="70" t="s">
        <v>40</v>
      </c>
      <c r="Z395" s="70" t="s">
        <v>40</v>
      </c>
      <c r="AA395" s="70" t="s">
        <v>40</v>
      </c>
      <c r="AB395" s="70" t="s">
        <v>40</v>
      </c>
    </row>
    <row r="396" spans="1:28" x14ac:dyDescent="0.25">
      <c r="A396" s="46"/>
      <c r="B396" s="26"/>
      <c r="C396" s="4"/>
      <c r="D396" s="72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</row>
    <row r="397" spans="1:28" ht="16.5" thickBot="1" x14ac:dyDescent="0.3">
      <c r="A397" s="46">
        <v>40</v>
      </c>
      <c r="B397" s="26" t="s">
        <v>190</v>
      </c>
      <c r="C397" s="4" t="s">
        <v>183</v>
      </c>
      <c r="D397" s="72">
        <v>5571157.7400000002</v>
      </c>
      <c r="E397" s="68"/>
      <c r="F397" s="131">
        <v>8976293.8000000007</v>
      </c>
      <c r="G397" s="68" t="s">
        <v>321</v>
      </c>
      <c r="H397" s="67">
        <f>E397+F397</f>
        <v>8976293.8000000007</v>
      </c>
      <c r="I397" s="68"/>
      <c r="J397" s="68"/>
      <c r="K397" s="68"/>
      <c r="L397" s="68"/>
      <c r="M397" s="68"/>
      <c r="N397" s="67">
        <f>H397+L397</f>
        <v>8976293.8000000007</v>
      </c>
      <c r="O397" s="68"/>
      <c r="P397" s="68"/>
      <c r="Q397" s="68"/>
      <c r="R397" s="67">
        <f>O397+P397</f>
        <v>0</v>
      </c>
      <c r="S397" s="68"/>
      <c r="T397" s="68"/>
      <c r="U397" s="68"/>
      <c r="V397" s="68"/>
      <c r="W397" s="68"/>
      <c r="X397" s="67">
        <f>R397+V397</f>
        <v>0</v>
      </c>
      <c r="Y397" s="67">
        <f>R397+H397</f>
        <v>8976293.8000000007</v>
      </c>
      <c r="Z397" s="67">
        <f>D397-Y397</f>
        <v>-3405136.0600000005</v>
      </c>
      <c r="AA397" s="67">
        <f>N397+X397</f>
        <v>8976293.8000000007</v>
      </c>
      <c r="AB397" s="67">
        <f>+D397-N397-X397</f>
        <v>-3405136.0600000005</v>
      </c>
    </row>
    <row r="398" spans="1:28" ht="16.5" thickTop="1" x14ac:dyDescent="0.25">
      <c r="C398" s="4" t="s">
        <v>298</v>
      </c>
      <c r="D398" s="55">
        <v>5079268</v>
      </c>
      <c r="E398" s="55">
        <v>5079268</v>
      </c>
      <c r="F398" s="55"/>
      <c r="G398" s="55"/>
      <c r="H398" s="55">
        <f>+E398+F398</f>
        <v>5079268</v>
      </c>
      <c r="I398" s="55"/>
      <c r="J398" s="55"/>
      <c r="K398" s="55"/>
      <c r="L398" s="55"/>
      <c r="M398" s="55"/>
      <c r="N398" s="55">
        <f>+H398+L398</f>
        <v>5079268</v>
      </c>
      <c r="O398" s="55"/>
      <c r="P398" s="55"/>
      <c r="Q398" s="55"/>
      <c r="R398" s="55">
        <f>+O398+P398</f>
        <v>0</v>
      </c>
      <c r="S398" s="55"/>
      <c r="T398" s="55"/>
      <c r="U398" s="55"/>
      <c r="V398" s="55"/>
      <c r="W398" s="55"/>
      <c r="X398" s="55">
        <f>+R398+V398</f>
        <v>0</v>
      </c>
      <c r="Y398" s="67">
        <f>R398+H398</f>
        <v>5079268</v>
      </c>
      <c r="Z398" s="67">
        <f>D398-Y398</f>
        <v>0</v>
      </c>
      <c r="AA398" s="67">
        <f>N398+X398</f>
        <v>5079268</v>
      </c>
      <c r="AB398" s="67">
        <f>+D398-N398-X398</f>
        <v>0</v>
      </c>
    </row>
    <row r="399" spans="1:28" x14ac:dyDescent="0.25">
      <c r="A399" s="46"/>
      <c r="B399" s="26"/>
      <c r="C399" s="4" t="s">
        <v>38</v>
      </c>
      <c r="D399" s="72">
        <v>1598000</v>
      </c>
      <c r="E399" s="68"/>
      <c r="F399" s="68"/>
      <c r="G399" s="68"/>
      <c r="H399" s="67">
        <f>E399+F399</f>
        <v>0</v>
      </c>
      <c r="I399" s="68"/>
      <c r="J399" s="68"/>
      <c r="K399" s="68"/>
      <c r="L399" s="68"/>
      <c r="M399" s="68"/>
      <c r="N399" s="67">
        <f>H399+L399</f>
        <v>0</v>
      </c>
      <c r="O399" s="68"/>
      <c r="P399" s="68"/>
      <c r="Q399" s="68"/>
      <c r="R399" s="67">
        <f>O399+P399</f>
        <v>0</v>
      </c>
      <c r="S399" s="68"/>
      <c r="T399" s="68"/>
      <c r="U399" s="68"/>
      <c r="V399" s="68"/>
      <c r="W399" s="68"/>
      <c r="X399" s="67">
        <f>R399+V399</f>
        <v>0</v>
      </c>
      <c r="Y399" s="67">
        <f>R399+H399</f>
        <v>0</v>
      </c>
      <c r="Z399" s="67">
        <f>D399-Y399</f>
        <v>1598000</v>
      </c>
      <c r="AA399" s="67">
        <f>N399+X399</f>
        <v>0</v>
      </c>
      <c r="AB399" s="67">
        <f>+D399-N399-X399</f>
        <v>1598000</v>
      </c>
    </row>
    <row r="400" spans="1:28" x14ac:dyDescent="0.25">
      <c r="A400" s="46"/>
      <c r="B400" s="26"/>
      <c r="C400" s="4" t="s">
        <v>184</v>
      </c>
      <c r="D400" s="72">
        <v>3326665.47</v>
      </c>
      <c r="E400" s="68"/>
      <c r="F400" s="68"/>
      <c r="G400" s="68"/>
      <c r="H400" s="67">
        <f>E400+F400</f>
        <v>0</v>
      </c>
      <c r="I400" s="68"/>
      <c r="J400" s="68"/>
      <c r="K400" s="68"/>
      <c r="L400" s="68"/>
      <c r="M400" s="68"/>
      <c r="N400" s="67">
        <f>H400+L400</f>
        <v>0</v>
      </c>
      <c r="O400" s="68"/>
      <c r="P400" s="68"/>
      <c r="Q400" s="68"/>
      <c r="R400" s="67">
        <f>O400+P400</f>
        <v>0</v>
      </c>
      <c r="S400" s="68"/>
      <c r="T400" s="68"/>
      <c r="U400" s="68"/>
      <c r="V400" s="68"/>
      <c r="W400" s="68"/>
      <c r="X400" s="67">
        <f>R400+V400</f>
        <v>0</v>
      </c>
      <c r="Y400" s="67">
        <f>R400+H400</f>
        <v>0</v>
      </c>
      <c r="Z400" s="67">
        <f>D400-Y400</f>
        <v>3326665.47</v>
      </c>
      <c r="AA400" s="67">
        <f>N400+X400</f>
        <v>0</v>
      </c>
      <c r="AB400" s="67">
        <f>+D400-N400-X400</f>
        <v>3326665.47</v>
      </c>
    </row>
    <row r="401" spans="1:28" x14ac:dyDescent="0.25">
      <c r="A401" s="46"/>
      <c r="B401" s="26"/>
      <c r="C401" s="4" t="s">
        <v>191</v>
      </c>
      <c r="D401" s="72">
        <v>28856990.23</v>
      </c>
      <c r="E401" s="68"/>
      <c r="F401" s="68"/>
      <c r="G401" s="68"/>
      <c r="H401" s="67">
        <f>E401+F401</f>
        <v>0</v>
      </c>
      <c r="I401" s="68"/>
      <c r="J401" s="68"/>
      <c r="K401" s="68"/>
      <c r="L401" s="68"/>
      <c r="M401" s="68"/>
      <c r="N401" s="67">
        <f>H401+L401</f>
        <v>0</v>
      </c>
      <c r="O401" s="68"/>
      <c r="P401" s="68"/>
      <c r="Q401" s="68"/>
      <c r="R401" s="67">
        <f>O401+P401</f>
        <v>0</v>
      </c>
      <c r="S401" s="68"/>
      <c r="T401" s="68"/>
      <c r="U401" s="68"/>
      <c r="V401" s="68"/>
      <c r="W401" s="68"/>
      <c r="X401" s="67">
        <f>R401+V401</f>
        <v>0</v>
      </c>
      <c r="Y401" s="67">
        <f>R401+H401</f>
        <v>0</v>
      </c>
      <c r="Z401" s="67">
        <f>D401-Y401</f>
        <v>28856990.23</v>
      </c>
      <c r="AA401" s="67">
        <f>N401+X401</f>
        <v>0</v>
      </c>
      <c r="AB401" s="67">
        <f>+D401-N401-X401</f>
        <v>28856990.23</v>
      </c>
    </row>
    <row r="402" spans="1:28" x14ac:dyDescent="0.25">
      <c r="A402" s="46"/>
      <c r="B402" s="26"/>
      <c r="C402" s="4"/>
      <c r="D402" s="70" t="s">
        <v>40</v>
      </c>
      <c r="E402" s="70" t="s">
        <v>40</v>
      </c>
      <c r="F402" s="70" t="s">
        <v>40</v>
      </c>
      <c r="G402" s="70"/>
      <c r="H402" s="70" t="s">
        <v>40</v>
      </c>
      <c r="I402" s="70" t="s">
        <v>40</v>
      </c>
      <c r="J402" s="70" t="s">
        <v>40</v>
      </c>
      <c r="K402" s="70" t="s">
        <v>40</v>
      </c>
      <c r="L402" s="70" t="s">
        <v>40</v>
      </c>
      <c r="M402" s="70"/>
      <c r="N402" s="70" t="s">
        <v>40</v>
      </c>
      <c r="O402" s="70" t="s">
        <v>40</v>
      </c>
      <c r="P402" s="70" t="s">
        <v>40</v>
      </c>
      <c r="Q402" s="70"/>
      <c r="R402" s="70" t="s">
        <v>40</v>
      </c>
      <c r="S402" s="70" t="s">
        <v>40</v>
      </c>
      <c r="T402" s="70" t="s">
        <v>40</v>
      </c>
      <c r="U402" s="70" t="s">
        <v>40</v>
      </c>
      <c r="V402" s="70" t="s">
        <v>40</v>
      </c>
      <c r="W402" s="70"/>
      <c r="X402" s="70" t="s">
        <v>40</v>
      </c>
      <c r="Y402" s="70" t="s">
        <v>40</v>
      </c>
      <c r="Z402" s="70" t="s">
        <v>40</v>
      </c>
      <c r="AA402" s="70" t="s">
        <v>40</v>
      </c>
      <c r="AB402" s="70" t="s">
        <v>40</v>
      </c>
    </row>
    <row r="403" spans="1:28" x14ac:dyDescent="0.25">
      <c r="A403" s="46"/>
      <c r="B403" s="26"/>
      <c r="C403" s="4"/>
      <c r="D403" s="72">
        <f>SUM(D397:D401)</f>
        <v>44432081.439999998</v>
      </c>
      <c r="E403" s="72">
        <f>SUM(E397:E401)</f>
        <v>5079268</v>
      </c>
      <c r="F403" s="72">
        <f>SUM(F397:F401)</f>
        <v>8976293.8000000007</v>
      </c>
      <c r="G403" s="72"/>
      <c r="H403" s="72">
        <f>SUM(H397:H401)</f>
        <v>14055561.800000001</v>
      </c>
      <c r="I403" s="72">
        <f>SUM(I397:I401)</f>
        <v>0</v>
      </c>
      <c r="J403" s="72">
        <f>SUM(J397:J401)</f>
        <v>0</v>
      </c>
      <c r="K403" s="72">
        <f>SUM(K397:K401)</f>
        <v>0</v>
      </c>
      <c r="L403" s="72">
        <f>SUM(L397:L401)</f>
        <v>0</v>
      </c>
      <c r="M403" s="72"/>
      <c r="N403" s="72">
        <f>SUM(N397:N401)</f>
        <v>14055561.800000001</v>
      </c>
      <c r="O403" s="72">
        <f>SUM(O397:O401)</f>
        <v>0</v>
      </c>
      <c r="P403" s="72">
        <f>SUM(P397:P401)</f>
        <v>0</v>
      </c>
      <c r="Q403" s="72"/>
      <c r="R403" s="72">
        <f>SUM(R397:R401)</f>
        <v>0</v>
      </c>
      <c r="S403" s="72">
        <f>SUM(S397:S401)</f>
        <v>0</v>
      </c>
      <c r="T403" s="72">
        <f>SUM(T397:T401)</f>
        <v>0</v>
      </c>
      <c r="U403" s="72">
        <f>SUM(U397:U401)</f>
        <v>0</v>
      </c>
      <c r="V403" s="72">
        <f>SUM(V397:V401)</f>
        <v>0</v>
      </c>
      <c r="W403" s="72"/>
      <c r="X403" s="72">
        <f>SUM(X397:X401)</f>
        <v>0</v>
      </c>
      <c r="Y403" s="72">
        <f>SUM(Y397:Y401)</f>
        <v>14055561.800000001</v>
      </c>
      <c r="Z403" s="72">
        <f>SUM(Z397:Z401)</f>
        <v>30376519.640000001</v>
      </c>
      <c r="AA403" s="72">
        <f>SUM(AA397:AA401)</f>
        <v>14055561.800000001</v>
      </c>
      <c r="AB403" s="72">
        <f>SUM(AB397:AB401)</f>
        <v>30376519.640000001</v>
      </c>
    </row>
    <row r="404" spans="1:28" x14ac:dyDescent="0.25">
      <c r="A404" s="46"/>
      <c r="B404" s="26"/>
      <c r="C404" s="4"/>
      <c r="D404" s="70" t="s">
        <v>40</v>
      </c>
      <c r="E404" s="70" t="s">
        <v>40</v>
      </c>
      <c r="F404" s="70" t="s">
        <v>40</v>
      </c>
      <c r="G404" s="70"/>
      <c r="H404" s="70" t="s">
        <v>40</v>
      </c>
      <c r="I404" s="70" t="s">
        <v>40</v>
      </c>
      <c r="J404" s="70" t="s">
        <v>40</v>
      </c>
      <c r="K404" s="70" t="s">
        <v>40</v>
      </c>
      <c r="L404" s="70" t="s">
        <v>40</v>
      </c>
      <c r="M404" s="70"/>
      <c r="N404" s="70" t="s">
        <v>40</v>
      </c>
      <c r="O404" s="70" t="s">
        <v>40</v>
      </c>
      <c r="P404" s="70" t="s">
        <v>40</v>
      </c>
      <c r="Q404" s="70"/>
      <c r="R404" s="70" t="s">
        <v>40</v>
      </c>
      <c r="S404" s="70" t="s">
        <v>40</v>
      </c>
      <c r="T404" s="70" t="s">
        <v>40</v>
      </c>
      <c r="U404" s="70" t="s">
        <v>40</v>
      </c>
      <c r="V404" s="70" t="s">
        <v>40</v>
      </c>
      <c r="W404" s="70"/>
      <c r="X404" s="70" t="s">
        <v>40</v>
      </c>
      <c r="Y404" s="70" t="s">
        <v>40</v>
      </c>
      <c r="Z404" s="70" t="s">
        <v>40</v>
      </c>
      <c r="AA404" s="70" t="s">
        <v>40</v>
      </c>
      <c r="AB404" s="70" t="s">
        <v>40</v>
      </c>
    </row>
    <row r="405" spans="1:28" ht="16.5" thickBot="1" x14ac:dyDescent="0.3">
      <c r="A405" s="46"/>
      <c r="B405" s="26"/>
      <c r="C405" s="4"/>
      <c r="D405" s="70"/>
      <c r="E405" s="70"/>
      <c r="F405" s="72">
        <v>8976293.8000000007</v>
      </c>
      <c r="G405" s="79" t="s">
        <v>321</v>
      </c>
      <c r="H405" s="147" t="s">
        <v>329</v>
      </c>
      <c r="I405" s="70"/>
      <c r="J405" s="70"/>
      <c r="K405" s="70"/>
      <c r="L405" s="147" t="s">
        <v>331</v>
      </c>
      <c r="M405" s="148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</row>
    <row r="406" spans="1:28" ht="16.5" thickTop="1" x14ac:dyDescent="0.25">
      <c r="A406" s="46">
        <v>41</v>
      </c>
      <c r="B406" s="26" t="s">
        <v>192</v>
      </c>
      <c r="C406" s="2" t="s">
        <v>35</v>
      </c>
      <c r="D406" s="72">
        <v>0</v>
      </c>
      <c r="E406" s="68"/>
      <c r="F406" s="68"/>
      <c r="G406" s="68"/>
      <c r="H406" s="67">
        <f>E406+F406</f>
        <v>0</v>
      </c>
      <c r="I406" s="68"/>
      <c r="J406" s="68"/>
      <c r="K406" s="68"/>
      <c r="L406" s="68"/>
      <c r="M406" s="68"/>
      <c r="N406" s="67">
        <f>H406+L406</f>
        <v>0</v>
      </c>
      <c r="O406" s="68"/>
      <c r="P406" s="68"/>
      <c r="Q406" s="68"/>
      <c r="R406" s="67">
        <f>O406+P406</f>
        <v>0</v>
      </c>
      <c r="S406" s="68"/>
      <c r="T406" s="68"/>
      <c r="U406" s="68"/>
      <c r="V406" s="68"/>
      <c r="W406" s="68"/>
      <c r="X406" s="67">
        <f>R406+V406</f>
        <v>0</v>
      </c>
      <c r="Y406" s="67">
        <f>R406+H406</f>
        <v>0</v>
      </c>
      <c r="Z406" s="67">
        <f>D406-Y406</f>
        <v>0</v>
      </c>
      <c r="AA406" s="67">
        <f>N406+X406</f>
        <v>0</v>
      </c>
      <c r="AB406" s="67">
        <f>+D406-N406-X406</f>
        <v>0</v>
      </c>
    </row>
    <row r="407" spans="1:28" x14ac:dyDescent="0.25">
      <c r="A407" s="46"/>
      <c r="B407" s="26"/>
      <c r="C407" s="4" t="s">
        <v>36</v>
      </c>
      <c r="D407" s="72">
        <v>488527</v>
      </c>
      <c r="E407" s="68">
        <v>488527</v>
      </c>
      <c r="F407" s="68"/>
      <c r="G407" s="68"/>
      <c r="H407" s="67">
        <f>E407+F407</f>
        <v>488527</v>
      </c>
      <c r="I407" s="68"/>
      <c r="J407" s="68"/>
      <c r="K407" s="68"/>
      <c r="L407" s="68"/>
      <c r="M407" s="68"/>
      <c r="N407" s="67">
        <f>H407+L407</f>
        <v>488527</v>
      </c>
      <c r="O407" s="68"/>
      <c r="P407" s="68"/>
      <c r="Q407" s="68"/>
      <c r="R407" s="67">
        <f>O407+P407</f>
        <v>0</v>
      </c>
      <c r="S407" s="68"/>
      <c r="T407" s="68"/>
      <c r="U407" s="68"/>
      <c r="V407" s="68"/>
      <c r="W407" s="68"/>
      <c r="X407" s="67">
        <f>R407+V407</f>
        <v>0</v>
      </c>
      <c r="Y407" s="67">
        <f>R407+H407</f>
        <v>488527</v>
      </c>
      <c r="Z407" s="67">
        <f>D407-Y407</f>
        <v>0</v>
      </c>
      <c r="AA407" s="67">
        <f>N407+X407</f>
        <v>488527</v>
      </c>
      <c r="AB407" s="67">
        <f>+D407-N407-X407</f>
        <v>0</v>
      </c>
    </row>
    <row r="408" spans="1:28" x14ac:dyDescent="0.25">
      <c r="A408" s="46"/>
      <c r="B408" s="26"/>
      <c r="C408" s="4"/>
      <c r="D408" s="70" t="s">
        <v>40</v>
      </c>
      <c r="E408" s="70" t="s">
        <v>40</v>
      </c>
      <c r="F408" s="70" t="s">
        <v>40</v>
      </c>
      <c r="G408" s="70"/>
      <c r="H408" s="70" t="s">
        <v>40</v>
      </c>
      <c r="I408" s="70" t="s">
        <v>40</v>
      </c>
      <c r="J408" s="70" t="s">
        <v>40</v>
      </c>
      <c r="K408" s="70" t="s">
        <v>40</v>
      </c>
      <c r="L408" s="70" t="s">
        <v>40</v>
      </c>
      <c r="M408" s="70"/>
      <c r="N408" s="70" t="s">
        <v>40</v>
      </c>
      <c r="O408" s="70" t="s">
        <v>40</v>
      </c>
      <c r="P408" s="70" t="s">
        <v>40</v>
      </c>
      <c r="Q408" s="70"/>
      <c r="R408" s="70" t="s">
        <v>40</v>
      </c>
      <c r="S408" s="70" t="s">
        <v>40</v>
      </c>
      <c r="T408" s="70" t="s">
        <v>40</v>
      </c>
      <c r="U408" s="70" t="s">
        <v>40</v>
      </c>
      <c r="V408" s="70" t="s">
        <v>40</v>
      </c>
      <c r="W408" s="70"/>
      <c r="X408" s="70" t="s">
        <v>40</v>
      </c>
      <c r="Y408" s="70" t="s">
        <v>40</v>
      </c>
      <c r="Z408" s="70" t="s">
        <v>40</v>
      </c>
      <c r="AA408" s="70" t="s">
        <v>40</v>
      </c>
      <c r="AB408" s="70" t="s">
        <v>40</v>
      </c>
    </row>
    <row r="409" spans="1:28" x14ac:dyDescent="0.25">
      <c r="A409" s="46"/>
      <c r="B409" s="26"/>
      <c r="C409" s="4"/>
      <c r="D409" s="72">
        <f>SUM(D406:D407)</f>
        <v>488527</v>
      </c>
      <c r="E409" s="72">
        <f t="shared" ref="E409:AB409" si="161">SUM(E406:E407)</f>
        <v>488527</v>
      </c>
      <c r="F409" s="72">
        <f t="shared" si="161"/>
        <v>0</v>
      </c>
      <c r="G409" s="72"/>
      <c r="H409" s="72">
        <f t="shared" si="161"/>
        <v>488527</v>
      </c>
      <c r="I409" s="72">
        <f t="shared" si="161"/>
        <v>0</v>
      </c>
      <c r="J409" s="72">
        <f t="shared" si="161"/>
        <v>0</v>
      </c>
      <c r="K409" s="72">
        <f t="shared" si="161"/>
        <v>0</v>
      </c>
      <c r="L409" s="72">
        <f t="shared" si="161"/>
        <v>0</v>
      </c>
      <c r="M409" s="72"/>
      <c r="N409" s="72">
        <f t="shared" si="161"/>
        <v>488527</v>
      </c>
      <c r="O409" s="72">
        <f t="shared" si="161"/>
        <v>0</v>
      </c>
      <c r="P409" s="72">
        <f t="shared" si="161"/>
        <v>0</v>
      </c>
      <c r="Q409" s="72"/>
      <c r="R409" s="72">
        <f t="shared" si="161"/>
        <v>0</v>
      </c>
      <c r="S409" s="72">
        <f t="shared" si="161"/>
        <v>0</v>
      </c>
      <c r="T409" s="72">
        <f t="shared" si="161"/>
        <v>0</v>
      </c>
      <c r="U409" s="72">
        <f t="shared" si="161"/>
        <v>0</v>
      </c>
      <c r="V409" s="72">
        <f t="shared" si="161"/>
        <v>0</v>
      </c>
      <c r="W409" s="72"/>
      <c r="X409" s="72">
        <f t="shared" si="161"/>
        <v>0</v>
      </c>
      <c r="Y409" s="72">
        <f t="shared" si="161"/>
        <v>488527</v>
      </c>
      <c r="Z409" s="72">
        <f t="shared" si="161"/>
        <v>0</v>
      </c>
      <c r="AA409" s="72">
        <f t="shared" si="161"/>
        <v>488527</v>
      </c>
      <c r="AB409" s="72">
        <f t="shared" si="161"/>
        <v>0</v>
      </c>
    </row>
    <row r="410" spans="1:28" x14ac:dyDescent="0.25">
      <c r="A410" s="46"/>
      <c r="B410" s="26"/>
      <c r="C410" s="4"/>
      <c r="D410" s="70" t="s">
        <v>40</v>
      </c>
      <c r="E410" s="70" t="s">
        <v>40</v>
      </c>
      <c r="F410" s="70" t="s">
        <v>40</v>
      </c>
      <c r="G410" s="70"/>
      <c r="H410" s="70" t="s">
        <v>40</v>
      </c>
      <c r="I410" s="70" t="s">
        <v>40</v>
      </c>
      <c r="J410" s="70" t="s">
        <v>40</v>
      </c>
      <c r="K410" s="70" t="s">
        <v>40</v>
      </c>
      <c r="L410" s="70" t="s">
        <v>40</v>
      </c>
      <c r="M410" s="70"/>
      <c r="N410" s="70" t="s">
        <v>40</v>
      </c>
      <c r="O410" s="70" t="s">
        <v>40</v>
      </c>
      <c r="P410" s="70" t="s">
        <v>40</v>
      </c>
      <c r="Q410" s="70"/>
      <c r="R410" s="70" t="s">
        <v>40</v>
      </c>
      <c r="S410" s="70" t="s">
        <v>40</v>
      </c>
      <c r="T410" s="70" t="s">
        <v>40</v>
      </c>
      <c r="U410" s="70" t="s">
        <v>40</v>
      </c>
      <c r="V410" s="70" t="s">
        <v>40</v>
      </c>
      <c r="W410" s="70"/>
      <c r="X410" s="70" t="s">
        <v>40</v>
      </c>
      <c r="Y410" s="70" t="s">
        <v>40</v>
      </c>
      <c r="Z410" s="70" t="s">
        <v>40</v>
      </c>
      <c r="AA410" s="70" t="s">
        <v>40</v>
      </c>
      <c r="AB410" s="70" t="s">
        <v>40</v>
      </c>
    </row>
    <row r="411" spans="1:28" x14ac:dyDescent="0.25">
      <c r="A411" s="46"/>
      <c r="B411" s="26"/>
      <c r="C411" s="4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</row>
    <row r="412" spans="1:28" x14ac:dyDescent="0.25">
      <c r="A412" s="46">
        <v>42</v>
      </c>
      <c r="B412" s="26" t="s">
        <v>193</v>
      </c>
      <c r="C412" s="2" t="s">
        <v>35</v>
      </c>
      <c r="D412" s="72">
        <v>1127824.8899999999</v>
      </c>
      <c r="E412" s="68"/>
      <c r="F412" s="68"/>
      <c r="G412" s="68"/>
      <c r="H412" s="67">
        <f>E412+F412</f>
        <v>0</v>
      </c>
      <c r="I412" s="68"/>
      <c r="J412" s="68"/>
      <c r="K412" s="68"/>
      <c r="L412" s="68"/>
      <c r="M412" s="68"/>
      <c r="N412" s="67">
        <f>H412+L412</f>
        <v>0</v>
      </c>
      <c r="O412" s="68"/>
      <c r="P412" s="68"/>
      <c r="Q412" s="68"/>
      <c r="R412" s="67">
        <f>O412+P412</f>
        <v>0</v>
      </c>
      <c r="S412" s="68"/>
      <c r="T412" s="68"/>
      <c r="U412" s="68"/>
      <c r="V412" s="68"/>
      <c r="W412" s="68"/>
      <c r="X412" s="67">
        <f>R412+V412</f>
        <v>0</v>
      </c>
      <c r="Y412" s="67">
        <f>R412+H412</f>
        <v>0</v>
      </c>
      <c r="Z412" s="67">
        <f>D412-Y412</f>
        <v>1127824.8899999999</v>
      </c>
      <c r="AA412" s="67">
        <f>N412+X412</f>
        <v>0</v>
      </c>
      <c r="AB412" s="67">
        <f>+D412-N412-X412</f>
        <v>1127824.8899999999</v>
      </c>
    </row>
    <row r="413" spans="1:28" x14ac:dyDescent="0.25">
      <c r="A413" s="46"/>
      <c r="B413" s="26"/>
      <c r="C413" s="4" t="s">
        <v>53</v>
      </c>
      <c r="D413" s="72">
        <v>13284153.43</v>
      </c>
      <c r="E413" s="68"/>
      <c r="F413" s="68"/>
      <c r="G413" s="68"/>
      <c r="H413" s="67">
        <f>E413+F413</f>
        <v>0</v>
      </c>
      <c r="I413" s="68"/>
      <c r="J413" s="68"/>
      <c r="K413" s="68"/>
      <c r="L413" s="68"/>
      <c r="M413" s="68"/>
      <c r="N413" s="67">
        <f>H413+L413</f>
        <v>0</v>
      </c>
      <c r="O413" s="68"/>
      <c r="P413" s="68"/>
      <c r="Q413" s="68"/>
      <c r="R413" s="67">
        <f>O413+P413</f>
        <v>0</v>
      </c>
      <c r="S413" s="68"/>
      <c r="T413" s="68"/>
      <c r="U413" s="68"/>
      <c r="V413" s="68"/>
      <c r="W413" s="68"/>
      <c r="X413" s="67">
        <f>R413+V413</f>
        <v>0</v>
      </c>
      <c r="Y413" s="67">
        <f>R413+H413</f>
        <v>0</v>
      </c>
      <c r="Z413" s="67">
        <f>D413-Y413</f>
        <v>13284153.43</v>
      </c>
      <c r="AA413" s="67">
        <f>N413+X413</f>
        <v>0</v>
      </c>
      <c r="AB413" s="67">
        <f>+D413-N413-X413</f>
        <v>13284153.43</v>
      </c>
    </row>
    <row r="414" spans="1:28" x14ac:dyDescent="0.25">
      <c r="A414" s="46"/>
      <c r="B414" s="26"/>
      <c r="C414" s="4" t="s">
        <v>54</v>
      </c>
      <c r="D414" s="72">
        <v>2206509.38</v>
      </c>
      <c r="E414" s="68"/>
      <c r="F414" s="68"/>
      <c r="G414" s="68"/>
      <c r="H414" s="67">
        <f>E414+F414</f>
        <v>0</v>
      </c>
      <c r="I414" s="68"/>
      <c r="J414" s="68"/>
      <c r="K414" s="68"/>
      <c r="L414" s="68"/>
      <c r="M414" s="68"/>
      <c r="N414" s="67">
        <f>H414+L414</f>
        <v>0</v>
      </c>
      <c r="O414" s="68"/>
      <c r="P414" s="68"/>
      <c r="Q414" s="68"/>
      <c r="R414" s="67">
        <f>O414+P414</f>
        <v>0</v>
      </c>
      <c r="S414" s="68"/>
      <c r="T414" s="68"/>
      <c r="U414" s="68"/>
      <c r="V414" s="68"/>
      <c r="W414" s="68"/>
      <c r="X414" s="67">
        <f>R414+V414</f>
        <v>0</v>
      </c>
      <c r="Y414" s="67">
        <f>R414+H414</f>
        <v>0</v>
      </c>
      <c r="Z414" s="67">
        <f>D414-Y414</f>
        <v>2206509.38</v>
      </c>
      <c r="AA414" s="67">
        <f>N414+X414</f>
        <v>0</v>
      </c>
      <c r="AB414" s="67">
        <f>+D414-N414-X414</f>
        <v>2206509.38</v>
      </c>
    </row>
    <row r="415" spans="1:28" x14ac:dyDescent="0.25">
      <c r="A415" s="46"/>
      <c r="B415" s="26"/>
      <c r="C415" s="4"/>
      <c r="D415" s="70" t="s">
        <v>40</v>
      </c>
      <c r="E415" s="70" t="s">
        <v>40</v>
      </c>
      <c r="F415" s="70" t="s">
        <v>40</v>
      </c>
      <c r="G415" s="70"/>
      <c r="H415" s="70" t="s">
        <v>40</v>
      </c>
      <c r="I415" s="70" t="s">
        <v>40</v>
      </c>
      <c r="J415" s="70" t="s">
        <v>40</v>
      </c>
      <c r="K415" s="70" t="s">
        <v>40</v>
      </c>
      <c r="L415" s="70" t="s">
        <v>40</v>
      </c>
      <c r="M415" s="70"/>
      <c r="N415" s="70" t="s">
        <v>40</v>
      </c>
      <c r="O415" s="70" t="s">
        <v>40</v>
      </c>
      <c r="P415" s="70" t="s">
        <v>40</v>
      </c>
      <c r="Q415" s="70"/>
      <c r="R415" s="70" t="s">
        <v>40</v>
      </c>
      <c r="S415" s="70" t="s">
        <v>40</v>
      </c>
      <c r="T415" s="70" t="s">
        <v>40</v>
      </c>
      <c r="U415" s="70" t="s">
        <v>40</v>
      </c>
      <c r="V415" s="70" t="s">
        <v>40</v>
      </c>
      <c r="W415" s="70"/>
      <c r="X415" s="70" t="s">
        <v>40</v>
      </c>
      <c r="Y415" s="70" t="s">
        <v>40</v>
      </c>
      <c r="Z415" s="70" t="s">
        <v>40</v>
      </c>
      <c r="AA415" s="70" t="s">
        <v>40</v>
      </c>
      <c r="AB415" s="70" t="s">
        <v>40</v>
      </c>
    </row>
    <row r="416" spans="1:28" x14ac:dyDescent="0.25">
      <c r="A416" s="46"/>
      <c r="B416" s="26"/>
      <c r="C416" s="4"/>
      <c r="D416" s="72">
        <f>SUM(D412:D414)</f>
        <v>16618487.699999999</v>
      </c>
      <c r="E416" s="72">
        <f t="shared" ref="E416:AB416" si="162">SUM(E412:E414)</f>
        <v>0</v>
      </c>
      <c r="F416" s="72">
        <f t="shared" si="162"/>
        <v>0</v>
      </c>
      <c r="G416" s="72"/>
      <c r="H416" s="72">
        <f t="shared" si="162"/>
        <v>0</v>
      </c>
      <c r="I416" s="72">
        <f t="shared" si="162"/>
        <v>0</v>
      </c>
      <c r="J416" s="72">
        <f t="shared" si="162"/>
        <v>0</v>
      </c>
      <c r="K416" s="72">
        <f t="shared" si="162"/>
        <v>0</v>
      </c>
      <c r="L416" s="72">
        <f t="shared" si="162"/>
        <v>0</v>
      </c>
      <c r="M416" s="72"/>
      <c r="N416" s="72">
        <f t="shared" si="162"/>
        <v>0</v>
      </c>
      <c r="O416" s="72">
        <f t="shared" si="162"/>
        <v>0</v>
      </c>
      <c r="P416" s="72">
        <f t="shared" si="162"/>
        <v>0</v>
      </c>
      <c r="Q416" s="72"/>
      <c r="R416" s="72">
        <f t="shared" si="162"/>
        <v>0</v>
      </c>
      <c r="S416" s="72">
        <f t="shared" si="162"/>
        <v>0</v>
      </c>
      <c r="T416" s="72">
        <f t="shared" si="162"/>
        <v>0</v>
      </c>
      <c r="U416" s="72">
        <f t="shared" si="162"/>
        <v>0</v>
      </c>
      <c r="V416" s="72">
        <f t="shared" si="162"/>
        <v>0</v>
      </c>
      <c r="W416" s="72"/>
      <c r="X416" s="72">
        <f t="shared" si="162"/>
        <v>0</v>
      </c>
      <c r="Y416" s="72">
        <f t="shared" si="162"/>
        <v>0</v>
      </c>
      <c r="Z416" s="72">
        <f t="shared" si="162"/>
        <v>16618487.699999999</v>
      </c>
      <c r="AA416" s="72">
        <f t="shared" si="162"/>
        <v>0</v>
      </c>
      <c r="AB416" s="72">
        <f t="shared" si="162"/>
        <v>16618487.699999999</v>
      </c>
    </row>
    <row r="417" spans="1:43" x14ac:dyDescent="0.25">
      <c r="A417" s="46"/>
      <c r="B417" s="26"/>
      <c r="C417" s="4"/>
      <c r="D417" s="70" t="s">
        <v>40</v>
      </c>
      <c r="E417" s="70" t="s">
        <v>40</v>
      </c>
      <c r="F417" s="70" t="s">
        <v>40</v>
      </c>
      <c r="G417" s="70"/>
      <c r="H417" s="70" t="s">
        <v>40</v>
      </c>
      <c r="I417" s="70" t="s">
        <v>40</v>
      </c>
      <c r="J417" s="70" t="s">
        <v>40</v>
      </c>
      <c r="K417" s="70" t="s">
        <v>40</v>
      </c>
      <c r="L417" s="70" t="s">
        <v>40</v>
      </c>
      <c r="M417" s="70"/>
      <c r="N417" s="70" t="s">
        <v>40</v>
      </c>
      <c r="O417" s="70" t="s">
        <v>40</v>
      </c>
      <c r="P417" s="70" t="s">
        <v>40</v>
      </c>
      <c r="Q417" s="70"/>
      <c r="R417" s="70" t="s">
        <v>40</v>
      </c>
      <c r="S417" s="70" t="s">
        <v>40</v>
      </c>
      <c r="T417" s="70" t="s">
        <v>40</v>
      </c>
      <c r="U417" s="70" t="s">
        <v>40</v>
      </c>
      <c r="V417" s="70" t="s">
        <v>40</v>
      </c>
      <c r="W417" s="70"/>
      <c r="X417" s="70" t="s">
        <v>40</v>
      </c>
      <c r="Y417" s="70" t="s">
        <v>40</v>
      </c>
      <c r="Z417" s="70" t="s">
        <v>40</v>
      </c>
      <c r="AA417" s="70" t="s">
        <v>40</v>
      </c>
      <c r="AB417" s="70" t="s">
        <v>40</v>
      </c>
      <c r="AC417" s="124" t="s">
        <v>317</v>
      </c>
      <c r="AD417" s="123">
        <f>+D427</f>
        <v>910000</v>
      </c>
      <c r="AE417" s="123">
        <f>+E427</f>
        <v>910000</v>
      </c>
      <c r="AF417" s="123">
        <f>+F427</f>
        <v>0</v>
      </c>
      <c r="AG417" s="123">
        <f>+AE417+AF417</f>
        <v>910000</v>
      </c>
      <c r="AH417" s="123">
        <f>+L427</f>
        <v>0</v>
      </c>
      <c r="AI417" s="123">
        <f>+AG417+AH417</f>
        <v>910000</v>
      </c>
      <c r="AJ417" s="123">
        <f>+O427</f>
        <v>0</v>
      </c>
      <c r="AK417" s="123">
        <f>+P427</f>
        <v>0</v>
      </c>
      <c r="AL417" s="123">
        <f>+AJ417+AK417</f>
        <v>0</v>
      </c>
      <c r="AM417" s="123">
        <f>+V427</f>
        <v>0</v>
      </c>
      <c r="AN417" s="94">
        <f>+AL417+AM417</f>
        <v>0</v>
      </c>
      <c r="AO417" s="94">
        <f>+AG417+AL417</f>
        <v>910000</v>
      </c>
      <c r="AP417" s="94">
        <f>+AD417-AO417</f>
        <v>0</v>
      </c>
      <c r="AQ417" s="94">
        <f>+AD417-AI417-AN417</f>
        <v>0</v>
      </c>
    </row>
    <row r="418" spans="1:43" x14ac:dyDescent="0.25">
      <c r="A418" s="46"/>
      <c r="B418" s="26"/>
      <c r="C418" s="4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49" t="s">
        <v>298</v>
      </c>
      <c r="AD418" s="94">
        <f>+D332+D398</f>
        <v>13079268</v>
      </c>
      <c r="AE418" s="94">
        <f>+E332+E398</f>
        <v>13079268</v>
      </c>
      <c r="AF418" s="94">
        <f>+F332+F398</f>
        <v>0</v>
      </c>
      <c r="AG418" s="94">
        <f>+AE418+AF418</f>
        <v>13079268</v>
      </c>
      <c r="AH418" s="94">
        <f>+L332</f>
        <v>0</v>
      </c>
      <c r="AI418" s="94">
        <f>+AG418+AH418</f>
        <v>13079268</v>
      </c>
      <c r="AJ418" s="94">
        <f>+O332</f>
        <v>0</v>
      </c>
      <c r="AK418" s="94">
        <f>+P332</f>
        <v>0</v>
      </c>
      <c r="AL418" s="94">
        <f>+AJ418+AK418</f>
        <v>0</v>
      </c>
      <c r="AM418" s="94">
        <f>+V332</f>
        <v>0</v>
      </c>
      <c r="AN418" s="94">
        <f>+AL418+AM418</f>
        <v>0</v>
      </c>
      <c r="AO418" s="94">
        <f>+AG418+AL418</f>
        <v>13079268</v>
      </c>
      <c r="AP418" s="94">
        <f>+AD418-AO418</f>
        <v>0</v>
      </c>
      <c r="AQ418" s="94">
        <f>+AD418-AI418-AN418</f>
        <v>0</v>
      </c>
    </row>
    <row r="419" spans="1:43" x14ac:dyDescent="0.25">
      <c r="A419" s="46">
        <v>43</v>
      </c>
      <c r="B419" s="26" t="s">
        <v>194</v>
      </c>
      <c r="C419" s="2" t="s">
        <v>35</v>
      </c>
      <c r="D419" s="72">
        <v>20667932.77</v>
      </c>
      <c r="E419" s="68"/>
      <c r="F419" s="68"/>
      <c r="G419" s="68"/>
      <c r="H419" s="67">
        <f>E419+F419</f>
        <v>0</v>
      </c>
      <c r="I419" s="68"/>
      <c r="J419" s="68"/>
      <c r="K419" s="68"/>
      <c r="L419" s="68"/>
      <c r="M419" s="68"/>
      <c r="N419" s="67">
        <f>H419+L419</f>
        <v>0</v>
      </c>
      <c r="O419" s="68"/>
      <c r="P419" s="68"/>
      <c r="Q419" s="68"/>
      <c r="R419" s="67">
        <f>O419+P419</f>
        <v>0</v>
      </c>
      <c r="S419" s="68"/>
      <c r="T419" s="68"/>
      <c r="U419" s="68"/>
      <c r="V419" s="68"/>
      <c r="W419" s="68"/>
      <c r="X419" s="67">
        <f>R419+V419</f>
        <v>0</v>
      </c>
      <c r="Y419" s="67">
        <f>R419+H419</f>
        <v>0</v>
      </c>
      <c r="Z419" s="67">
        <f>D419-Y419</f>
        <v>20667932.77</v>
      </c>
      <c r="AA419" s="67">
        <f>N419+X419</f>
        <v>0</v>
      </c>
      <c r="AB419" s="67">
        <f>+D419-N419-X419</f>
        <v>20667932.77</v>
      </c>
      <c r="AC419" s="49" t="s">
        <v>47</v>
      </c>
      <c r="AD419" s="94">
        <f>D328+D339+D348+D357+D366+D374+D382+D389+D406+D412+D419+D428</f>
        <v>251476473.41</v>
      </c>
      <c r="AE419" s="94">
        <f>E328+E339+E348+E357+E366+E374+E382+E389+E406+E412+E419+E428</f>
        <v>23429564.280000001</v>
      </c>
      <c r="AF419" s="94">
        <f>F328+F339+F348+F357+F366+F374+F382+F389+F406+F412+F419+F428</f>
        <v>0</v>
      </c>
      <c r="AG419" s="94">
        <f>+AE419+AF419</f>
        <v>23429564.280000001</v>
      </c>
      <c r="AH419" s="94">
        <f>L328+L339+L348+L357+L366+L374+L382+L389+L406+L412+L419+L428</f>
        <v>0</v>
      </c>
      <c r="AI419" s="94">
        <f>+AG419+AH419</f>
        <v>23429564.280000001</v>
      </c>
      <c r="AJ419" s="94">
        <f>O328+O339+O348+O357+O366+O374+O382+O389+O406+O412+O419+O428</f>
        <v>11108782.310000001</v>
      </c>
      <c r="AK419" s="94">
        <f>P328+P339+P348+P357+P366+P374+P382+P389+P406+P412+P419+P428</f>
        <v>0</v>
      </c>
      <c r="AL419" s="94">
        <f>+AJ419+AK419</f>
        <v>11108782.310000001</v>
      </c>
      <c r="AM419" s="94">
        <f>V328+V339+V348+V357+V366+V374+V382+V389+V406+V412+V419+V428</f>
        <v>0</v>
      </c>
      <c r="AN419" s="94">
        <f>+AL419+AM419:AM419</f>
        <v>11108782.310000001</v>
      </c>
      <c r="AO419" s="94">
        <f>+AG419+AL419</f>
        <v>34538346.590000004</v>
      </c>
      <c r="AP419" s="94">
        <f>+AD419-AO419</f>
        <v>216938126.81999999</v>
      </c>
      <c r="AQ419" s="94">
        <f>+AD419-AI419-AN419</f>
        <v>216938126.81999999</v>
      </c>
    </row>
    <row r="420" spans="1:43" x14ac:dyDescent="0.25">
      <c r="A420" s="46"/>
      <c r="B420" s="26"/>
      <c r="C420" s="4" t="s">
        <v>36</v>
      </c>
      <c r="D420" s="72">
        <v>2612930</v>
      </c>
      <c r="E420" s="68">
        <v>2612930</v>
      </c>
      <c r="F420" s="68"/>
      <c r="G420" s="68"/>
      <c r="H420" s="67">
        <f>E420+F420</f>
        <v>2612930</v>
      </c>
      <c r="I420" s="68"/>
      <c r="J420" s="68"/>
      <c r="K420" s="68"/>
      <c r="L420" s="68"/>
      <c r="M420" s="68"/>
      <c r="N420" s="67">
        <f>H420+L420</f>
        <v>2612930</v>
      </c>
      <c r="O420" s="68"/>
      <c r="P420" s="68"/>
      <c r="Q420" s="68"/>
      <c r="R420" s="67">
        <f>O420+P420</f>
        <v>0</v>
      </c>
      <c r="S420" s="68"/>
      <c r="T420" s="68"/>
      <c r="U420" s="68"/>
      <c r="V420" s="68"/>
      <c r="W420" s="68"/>
      <c r="X420" s="67">
        <f>R420+V420</f>
        <v>0</v>
      </c>
      <c r="Y420" s="67">
        <f>R420+H420</f>
        <v>2612930</v>
      </c>
      <c r="Z420" s="67">
        <f>D420-Y420</f>
        <v>0</v>
      </c>
      <c r="AA420" s="67">
        <f>N420+X420</f>
        <v>2612930</v>
      </c>
      <c r="AB420" s="67">
        <f>+D420-N420-X420</f>
        <v>0</v>
      </c>
      <c r="AC420" s="49" t="s">
        <v>36</v>
      </c>
      <c r="AD420" s="94">
        <f>D329+D340+D349+D358+D367+D375+D383+D390+D407+D420</f>
        <v>29377556</v>
      </c>
      <c r="AE420" s="94">
        <f>E329+E340+E349+E358+E367+E375+E383+E390+E407+E420</f>
        <v>29377556</v>
      </c>
      <c r="AF420" s="94">
        <f>F329+F340+F349+F358+F367+F375+F383+F390+F407+F420</f>
        <v>0</v>
      </c>
      <c r="AG420" s="94">
        <f t="shared" ref="AG420:AG428" si="163">+AE420+AF420</f>
        <v>29377556</v>
      </c>
      <c r="AH420" s="94">
        <f>L329+L340+L349+L358+L367+L375+L383+L390+L407+L420</f>
        <v>0</v>
      </c>
      <c r="AI420" s="94">
        <f t="shared" ref="AI420:AI428" si="164">+AG420+AH420</f>
        <v>29377556</v>
      </c>
      <c r="AJ420" s="94">
        <f>O329+O340+O349+O358+O367+O375+O383+O390+O407+O420</f>
        <v>0</v>
      </c>
      <c r="AK420" s="94">
        <f>P329+P340+P349+P358+P367+P375+P383+P390+P407+P420</f>
        <v>0</v>
      </c>
      <c r="AL420" s="94">
        <f t="shared" ref="AL420:AL428" si="165">+AJ420+AK420</f>
        <v>0</v>
      </c>
      <c r="AM420" s="94">
        <f>V329+V340+V349+V358+V367+V375+V383+V390+V407+V420</f>
        <v>0</v>
      </c>
      <c r="AN420" s="94">
        <f t="shared" ref="AN420:AN428" si="166">+AL420+AM420:AM420</f>
        <v>0</v>
      </c>
      <c r="AO420" s="94">
        <f t="shared" ref="AO420:AO428" si="167">+AG420+AL420</f>
        <v>29377556</v>
      </c>
      <c r="AP420" s="94">
        <f t="shared" ref="AP420:AP428" si="168">+AD420-AO420</f>
        <v>0</v>
      </c>
      <c r="AQ420" s="94">
        <f t="shared" ref="AQ420:AQ428" si="169">+AD420-AI420-AN420</f>
        <v>0</v>
      </c>
    </row>
    <row r="421" spans="1:43" x14ac:dyDescent="0.25">
      <c r="A421" s="46"/>
      <c r="B421" s="26"/>
      <c r="C421" s="4" t="s">
        <v>53</v>
      </c>
      <c r="D421" s="72">
        <v>7448000</v>
      </c>
      <c r="E421" s="68"/>
      <c r="F421" s="68"/>
      <c r="G421" s="68"/>
      <c r="H421" s="67">
        <f>E421+F421</f>
        <v>0</v>
      </c>
      <c r="I421" s="68"/>
      <c r="J421" s="68"/>
      <c r="K421" s="68"/>
      <c r="L421" s="68"/>
      <c r="M421" s="68"/>
      <c r="N421" s="67">
        <f>H421+L421</f>
        <v>0</v>
      </c>
      <c r="O421" s="68">
        <v>1300623.44</v>
      </c>
      <c r="P421" s="68"/>
      <c r="Q421" s="68"/>
      <c r="R421" s="67">
        <f>O421+P421</f>
        <v>1300623.44</v>
      </c>
      <c r="S421" s="68"/>
      <c r="T421" s="68"/>
      <c r="U421" s="68"/>
      <c r="V421" s="68"/>
      <c r="W421" s="68"/>
      <c r="X421" s="67">
        <f>R421+V421</f>
        <v>1300623.44</v>
      </c>
      <c r="Y421" s="67">
        <f>R421+H421</f>
        <v>1300623.44</v>
      </c>
      <c r="Z421" s="67">
        <f>D421-Y421</f>
        <v>6147376.5600000005</v>
      </c>
      <c r="AA421" s="67">
        <f>N421+X421</f>
        <v>1300623.44</v>
      </c>
      <c r="AB421" s="67">
        <f>+D421-N421-X421</f>
        <v>6147376.5600000005</v>
      </c>
      <c r="AC421" s="49" t="s">
        <v>183</v>
      </c>
      <c r="AD421" s="94">
        <f>D330+D350+D359</f>
        <v>12644870.129999999</v>
      </c>
      <c r="AE421" s="94">
        <f>E330+E350+E359</f>
        <v>0</v>
      </c>
      <c r="AF421" s="94">
        <f>F330+F350+F359</f>
        <v>0</v>
      </c>
      <c r="AG421" s="94">
        <f t="shared" si="163"/>
        <v>0</v>
      </c>
      <c r="AH421" s="94">
        <f>L330+L350+L359</f>
        <v>0</v>
      </c>
      <c r="AI421" s="94">
        <f t="shared" si="164"/>
        <v>0</v>
      </c>
      <c r="AJ421" s="94">
        <f>O330+O350+O359</f>
        <v>1321335.25</v>
      </c>
      <c r="AK421" s="94">
        <f>P330+P350+P359</f>
        <v>0</v>
      </c>
      <c r="AL421" s="94">
        <f t="shared" si="165"/>
        <v>1321335.25</v>
      </c>
      <c r="AM421" s="94">
        <f>V330+V350+V359</f>
        <v>4137609.23</v>
      </c>
      <c r="AN421" s="94">
        <f t="shared" si="166"/>
        <v>5458944.4800000004</v>
      </c>
      <c r="AO421" s="94">
        <f t="shared" si="167"/>
        <v>1321335.25</v>
      </c>
      <c r="AP421" s="94">
        <f t="shared" si="168"/>
        <v>11323534.879999999</v>
      </c>
      <c r="AQ421" s="94">
        <f t="shared" si="169"/>
        <v>7185925.6499999985</v>
      </c>
    </row>
    <row r="422" spans="1:43" x14ac:dyDescent="0.25">
      <c r="A422" s="46"/>
      <c r="B422" s="26"/>
      <c r="C422" s="4" t="s">
        <v>54</v>
      </c>
      <c r="D422" s="72">
        <v>0</v>
      </c>
      <c r="E422" s="68"/>
      <c r="F422" s="68"/>
      <c r="G422" s="68"/>
      <c r="H422" s="67">
        <f>E422+F422</f>
        <v>0</v>
      </c>
      <c r="I422" s="68"/>
      <c r="J422" s="68"/>
      <c r="K422" s="68"/>
      <c r="L422" s="68"/>
      <c r="M422" s="68"/>
      <c r="N422" s="67">
        <f>H422+L422</f>
        <v>0</v>
      </c>
      <c r="O422" s="68"/>
      <c r="P422" s="68"/>
      <c r="Q422" s="68"/>
      <c r="R422" s="67">
        <f>O422+P422</f>
        <v>0</v>
      </c>
      <c r="S422" s="68"/>
      <c r="T422" s="68"/>
      <c r="U422" s="68"/>
      <c r="V422" s="68"/>
      <c r="W422" s="68"/>
      <c r="X422" s="67">
        <f>R422+V422</f>
        <v>0</v>
      </c>
      <c r="Y422" s="67">
        <f>R422+H422</f>
        <v>0</v>
      </c>
      <c r="Z422" s="67">
        <f>D422-Y422</f>
        <v>0</v>
      </c>
      <c r="AA422" s="67">
        <f>N422+X422</f>
        <v>0</v>
      </c>
      <c r="AB422" s="67">
        <f>+D422-N422-X422</f>
        <v>0</v>
      </c>
      <c r="AC422" s="49" t="s">
        <v>184</v>
      </c>
      <c r="AD422" s="94">
        <f>D331+D351+D400</f>
        <v>15391030.779999999</v>
      </c>
      <c r="AE422" s="94">
        <f>E331+E351+E400</f>
        <v>0</v>
      </c>
      <c r="AF422" s="94">
        <f>F331+F351+F400</f>
        <v>0</v>
      </c>
      <c r="AG422" s="94">
        <f t="shared" si="163"/>
        <v>0</v>
      </c>
      <c r="AH422" s="94">
        <f>L331+L351+L400</f>
        <v>0</v>
      </c>
      <c r="AI422" s="94">
        <f t="shared" si="164"/>
        <v>0</v>
      </c>
      <c r="AJ422" s="94">
        <f>O331+O351+O400</f>
        <v>0</v>
      </c>
      <c r="AK422" s="94">
        <f>P331+P351+P400</f>
        <v>0</v>
      </c>
      <c r="AL422" s="94">
        <f t="shared" si="165"/>
        <v>0</v>
      </c>
      <c r="AM422" s="94">
        <f>V331+V351+V400</f>
        <v>0</v>
      </c>
      <c r="AN422" s="94">
        <f t="shared" si="166"/>
        <v>0</v>
      </c>
      <c r="AO422" s="94">
        <f t="shared" si="167"/>
        <v>0</v>
      </c>
      <c r="AP422" s="94">
        <f t="shared" si="168"/>
        <v>15391030.779999999</v>
      </c>
      <c r="AQ422" s="94">
        <f t="shared" si="169"/>
        <v>15391030.779999999</v>
      </c>
    </row>
    <row r="423" spans="1:43" x14ac:dyDescent="0.25">
      <c r="A423" s="46"/>
      <c r="B423" s="26"/>
      <c r="C423" s="4" t="s">
        <v>38</v>
      </c>
      <c r="D423" s="72">
        <v>10700263.029999999</v>
      </c>
      <c r="E423" s="68"/>
      <c r="F423" s="68"/>
      <c r="G423" s="68"/>
      <c r="H423" s="67">
        <f>E423+F423</f>
        <v>0</v>
      </c>
      <c r="I423" s="68"/>
      <c r="J423" s="68"/>
      <c r="K423" s="68"/>
      <c r="L423" s="68"/>
      <c r="M423" s="68"/>
      <c r="N423" s="67">
        <f>H423+L423</f>
        <v>0</v>
      </c>
      <c r="O423" s="68">
        <v>10700263.029999999</v>
      </c>
      <c r="P423" s="68"/>
      <c r="Q423" s="68"/>
      <c r="R423" s="67">
        <f>O423+P423</f>
        <v>10700263.029999999</v>
      </c>
      <c r="S423" s="68"/>
      <c r="T423" s="68"/>
      <c r="U423" s="68"/>
      <c r="V423" s="68"/>
      <c r="W423" s="68"/>
      <c r="X423" s="67">
        <f>R423+V423</f>
        <v>10700263.029999999</v>
      </c>
      <c r="Y423" s="67">
        <f>R423+H423</f>
        <v>10700263.029999999</v>
      </c>
      <c r="Z423" s="67">
        <f>D423-Y423</f>
        <v>0</v>
      </c>
      <c r="AA423" s="67">
        <f>N423+X423</f>
        <v>10700263.029999999</v>
      </c>
      <c r="AB423" s="67">
        <f>+D423-N423-X423</f>
        <v>0</v>
      </c>
      <c r="AC423" s="49" t="s">
        <v>38</v>
      </c>
      <c r="AD423" s="94">
        <f>D384+D391+D399+D423</f>
        <v>17744067.439999998</v>
      </c>
      <c r="AE423" s="94">
        <f>E384+E391+E399+E423</f>
        <v>0</v>
      </c>
      <c r="AF423" s="94">
        <f>F384+F391+F399+F423</f>
        <v>0</v>
      </c>
      <c r="AG423" s="94">
        <f t="shared" si="163"/>
        <v>0</v>
      </c>
      <c r="AH423" s="94">
        <f>L384+L391+L399+L423</f>
        <v>0</v>
      </c>
      <c r="AI423" s="94">
        <f t="shared" si="164"/>
        <v>0</v>
      </c>
      <c r="AJ423" s="94">
        <f>O384+O391+O399+O423</f>
        <v>10700263.029999999</v>
      </c>
      <c r="AK423" s="94">
        <f>P384+P391+P399+P423</f>
        <v>0</v>
      </c>
      <c r="AL423" s="94">
        <f t="shared" si="165"/>
        <v>10700263.029999999</v>
      </c>
      <c r="AM423" s="94">
        <f>V384+V391+V399+V423</f>
        <v>0</v>
      </c>
      <c r="AN423" s="94">
        <f t="shared" si="166"/>
        <v>10700263.029999999</v>
      </c>
      <c r="AO423" s="94">
        <f t="shared" si="167"/>
        <v>10700263.029999999</v>
      </c>
      <c r="AP423" s="94">
        <f t="shared" si="168"/>
        <v>7043804.4099999983</v>
      </c>
      <c r="AQ423" s="94">
        <f t="shared" si="169"/>
        <v>7043804.4099999983</v>
      </c>
    </row>
    <row r="424" spans="1:43" x14ac:dyDescent="0.25">
      <c r="A424" s="46"/>
      <c r="B424" s="26"/>
      <c r="C424" s="4"/>
      <c r="D424" s="70" t="s">
        <v>40</v>
      </c>
      <c r="E424" s="70" t="s">
        <v>40</v>
      </c>
      <c r="F424" s="70" t="s">
        <v>40</v>
      </c>
      <c r="G424" s="70"/>
      <c r="H424" s="70" t="s">
        <v>40</v>
      </c>
      <c r="I424" s="70" t="s">
        <v>40</v>
      </c>
      <c r="J424" s="70" t="s">
        <v>40</v>
      </c>
      <c r="K424" s="70" t="s">
        <v>40</v>
      </c>
      <c r="L424" s="70" t="s">
        <v>40</v>
      </c>
      <c r="M424" s="70"/>
      <c r="N424" s="70" t="s">
        <v>40</v>
      </c>
      <c r="O424" s="70" t="s">
        <v>40</v>
      </c>
      <c r="P424" s="70" t="s">
        <v>40</v>
      </c>
      <c r="Q424" s="70"/>
      <c r="R424" s="70" t="s">
        <v>40</v>
      </c>
      <c r="S424" s="70" t="s">
        <v>40</v>
      </c>
      <c r="T424" s="70" t="s">
        <v>40</v>
      </c>
      <c r="U424" s="70" t="s">
        <v>40</v>
      </c>
      <c r="V424" s="70" t="s">
        <v>40</v>
      </c>
      <c r="W424" s="70"/>
      <c r="X424" s="70" t="s">
        <v>40</v>
      </c>
      <c r="Y424" s="70" t="s">
        <v>40</v>
      </c>
      <c r="Z424" s="70" t="s">
        <v>40</v>
      </c>
      <c r="AA424" s="70" t="s">
        <v>40</v>
      </c>
      <c r="AB424" s="70" t="s">
        <v>40</v>
      </c>
      <c r="AC424" s="49" t="s">
        <v>261</v>
      </c>
      <c r="AD424" s="94">
        <f>+D392</f>
        <v>201.5</v>
      </c>
      <c r="AE424" s="94">
        <f>+E392</f>
        <v>0</v>
      </c>
      <c r="AF424" s="94">
        <f>+F392</f>
        <v>0</v>
      </c>
      <c r="AG424" s="94">
        <f t="shared" si="163"/>
        <v>0</v>
      </c>
      <c r="AH424" s="94">
        <f>+L392</f>
        <v>0</v>
      </c>
      <c r="AI424" s="94">
        <f t="shared" si="164"/>
        <v>0</v>
      </c>
      <c r="AJ424" s="94">
        <f>+O392</f>
        <v>0</v>
      </c>
      <c r="AK424" s="94">
        <f>+P392</f>
        <v>0</v>
      </c>
      <c r="AL424" s="94">
        <f t="shared" si="165"/>
        <v>0</v>
      </c>
      <c r="AM424" s="94">
        <f>+V392</f>
        <v>0</v>
      </c>
      <c r="AN424" s="94">
        <f t="shared" si="166"/>
        <v>0</v>
      </c>
      <c r="AO424" s="94">
        <f t="shared" si="167"/>
        <v>0</v>
      </c>
      <c r="AP424" s="94">
        <f t="shared" si="168"/>
        <v>201.5</v>
      </c>
      <c r="AQ424" s="94">
        <f t="shared" si="169"/>
        <v>201.5</v>
      </c>
    </row>
    <row r="425" spans="1:43" x14ac:dyDescent="0.25">
      <c r="A425" s="46"/>
      <c r="B425" s="26"/>
      <c r="C425" s="4"/>
      <c r="D425" s="72">
        <f>SUM(D419:D423)</f>
        <v>41429125.799999997</v>
      </c>
      <c r="E425" s="72">
        <f t="shared" ref="E425:AB425" si="170">SUM(E419:E423)</f>
        <v>2612930</v>
      </c>
      <c r="F425" s="72">
        <f t="shared" si="170"/>
        <v>0</v>
      </c>
      <c r="G425" s="72"/>
      <c r="H425" s="72">
        <f t="shared" si="170"/>
        <v>2612930</v>
      </c>
      <c r="I425" s="72">
        <f t="shared" si="170"/>
        <v>0</v>
      </c>
      <c r="J425" s="72">
        <f t="shared" si="170"/>
        <v>0</v>
      </c>
      <c r="K425" s="72">
        <f t="shared" si="170"/>
        <v>0</v>
      </c>
      <c r="L425" s="72">
        <f t="shared" si="170"/>
        <v>0</v>
      </c>
      <c r="M425" s="72"/>
      <c r="N425" s="72">
        <f t="shared" si="170"/>
        <v>2612930</v>
      </c>
      <c r="O425" s="72">
        <f t="shared" si="170"/>
        <v>12000886.469999999</v>
      </c>
      <c r="P425" s="72">
        <f t="shared" si="170"/>
        <v>0</v>
      </c>
      <c r="Q425" s="72"/>
      <c r="R425" s="72">
        <f t="shared" si="170"/>
        <v>12000886.469999999</v>
      </c>
      <c r="S425" s="72">
        <f t="shared" si="170"/>
        <v>0</v>
      </c>
      <c r="T425" s="72">
        <f t="shared" si="170"/>
        <v>0</v>
      </c>
      <c r="U425" s="72">
        <f t="shared" si="170"/>
        <v>0</v>
      </c>
      <c r="V425" s="72">
        <f t="shared" si="170"/>
        <v>0</v>
      </c>
      <c r="W425" s="72"/>
      <c r="X425" s="72">
        <f t="shared" si="170"/>
        <v>12000886.469999999</v>
      </c>
      <c r="Y425" s="72">
        <f t="shared" si="170"/>
        <v>14613816.469999999</v>
      </c>
      <c r="Z425" s="72">
        <f t="shared" si="170"/>
        <v>26815309.329999998</v>
      </c>
      <c r="AA425" s="72">
        <f t="shared" si="170"/>
        <v>14613816.469999999</v>
      </c>
      <c r="AB425" s="72">
        <f t="shared" si="170"/>
        <v>26815309.329999998</v>
      </c>
      <c r="AC425" s="49" t="s">
        <v>265</v>
      </c>
      <c r="AD425" s="94">
        <f>+D401</f>
        <v>28856990.23</v>
      </c>
      <c r="AE425" s="94">
        <f>+E401</f>
        <v>0</v>
      </c>
      <c r="AF425" s="94">
        <f>+F401</f>
        <v>0</v>
      </c>
      <c r="AG425" s="94">
        <f t="shared" si="163"/>
        <v>0</v>
      </c>
      <c r="AH425" s="94">
        <f>+L401</f>
        <v>0</v>
      </c>
      <c r="AI425" s="94">
        <f t="shared" si="164"/>
        <v>0</v>
      </c>
      <c r="AJ425" s="94">
        <f>+O401</f>
        <v>0</v>
      </c>
      <c r="AK425" s="94">
        <f>+P401</f>
        <v>0</v>
      </c>
      <c r="AL425" s="94">
        <f t="shared" si="165"/>
        <v>0</v>
      </c>
      <c r="AM425" s="94">
        <f>+V401</f>
        <v>0</v>
      </c>
      <c r="AN425" s="94">
        <f t="shared" si="166"/>
        <v>0</v>
      </c>
      <c r="AO425" s="94">
        <f t="shared" si="167"/>
        <v>0</v>
      </c>
      <c r="AP425" s="94">
        <f t="shared" si="168"/>
        <v>28856990.23</v>
      </c>
      <c r="AQ425" s="94">
        <f t="shared" si="169"/>
        <v>28856990.23</v>
      </c>
    </row>
    <row r="426" spans="1:43" x14ac:dyDescent="0.25">
      <c r="A426" s="46"/>
      <c r="B426" s="26"/>
      <c r="C426" s="4"/>
      <c r="D426" s="70" t="s">
        <v>40</v>
      </c>
      <c r="E426" s="70" t="s">
        <v>40</v>
      </c>
      <c r="F426" s="70" t="s">
        <v>40</v>
      </c>
      <c r="G426" s="70"/>
      <c r="H426" s="70" t="s">
        <v>40</v>
      </c>
      <c r="I426" s="70" t="s">
        <v>40</v>
      </c>
      <c r="J426" s="70" t="s">
        <v>40</v>
      </c>
      <c r="K426" s="70" t="s">
        <v>40</v>
      </c>
      <c r="L426" s="70" t="s">
        <v>40</v>
      </c>
      <c r="M426" s="70"/>
      <c r="N426" s="70" t="s">
        <v>40</v>
      </c>
      <c r="O426" s="70" t="s">
        <v>40</v>
      </c>
      <c r="P426" s="70" t="s">
        <v>40</v>
      </c>
      <c r="Q426" s="70"/>
      <c r="R426" s="70" t="s">
        <v>40</v>
      </c>
      <c r="S426" s="70" t="s">
        <v>40</v>
      </c>
      <c r="T426" s="70" t="s">
        <v>40</v>
      </c>
      <c r="U426" s="70" t="s">
        <v>40</v>
      </c>
      <c r="V426" s="70" t="s">
        <v>40</v>
      </c>
      <c r="W426" s="70"/>
      <c r="X426" s="70" t="s">
        <v>40</v>
      </c>
      <c r="Y426" s="70" t="s">
        <v>40</v>
      </c>
      <c r="Z426" s="70" t="s">
        <v>40</v>
      </c>
      <c r="AA426" s="70" t="s">
        <v>40</v>
      </c>
      <c r="AB426" s="70" t="s">
        <v>40</v>
      </c>
      <c r="AC426" s="49" t="s">
        <v>259</v>
      </c>
      <c r="AD426" s="94">
        <f>+D333</f>
        <v>9500000</v>
      </c>
      <c r="AE426" s="94">
        <f>+E333</f>
        <v>5617680.4800000004</v>
      </c>
      <c r="AF426" s="94">
        <f>+F333</f>
        <v>0</v>
      </c>
      <c r="AG426" s="94">
        <f t="shared" si="163"/>
        <v>5617680.4800000004</v>
      </c>
      <c r="AH426" s="94">
        <f>+L333</f>
        <v>0</v>
      </c>
      <c r="AI426" s="94">
        <f t="shared" si="164"/>
        <v>5617680.4800000004</v>
      </c>
      <c r="AJ426" s="94">
        <f>+O333</f>
        <v>835222.3</v>
      </c>
      <c r="AK426" s="94">
        <f>+P333</f>
        <v>0</v>
      </c>
      <c r="AL426" s="94">
        <f t="shared" si="165"/>
        <v>835222.3</v>
      </c>
      <c r="AM426" s="94">
        <f>+V333</f>
        <v>0</v>
      </c>
      <c r="AN426" s="94">
        <f t="shared" si="166"/>
        <v>835222.3</v>
      </c>
      <c r="AO426" s="94">
        <f t="shared" si="167"/>
        <v>6452902.7800000003</v>
      </c>
      <c r="AP426" s="94">
        <f t="shared" si="168"/>
        <v>3047097.2199999997</v>
      </c>
      <c r="AQ426" s="94">
        <f t="shared" si="169"/>
        <v>3047097.2199999997</v>
      </c>
    </row>
    <row r="427" spans="1:43" x14ac:dyDescent="0.25">
      <c r="A427" s="46">
        <v>44</v>
      </c>
      <c r="B427" s="26" t="s">
        <v>195</v>
      </c>
      <c r="C427" s="4" t="s">
        <v>317</v>
      </c>
      <c r="D427" s="72">
        <v>910000</v>
      </c>
      <c r="E427" s="72">
        <v>910000</v>
      </c>
      <c r="F427" s="72"/>
      <c r="G427" s="72"/>
      <c r="H427" s="72">
        <f>+E427+F427</f>
        <v>910000</v>
      </c>
      <c r="I427" s="72"/>
      <c r="J427" s="72"/>
      <c r="K427" s="72"/>
      <c r="L427" s="72"/>
      <c r="M427" s="72"/>
      <c r="N427" s="72">
        <f>+H427+L427</f>
        <v>910000</v>
      </c>
      <c r="O427" s="72">
        <v>0</v>
      </c>
      <c r="P427" s="72"/>
      <c r="Q427" s="72"/>
      <c r="R427" s="72">
        <f>+O427+P427</f>
        <v>0</v>
      </c>
      <c r="S427" s="72"/>
      <c r="T427" s="72"/>
      <c r="U427" s="72"/>
      <c r="V427" s="72"/>
      <c r="W427" s="72"/>
      <c r="X427" s="72">
        <f>+R427+V427</f>
        <v>0</v>
      </c>
      <c r="Y427" s="67">
        <f>R427+H427</f>
        <v>910000</v>
      </c>
      <c r="Z427" s="67">
        <f>D427-Y427</f>
        <v>0</v>
      </c>
      <c r="AA427" s="67">
        <f>N427+X427</f>
        <v>910000</v>
      </c>
      <c r="AB427" s="67">
        <f>+D427-N427-X427</f>
        <v>0</v>
      </c>
      <c r="AC427" s="49" t="s">
        <v>262</v>
      </c>
      <c r="AD427" s="94">
        <f>D343+D334+D352</f>
        <v>40529000</v>
      </c>
      <c r="AE427" s="94">
        <f>E343+E334+E352</f>
        <v>40529000</v>
      </c>
      <c r="AF427" s="94">
        <f>F343+F334+F352</f>
        <v>0</v>
      </c>
      <c r="AG427" s="94">
        <f t="shared" si="163"/>
        <v>40529000</v>
      </c>
      <c r="AH427" s="94">
        <f>L343+L334+L352</f>
        <v>0</v>
      </c>
      <c r="AI427" s="94">
        <f t="shared" si="164"/>
        <v>40529000</v>
      </c>
      <c r="AJ427" s="94">
        <f>O343+O334+O352</f>
        <v>0</v>
      </c>
      <c r="AK427" s="94">
        <f>P343+P334+P352</f>
        <v>0</v>
      </c>
      <c r="AL427" s="94">
        <f t="shared" si="165"/>
        <v>0</v>
      </c>
      <c r="AM427" s="94">
        <f>V343+V334+V352</f>
        <v>0</v>
      </c>
      <c r="AN427" s="94">
        <f t="shared" si="166"/>
        <v>0</v>
      </c>
      <c r="AO427" s="94">
        <f t="shared" si="167"/>
        <v>40529000</v>
      </c>
      <c r="AP427" s="94">
        <f t="shared" si="168"/>
        <v>0</v>
      </c>
      <c r="AQ427" s="94">
        <f t="shared" si="169"/>
        <v>0</v>
      </c>
    </row>
    <row r="428" spans="1:43" x14ac:dyDescent="0.25">
      <c r="C428" s="2" t="s">
        <v>35</v>
      </c>
      <c r="D428" s="72">
        <f>6314234.68-910000</f>
        <v>5404234.6799999997</v>
      </c>
      <c r="E428" s="68">
        <v>0</v>
      </c>
      <c r="F428" s="68">
        <v>0</v>
      </c>
      <c r="G428" s="68"/>
      <c r="H428" s="68">
        <v>0</v>
      </c>
      <c r="I428" s="68">
        <v>0</v>
      </c>
      <c r="J428" s="68">
        <v>0</v>
      </c>
      <c r="K428" s="68">
        <v>0</v>
      </c>
      <c r="L428" s="68">
        <v>0</v>
      </c>
      <c r="M428" s="68"/>
      <c r="N428" s="68">
        <v>0</v>
      </c>
      <c r="O428" s="68">
        <v>0</v>
      </c>
      <c r="P428" s="68">
        <v>0</v>
      </c>
      <c r="Q428" s="68"/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/>
      <c r="X428" s="68">
        <v>0</v>
      </c>
      <c r="Y428" s="67">
        <f>R428+H428</f>
        <v>0</v>
      </c>
      <c r="Z428" s="67">
        <f>D428-Y428</f>
        <v>5404234.6799999997</v>
      </c>
      <c r="AA428" s="67">
        <f>N428+X428</f>
        <v>0</v>
      </c>
      <c r="AB428" s="67">
        <f>+D428-N428-X428</f>
        <v>5404234.6799999997</v>
      </c>
      <c r="AC428" s="49" t="s">
        <v>53</v>
      </c>
      <c r="AD428" s="94">
        <f>D341+D360+D368+D376+D397+D413+D421+D422</f>
        <v>175940843.64000005</v>
      </c>
      <c r="AE428" s="94">
        <f>E341+E360+E368+E376+E397+E413+E421+E422</f>
        <v>0</v>
      </c>
      <c r="AF428" s="94">
        <f>F341+F360+F368+F376+F397+F413+F421+F422</f>
        <v>8976293.8000000007</v>
      </c>
      <c r="AG428" s="94">
        <f t="shared" si="163"/>
        <v>8976293.8000000007</v>
      </c>
      <c r="AH428" s="94">
        <f>L341+L360+L368+L376+L397+L413+L421+L422</f>
        <v>0</v>
      </c>
      <c r="AI428" s="94">
        <f t="shared" si="164"/>
        <v>8976293.8000000007</v>
      </c>
      <c r="AJ428" s="94">
        <f>O341+O360+O368+O376+O397+O413+O421+O422</f>
        <v>81344895.24000001</v>
      </c>
      <c r="AK428" s="94">
        <f>P341+P360+P368+P376+P397+P413+P421+P422</f>
        <v>0</v>
      </c>
      <c r="AL428" s="94">
        <f t="shared" si="165"/>
        <v>81344895.24000001</v>
      </c>
      <c r="AM428" s="94">
        <f>V341+V360+V368+V376+V397+V413+V421+V422</f>
        <v>0</v>
      </c>
      <c r="AN428" s="94">
        <f t="shared" si="166"/>
        <v>81344895.24000001</v>
      </c>
      <c r="AO428" s="94">
        <f t="shared" si="167"/>
        <v>90321189.040000007</v>
      </c>
      <c r="AP428" s="94">
        <f t="shared" si="168"/>
        <v>85619654.600000039</v>
      </c>
      <c r="AQ428" s="94">
        <f t="shared" si="169"/>
        <v>85619654.600000024</v>
      </c>
    </row>
    <row r="429" spans="1:43" x14ac:dyDescent="0.25">
      <c r="D429" s="70" t="s">
        <v>40</v>
      </c>
      <c r="E429" s="70" t="s">
        <v>40</v>
      </c>
      <c r="F429" s="70" t="s">
        <v>40</v>
      </c>
      <c r="G429" s="70"/>
      <c r="H429" s="70" t="s">
        <v>40</v>
      </c>
      <c r="I429" s="70" t="s">
        <v>40</v>
      </c>
      <c r="J429" s="70" t="s">
        <v>40</v>
      </c>
      <c r="K429" s="70" t="s">
        <v>40</v>
      </c>
      <c r="L429" s="70" t="s">
        <v>40</v>
      </c>
      <c r="M429" s="70"/>
      <c r="N429" s="70" t="s">
        <v>40</v>
      </c>
      <c r="O429" s="70" t="s">
        <v>40</v>
      </c>
      <c r="P429" s="70" t="s">
        <v>40</v>
      </c>
      <c r="Q429" s="70"/>
      <c r="R429" s="70" t="s">
        <v>40</v>
      </c>
      <c r="S429" s="70" t="s">
        <v>40</v>
      </c>
      <c r="T429" s="70" t="s">
        <v>40</v>
      </c>
      <c r="U429" s="70" t="s">
        <v>40</v>
      </c>
      <c r="V429" s="70" t="s">
        <v>40</v>
      </c>
      <c r="W429" s="70"/>
      <c r="X429" s="70" t="s">
        <v>40</v>
      </c>
      <c r="Y429" s="70" t="s">
        <v>40</v>
      </c>
      <c r="Z429" s="70" t="s">
        <v>40</v>
      </c>
      <c r="AA429" s="70" t="s">
        <v>40</v>
      </c>
      <c r="AB429" s="70" t="s">
        <v>40</v>
      </c>
    </row>
    <row r="430" spans="1:43" x14ac:dyDescent="0.25">
      <c r="A430" s="4"/>
      <c r="B430" s="4"/>
      <c r="C430" s="4"/>
      <c r="D430" s="55">
        <f>SUM(D427:D428)</f>
        <v>6314234.6799999997</v>
      </c>
      <c r="E430" s="55">
        <f t="shared" ref="E430:AB430" si="171">SUM(E427:E428)</f>
        <v>910000</v>
      </c>
      <c r="F430" s="55">
        <f t="shared" si="171"/>
        <v>0</v>
      </c>
      <c r="G430" s="55"/>
      <c r="H430" s="55">
        <f t="shared" si="171"/>
        <v>910000</v>
      </c>
      <c r="I430" s="55">
        <f t="shared" si="171"/>
        <v>0</v>
      </c>
      <c r="J430" s="55">
        <f t="shared" si="171"/>
        <v>0</v>
      </c>
      <c r="K430" s="55">
        <f t="shared" si="171"/>
        <v>0</v>
      </c>
      <c r="L430" s="55">
        <f t="shared" si="171"/>
        <v>0</v>
      </c>
      <c r="M430" s="55"/>
      <c r="N430" s="55">
        <f t="shared" si="171"/>
        <v>910000</v>
      </c>
      <c r="O430" s="55">
        <f t="shared" si="171"/>
        <v>0</v>
      </c>
      <c r="P430" s="55">
        <f t="shared" si="171"/>
        <v>0</v>
      </c>
      <c r="Q430" s="55"/>
      <c r="R430" s="55">
        <f t="shared" si="171"/>
        <v>0</v>
      </c>
      <c r="S430" s="55">
        <f t="shared" si="171"/>
        <v>0</v>
      </c>
      <c r="T430" s="55">
        <f t="shared" si="171"/>
        <v>0</v>
      </c>
      <c r="U430" s="55">
        <f t="shared" si="171"/>
        <v>0</v>
      </c>
      <c r="V430" s="55">
        <f t="shared" si="171"/>
        <v>0</v>
      </c>
      <c r="W430" s="55"/>
      <c r="X430" s="55">
        <f t="shared" si="171"/>
        <v>0</v>
      </c>
      <c r="Y430" s="55">
        <f t="shared" si="171"/>
        <v>910000</v>
      </c>
      <c r="Z430" s="55">
        <f t="shared" si="171"/>
        <v>5404234.6799999997</v>
      </c>
      <c r="AA430" s="55">
        <f t="shared" si="171"/>
        <v>910000</v>
      </c>
      <c r="AB430" s="55">
        <f t="shared" si="171"/>
        <v>5404234.6799999997</v>
      </c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</row>
    <row r="431" spans="1:43" x14ac:dyDescent="0.25">
      <c r="A431" s="46"/>
      <c r="B431" s="26"/>
      <c r="C431" s="4"/>
      <c r="D431" s="70" t="s">
        <v>40</v>
      </c>
      <c r="E431" s="70" t="s">
        <v>40</v>
      </c>
      <c r="F431" s="70" t="s">
        <v>40</v>
      </c>
      <c r="G431" s="70"/>
      <c r="H431" s="70" t="s">
        <v>40</v>
      </c>
      <c r="I431" s="70" t="s">
        <v>40</v>
      </c>
      <c r="J431" s="70" t="s">
        <v>40</v>
      </c>
      <c r="K431" s="70" t="s">
        <v>40</v>
      </c>
      <c r="L431" s="70" t="s">
        <v>40</v>
      </c>
      <c r="M431" s="70"/>
      <c r="N431" s="70" t="s">
        <v>40</v>
      </c>
      <c r="O431" s="70" t="s">
        <v>40</v>
      </c>
      <c r="P431" s="70" t="s">
        <v>40</v>
      </c>
      <c r="Q431" s="70"/>
      <c r="R431" s="70" t="s">
        <v>40</v>
      </c>
      <c r="S431" s="70" t="s">
        <v>40</v>
      </c>
      <c r="T431" s="70" t="s">
        <v>40</v>
      </c>
      <c r="U431" s="70" t="s">
        <v>40</v>
      </c>
      <c r="V431" s="70" t="s">
        <v>40</v>
      </c>
      <c r="W431" s="70"/>
      <c r="X431" s="70" t="s">
        <v>40</v>
      </c>
      <c r="Y431" s="70" t="s">
        <v>40</v>
      </c>
      <c r="Z431" s="70" t="s">
        <v>40</v>
      </c>
      <c r="AA431" s="70" t="s">
        <v>40</v>
      </c>
      <c r="AB431" s="70" t="s">
        <v>40</v>
      </c>
      <c r="AC431" s="49" t="s">
        <v>54</v>
      </c>
      <c r="AD431" s="94">
        <f>D342+D361+D369+D377+D414</f>
        <v>66408087.560000002</v>
      </c>
      <c r="AE431" s="94">
        <f>E342+E361+E369+E377+E414</f>
        <v>0</v>
      </c>
      <c r="AF431" s="94">
        <f>F342+F361+F369+F377+F414</f>
        <v>0</v>
      </c>
      <c r="AG431" s="94">
        <f>+AE431+AF431</f>
        <v>0</v>
      </c>
      <c r="AH431" s="94">
        <f>H342+H361+H369+H377+H414</f>
        <v>0</v>
      </c>
      <c r="AI431" s="94">
        <f>+AG431+AH431</f>
        <v>0</v>
      </c>
      <c r="AJ431" s="94">
        <f>O342+O361+O369+O377+O414</f>
        <v>65226507.530000001</v>
      </c>
      <c r="AK431" s="94">
        <f>P342+P361+P369+P377+P414</f>
        <v>-5603896.2599999998</v>
      </c>
      <c r="AL431" s="94">
        <f>+AJ431+AK431</f>
        <v>59622611.270000003</v>
      </c>
      <c r="AM431" s="94">
        <f>V342+V361+V369+V377+V414</f>
        <v>0</v>
      </c>
      <c r="AN431" s="94">
        <f>+AL431+AM431:AM431</f>
        <v>59622611.270000003</v>
      </c>
      <c r="AO431" s="94">
        <f>+AG431+AL431</f>
        <v>59622611.270000003</v>
      </c>
      <c r="AP431" s="94">
        <f>+AD431-AO431</f>
        <v>6785476.2899999991</v>
      </c>
      <c r="AQ431" s="94">
        <f>+AD431-AI431-AN431</f>
        <v>6785476.2899999991</v>
      </c>
    </row>
    <row r="432" spans="1:43" x14ac:dyDescent="0.25">
      <c r="A432" s="46"/>
      <c r="B432" s="36" t="s">
        <v>3</v>
      </c>
      <c r="C432" s="21" t="s">
        <v>178</v>
      </c>
      <c r="D432" s="72">
        <f>D336+D345+D354+D363+D371+D379+D386+D394+D403+D409+D416+D425+D430</f>
        <v>661858388.68999994</v>
      </c>
      <c r="E432" s="72">
        <f>E336+E345+E354+E363+E371+E379+E386+E394+E403+E409+E416+E425+E430</f>
        <v>112943068.76000001</v>
      </c>
      <c r="F432" s="72">
        <f>F336+F345+F354+F363+F371+F379+F386+F394+F403+F409+F416+F425+F430</f>
        <v>8976293.8000000007</v>
      </c>
      <c r="G432" s="72"/>
      <c r="H432" s="72">
        <f>H336+H345+H354+H363+H371+H379+H386+H394+H403+H409+H416+H425+H430</f>
        <v>121919362.56</v>
      </c>
      <c r="I432" s="72">
        <f>I336+I345+I354+I363+I371+I379+I386+I394+I403+I409+I416+I425+I430</f>
        <v>0</v>
      </c>
      <c r="J432" s="72">
        <f>J336+J345+J354+J363+J371+J379+J386+J394+J403+J409+J416+J425+J430</f>
        <v>0</v>
      </c>
      <c r="K432" s="72">
        <f>K336+K345+K354+K363+K371+K379+K386+K394+K403+K409+K416+K425+K430</f>
        <v>0</v>
      </c>
      <c r="L432" s="72">
        <f>L336+L345+L354+L363+L371+L379+L386+L394+L403+L409+L416+L425+L430</f>
        <v>0</v>
      </c>
      <c r="M432" s="72"/>
      <c r="N432" s="72">
        <f>N336+N345+N354+N363+N371+N379+N386+N394+N403+N409+N416+N425+N430</f>
        <v>121919362.56</v>
      </c>
      <c r="O432" s="72">
        <f>O336+O345+O354+O363+O371+O379+O386+O394+O403+O409+O416+O425+O430</f>
        <v>170537005.66</v>
      </c>
      <c r="P432" s="72">
        <f>P336+P345+P354+P363+P371+P379+P386+P394+P403+P409+P416+P425+P430</f>
        <v>-5603896.2599999998</v>
      </c>
      <c r="Q432" s="72"/>
      <c r="R432" s="72">
        <f>R336+R345+R354+R363+R371+R379+R386+R394+R403+R409+R416+R425+R430</f>
        <v>164933109.40000001</v>
      </c>
      <c r="S432" s="72">
        <f>S336+S345+S354+S363+S371+S379+S386+S394+S403+S409+S416+S425+S430</f>
        <v>0</v>
      </c>
      <c r="T432" s="72">
        <f>T336+T345+T354+T363+T371+T379+T386+T394+T403+T409+T416+T425+T430</f>
        <v>0</v>
      </c>
      <c r="U432" s="72">
        <f>U336+U345+U354+U363+U371+U379+U386+U394+U403+U409+U416+U425+U430</f>
        <v>0</v>
      </c>
      <c r="V432" s="72">
        <f>V336+V345+V354+V363+V371+V379+V386+V394+V403+V409+V416+V425+V430</f>
        <v>4137609.23</v>
      </c>
      <c r="W432" s="72"/>
      <c r="X432" s="72">
        <f>X336+X345+X354+X363+X371+X379+X386+X394+X403+X409+X416+X425+X430</f>
        <v>169070718.63</v>
      </c>
      <c r="Y432" s="72">
        <f>Y336+Y345+Y354+Y363+Y371+Y379+Y386+Y394+Y403+Y409+Y416+Y425+Y430</f>
        <v>286852471.96000004</v>
      </c>
      <c r="Z432" s="72">
        <f>Z336+Z345+Z354+Z363+Z371+Z379+Z386+Z394+Z403+Z409+Z416+Z425+Z430</f>
        <v>375005916.72999996</v>
      </c>
      <c r="AA432" s="72">
        <f>AA336+AA345+AA354+AA363+AA371+AA379+AA386+AA394+AA403+AA409+AA416+AA425+AA430</f>
        <v>290990081.19000006</v>
      </c>
      <c r="AB432" s="72">
        <f>AB336+AB345+AB354+AB363+AB371+AB379+AB386+AB394+AB403+AB409+AB416+AB425+AB430</f>
        <v>370868307.49999994</v>
      </c>
      <c r="AD432" s="95">
        <f t="shared" ref="AD432:AQ432" si="172">SUM(AD417:AD431)</f>
        <v>661858388.69000006</v>
      </c>
      <c r="AE432" s="95">
        <f t="shared" si="172"/>
        <v>112943068.76000001</v>
      </c>
      <c r="AF432" s="95">
        <f t="shared" si="172"/>
        <v>8976293.8000000007</v>
      </c>
      <c r="AG432" s="95">
        <f t="shared" si="172"/>
        <v>121919362.56</v>
      </c>
      <c r="AH432" s="95">
        <f t="shared" si="172"/>
        <v>0</v>
      </c>
      <c r="AI432" s="95">
        <f t="shared" si="172"/>
        <v>121919362.56</v>
      </c>
      <c r="AJ432" s="95">
        <f t="shared" si="172"/>
        <v>170537005.66000003</v>
      </c>
      <c r="AK432" s="95">
        <f t="shared" si="172"/>
        <v>-5603896.2599999998</v>
      </c>
      <c r="AL432" s="95">
        <f t="shared" si="172"/>
        <v>164933109.40000001</v>
      </c>
      <c r="AM432" s="95">
        <f t="shared" si="172"/>
        <v>4137609.23</v>
      </c>
      <c r="AN432" s="95">
        <f t="shared" si="172"/>
        <v>169070718.63000003</v>
      </c>
      <c r="AO432" s="95">
        <f t="shared" si="172"/>
        <v>286852471.95999998</v>
      </c>
      <c r="AP432" s="95">
        <f t="shared" si="172"/>
        <v>375005916.73000008</v>
      </c>
      <c r="AQ432" s="95">
        <f t="shared" si="172"/>
        <v>370868307.50000006</v>
      </c>
    </row>
    <row r="433" spans="1:29" x14ac:dyDescent="0.25">
      <c r="A433" s="46"/>
      <c r="B433" s="26"/>
      <c r="C433" s="4" t="s">
        <v>145</v>
      </c>
      <c r="D433" s="70" t="s">
        <v>50</v>
      </c>
      <c r="E433" s="70" t="s">
        <v>50</v>
      </c>
      <c r="F433" s="70" t="s">
        <v>50</v>
      </c>
      <c r="G433" s="70"/>
      <c r="H433" s="70" t="s">
        <v>50</v>
      </c>
      <c r="I433" s="70" t="s">
        <v>50</v>
      </c>
      <c r="J433" s="70" t="s">
        <v>50</v>
      </c>
      <c r="K433" s="70" t="s">
        <v>50</v>
      </c>
      <c r="L433" s="70" t="s">
        <v>50</v>
      </c>
      <c r="M433" s="70"/>
      <c r="N433" s="70" t="s">
        <v>50</v>
      </c>
      <c r="O433" s="70" t="s">
        <v>50</v>
      </c>
      <c r="P433" s="70" t="s">
        <v>50</v>
      </c>
      <c r="Q433" s="70"/>
      <c r="R433" s="70" t="s">
        <v>50</v>
      </c>
      <c r="S433" s="70" t="s">
        <v>50</v>
      </c>
      <c r="T433" s="70" t="s">
        <v>50</v>
      </c>
      <c r="U433" s="70" t="s">
        <v>50</v>
      </c>
      <c r="V433" s="70" t="s">
        <v>50</v>
      </c>
      <c r="W433" s="70"/>
      <c r="X433" s="70" t="s">
        <v>50</v>
      </c>
      <c r="Y433" s="70" t="s">
        <v>50</v>
      </c>
      <c r="Z433" s="70" t="s">
        <v>50</v>
      </c>
      <c r="AA433" s="70" t="s">
        <v>50</v>
      </c>
      <c r="AB433" s="70" t="s">
        <v>50</v>
      </c>
      <c r="AC433" s="52"/>
    </row>
    <row r="434" spans="1:29" x14ac:dyDescent="0.25">
      <c r="A434" s="46"/>
      <c r="B434" s="26"/>
      <c r="C434" s="20"/>
      <c r="D434" s="75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</row>
    <row r="435" spans="1:29" x14ac:dyDescent="0.25">
      <c r="A435" s="46"/>
      <c r="B435" s="26"/>
      <c r="C435" s="4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</row>
    <row r="436" spans="1:29" ht="19.5" x14ac:dyDescent="0.35">
      <c r="A436" s="46"/>
      <c r="B436" s="47" t="s">
        <v>77</v>
      </c>
      <c r="C436" s="4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</row>
    <row r="437" spans="1:29" x14ac:dyDescent="0.25">
      <c r="A437" s="46"/>
      <c r="B437" s="26"/>
      <c r="C437" s="4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</row>
    <row r="438" spans="1:29" x14ac:dyDescent="0.25">
      <c r="A438" s="46">
        <v>45</v>
      </c>
      <c r="B438" s="23" t="s">
        <v>78</v>
      </c>
      <c r="C438" s="2" t="s">
        <v>35</v>
      </c>
      <c r="D438" s="67">
        <v>1629625.74</v>
      </c>
      <c r="E438" s="67">
        <v>0</v>
      </c>
      <c r="F438" s="68"/>
      <c r="G438" s="68"/>
      <c r="H438" s="67">
        <f>E438+F438</f>
        <v>0</v>
      </c>
      <c r="I438" s="68"/>
      <c r="J438" s="68"/>
      <c r="K438" s="68"/>
      <c r="L438" s="67"/>
      <c r="M438" s="67"/>
      <c r="N438" s="67">
        <f>H438+L438</f>
        <v>0</v>
      </c>
      <c r="O438" s="67">
        <v>0</v>
      </c>
      <c r="P438" s="67"/>
      <c r="Q438" s="67"/>
      <c r="R438" s="67">
        <f>O438+P438</f>
        <v>0</v>
      </c>
      <c r="S438" s="67"/>
      <c r="T438" s="68"/>
      <c r="U438" s="68"/>
      <c r="V438" s="67"/>
      <c r="W438" s="67"/>
      <c r="X438" s="67">
        <f>R438+V438</f>
        <v>0</v>
      </c>
      <c r="Y438" s="67">
        <f>R438+H438</f>
        <v>0</v>
      </c>
      <c r="Z438" s="67">
        <f>D438-Y438</f>
        <v>1629625.74</v>
      </c>
      <c r="AA438" s="67">
        <f>N438+X438</f>
        <v>0</v>
      </c>
      <c r="AB438" s="67">
        <f>+D438-N438-X438</f>
        <v>1629625.74</v>
      </c>
    </row>
    <row r="439" spans="1:29" x14ac:dyDescent="0.25">
      <c r="A439" s="46"/>
      <c r="B439" s="26"/>
      <c r="C439" s="3" t="s">
        <v>36</v>
      </c>
      <c r="D439" s="67">
        <v>1849609.58</v>
      </c>
      <c r="E439" s="67">
        <v>1849609.58</v>
      </c>
      <c r="F439" s="68"/>
      <c r="G439" s="68"/>
      <c r="H439" s="67">
        <f>E439+F439</f>
        <v>1849609.58</v>
      </c>
      <c r="I439" s="68"/>
      <c r="J439" s="68"/>
      <c r="K439" s="68"/>
      <c r="L439" s="67"/>
      <c r="M439" s="67"/>
      <c r="N439" s="67">
        <f>H439+L439</f>
        <v>1849609.58</v>
      </c>
      <c r="O439" s="67">
        <v>0</v>
      </c>
      <c r="P439" s="68"/>
      <c r="Q439" s="68"/>
      <c r="R439" s="67">
        <f>O439+P439</f>
        <v>0</v>
      </c>
      <c r="S439" s="67"/>
      <c r="T439" s="68"/>
      <c r="U439" s="68"/>
      <c r="V439" s="67"/>
      <c r="W439" s="67"/>
      <c r="X439" s="67">
        <f>R439+V439</f>
        <v>0</v>
      </c>
      <c r="Y439" s="67">
        <f>R439+H439</f>
        <v>1849609.58</v>
      </c>
      <c r="Z439" s="67">
        <f>D439-Y439</f>
        <v>0</v>
      </c>
      <c r="AA439" s="67">
        <f>N439+X439</f>
        <v>1849609.58</v>
      </c>
      <c r="AB439" s="67">
        <f>+D439-N439-X439</f>
        <v>0</v>
      </c>
    </row>
    <row r="440" spans="1:29" x14ac:dyDescent="0.25">
      <c r="A440" s="46"/>
      <c r="B440" s="26"/>
      <c r="C440" s="9" t="s">
        <v>62</v>
      </c>
      <c r="D440" s="67">
        <v>8523000</v>
      </c>
      <c r="E440" s="67">
        <v>8523000</v>
      </c>
      <c r="F440" s="68"/>
      <c r="G440" s="68"/>
      <c r="H440" s="67">
        <f>E440+F440</f>
        <v>8523000</v>
      </c>
      <c r="I440" s="68"/>
      <c r="J440" s="68"/>
      <c r="K440" s="68"/>
      <c r="L440" s="67"/>
      <c r="M440" s="67"/>
      <c r="N440" s="67">
        <f>H440+L440</f>
        <v>8523000</v>
      </c>
      <c r="O440" s="67">
        <v>0</v>
      </c>
      <c r="P440" s="68"/>
      <c r="Q440" s="68"/>
      <c r="R440" s="67">
        <f>O440+P440</f>
        <v>0</v>
      </c>
      <c r="S440" s="67"/>
      <c r="T440" s="68"/>
      <c r="U440" s="68"/>
      <c r="V440" s="67"/>
      <c r="W440" s="67"/>
      <c r="X440" s="67">
        <f>R440+V440</f>
        <v>0</v>
      </c>
      <c r="Y440" s="67">
        <f>R440+H440</f>
        <v>8523000</v>
      </c>
      <c r="Z440" s="67">
        <f>D440-Y440</f>
        <v>0</v>
      </c>
      <c r="AA440" s="67">
        <f>N440+X440</f>
        <v>8523000</v>
      </c>
      <c r="AB440" s="67">
        <f>+D440-N440-X440</f>
        <v>0</v>
      </c>
    </row>
    <row r="441" spans="1:29" x14ac:dyDescent="0.25">
      <c r="A441" s="46"/>
      <c r="B441" s="30"/>
      <c r="C441" s="4"/>
      <c r="D441" s="70" t="s">
        <v>40</v>
      </c>
      <c r="E441" s="70" t="s">
        <v>40</v>
      </c>
      <c r="F441" s="70" t="s">
        <v>40</v>
      </c>
      <c r="G441" s="70"/>
      <c r="H441" s="70" t="s">
        <v>40</v>
      </c>
      <c r="I441" s="70" t="s">
        <v>40</v>
      </c>
      <c r="J441" s="70" t="s">
        <v>40</v>
      </c>
      <c r="K441" s="70" t="s">
        <v>40</v>
      </c>
      <c r="L441" s="70" t="s">
        <v>40</v>
      </c>
      <c r="M441" s="70"/>
      <c r="N441" s="70" t="s">
        <v>40</v>
      </c>
      <c r="O441" s="70" t="s">
        <v>40</v>
      </c>
      <c r="P441" s="70" t="s">
        <v>40</v>
      </c>
      <c r="Q441" s="70"/>
      <c r="R441" s="70" t="s">
        <v>40</v>
      </c>
      <c r="S441" s="70" t="s">
        <v>40</v>
      </c>
      <c r="T441" s="70" t="s">
        <v>40</v>
      </c>
      <c r="U441" s="70" t="s">
        <v>40</v>
      </c>
      <c r="V441" s="70" t="s">
        <v>40</v>
      </c>
      <c r="W441" s="70"/>
      <c r="X441" s="70" t="s">
        <v>40</v>
      </c>
      <c r="Y441" s="70" t="s">
        <v>40</v>
      </c>
      <c r="Z441" s="70" t="s">
        <v>40</v>
      </c>
      <c r="AA441" s="70" t="s">
        <v>40</v>
      </c>
      <c r="AB441" s="70" t="s">
        <v>40</v>
      </c>
    </row>
    <row r="442" spans="1:29" x14ac:dyDescent="0.25">
      <c r="A442" s="46"/>
      <c r="B442" s="30"/>
      <c r="C442" s="4"/>
      <c r="D442" s="67">
        <f t="shared" ref="D442:AB442" si="173">SUM(D438:D440)</f>
        <v>12002235.32</v>
      </c>
      <c r="E442" s="67">
        <f t="shared" si="173"/>
        <v>10372609.58</v>
      </c>
      <c r="F442" s="67">
        <f t="shared" si="173"/>
        <v>0</v>
      </c>
      <c r="G442" s="67"/>
      <c r="H442" s="67">
        <f t="shared" si="173"/>
        <v>10372609.58</v>
      </c>
      <c r="I442" s="67">
        <f t="shared" si="173"/>
        <v>0</v>
      </c>
      <c r="J442" s="67">
        <f t="shared" si="173"/>
        <v>0</v>
      </c>
      <c r="K442" s="67">
        <f t="shared" si="173"/>
        <v>0</v>
      </c>
      <c r="L442" s="67">
        <f t="shared" si="173"/>
        <v>0</v>
      </c>
      <c r="M442" s="67"/>
      <c r="N442" s="67">
        <f t="shared" si="173"/>
        <v>10372609.58</v>
      </c>
      <c r="O442" s="67">
        <f t="shared" si="173"/>
        <v>0</v>
      </c>
      <c r="P442" s="67">
        <f t="shared" si="173"/>
        <v>0</v>
      </c>
      <c r="Q442" s="67"/>
      <c r="R442" s="67">
        <f t="shared" si="173"/>
        <v>0</v>
      </c>
      <c r="S442" s="67">
        <f t="shared" si="173"/>
        <v>0</v>
      </c>
      <c r="T442" s="67">
        <f t="shared" si="173"/>
        <v>0</v>
      </c>
      <c r="U442" s="67">
        <f t="shared" si="173"/>
        <v>0</v>
      </c>
      <c r="V442" s="67">
        <f t="shared" si="173"/>
        <v>0</v>
      </c>
      <c r="W442" s="67"/>
      <c r="X442" s="67">
        <f t="shared" si="173"/>
        <v>0</v>
      </c>
      <c r="Y442" s="67">
        <f t="shared" si="173"/>
        <v>10372609.58</v>
      </c>
      <c r="Z442" s="67">
        <f t="shared" si="173"/>
        <v>1629625.74</v>
      </c>
      <c r="AA442" s="67">
        <f t="shared" si="173"/>
        <v>10372609.58</v>
      </c>
      <c r="AB442" s="67">
        <f t="shared" si="173"/>
        <v>1629625.74</v>
      </c>
    </row>
    <row r="443" spans="1:29" x14ac:dyDescent="0.25">
      <c r="A443" s="46"/>
      <c r="B443" s="26"/>
      <c r="C443" s="4"/>
      <c r="D443" s="70" t="s">
        <v>40</v>
      </c>
      <c r="E443" s="70" t="s">
        <v>40</v>
      </c>
      <c r="F443" s="70" t="s">
        <v>40</v>
      </c>
      <c r="G443" s="70"/>
      <c r="H443" s="70" t="s">
        <v>40</v>
      </c>
      <c r="I443" s="70" t="s">
        <v>40</v>
      </c>
      <c r="J443" s="70" t="s">
        <v>40</v>
      </c>
      <c r="K443" s="70" t="s">
        <v>40</v>
      </c>
      <c r="L443" s="70" t="s">
        <v>40</v>
      </c>
      <c r="M443" s="70"/>
      <c r="N443" s="70" t="s">
        <v>40</v>
      </c>
      <c r="O443" s="70" t="s">
        <v>40</v>
      </c>
      <c r="P443" s="70" t="s">
        <v>40</v>
      </c>
      <c r="Q443" s="70"/>
      <c r="R443" s="70" t="s">
        <v>40</v>
      </c>
      <c r="S443" s="70" t="s">
        <v>40</v>
      </c>
      <c r="T443" s="70" t="s">
        <v>40</v>
      </c>
      <c r="U443" s="70" t="s">
        <v>40</v>
      </c>
      <c r="V443" s="70" t="s">
        <v>40</v>
      </c>
      <c r="W443" s="70"/>
      <c r="X443" s="70" t="s">
        <v>40</v>
      </c>
      <c r="Y443" s="70" t="s">
        <v>40</v>
      </c>
      <c r="Z443" s="70" t="s">
        <v>40</v>
      </c>
      <c r="AA443" s="70" t="s">
        <v>40</v>
      </c>
      <c r="AB443" s="70" t="s">
        <v>40</v>
      </c>
    </row>
    <row r="444" spans="1:29" x14ac:dyDescent="0.25">
      <c r="A444" s="46"/>
      <c r="B444" s="26"/>
      <c r="C444" s="4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</row>
    <row r="445" spans="1:29" x14ac:dyDescent="0.25">
      <c r="A445" s="46">
        <v>46</v>
      </c>
      <c r="B445" s="23" t="s">
        <v>79</v>
      </c>
      <c r="C445" s="2" t="s">
        <v>35</v>
      </c>
      <c r="D445" s="67">
        <f>53508633.03+2768761.2</f>
        <v>56277394.230000004</v>
      </c>
      <c r="E445" s="67">
        <v>0</v>
      </c>
      <c r="F445" s="68"/>
      <c r="G445" s="68"/>
      <c r="H445" s="67">
        <f>E445+F445</f>
        <v>0</v>
      </c>
      <c r="I445" s="68"/>
      <c r="J445" s="68"/>
      <c r="K445" s="68"/>
      <c r="L445" s="67"/>
      <c r="M445" s="67"/>
      <c r="N445" s="67">
        <f>H445+L445</f>
        <v>0</v>
      </c>
      <c r="O445" s="67">
        <f>4930034.33+1743183.58+4754618.88+3867846.57+2768761.2</f>
        <v>18064444.559999999</v>
      </c>
      <c r="P445" s="68"/>
      <c r="Q445" s="68"/>
      <c r="R445" s="67">
        <f>O445+P445</f>
        <v>18064444.559999999</v>
      </c>
      <c r="S445" s="67">
        <f>704431.8+2019319.8+29262375.49+859875.52+3830998.77</f>
        <v>36677001.380000003</v>
      </c>
      <c r="T445" s="68">
        <f>4738028.88+3867846.57</f>
        <v>8605875.4499999993</v>
      </c>
      <c r="U445" s="67"/>
      <c r="V445" s="67"/>
      <c r="W445" s="67"/>
      <c r="X445" s="67">
        <f>R445+V445</f>
        <v>18064444.559999999</v>
      </c>
      <c r="Y445" s="67">
        <f>R445+H445</f>
        <v>18064444.559999999</v>
      </c>
      <c r="Z445" s="67">
        <f>D445-Y445</f>
        <v>38212949.670000002</v>
      </c>
      <c r="AA445" s="67">
        <f>N445+X445</f>
        <v>18064444.559999999</v>
      </c>
      <c r="AB445" s="67">
        <f>+D445-N445-X445</f>
        <v>38212949.670000002</v>
      </c>
    </row>
    <row r="446" spans="1:29" x14ac:dyDescent="0.25">
      <c r="A446" s="46"/>
      <c r="B446" s="26"/>
      <c r="C446" s="3" t="s">
        <v>80</v>
      </c>
      <c r="D446" s="67">
        <v>40679000</v>
      </c>
      <c r="E446" s="67">
        <v>40679000</v>
      </c>
      <c r="F446" s="68"/>
      <c r="G446" s="68"/>
      <c r="H446" s="67">
        <f>E446+F446</f>
        <v>40679000</v>
      </c>
      <c r="I446" s="68"/>
      <c r="J446" s="68"/>
      <c r="K446" s="68"/>
      <c r="L446" s="67"/>
      <c r="M446" s="67"/>
      <c r="N446" s="67">
        <f>H446+L446</f>
        <v>40679000</v>
      </c>
      <c r="O446" s="67">
        <v>0</v>
      </c>
      <c r="P446" s="68"/>
      <c r="Q446" s="68"/>
      <c r="R446" s="67">
        <f>O446+P446</f>
        <v>0</v>
      </c>
      <c r="S446" s="68"/>
      <c r="T446" s="68"/>
      <c r="U446" s="68"/>
      <c r="V446" s="67"/>
      <c r="W446" s="67"/>
      <c r="X446" s="67">
        <f>R446+V446</f>
        <v>0</v>
      </c>
      <c r="Y446" s="67">
        <f>R446+H446</f>
        <v>40679000</v>
      </c>
      <c r="Z446" s="67">
        <f>D446-Y446</f>
        <v>0</v>
      </c>
      <c r="AA446" s="67">
        <f>N446+X446</f>
        <v>40679000</v>
      </c>
      <c r="AB446" s="67">
        <f>+D446-N446-X446</f>
        <v>0</v>
      </c>
    </row>
    <row r="447" spans="1:29" x14ac:dyDescent="0.25">
      <c r="A447" s="46"/>
      <c r="B447" s="26"/>
      <c r="C447" s="4"/>
      <c r="D447" s="70" t="s">
        <v>40</v>
      </c>
      <c r="E447" s="70" t="s">
        <v>40</v>
      </c>
      <c r="F447" s="70" t="s">
        <v>40</v>
      </c>
      <c r="G447" s="70"/>
      <c r="H447" s="70" t="s">
        <v>40</v>
      </c>
      <c r="I447" s="70" t="s">
        <v>40</v>
      </c>
      <c r="J447" s="70" t="s">
        <v>40</v>
      </c>
      <c r="K447" s="70" t="s">
        <v>40</v>
      </c>
      <c r="L447" s="70" t="s">
        <v>40</v>
      </c>
      <c r="M447" s="70"/>
      <c r="N447" s="70" t="s">
        <v>40</v>
      </c>
      <c r="O447" s="70" t="s">
        <v>40</v>
      </c>
      <c r="P447" s="70" t="s">
        <v>40</v>
      </c>
      <c r="Q447" s="70"/>
      <c r="R447" s="70" t="s">
        <v>40</v>
      </c>
      <c r="S447" s="70" t="s">
        <v>40</v>
      </c>
      <c r="T447" s="70" t="s">
        <v>40</v>
      </c>
      <c r="U447" s="70" t="s">
        <v>40</v>
      </c>
      <c r="V447" s="70" t="s">
        <v>40</v>
      </c>
      <c r="W447" s="70"/>
      <c r="X447" s="70" t="s">
        <v>40</v>
      </c>
      <c r="Y447" s="70" t="s">
        <v>40</v>
      </c>
      <c r="Z447" s="70" t="s">
        <v>40</v>
      </c>
      <c r="AA447" s="70" t="s">
        <v>40</v>
      </c>
      <c r="AB447" s="70" t="s">
        <v>40</v>
      </c>
    </row>
    <row r="448" spans="1:29" x14ac:dyDescent="0.25">
      <c r="A448" s="46"/>
      <c r="B448" s="26"/>
      <c r="C448" s="4"/>
      <c r="D448" s="67">
        <f>SUM(D445:D447)</f>
        <v>96956394.230000004</v>
      </c>
      <c r="E448" s="67">
        <f>SUM(E445:E447)</f>
        <v>40679000</v>
      </c>
      <c r="F448" s="67">
        <f>SUM(F445:F447)</f>
        <v>0</v>
      </c>
      <c r="G448" s="67"/>
      <c r="H448" s="67">
        <f t="shared" ref="H448:AB448" si="174">SUM(H445:H447)</f>
        <v>40679000</v>
      </c>
      <c r="I448" s="67">
        <f t="shared" si="174"/>
        <v>0</v>
      </c>
      <c r="J448" s="67">
        <f t="shared" si="174"/>
        <v>0</v>
      </c>
      <c r="K448" s="67">
        <f t="shared" si="174"/>
        <v>0</v>
      </c>
      <c r="L448" s="67">
        <f t="shared" si="174"/>
        <v>0</v>
      </c>
      <c r="M448" s="67"/>
      <c r="N448" s="67">
        <f t="shared" si="174"/>
        <v>40679000</v>
      </c>
      <c r="O448" s="67">
        <f t="shared" si="174"/>
        <v>18064444.559999999</v>
      </c>
      <c r="P448" s="67">
        <f t="shared" si="174"/>
        <v>0</v>
      </c>
      <c r="Q448" s="67"/>
      <c r="R448" s="67">
        <f t="shared" si="174"/>
        <v>18064444.559999999</v>
      </c>
      <c r="S448" s="67">
        <f t="shared" si="174"/>
        <v>36677001.380000003</v>
      </c>
      <c r="T448" s="67">
        <f t="shared" si="174"/>
        <v>8605875.4499999993</v>
      </c>
      <c r="U448" s="67">
        <f t="shared" si="174"/>
        <v>0</v>
      </c>
      <c r="V448" s="67">
        <f t="shared" si="174"/>
        <v>0</v>
      </c>
      <c r="W448" s="67"/>
      <c r="X448" s="67">
        <f t="shared" si="174"/>
        <v>18064444.559999999</v>
      </c>
      <c r="Y448" s="67">
        <f t="shared" si="174"/>
        <v>58743444.560000002</v>
      </c>
      <c r="Z448" s="67">
        <f t="shared" si="174"/>
        <v>38212949.670000002</v>
      </c>
      <c r="AA448" s="67">
        <f t="shared" si="174"/>
        <v>58743444.560000002</v>
      </c>
      <c r="AB448" s="67">
        <f t="shared" si="174"/>
        <v>38212949.670000002</v>
      </c>
    </row>
    <row r="449" spans="1:28" x14ac:dyDescent="0.25">
      <c r="A449" s="46"/>
      <c r="B449" s="33">
        <f>51847000-1680513.94</f>
        <v>50166486.060000002</v>
      </c>
      <c r="C449" s="4"/>
      <c r="D449" s="70" t="s">
        <v>40</v>
      </c>
      <c r="E449" s="70" t="s">
        <v>40</v>
      </c>
      <c r="F449" s="70" t="s">
        <v>40</v>
      </c>
      <c r="G449" s="70"/>
      <c r="H449" s="70" t="s">
        <v>40</v>
      </c>
      <c r="I449" s="70" t="s">
        <v>40</v>
      </c>
      <c r="J449" s="70" t="s">
        <v>40</v>
      </c>
      <c r="K449" s="70" t="s">
        <v>40</v>
      </c>
      <c r="L449" s="70" t="s">
        <v>40</v>
      </c>
      <c r="M449" s="70"/>
      <c r="N449" s="70" t="s">
        <v>40</v>
      </c>
      <c r="O449" s="70" t="s">
        <v>40</v>
      </c>
      <c r="P449" s="70" t="s">
        <v>40</v>
      </c>
      <c r="Q449" s="70"/>
      <c r="R449" s="70" t="s">
        <v>40</v>
      </c>
      <c r="S449" s="70" t="s">
        <v>40</v>
      </c>
      <c r="T449" s="70" t="s">
        <v>40</v>
      </c>
      <c r="U449" s="70" t="s">
        <v>40</v>
      </c>
      <c r="V449" s="70" t="s">
        <v>40</v>
      </c>
      <c r="W449" s="70"/>
      <c r="X449" s="70" t="s">
        <v>40</v>
      </c>
      <c r="Y449" s="70" t="s">
        <v>40</v>
      </c>
      <c r="Z449" s="70" t="s">
        <v>40</v>
      </c>
      <c r="AA449" s="70" t="s">
        <v>40</v>
      </c>
      <c r="AB449" s="70" t="s">
        <v>40</v>
      </c>
    </row>
    <row r="450" spans="1:28" x14ac:dyDescent="0.25">
      <c r="A450" s="46"/>
      <c r="B450" s="33"/>
      <c r="C450" s="4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</row>
    <row r="451" spans="1:28" x14ac:dyDescent="0.25">
      <c r="A451" s="46">
        <v>47</v>
      </c>
      <c r="B451" s="23" t="s">
        <v>81</v>
      </c>
      <c r="C451" s="2" t="s">
        <v>35</v>
      </c>
      <c r="D451" s="67">
        <v>4029022.26</v>
      </c>
      <c r="E451" s="67">
        <v>0</v>
      </c>
      <c r="F451" s="68"/>
      <c r="G451" s="68"/>
      <c r="H451" s="67">
        <f>E451+F451</f>
        <v>0</v>
      </c>
      <c r="I451" s="68"/>
      <c r="J451" s="68"/>
      <c r="K451" s="68"/>
      <c r="L451" s="67"/>
      <c r="M451" s="67"/>
      <c r="N451" s="67">
        <f>H451+L451</f>
        <v>0</v>
      </c>
      <c r="O451" s="67">
        <v>0</v>
      </c>
      <c r="P451" s="68"/>
      <c r="Q451" s="68"/>
      <c r="R451" s="67">
        <f>O451+P451</f>
        <v>0</v>
      </c>
      <c r="S451" s="68"/>
      <c r="T451" s="68"/>
      <c r="U451" s="68"/>
      <c r="V451" s="67"/>
      <c r="W451" s="67"/>
      <c r="X451" s="67">
        <f>R451+V451</f>
        <v>0</v>
      </c>
      <c r="Y451" s="67">
        <f>R451+H451</f>
        <v>0</v>
      </c>
      <c r="Z451" s="67">
        <f>D451-Y451</f>
        <v>4029022.26</v>
      </c>
      <c r="AA451" s="67">
        <f>N451+X451</f>
        <v>0</v>
      </c>
      <c r="AB451" s="67">
        <f>+D451-N451-X451</f>
        <v>4029022.26</v>
      </c>
    </row>
    <row r="452" spans="1:28" x14ac:dyDescent="0.25">
      <c r="A452" s="46"/>
      <c r="B452" s="26"/>
      <c r="C452" s="3" t="s">
        <v>44</v>
      </c>
      <c r="D452" s="67">
        <v>17785000</v>
      </c>
      <c r="E452" s="67">
        <v>17785000</v>
      </c>
      <c r="F452" s="68"/>
      <c r="G452" s="68"/>
      <c r="H452" s="67">
        <f>E452+F452</f>
        <v>17785000</v>
      </c>
      <c r="I452" s="68"/>
      <c r="J452" s="68"/>
      <c r="K452" s="68"/>
      <c r="L452" s="67"/>
      <c r="M452" s="67"/>
      <c r="N452" s="67">
        <f>H452+L452</f>
        <v>17785000</v>
      </c>
      <c r="O452" s="67">
        <v>0</v>
      </c>
      <c r="P452" s="68"/>
      <c r="Q452" s="68"/>
      <c r="R452" s="67">
        <f>O452+P452</f>
        <v>0</v>
      </c>
      <c r="S452" s="68"/>
      <c r="T452" s="68"/>
      <c r="U452" s="68"/>
      <c r="V452" s="67"/>
      <c r="W452" s="67"/>
      <c r="X452" s="67">
        <f>R452+V452</f>
        <v>0</v>
      </c>
      <c r="Y452" s="67">
        <f>R452+H452</f>
        <v>17785000</v>
      </c>
      <c r="Z452" s="67">
        <f>D452-Y452</f>
        <v>0</v>
      </c>
      <c r="AA452" s="67">
        <f>N452+X452</f>
        <v>17785000</v>
      </c>
      <c r="AB452" s="67">
        <f>+D452-N452-X452</f>
        <v>0</v>
      </c>
    </row>
    <row r="453" spans="1:28" x14ac:dyDescent="0.25">
      <c r="A453" s="46"/>
      <c r="B453" s="26"/>
      <c r="C453" s="4"/>
      <c r="D453" s="70" t="s">
        <v>40</v>
      </c>
      <c r="E453" s="70" t="s">
        <v>40</v>
      </c>
      <c r="F453" s="70" t="s">
        <v>40</v>
      </c>
      <c r="G453" s="70"/>
      <c r="H453" s="70" t="s">
        <v>40</v>
      </c>
      <c r="I453" s="70" t="s">
        <v>40</v>
      </c>
      <c r="J453" s="70" t="s">
        <v>40</v>
      </c>
      <c r="K453" s="70" t="s">
        <v>40</v>
      </c>
      <c r="L453" s="70" t="s">
        <v>40</v>
      </c>
      <c r="M453" s="70"/>
      <c r="N453" s="70" t="s">
        <v>40</v>
      </c>
      <c r="O453" s="70" t="s">
        <v>40</v>
      </c>
      <c r="P453" s="70" t="s">
        <v>40</v>
      </c>
      <c r="Q453" s="70"/>
      <c r="R453" s="70" t="s">
        <v>40</v>
      </c>
      <c r="S453" s="70" t="s">
        <v>40</v>
      </c>
      <c r="T453" s="70" t="s">
        <v>40</v>
      </c>
      <c r="U453" s="70" t="s">
        <v>40</v>
      </c>
      <c r="V453" s="70" t="s">
        <v>40</v>
      </c>
      <c r="W453" s="70"/>
      <c r="X453" s="70" t="s">
        <v>40</v>
      </c>
      <c r="Y453" s="70" t="s">
        <v>40</v>
      </c>
      <c r="Z453" s="70" t="s">
        <v>40</v>
      </c>
      <c r="AA453" s="70" t="s">
        <v>40</v>
      </c>
      <c r="AB453" s="70" t="s">
        <v>40</v>
      </c>
    </row>
    <row r="454" spans="1:28" x14ac:dyDescent="0.25">
      <c r="A454" s="46"/>
      <c r="B454" s="26"/>
      <c r="C454" s="4"/>
      <c r="D454" s="67">
        <f t="shared" ref="D454:AB454" si="175">D451+D452</f>
        <v>21814022.259999998</v>
      </c>
      <c r="E454" s="67">
        <f t="shared" si="175"/>
        <v>17785000</v>
      </c>
      <c r="F454" s="67">
        <f t="shared" si="175"/>
        <v>0</v>
      </c>
      <c r="G454" s="67"/>
      <c r="H454" s="67">
        <f t="shared" si="175"/>
        <v>17785000</v>
      </c>
      <c r="I454" s="67">
        <f t="shared" si="175"/>
        <v>0</v>
      </c>
      <c r="J454" s="67">
        <f t="shared" si="175"/>
        <v>0</v>
      </c>
      <c r="K454" s="67">
        <f t="shared" si="175"/>
        <v>0</v>
      </c>
      <c r="L454" s="67">
        <f t="shared" si="175"/>
        <v>0</v>
      </c>
      <c r="M454" s="67"/>
      <c r="N454" s="67">
        <f t="shared" si="175"/>
        <v>17785000</v>
      </c>
      <c r="O454" s="67">
        <f t="shared" si="175"/>
        <v>0</v>
      </c>
      <c r="P454" s="67">
        <f t="shared" si="175"/>
        <v>0</v>
      </c>
      <c r="Q454" s="67"/>
      <c r="R454" s="67">
        <f t="shared" si="175"/>
        <v>0</v>
      </c>
      <c r="S454" s="67">
        <f t="shared" si="175"/>
        <v>0</v>
      </c>
      <c r="T454" s="67">
        <f t="shared" si="175"/>
        <v>0</v>
      </c>
      <c r="U454" s="67">
        <f t="shared" si="175"/>
        <v>0</v>
      </c>
      <c r="V454" s="67">
        <f t="shared" si="175"/>
        <v>0</v>
      </c>
      <c r="W454" s="67"/>
      <c r="X454" s="67">
        <f t="shared" si="175"/>
        <v>0</v>
      </c>
      <c r="Y454" s="67">
        <f t="shared" si="175"/>
        <v>17785000</v>
      </c>
      <c r="Z454" s="67">
        <f t="shared" si="175"/>
        <v>4029022.26</v>
      </c>
      <c r="AA454" s="67">
        <f t="shared" si="175"/>
        <v>17785000</v>
      </c>
      <c r="AB454" s="67">
        <f t="shared" si="175"/>
        <v>4029022.26</v>
      </c>
    </row>
    <row r="455" spans="1:28" x14ac:dyDescent="0.25">
      <c r="A455" s="46"/>
      <c r="B455" s="26"/>
      <c r="C455" s="4"/>
      <c r="D455" s="70" t="s">
        <v>40</v>
      </c>
      <c r="E455" s="70" t="s">
        <v>40</v>
      </c>
      <c r="F455" s="70" t="s">
        <v>40</v>
      </c>
      <c r="G455" s="70"/>
      <c r="H455" s="70" t="s">
        <v>40</v>
      </c>
      <c r="I455" s="70" t="s">
        <v>40</v>
      </c>
      <c r="J455" s="70" t="s">
        <v>40</v>
      </c>
      <c r="K455" s="70" t="s">
        <v>40</v>
      </c>
      <c r="L455" s="70" t="s">
        <v>40</v>
      </c>
      <c r="M455" s="70"/>
      <c r="N455" s="70" t="s">
        <v>40</v>
      </c>
      <c r="O455" s="70" t="s">
        <v>40</v>
      </c>
      <c r="P455" s="70" t="s">
        <v>40</v>
      </c>
      <c r="Q455" s="70"/>
      <c r="R455" s="70" t="s">
        <v>40</v>
      </c>
      <c r="S455" s="70" t="s">
        <v>40</v>
      </c>
      <c r="T455" s="70" t="s">
        <v>40</v>
      </c>
      <c r="U455" s="70" t="s">
        <v>40</v>
      </c>
      <c r="V455" s="70" t="s">
        <v>40</v>
      </c>
      <c r="W455" s="70"/>
      <c r="X455" s="70" t="s">
        <v>40</v>
      </c>
      <c r="Y455" s="70" t="s">
        <v>40</v>
      </c>
      <c r="Z455" s="70" t="s">
        <v>40</v>
      </c>
      <c r="AA455" s="70" t="s">
        <v>40</v>
      </c>
      <c r="AB455" s="70" t="s">
        <v>40</v>
      </c>
    </row>
    <row r="456" spans="1:28" x14ac:dyDescent="0.25">
      <c r="A456" s="46"/>
      <c r="B456" s="26"/>
      <c r="C456" s="4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</row>
    <row r="457" spans="1:28" x14ac:dyDescent="0.25">
      <c r="A457" s="46">
        <v>48</v>
      </c>
      <c r="B457" s="23" t="s">
        <v>82</v>
      </c>
      <c r="C457" s="2" t="s">
        <v>35</v>
      </c>
      <c r="D457" s="67">
        <v>752230.24</v>
      </c>
      <c r="E457" s="67">
        <v>0</v>
      </c>
      <c r="F457" s="68"/>
      <c r="G457" s="68"/>
      <c r="H457" s="67">
        <f>E457+F457</f>
        <v>0</v>
      </c>
      <c r="I457" s="68"/>
      <c r="J457" s="68"/>
      <c r="K457" s="68"/>
      <c r="L457" s="67"/>
      <c r="M457" s="67"/>
      <c r="N457" s="67">
        <f t="shared" ref="N457:N463" si="176">H457+L457</f>
        <v>0</v>
      </c>
      <c r="O457" s="67">
        <f>757873.37-5643.13</f>
        <v>752230.24</v>
      </c>
      <c r="P457" s="68"/>
      <c r="Q457" s="68"/>
      <c r="R457" s="67">
        <f>O457+P457</f>
        <v>752230.24</v>
      </c>
      <c r="S457" s="67"/>
      <c r="T457" s="68"/>
      <c r="U457" s="67"/>
      <c r="V457" s="67"/>
      <c r="W457" s="67"/>
      <c r="X457" s="67">
        <f t="shared" ref="X457:X463" si="177">R457+V457</f>
        <v>752230.24</v>
      </c>
      <c r="Y457" s="67">
        <f t="shared" ref="Y457:Y463" si="178">R457+H457</f>
        <v>752230.24</v>
      </c>
      <c r="Z457" s="67">
        <f t="shared" ref="Z457:Z463" si="179">D457-Y457</f>
        <v>0</v>
      </c>
      <c r="AA457" s="67">
        <f t="shared" ref="AA457:AA463" si="180">N457+X457</f>
        <v>752230.24</v>
      </c>
      <c r="AB457" s="67">
        <f t="shared" ref="AB457:AB463" si="181">+D457-N457-X457</f>
        <v>0</v>
      </c>
    </row>
    <row r="458" spans="1:28" x14ac:dyDescent="0.25">
      <c r="A458" s="46"/>
      <c r="B458" s="26"/>
      <c r="C458" s="3" t="s">
        <v>36</v>
      </c>
      <c r="D458" s="67">
        <v>2012276.94</v>
      </c>
      <c r="E458" s="67">
        <v>2012276.94</v>
      </c>
      <c r="F458" s="68"/>
      <c r="G458" s="68"/>
      <c r="H458" s="67">
        <f>E458+F458</f>
        <v>2012276.94</v>
      </c>
      <c r="I458" s="68"/>
      <c r="J458" s="68"/>
      <c r="K458" s="68"/>
      <c r="L458" s="67"/>
      <c r="M458" s="67"/>
      <c r="N458" s="67">
        <f t="shared" si="176"/>
        <v>2012276.94</v>
      </c>
      <c r="O458" s="67">
        <v>0</v>
      </c>
      <c r="P458" s="68"/>
      <c r="Q458" s="68"/>
      <c r="R458" s="67">
        <f>O458+P458</f>
        <v>0</v>
      </c>
      <c r="S458" s="67"/>
      <c r="T458" s="68"/>
      <c r="U458" s="67"/>
      <c r="V458" s="67"/>
      <c r="W458" s="67"/>
      <c r="X458" s="67">
        <f t="shared" si="177"/>
        <v>0</v>
      </c>
      <c r="Y458" s="67">
        <f t="shared" si="178"/>
        <v>2012276.94</v>
      </c>
      <c r="Z458" s="67">
        <f t="shared" si="179"/>
        <v>0</v>
      </c>
      <c r="AA458" s="67">
        <f t="shared" si="180"/>
        <v>2012276.94</v>
      </c>
      <c r="AB458" s="67">
        <f t="shared" si="181"/>
        <v>0</v>
      </c>
    </row>
    <row r="459" spans="1:28" x14ac:dyDescent="0.25">
      <c r="A459" s="46"/>
      <c r="B459" s="26"/>
      <c r="C459" s="2" t="s">
        <v>76</v>
      </c>
      <c r="D459" s="67">
        <v>1695368.3</v>
      </c>
      <c r="E459" s="67">
        <v>0</v>
      </c>
      <c r="F459" s="68"/>
      <c r="G459" s="68"/>
      <c r="H459" s="67">
        <f>E459+F459</f>
        <v>0</v>
      </c>
      <c r="I459" s="68"/>
      <c r="J459" s="68"/>
      <c r="K459" s="68"/>
      <c r="L459" s="67"/>
      <c r="M459" s="67"/>
      <c r="N459" s="67">
        <f t="shared" si="176"/>
        <v>0</v>
      </c>
      <c r="O459" s="67">
        <v>0</v>
      </c>
      <c r="P459" s="68"/>
      <c r="Q459" s="68"/>
      <c r="R459" s="67">
        <f>O459+P459</f>
        <v>0</v>
      </c>
      <c r="S459" s="68"/>
      <c r="T459" s="68"/>
      <c r="U459" s="68"/>
      <c r="V459" s="67"/>
      <c r="W459" s="67"/>
      <c r="X459" s="67">
        <f t="shared" si="177"/>
        <v>0</v>
      </c>
      <c r="Y459" s="67">
        <f t="shared" si="178"/>
        <v>0</v>
      </c>
      <c r="Z459" s="67">
        <f t="shared" si="179"/>
        <v>1695368.3</v>
      </c>
      <c r="AA459" s="67">
        <f t="shared" si="180"/>
        <v>0</v>
      </c>
      <c r="AB459" s="67">
        <f t="shared" si="181"/>
        <v>1695368.3</v>
      </c>
    </row>
    <row r="460" spans="1:28" x14ac:dyDescent="0.25">
      <c r="A460" s="46"/>
      <c r="B460" s="26"/>
      <c r="C460" s="2" t="s">
        <v>37</v>
      </c>
      <c r="D460" s="67">
        <v>1506828.37</v>
      </c>
      <c r="E460" s="67">
        <v>0</v>
      </c>
      <c r="F460" s="68"/>
      <c r="G460" s="68"/>
      <c r="H460" s="67">
        <f>E460+F460</f>
        <v>0</v>
      </c>
      <c r="I460" s="68"/>
      <c r="J460" s="68"/>
      <c r="K460" s="68"/>
      <c r="L460" s="67"/>
      <c r="M460" s="67"/>
      <c r="N460" s="67">
        <f t="shared" si="176"/>
        <v>0</v>
      </c>
      <c r="O460" s="67">
        <f>5643.13+53772.81+5643.13</f>
        <v>65059.069999999992</v>
      </c>
      <c r="P460" s="68"/>
      <c r="Q460" s="68"/>
      <c r="R460" s="67">
        <f>O460+P460</f>
        <v>65059.069999999992</v>
      </c>
      <c r="S460" s="67">
        <v>1426220.37</v>
      </c>
      <c r="T460" s="68"/>
      <c r="U460" s="67"/>
      <c r="V460" s="67"/>
      <c r="W460" s="67"/>
      <c r="X460" s="67">
        <f t="shared" si="177"/>
        <v>65059.069999999992</v>
      </c>
      <c r="Y460" s="67">
        <f t="shared" si="178"/>
        <v>65059.069999999992</v>
      </c>
      <c r="Z460" s="67">
        <f t="shared" si="179"/>
        <v>1441769.3</v>
      </c>
      <c r="AA460" s="67">
        <f t="shared" si="180"/>
        <v>65059.069999999992</v>
      </c>
      <c r="AB460" s="67">
        <f t="shared" si="181"/>
        <v>1441769.3</v>
      </c>
    </row>
    <row r="461" spans="1:28" x14ac:dyDescent="0.25">
      <c r="C461" s="2" t="s">
        <v>290</v>
      </c>
      <c r="D461" s="55">
        <v>8500000</v>
      </c>
      <c r="E461" s="55">
        <v>8500000</v>
      </c>
      <c r="F461" s="55"/>
      <c r="G461" s="55"/>
      <c r="H461" s="55">
        <f>+E461+F461</f>
        <v>8500000</v>
      </c>
      <c r="I461" s="55"/>
      <c r="J461" s="55"/>
      <c r="K461" s="55"/>
      <c r="L461" s="55"/>
      <c r="M461" s="55"/>
      <c r="N461" s="55">
        <f t="shared" si="176"/>
        <v>8500000</v>
      </c>
      <c r="O461" s="55">
        <v>0</v>
      </c>
      <c r="P461" s="55"/>
      <c r="Q461" s="55"/>
      <c r="R461" s="55">
        <f>+O461+P461</f>
        <v>0</v>
      </c>
      <c r="S461" s="55"/>
      <c r="T461" s="55"/>
      <c r="U461" s="55"/>
      <c r="V461" s="55"/>
      <c r="W461" s="55"/>
      <c r="X461" s="55">
        <f t="shared" si="177"/>
        <v>0</v>
      </c>
      <c r="Y461" s="55">
        <f t="shared" si="178"/>
        <v>8500000</v>
      </c>
      <c r="Z461" s="55">
        <f t="shared" si="179"/>
        <v>0</v>
      </c>
      <c r="AA461" s="55">
        <f t="shared" si="180"/>
        <v>8500000</v>
      </c>
      <c r="AB461" s="55">
        <f t="shared" si="181"/>
        <v>0</v>
      </c>
    </row>
    <row r="462" spans="1:28" x14ac:dyDescent="0.25">
      <c r="A462" s="46"/>
      <c r="B462" s="26"/>
      <c r="C462" s="2" t="s">
        <v>38</v>
      </c>
      <c r="D462" s="67">
        <v>150631.70000000001</v>
      </c>
      <c r="E462" s="67">
        <v>0</v>
      </c>
      <c r="F462" s="68"/>
      <c r="G462" s="68"/>
      <c r="H462" s="67">
        <f>E462+F462</f>
        <v>0</v>
      </c>
      <c r="I462" s="68"/>
      <c r="J462" s="68"/>
      <c r="K462" s="68"/>
      <c r="L462" s="67"/>
      <c r="M462" s="67"/>
      <c r="N462" s="67">
        <f t="shared" si="176"/>
        <v>0</v>
      </c>
      <c r="O462" s="67">
        <v>0</v>
      </c>
      <c r="P462" s="68"/>
      <c r="Q462" s="68"/>
      <c r="R462" s="67">
        <f>O462+P462</f>
        <v>0</v>
      </c>
      <c r="S462" s="68"/>
      <c r="T462" s="68"/>
      <c r="U462" s="68"/>
      <c r="V462" s="67"/>
      <c r="W462" s="67"/>
      <c r="X462" s="67">
        <f t="shared" si="177"/>
        <v>0</v>
      </c>
      <c r="Y462" s="67">
        <f t="shared" si="178"/>
        <v>0</v>
      </c>
      <c r="Z462" s="67">
        <f t="shared" si="179"/>
        <v>150631.70000000001</v>
      </c>
      <c r="AA462" s="67">
        <f t="shared" si="180"/>
        <v>0</v>
      </c>
      <c r="AB462" s="67">
        <f t="shared" si="181"/>
        <v>150631.70000000001</v>
      </c>
    </row>
    <row r="463" spans="1:28" x14ac:dyDescent="0.25">
      <c r="A463" s="46"/>
      <c r="B463" s="26"/>
      <c r="C463" s="8" t="s">
        <v>39</v>
      </c>
      <c r="D463" s="67">
        <v>887924.73</v>
      </c>
      <c r="E463" s="67">
        <v>0</v>
      </c>
      <c r="F463" s="68"/>
      <c r="G463" s="68"/>
      <c r="H463" s="67">
        <f>E463+F463</f>
        <v>0</v>
      </c>
      <c r="I463" s="68"/>
      <c r="J463" s="68"/>
      <c r="K463" s="68"/>
      <c r="L463" s="67"/>
      <c r="M463" s="67"/>
      <c r="N463" s="67">
        <f t="shared" si="176"/>
        <v>0</v>
      </c>
      <c r="O463" s="67">
        <v>0</v>
      </c>
      <c r="P463" s="68"/>
      <c r="Q463" s="68"/>
      <c r="R463" s="67">
        <f>O463+P463</f>
        <v>0</v>
      </c>
      <c r="S463" s="68"/>
      <c r="T463" s="68"/>
      <c r="U463" s="68"/>
      <c r="V463" s="67"/>
      <c r="W463" s="67"/>
      <c r="X463" s="67">
        <f t="shared" si="177"/>
        <v>0</v>
      </c>
      <c r="Y463" s="67">
        <f t="shared" si="178"/>
        <v>0</v>
      </c>
      <c r="Z463" s="67">
        <f t="shared" si="179"/>
        <v>887924.73</v>
      </c>
      <c r="AA463" s="67">
        <f t="shared" si="180"/>
        <v>0</v>
      </c>
      <c r="AB463" s="67">
        <f t="shared" si="181"/>
        <v>887924.73</v>
      </c>
    </row>
    <row r="464" spans="1:28" x14ac:dyDescent="0.25">
      <c r="A464" s="46"/>
      <c r="B464" s="26"/>
      <c r="C464" s="4"/>
      <c r="D464" s="70" t="s">
        <v>40</v>
      </c>
      <c r="E464" s="70" t="s">
        <v>40</v>
      </c>
      <c r="F464" s="70" t="s">
        <v>40</v>
      </c>
      <c r="G464" s="70"/>
      <c r="H464" s="70" t="s">
        <v>40</v>
      </c>
      <c r="I464" s="70" t="s">
        <v>40</v>
      </c>
      <c r="J464" s="70" t="s">
        <v>40</v>
      </c>
      <c r="K464" s="70" t="s">
        <v>40</v>
      </c>
      <c r="L464" s="70" t="s">
        <v>40</v>
      </c>
      <c r="M464" s="70"/>
      <c r="N464" s="70" t="s">
        <v>40</v>
      </c>
      <c r="O464" s="70" t="s">
        <v>40</v>
      </c>
      <c r="P464" s="70" t="s">
        <v>40</v>
      </c>
      <c r="Q464" s="70"/>
      <c r="R464" s="70" t="s">
        <v>40</v>
      </c>
      <c r="S464" s="70" t="s">
        <v>40</v>
      </c>
      <c r="T464" s="70" t="s">
        <v>40</v>
      </c>
      <c r="U464" s="70" t="s">
        <v>40</v>
      </c>
      <c r="V464" s="70" t="s">
        <v>40</v>
      </c>
      <c r="W464" s="70"/>
      <c r="X464" s="70" t="s">
        <v>40</v>
      </c>
      <c r="Y464" s="70" t="s">
        <v>40</v>
      </c>
      <c r="Z464" s="70" t="s">
        <v>40</v>
      </c>
      <c r="AA464" s="70" t="s">
        <v>40</v>
      </c>
      <c r="AB464" s="70" t="s">
        <v>40</v>
      </c>
    </row>
    <row r="465" spans="1:29" x14ac:dyDescent="0.25">
      <c r="A465" s="46"/>
      <c r="B465" s="26"/>
      <c r="C465" s="4"/>
      <c r="D465" s="67">
        <f>SUM(D457:D463)</f>
        <v>15505260.279999999</v>
      </c>
      <c r="E465" s="67">
        <f>SUM(E457:E463)</f>
        <v>10512276.939999999</v>
      </c>
      <c r="F465" s="67">
        <f>SUM(F457:F463)</f>
        <v>0</v>
      </c>
      <c r="G465" s="67"/>
      <c r="H465" s="67">
        <f>SUM(H457:H463)</f>
        <v>10512276.939999999</v>
      </c>
      <c r="I465" s="67">
        <f>SUM(I457:I463)</f>
        <v>0</v>
      </c>
      <c r="J465" s="67">
        <f>SUM(J457:J463)</f>
        <v>0</v>
      </c>
      <c r="K465" s="67">
        <f>SUM(K457:K463)</f>
        <v>0</v>
      </c>
      <c r="L465" s="67">
        <f>SUM(L457:L463)</f>
        <v>0</v>
      </c>
      <c r="M465" s="67"/>
      <c r="N465" s="67">
        <f>SUM(N457:N463)</f>
        <v>10512276.939999999</v>
      </c>
      <c r="O465" s="67">
        <f>SUM(O457:O463)</f>
        <v>817289.30999999994</v>
      </c>
      <c r="P465" s="67">
        <f>SUM(P457:P463)</f>
        <v>0</v>
      </c>
      <c r="Q465" s="67"/>
      <c r="R465" s="67">
        <f>SUM(R457:R463)</f>
        <v>817289.30999999994</v>
      </c>
      <c r="S465" s="67">
        <f>SUM(S457:S463)</f>
        <v>1426220.37</v>
      </c>
      <c r="T465" s="67">
        <f>SUM(T457:T463)</f>
        <v>0</v>
      </c>
      <c r="U465" s="67">
        <f>SUM(U457:U463)</f>
        <v>0</v>
      </c>
      <c r="V465" s="67">
        <f>SUM(V457:V463)</f>
        <v>0</v>
      </c>
      <c r="W465" s="67"/>
      <c r="X465" s="67">
        <f>SUM(X457:X463)</f>
        <v>817289.30999999994</v>
      </c>
      <c r="Y465" s="67">
        <f>SUM(Y457:Y463)</f>
        <v>11329566.25</v>
      </c>
      <c r="Z465" s="67">
        <f>SUM(Z457:Z463)</f>
        <v>4175694.0300000003</v>
      </c>
      <c r="AA465" s="67">
        <f>SUM(AA457:AA463)</f>
        <v>11329566.25</v>
      </c>
      <c r="AB465" s="67">
        <f>SUM(AB457:AB463)</f>
        <v>4175694.0300000003</v>
      </c>
    </row>
    <row r="466" spans="1:29" x14ac:dyDescent="0.25">
      <c r="A466" s="46"/>
      <c r="B466" s="30"/>
      <c r="C466" s="4"/>
      <c r="D466" s="70" t="s">
        <v>40</v>
      </c>
      <c r="E466" s="70" t="s">
        <v>40</v>
      </c>
      <c r="F466" s="70" t="s">
        <v>40</v>
      </c>
      <c r="G466" s="70"/>
      <c r="H466" s="70" t="s">
        <v>40</v>
      </c>
      <c r="I466" s="70" t="s">
        <v>40</v>
      </c>
      <c r="J466" s="70" t="s">
        <v>40</v>
      </c>
      <c r="K466" s="70" t="s">
        <v>40</v>
      </c>
      <c r="L466" s="70" t="s">
        <v>40</v>
      </c>
      <c r="M466" s="70"/>
      <c r="N466" s="70" t="s">
        <v>40</v>
      </c>
      <c r="O466" s="70" t="s">
        <v>40</v>
      </c>
      <c r="P466" s="70" t="s">
        <v>40</v>
      </c>
      <c r="Q466" s="70"/>
      <c r="R466" s="70" t="s">
        <v>40</v>
      </c>
      <c r="S466" s="70" t="s">
        <v>40</v>
      </c>
      <c r="T466" s="70" t="s">
        <v>40</v>
      </c>
      <c r="U466" s="70" t="s">
        <v>40</v>
      </c>
      <c r="V466" s="70" t="s">
        <v>40</v>
      </c>
      <c r="W466" s="70"/>
      <c r="X466" s="70" t="s">
        <v>40</v>
      </c>
      <c r="Y466" s="70" t="s">
        <v>40</v>
      </c>
      <c r="Z466" s="70" t="s">
        <v>40</v>
      </c>
      <c r="AA466" s="70" t="s">
        <v>40</v>
      </c>
      <c r="AB466" s="70" t="s">
        <v>40</v>
      </c>
    </row>
    <row r="467" spans="1:29" x14ac:dyDescent="0.25">
      <c r="A467" s="46"/>
      <c r="B467" s="30"/>
      <c r="C467" s="4"/>
      <c r="D467" s="72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129"/>
      <c r="P467" s="105"/>
      <c r="Q467" s="105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</row>
    <row r="469" spans="1:29" x14ac:dyDescent="0.25">
      <c r="A469" s="46">
        <v>49</v>
      </c>
      <c r="B469" s="23" t="s">
        <v>83</v>
      </c>
      <c r="C469" s="2" t="s">
        <v>35</v>
      </c>
      <c r="D469" s="67">
        <f>2426525.76+4497984.87+1343118.04</f>
        <v>8267628.6699999999</v>
      </c>
      <c r="E469" s="67">
        <v>8652898.7799999993</v>
      </c>
      <c r="F469" s="68"/>
      <c r="G469" s="68"/>
      <c r="H469" s="67">
        <f>E469+F469</f>
        <v>8652898.7799999993</v>
      </c>
      <c r="I469" s="68"/>
      <c r="J469" s="68"/>
      <c r="K469" s="68"/>
      <c r="L469" s="67"/>
      <c r="M469" s="67"/>
      <c r="N469" s="67">
        <f>H469+L469</f>
        <v>8652898.7799999993</v>
      </c>
      <c r="O469" s="67">
        <f>825737.13+6098773.5+1343118.04+340197.69</f>
        <v>8607826.3599999994</v>
      </c>
      <c r="P469" s="67"/>
      <c r="Q469" s="67"/>
      <c r="R469" s="67">
        <f>O469+P469</f>
        <v>8607826.3599999994</v>
      </c>
      <c r="S469" s="67"/>
      <c r="T469" s="68"/>
      <c r="U469" s="67"/>
      <c r="V469" s="67">
        <v>2188787.5</v>
      </c>
      <c r="W469" s="67"/>
      <c r="X469" s="67">
        <f>R469+V469</f>
        <v>10796613.859999999</v>
      </c>
      <c r="Y469" s="67">
        <f>R469+H469</f>
        <v>17260725.140000001</v>
      </c>
      <c r="Z469" s="67">
        <f>D469-Y469</f>
        <v>-8993096.4700000007</v>
      </c>
      <c r="AA469" s="67">
        <f>N469+X469</f>
        <v>19449512.640000001</v>
      </c>
      <c r="AB469" s="67">
        <f>+D469-N469-X469</f>
        <v>-11181883.969999999</v>
      </c>
      <c r="AC469" t="s">
        <v>307</v>
      </c>
    </row>
    <row r="470" spans="1:29" x14ac:dyDescent="0.25">
      <c r="A470" s="46"/>
      <c r="B470" s="26"/>
      <c r="C470" s="3" t="s">
        <v>36</v>
      </c>
      <c r="D470" s="67">
        <v>1987562.42</v>
      </c>
      <c r="E470" s="67">
        <v>1987562.42</v>
      </c>
      <c r="F470" s="68"/>
      <c r="G470" s="68"/>
      <c r="H470" s="67">
        <f>E470+F470</f>
        <v>1987562.42</v>
      </c>
      <c r="I470" s="68"/>
      <c r="J470" s="68"/>
      <c r="K470" s="68"/>
      <c r="L470" s="67"/>
      <c r="M470" s="67"/>
      <c r="N470" s="67">
        <f>H470+L470</f>
        <v>1987562.42</v>
      </c>
      <c r="O470" s="68">
        <v>0</v>
      </c>
      <c r="P470" s="68"/>
      <c r="Q470" s="68"/>
      <c r="R470" s="67">
        <f>O470+P470</f>
        <v>0</v>
      </c>
      <c r="S470" s="68"/>
      <c r="T470" s="68"/>
      <c r="U470" s="68"/>
      <c r="V470" s="67"/>
      <c r="W470" s="67"/>
      <c r="X470" s="67">
        <f>R470+V470</f>
        <v>0</v>
      </c>
      <c r="Y470" s="67">
        <f>R470+H470</f>
        <v>1987562.42</v>
      </c>
      <c r="Z470" s="67">
        <f>D470-Y470</f>
        <v>0</v>
      </c>
      <c r="AA470" s="67">
        <f>N470+X470</f>
        <v>1987562.42</v>
      </c>
      <c r="AB470" s="67">
        <f>+D470-N470-X470</f>
        <v>0</v>
      </c>
    </row>
    <row r="471" spans="1:29" x14ac:dyDescent="0.25">
      <c r="A471" s="46"/>
      <c r="B471" s="26"/>
      <c r="C471" s="3" t="s">
        <v>44</v>
      </c>
      <c r="D471" s="67">
        <v>27327000</v>
      </c>
      <c r="E471" s="67">
        <v>27327000</v>
      </c>
      <c r="F471" s="68"/>
      <c r="G471" s="68"/>
      <c r="H471" s="67">
        <f>E471+F471</f>
        <v>27327000</v>
      </c>
      <c r="I471" s="68"/>
      <c r="J471" s="68"/>
      <c r="K471" s="68"/>
      <c r="L471" s="67"/>
      <c r="M471" s="67"/>
      <c r="N471" s="67">
        <f>H471+L471</f>
        <v>27327000</v>
      </c>
      <c r="O471" s="68">
        <v>0</v>
      </c>
      <c r="P471" s="68"/>
      <c r="Q471" s="68"/>
      <c r="R471" s="67">
        <f>O471+P471</f>
        <v>0</v>
      </c>
      <c r="S471" s="68"/>
      <c r="T471" s="68"/>
      <c r="U471" s="68"/>
      <c r="V471" s="67"/>
      <c r="W471" s="67"/>
      <c r="X471" s="67">
        <f>R471+V471</f>
        <v>0</v>
      </c>
      <c r="Y471" s="67">
        <f>R471+H471</f>
        <v>27327000</v>
      </c>
      <c r="Z471" s="67">
        <f>D471-Y471</f>
        <v>0</v>
      </c>
      <c r="AA471" s="67">
        <f>N471+X471</f>
        <v>27327000</v>
      </c>
      <c r="AB471" s="67">
        <f>+D471-N471-X471</f>
        <v>0</v>
      </c>
    </row>
    <row r="472" spans="1:29" x14ac:dyDescent="0.25">
      <c r="A472" s="46"/>
      <c r="B472" s="26"/>
      <c r="C472" s="2" t="s">
        <v>37</v>
      </c>
      <c r="D472" s="67">
        <v>47621.5</v>
      </c>
      <c r="E472" s="67">
        <v>0</v>
      </c>
      <c r="F472" s="68"/>
      <c r="G472" s="68"/>
      <c r="H472" s="67">
        <f>E472+F472</f>
        <v>0</v>
      </c>
      <c r="I472" s="68"/>
      <c r="J472" s="68"/>
      <c r="K472" s="68"/>
      <c r="L472" s="67"/>
      <c r="M472" s="67"/>
      <c r="N472" s="67">
        <f>H472+L472</f>
        <v>0</v>
      </c>
      <c r="O472" s="68">
        <f>29433.15+163459.2-18188.35</f>
        <v>174704</v>
      </c>
      <c r="P472" s="68"/>
      <c r="Q472" s="68"/>
      <c r="R472" s="67">
        <f>O472+P472</f>
        <v>174704</v>
      </c>
      <c r="S472" s="67"/>
      <c r="T472" s="68"/>
      <c r="U472" s="67"/>
      <c r="V472" s="67"/>
      <c r="W472" s="67"/>
      <c r="X472" s="67">
        <f>R472+V472</f>
        <v>174704</v>
      </c>
      <c r="Y472" s="67">
        <f>R472+H472</f>
        <v>174704</v>
      </c>
      <c r="Z472" s="67">
        <f>D472-Y472</f>
        <v>-127082.5</v>
      </c>
      <c r="AA472" s="67">
        <f>N472+X472</f>
        <v>174704</v>
      </c>
      <c r="AB472" s="67">
        <f>+D472-N472-X472</f>
        <v>-127082.5</v>
      </c>
      <c r="AC472" t="s">
        <v>307</v>
      </c>
    </row>
    <row r="473" spans="1:29" x14ac:dyDescent="0.25">
      <c r="A473" s="46"/>
      <c r="B473" s="26"/>
      <c r="C473" s="25" t="s">
        <v>266</v>
      </c>
      <c r="D473" s="67">
        <v>10000000</v>
      </c>
      <c r="E473" s="67">
        <v>5843730.0300000003</v>
      </c>
      <c r="F473" s="68"/>
      <c r="G473" s="68"/>
      <c r="H473" s="67">
        <f>E473+F473</f>
        <v>5843730.0300000003</v>
      </c>
      <c r="I473" s="68"/>
      <c r="J473" s="68"/>
      <c r="K473" s="68"/>
      <c r="L473" s="67"/>
      <c r="M473" s="67"/>
      <c r="N473" s="67">
        <f>H473+L473</f>
        <v>5843730.0300000003</v>
      </c>
      <c r="O473" s="67">
        <v>835222.3</v>
      </c>
      <c r="P473" s="68"/>
      <c r="Q473" s="68"/>
      <c r="R473" s="67">
        <f>O473+P473</f>
        <v>835222.3</v>
      </c>
      <c r="S473" s="68"/>
      <c r="T473" s="68"/>
      <c r="U473" s="68"/>
      <c r="V473" s="67"/>
      <c r="W473" s="67"/>
      <c r="X473" s="67">
        <f>R473+V473</f>
        <v>835222.3</v>
      </c>
      <c r="Y473" s="67">
        <f>R473+H473</f>
        <v>6678952.3300000001</v>
      </c>
      <c r="Z473" s="67">
        <f>D473-Y473</f>
        <v>3321047.67</v>
      </c>
      <c r="AA473" s="67">
        <f>N473+X473</f>
        <v>6678952.3300000001</v>
      </c>
      <c r="AB473" s="67">
        <f>+D473-N473-X473</f>
        <v>3321047.67</v>
      </c>
    </row>
    <row r="474" spans="1:29" x14ac:dyDescent="0.25">
      <c r="A474" s="46"/>
      <c r="B474" s="26"/>
      <c r="C474" s="4"/>
      <c r="D474" s="70" t="s">
        <v>40</v>
      </c>
      <c r="E474" s="70" t="s">
        <v>40</v>
      </c>
      <c r="F474" s="70" t="s">
        <v>40</v>
      </c>
      <c r="G474" s="70"/>
      <c r="H474" s="70" t="s">
        <v>40</v>
      </c>
      <c r="I474" s="70" t="s">
        <v>40</v>
      </c>
      <c r="J474" s="70" t="s">
        <v>40</v>
      </c>
      <c r="K474" s="70" t="s">
        <v>40</v>
      </c>
      <c r="L474" s="70" t="s">
        <v>40</v>
      </c>
      <c r="M474" s="70"/>
      <c r="N474" s="70" t="s">
        <v>40</v>
      </c>
      <c r="O474" s="70" t="s">
        <v>40</v>
      </c>
      <c r="P474" s="70" t="s">
        <v>40</v>
      </c>
      <c r="Q474" s="70"/>
      <c r="R474" s="70" t="s">
        <v>40</v>
      </c>
      <c r="S474" s="70" t="s">
        <v>40</v>
      </c>
      <c r="T474" s="70" t="s">
        <v>40</v>
      </c>
      <c r="U474" s="70" t="s">
        <v>40</v>
      </c>
      <c r="V474" s="70" t="s">
        <v>40</v>
      </c>
      <c r="W474" s="70"/>
      <c r="X474" s="70" t="s">
        <v>40</v>
      </c>
      <c r="Y474" s="70" t="s">
        <v>40</v>
      </c>
      <c r="Z474" s="70" t="s">
        <v>40</v>
      </c>
      <c r="AA474" s="70" t="s">
        <v>40</v>
      </c>
      <c r="AB474" s="70" t="s">
        <v>40</v>
      </c>
    </row>
    <row r="475" spans="1:29" x14ac:dyDescent="0.25">
      <c r="A475" s="46"/>
      <c r="B475" s="26"/>
      <c r="C475" s="4"/>
      <c r="D475" s="67">
        <f t="shared" ref="D475:AB475" si="182">SUM(D469:D473)</f>
        <v>47629812.590000004</v>
      </c>
      <c r="E475" s="67">
        <f t="shared" si="182"/>
        <v>43811191.230000004</v>
      </c>
      <c r="F475" s="67">
        <f t="shared" si="182"/>
        <v>0</v>
      </c>
      <c r="G475" s="67"/>
      <c r="H475" s="67">
        <f t="shared" si="182"/>
        <v>43811191.230000004</v>
      </c>
      <c r="I475" s="67">
        <f t="shared" si="182"/>
        <v>0</v>
      </c>
      <c r="J475" s="67">
        <f t="shared" si="182"/>
        <v>0</v>
      </c>
      <c r="K475" s="67">
        <f t="shared" si="182"/>
        <v>0</v>
      </c>
      <c r="L475" s="67">
        <f t="shared" si="182"/>
        <v>0</v>
      </c>
      <c r="M475" s="67"/>
      <c r="N475" s="67">
        <f t="shared" si="182"/>
        <v>43811191.230000004</v>
      </c>
      <c r="O475" s="67">
        <f t="shared" si="182"/>
        <v>9617752.6600000001</v>
      </c>
      <c r="P475" s="67">
        <f t="shared" si="182"/>
        <v>0</v>
      </c>
      <c r="Q475" s="67"/>
      <c r="R475" s="67">
        <f t="shared" si="182"/>
        <v>9617752.6600000001</v>
      </c>
      <c r="S475" s="67">
        <f t="shared" si="182"/>
        <v>0</v>
      </c>
      <c r="T475" s="67">
        <f t="shared" si="182"/>
        <v>0</v>
      </c>
      <c r="U475" s="67">
        <f t="shared" si="182"/>
        <v>0</v>
      </c>
      <c r="V475" s="67">
        <f t="shared" si="182"/>
        <v>2188787.5</v>
      </c>
      <c r="W475" s="67"/>
      <c r="X475" s="67">
        <f t="shared" si="182"/>
        <v>11806540.16</v>
      </c>
      <c r="Y475" s="67">
        <f t="shared" si="182"/>
        <v>53428943.890000001</v>
      </c>
      <c r="Z475" s="67">
        <f t="shared" si="182"/>
        <v>-5799131.3000000007</v>
      </c>
      <c r="AA475" s="67">
        <f t="shared" si="182"/>
        <v>55617731.390000001</v>
      </c>
      <c r="AB475" s="67">
        <f t="shared" si="182"/>
        <v>-7987918.7999999989</v>
      </c>
    </row>
    <row r="476" spans="1:29" x14ac:dyDescent="0.25">
      <c r="A476" s="46"/>
      <c r="B476" s="26"/>
      <c r="C476" s="4"/>
      <c r="D476" s="70" t="s">
        <v>40</v>
      </c>
      <c r="E476" s="70" t="s">
        <v>40</v>
      </c>
      <c r="F476" s="70" t="s">
        <v>40</v>
      </c>
      <c r="G476" s="70"/>
      <c r="H476" s="70" t="s">
        <v>40</v>
      </c>
      <c r="I476" s="70" t="s">
        <v>40</v>
      </c>
      <c r="J476" s="70" t="s">
        <v>40</v>
      </c>
      <c r="K476" s="70" t="s">
        <v>40</v>
      </c>
      <c r="L476" s="70" t="s">
        <v>40</v>
      </c>
      <c r="M476" s="70"/>
      <c r="N476" s="70" t="s">
        <v>40</v>
      </c>
      <c r="O476" s="70" t="s">
        <v>40</v>
      </c>
      <c r="P476" s="70" t="s">
        <v>40</v>
      </c>
      <c r="Q476" s="70"/>
      <c r="R476" s="70" t="s">
        <v>40</v>
      </c>
      <c r="S476" s="70" t="s">
        <v>40</v>
      </c>
      <c r="T476" s="70" t="s">
        <v>40</v>
      </c>
      <c r="U476" s="70" t="s">
        <v>40</v>
      </c>
      <c r="V476" s="70" t="s">
        <v>40</v>
      </c>
      <c r="W476" s="70"/>
      <c r="X476" s="70" t="s">
        <v>40</v>
      </c>
      <c r="Y476" s="70" t="s">
        <v>40</v>
      </c>
      <c r="Z476" s="70" t="s">
        <v>40</v>
      </c>
      <c r="AA476" s="70" t="s">
        <v>40</v>
      </c>
      <c r="AB476" s="70" t="s">
        <v>40</v>
      </c>
    </row>
    <row r="477" spans="1:29" ht="16.5" thickBot="1" x14ac:dyDescent="0.3">
      <c r="A477" s="46"/>
      <c r="B477" s="26"/>
      <c r="C477" s="4"/>
      <c r="D477" s="70"/>
      <c r="E477" s="70"/>
      <c r="F477" s="113">
        <v>8652898.7799999993</v>
      </c>
      <c r="G477" s="149" t="s">
        <v>321</v>
      </c>
      <c r="H477" s="147" t="s">
        <v>329</v>
      </c>
      <c r="I477" s="70"/>
      <c r="J477" s="70"/>
      <c r="K477" s="70"/>
      <c r="L477" s="148" t="s">
        <v>332</v>
      </c>
      <c r="M477" s="147" t="s">
        <v>47</v>
      </c>
      <c r="N477" s="70"/>
      <c r="O477" s="129"/>
      <c r="P477" s="105"/>
      <c r="Q477" s="105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</row>
    <row r="478" spans="1:29" ht="16.5" thickTop="1" x14ac:dyDescent="0.25">
      <c r="A478" s="46">
        <v>50</v>
      </c>
      <c r="B478" s="23" t="s">
        <v>84</v>
      </c>
      <c r="C478" s="2" t="s">
        <v>35</v>
      </c>
      <c r="D478" s="67">
        <f>19199083.62+22128</f>
        <v>19221211.620000001</v>
      </c>
      <c r="E478" s="67">
        <v>2327913.9900000002</v>
      </c>
      <c r="F478" s="68"/>
      <c r="G478" s="68"/>
      <c r="H478" s="67">
        <f>E478+F478</f>
        <v>2327913.9900000002</v>
      </c>
      <c r="I478" s="68"/>
      <c r="J478" s="68"/>
      <c r="K478" s="68"/>
      <c r="L478" s="67"/>
      <c r="M478" s="67"/>
      <c r="N478" s="67">
        <f>H478+L478</f>
        <v>2327913.9900000002</v>
      </c>
      <c r="O478" s="67">
        <f>108532.57+3270911.88+22128+33911.4+6199039.89+773757.88</f>
        <v>10408281.619999999</v>
      </c>
      <c r="P478" s="68"/>
      <c r="Q478" s="68"/>
      <c r="R478" s="67">
        <f>O478+P478</f>
        <v>10408281.619999999</v>
      </c>
      <c r="S478" s="68">
        <v>6263117.3700000001</v>
      </c>
      <c r="T478" s="68">
        <f>2504183.17+766728.71</f>
        <v>3270911.88</v>
      </c>
      <c r="U478" s="68"/>
      <c r="V478" s="67"/>
      <c r="W478" s="67"/>
      <c r="X478" s="67">
        <f>R478+V478</f>
        <v>10408281.619999999</v>
      </c>
      <c r="Y478" s="67">
        <f>R478+H478</f>
        <v>12736195.609999999</v>
      </c>
      <c r="Z478" s="67">
        <f>D478-Y478</f>
        <v>6485016.0100000016</v>
      </c>
      <c r="AA478" s="67">
        <f>N478+X478</f>
        <v>12736195.609999999</v>
      </c>
      <c r="AB478" s="67">
        <f>+D478-N478-X478</f>
        <v>6485016.0100000035</v>
      </c>
    </row>
    <row r="479" spans="1:29" x14ac:dyDescent="0.25">
      <c r="A479" s="46"/>
      <c r="B479" s="26"/>
      <c r="C479" s="3" t="s">
        <v>36</v>
      </c>
      <c r="D479" s="67">
        <f>334664.4+77545</f>
        <v>412209.4</v>
      </c>
      <c r="E479" s="67">
        <f>334664.4+77545</f>
        <v>412209.4</v>
      </c>
      <c r="F479" s="68"/>
      <c r="G479" s="68"/>
      <c r="H479" s="67">
        <f>E479+F479</f>
        <v>412209.4</v>
      </c>
      <c r="I479" s="68"/>
      <c r="J479" s="68"/>
      <c r="K479" s="68"/>
      <c r="L479" s="67"/>
      <c r="M479" s="67"/>
      <c r="N479" s="67">
        <f>H479+L479</f>
        <v>412209.4</v>
      </c>
      <c r="O479" s="67">
        <v>0</v>
      </c>
      <c r="P479" s="68"/>
      <c r="Q479" s="68"/>
      <c r="R479" s="67">
        <f>O479+P479</f>
        <v>0</v>
      </c>
      <c r="S479" s="67"/>
      <c r="T479" s="68"/>
      <c r="U479" s="68"/>
      <c r="V479" s="67"/>
      <c r="W479" s="67"/>
      <c r="X479" s="67">
        <f>R479+V479</f>
        <v>0</v>
      </c>
      <c r="Y479" s="67">
        <f>R479+H479</f>
        <v>412209.4</v>
      </c>
      <c r="Z479" s="67">
        <f>D479-Y479</f>
        <v>0</v>
      </c>
      <c r="AA479" s="67">
        <f>N479+X479</f>
        <v>412209.4</v>
      </c>
      <c r="AB479" s="67">
        <f>+D479-N479-X479</f>
        <v>0</v>
      </c>
    </row>
    <row r="480" spans="1:29" x14ac:dyDescent="0.25">
      <c r="A480" s="46"/>
      <c r="B480" s="26"/>
      <c r="C480" s="3" t="s">
        <v>44</v>
      </c>
      <c r="D480" s="67">
        <v>20063586</v>
      </c>
      <c r="E480" s="67">
        <v>20063586</v>
      </c>
      <c r="F480" s="68"/>
      <c r="G480" s="68"/>
      <c r="H480" s="67">
        <f>E480+F480</f>
        <v>20063586</v>
      </c>
      <c r="I480" s="68"/>
      <c r="J480" s="68"/>
      <c r="K480" s="68"/>
      <c r="L480" s="67"/>
      <c r="M480" s="67"/>
      <c r="N480" s="67">
        <f>H480+L480</f>
        <v>20063586</v>
      </c>
      <c r="O480" s="67">
        <v>0</v>
      </c>
      <c r="P480" s="68"/>
      <c r="Q480" s="68"/>
      <c r="R480" s="67">
        <f>O480+P480</f>
        <v>0</v>
      </c>
      <c r="S480" s="67"/>
      <c r="T480" s="68"/>
      <c r="U480" s="68"/>
      <c r="V480" s="67"/>
      <c r="W480" s="67"/>
      <c r="X480" s="67">
        <f>R480+V480</f>
        <v>0</v>
      </c>
      <c r="Y480" s="67">
        <f>R480+H480</f>
        <v>20063586</v>
      </c>
      <c r="Z480" s="67">
        <f>D480-Y480</f>
        <v>0</v>
      </c>
      <c r="AA480" s="67">
        <f>N480+X480</f>
        <v>20063586</v>
      </c>
      <c r="AB480" s="67">
        <f>+D480-N480-X480</f>
        <v>0</v>
      </c>
    </row>
    <row r="481" spans="1:28" x14ac:dyDescent="0.25">
      <c r="A481" s="46"/>
      <c r="B481" s="26"/>
      <c r="C481" s="2" t="s">
        <v>37</v>
      </c>
      <c r="D481" s="67">
        <f>188775.27+182.8</f>
        <v>188958.06999999998</v>
      </c>
      <c r="E481" s="67">
        <v>0</v>
      </c>
      <c r="F481" s="68"/>
      <c r="G481" s="68"/>
      <c r="H481" s="67">
        <f>E481+F481</f>
        <v>0</v>
      </c>
      <c r="I481" s="68"/>
      <c r="J481" s="68"/>
      <c r="K481" s="68"/>
      <c r="L481" s="67"/>
      <c r="M481" s="67"/>
      <c r="N481" s="67">
        <f>H481+L481</f>
        <v>0</v>
      </c>
      <c r="O481" s="67">
        <f>182.8+208.66</f>
        <v>391.46000000000004</v>
      </c>
      <c r="P481" s="68"/>
      <c r="Q481" s="68"/>
      <c r="R481" s="67">
        <f>O481+P481</f>
        <v>391.46000000000004</v>
      </c>
      <c r="S481" s="68"/>
      <c r="T481" s="68"/>
      <c r="U481" s="68"/>
      <c r="V481" s="67"/>
      <c r="W481" s="67"/>
      <c r="X481" s="67">
        <f>R481+V481</f>
        <v>391.46000000000004</v>
      </c>
      <c r="Y481" s="67">
        <f>R481+H481</f>
        <v>391.46000000000004</v>
      </c>
      <c r="Z481" s="67">
        <f>D481-Y481</f>
        <v>188566.61</v>
      </c>
      <c r="AA481" s="67">
        <f>N481+X481</f>
        <v>391.46000000000004</v>
      </c>
      <c r="AB481" s="67">
        <f>+D481-N481-X481</f>
        <v>188566.61</v>
      </c>
    </row>
    <row r="482" spans="1:28" x14ac:dyDescent="0.25">
      <c r="A482" s="46"/>
      <c r="B482" s="26"/>
      <c r="C482" s="8" t="s">
        <v>39</v>
      </c>
      <c r="D482" s="67">
        <v>3714169.49</v>
      </c>
      <c r="E482" s="67">
        <v>0</v>
      </c>
      <c r="F482" s="68"/>
      <c r="G482" s="68"/>
      <c r="H482" s="67">
        <f>E482+F482</f>
        <v>0</v>
      </c>
      <c r="I482" s="68"/>
      <c r="J482" s="68"/>
      <c r="K482" s="68"/>
      <c r="L482" s="67"/>
      <c r="M482" s="67"/>
      <c r="N482" s="67">
        <f>H482+L482</f>
        <v>0</v>
      </c>
      <c r="O482" s="67">
        <v>288360.2</v>
      </c>
      <c r="P482" s="68"/>
      <c r="Q482" s="68"/>
      <c r="R482" s="67">
        <f>O482+P482</f>
        <v>288360.2</v>
      </c>
      <c r="S482" s="68"/>
      <c r="T482" s="68"/>
      <c r="U482" s="68"/>
      <c r="V482" s="67"/>
      <c r="W482" s="67"/>
      <c r="X482" s="67">
        <f>R482+V482</f>
        <v>288360.2</v>
      </c>
      <c r="Y482" s="67">
        <f>R482+H482</f>
        <v>288360.2</v>
      </c>
      <c r="Z482" s="67">
        <f>D482-Y482</f>
        <v>3425809.29</v>
      </c>
      <c r="AA482" s="67">
        <f>N482+X482</f>
        <v>288360.2</v>
      </c>
      <c r="AB482" s="67">
        <f>+D482-N482-X482</f>
        <v>3425809.29</v>
      </c>
    </row>
    <row r="483" spans="1:28" x14ac:dyDescent="0.25">
      <c r="A483" s="46"/>
      <c r="B483" s="26"/>
      <c r="C483" s="4"/>
      <c r="D483" s="70" t="s">
        <v>40</v>
      </c>
      <c r="E483" s="70" t="s">
        <v>40</v>
      </c>
      <c r="F483" s="70" t="s">
        <v>40</v>
      </c>
      <c r="G483" s="70"/>
      <c r="H483" s="70" t="s">
        <v>40</v>
      </c>
      <c r="I483" s="70" t="s">
        <v>40</v>
      </c>
      <c r="J483" s="70" t="s">
        <v>40</v>
      </c>
      <c r="K483" s="70" t="s">
        <v>40</v>
      </c>
      <c r="L483" s="70" t="s">
        <v>40</v>
      </c>
      <c r="M483" s="70"/>
      <c r="N483" s="70" t="s">
        <v>40</v>
      </c>
      <c r="O483" s="70" t="s">
        <v>40</v>
      </c>
      <c r="P483" s="70" t="s">
        <v>40</v>
      </c>
      <c r="Q483" s="70"/>
      <c r="R483" s="70" t="s">
        <v>40</v>
      </c>
      <c r="S483" s="70" t="s">
        <v>40</v>
      </c>
      <c r="T483" s="70" t="s">
        <v>40</v>
      </c>
      <c r="U483" s="70" t="s">
        <v>40</v>
      </c>
      <c r="V483" s="70" t="s">
        <v>40</v>
      </c>
      <c r="W483" s="70"/>
      <c r="X483" s="70" t="s">
        <v>40</v>
      </c>
      <c r="Y483" s="70" t="s">
        <v>40</v>
      </c>
      <c r="Z483" s="70" t="s">
        <v>40</v>
      </c>
      <c r="AA483" s="70" t="s">
        <v>40</v>
      </c>
      <c r="AB483" s="70" t="s">
        <v>40</v>
      </c>
    </row>
    <row r="484" spans="1:28" x14ac:dyDescent="0.25">
      <c r="A484" s="46"/>
      <c r="B484" s="26"/>
      <c r="C484" s="4"/>
      <c r="D484" s="67">
        <f t="shared" ref="D484:AB484" si="183">SUM(D478:D482)</f>
        <v>43600134.579999998</v>
      </c>
      <c r="E484" s="67">
        <f t="shared" si="183"/>
        <v>22803709.390000001</v>
      </c>
      <c r="F484" s="67">
        <f t="shared" si="183"/>
        <v>0</v>
      </c>
      <c r="G484" s="67"/>
      <c r="H484" s="67">
        <f t="shared" si="183"/>
        <v>22803709.390000001</v>
      </c>
      <c r="I484" s="67">
        <f t="shared" si="183"/>
        <v>0</v>
      </c>
      <c r="J484" s="67">
        <f t="shared" si="183"/>
        <v>0</v>
      </c>
      <c r="K484" s="67">
        <f t="shared" si="183"/>
        <v>0</v>
      </c>
      <c r="L484" s="67">
        <f t="shared" si="183"/>
        <v>0</v>
      </c>
      <c r="M484" s="67"/>
      <c r="N484" s="67">
        <f t="shared" si="183"/>
        <v>22803709.390000001</v>
      </c>
      <c r="O484" s="67">
        <f t="shared" si="183"/>
        <v>10697033.279999999</v>
      </c>
      <c r="P484" s="67">
        <f t="shared" si="183"/>
        <v>0</v>
      </c>
      <c r="Q484" s="67"/>
      <c r="R484" s="67">
        <f t="shared" si="183"/>
        <v>10697033.279999999</v>
      </c>
      <c r="S484" s="67">
        <f t="shared" si="183"/>
        <v>6263117.3700000001</v>
      </c>
      <c r="T484" s="67">
        <f t="shared" si="183"/>
        <v>3270911.88</v>
      </c>
      <c r="U484" s="67">
        <f t="shared" si="183"/>
        <v>0</v>
      </c>
      <c r="V484" s="67">
        <f t="shared" si="183"/>
        <v>0</v>
      </c>
      <c r="W484" s="67"/>
      <c r="X484" s="67">
        <f t="shared" si="183"/>
        <v>10697033.279999999</v>
      </c>
      <c r="Y484" s="67">
        <f t="shared" si="183"/>
        <v>33500742.669999998</v>
      </c>
      <c r="Z484" s="67">
        <f t="shared" si="183"/>
        <v>10099391.910000002</v>
      </c>
      <c r="AA484" s="67">
        <f t="shared" si="183"/>
        <v>33500742.669999998</v>
      </c>
      <c r="AB484" s="67">
        <f t="shared" si="183"/>
        <v>10099391.910000004</v>
      </c>
    </row>
    <row r="485" spans="1:28" x14ac:dyDescent="0.25">
      <c r="A485" s="46"/>
      <c r="B485" s="26"/>
      <c r="C485" s="4"/>
      <c r="D485" s="70" t="s">
        <v>40</v>
      </c>
      <c r="E485" s="70" t="s">
        <v>40</v>
      </c>
      <c r="F485" s="70" t="s">
        <v>40</v>
      </c>
      <c r="G485" s="70"/>
      <c r="H485" s="70" t="s">
        <v>40</v>
      </c>
      <c r="I485" s="70" t="s">
        <v>40</v>
      </c>
      <c r="J485" s="70" t="s">
        <v>40</v>
      </c>
      <c r="K485" s="70" t="s">
        <v>40</v>
      </c>
      <c r="L485" s="70" t="s">
        <v>40</v>
      </c>
      <c r="M485" s="70"/>
      <c r="N485" s="70" t="s">
        <v>40</v>
      </c>
      <c r="O485" s="70" t="s">
        <v>40</v>
      </c>
      <c r="P485" s="70" t="s">
        <v>40</v>
      </c>
      <c r="Q485" s="70"/>
      <c r="R485" s="70" t="s">
        <v>40</v>
      </c>
      <c r="S485" s="70" t="s">
        <v>40</v>
      </c>
      <c r="T485" s="70" t="s">
        <v>40</v>
      </c>
      <c r="U485" s="70" t="s">
        <v>40</v>
      </c>
      <c r="V485" s="70" t="s">
        <v>40</v>
      </c>
      <c r="W485" s="70"/>
      <c r="X485" s="70" t="s">
        <v>40</v>
      </c>
      <c r="Y485" s="70" t="s">
        <v>40</v>
      </c>
      <c r="Z485" s="70" t="s">
        <v>40</v>
      </c>
      <c r="AA485" s="70" t="s">
        <v>40</v>
      </c>
      <c r="AB485" s="70" t="s">
        <v>40</v>
      </c>
    </row>
    <row r="486" spans="1:28" ht="16.5" thickBot="1" x14ac:dyDescent="0.3">
      <c r="A486" s="46"/>
      <c r="B486" s="26"/>
      <c r="C486" s="4"/>
      <c r="D486" s="70"/>
      <c r="E486" s="70"/>
      <c r="F486" s="113">
        <v>2327913.9900000002</v>
      </c>
      <c r="G486" s="70" t="s">
        <v>321</v>
      </c>
      <c r="H486" s="147" t="s">
        <v>329</v>
      </c>
      <c r="I486" s="70"/>
      <c r="J486" s="70"/>
      <c r="K486" s="70"/>
      <c r="L486" s="148" t="s">
        <v>332</v>
      </c>
      <c r="M486" s="147" t="s">
        <v>47</v>
      </c>
      <c r="N486" s="70"/>
      <c r="O486" s="129"/>
      <c r="P486" s="105"/>
      <c r="Q486" s="129"/>
      <c r="R486" s="70"/>
      <c r="S486" s="70"/>
      <c r="T486" s="70"/>
      <c r="U486" s="70"/>
      <c r="W486" s="70"/>
      <c r="X486" s="70"/>
      <c r="Y486" s="70"/>
      <c r="Z486" s="70"/>
      <c r="AA486" s="70"/>
      <c r="AB486" s="70"/>
    </row>
    <row r="487" spans="1:28" ht="16.5" thickTop="1" x14ac:dyDescent="0.25">
      <c r="A487" s="46"/>
      <c r="B487" s="26"/>
      <c r="C487" s="4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</row>
    <row r="488" spans="1:28" x14ac:dyDescent="0.25">
      <c r="A488" s="46"/>
      <c r="B488" s="26"/>
      <c r="C488" s="4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</row>
    <row r="489" spans="1:28" x14ac:dyDescent="0.25">
      <c r="A489" s="46">
        <v>51</v>
      </c>
      <c r="B489" s="23" t="s">
        <v>85</v>
      </c>
      <c r="C489" s="2" t="s">
        <v>35</v>
      </c>
      <c r="D489" s="67">
        <v>43244403.560000002</v>
      </c>
      <c r="E489" s="68">
        <f>2341702.42+3961357.72</f>
        <v>6303060.1400000006</v>
      </c>
      <c r="F489" s="68"/>
      <c r="G489" s="68"/>
      <c r="H489" s="67">
        <f t="shared" ref="H489:H494" si="184">E489+F489</f>
        <v>6303060.1400000006</v>
      </c>
      <c r="I489" s="68"/>
      <c r="J489" s="68"/>
      <c r="K489" s="68"/>
      <c r="L489" s="67"/>
      <c r="M489" s="67"/>
      <c r="N489" s="67">
        <f t="shared" ref="N489:N494" si="185">H489+L489</f>
        <v>6303060.1400000006</v>
      </c>
      <c r="O489" s="67">
        <v>0</v>
      </c>
      <c r="P489" s="68"/>
      <c r="Q489" s="68"/>
      <c r="R489" s="67">
        <f>O489+P489</f>
        <v>0</v>
      </c>
      <c r="S489" s="68"/>
      <c r="T489" s="68"/>
      <c r="U489" s="68"/>
      <c r="V489" s="67"/>
      <c r="W489" s="67"/>
      <c r="X489" s="67">
        <f t="shared" ref="X489:X494" si="186">R489+V489</f>
        <v>0</v>
      </c>
      <c r="Y489" s="67">
        <f t="shared" ref="Y489:Y494" si="187">R489+H489</f>
        <v>6303060.1400000006</v>
      </c>
      <c r="Z489" s="67">
        <f t="shared" ref="Z489:Z494" si="188">D489-Y489</f>
        <v>36941343.420000002</v>
      </c>
      <c r="AA489" s="67">
        <f t="shared" ref="AA489:AA494" si="189">N489+X489</f>
        <v>6303060.1400000006</v>
      </c>
      <c r="AB489" s="67">
        <f t="shared" ref="AB489:AB494" si="190">+D489-N489-X489</f>
        <v>36941343.420000002</v>
      </c>
    </row>
    <row r="490" spans="1:28" x14ac:dyDescent="0.25">
      <c r="A490" s="46"/>
      <c r="B490" s="26"/>
      <c r="C490" s="3" t="s">
        <v>36</v>
      </c>
      <c r="D490" s="67">
        <f>2218825.28+226518.99</f>
        <v>2445344.2699999996</v>
      </c>
      <c r="E490" s="67">
        <f>2218825.28+226518.99</f>
        <v>2445344.2699999996</v>
      </c>
      <c r="F490" s="68"/>
      <c r="G490" s="68"/>
      <c r="H490" s="67">
        <f t="shared" si="184"/>
        <v>2445344.2699999996</v>
      </c>
      <c r="I490" s="68"/>
      <c r="J490" s="68"/>
      <c r="K490" s="68"/>
      <c r="L490" s="67"/>
      <c r="M490" s="67"/>
      <c r="N490" s="67">
        <f t="shared" si="185"/>
        <v>2445344.2699999996</v>
      </c>
      <c r="O490" s="67">
        <v>0</v>
      </c>
      <c r="P490" s="68"/>
      <c r="Q490" s="68"/>
      <c r="R490" s="68"/>
      <c r="S490" s="68"/>
      <c r="T490" s="68"/>
      <c r="U490" s="68"/>
      <c r="V490" s="67"/>
      <c r="W490" s="67"/>
      <c r="X490" s="67">
        <f t="shared" si="186"/>
        <v>0</v>
      </c>
      <c r="Y490" s="67">
        <f t="shared" si="187"/>
        <v>2445344.2699999996</v>
      </c>
      <c r="Z490" s="67">
        <f t="shared" si="188"/>
        <v>0</v>
      </c>
      <c r="AA490" s="67">
        <f t="shared" si="189"/>
        <v>2445344.2699999996</v>
      </c>
      <c r="AB490" s="67">
        <f t="shared" si="190"/>
        <v>0</v>
      </c>
    </row>
    <row r="491" spans="1:28" x14ac:dyDescent="0.25">
      <c r="A491" s="46"/>
      <c r="B491" s="26"/>
      <c r="C491" s="3" t="s">
        <v>44</v>
      </c>
      <c r="D491" s="67">
        <v>8746000</v>
      </c>
      <c r="E491" s="67">
        <v>8746000</v>
      </c>
      <c r="F491" s="68"/>
      <c r="G491" s="68"/>
      <c r="H491" s="67">
        <f t="shared" si="184"/>
        <v>8746000</v>
      </c>
      <c r="I491" s="68"/>
      <c r="J491" s="68"/>
      <c r="K491" s="68"/>
      <c r="L491" s="67"/>
      <c r="M491" s="67"/>
      <c r="N491" s="67">
        <f t="shared" si="185"/>
        <v>8746000</v>
      </c>
      <c r="O491" s="67">
        <v>0</v>
      </c>
      <c r="P491" s="68"/>
      <c r="Q491" s="68"/>
      <c r="R491" s="68"/>
      <c r="S491" s="68"/>
      <c r="T491" s="68"/>
      <c r="U491" s="68"/>
      <c r="V491" s="67"/>
      <c r="W491" s="67"/>
      <c r="X491" s="67">
        <f t="shared" si="186"/>
        <v>0</v>
      </c>
      <c r="Y491" s="67">
        <f t="shared" si="187"/>
        <v>8746000</v>
      </c>
      <c r="Z491" s="67">
        <f t="shared" si="188"/>
        <v>0</v>
      </c>
      <c r="AA491" s="67">
        <f t="shared" si="189"/>
        <v>8746000</v>
      </c>
      <c r="AB491" s="67">
        <f t="shared" si="190"/>
        <v>0</v>
      </c>
    </row>
    <row r="492" spans="1:28" x14ac:dyDescent="0.25">
      <c r="A492" s="46"/>
      <c r="B492" s="26"/>
      <c r="C492" s="3" t="s">
        <v>48</v>
      </c>
      <c r="D492" s="67">
        <v>961600.35</v>
      </c>
      <c r="E492" s="67">
        <v>961600.35</v>
      </c>
      <c r="F492" s="68"/>
      <c r="G492" s="68"/>
      <c r="H492" s="67">
        <f t="shared" si="184"/>
        <v>961600.35</v>
      </c>
      <c r="I492" s="68"/>
      <c r="J492" s="68"/>
      <c r="K492" s="68"/>
      <c r="L492" s="67"/>
      <c r="M492" s="67"/>
      <c r="N492" s="67">
        <f t="shared" si="185"/>
        <v>961600.35</v>
      </c>
      <c r="O492" s="67">
        <v>0</v>
      </c>
      <c r="P492" s="68"/>
      <c r="Q492" s="68"/>
      <c r="R492" s="68"/>
      <c r="S492" s="68"/>
      <c r="T492" s="68"/>
      <c r="U492" s="68"/>
      <c r="V492" s="67"/>
      <c r="W492" s="67"/>
      <c r="X492" s="67">
        <f t="shared" si="186"/>
        <v>0</v>
      </c>
      <c r="Y492" s="67">
        <f t="shared" si="187"/>
        <v>961600.35</v>
      </c>
      <c r="Z492" s="67">
        <f t="shared" si="188"/>
        <v>0</v>
      </c>
      <c r="AA492" s="67">
        <f t="shared" si="189"/>
        <v>961600.35</v>
      </c>
      <c r="AB492" s="67">
        <f t="shared" si="190"/>
        <v>0</v>
      </c>
    </row>
    <row r="493" spans="1:28" x14ac:dyDescent="0.25">
      <c r="A493" s="46"/>
      <c r="B493" s="26"/>
      <c r="C493" s="2" t="s">
        <v>37</v>
      </c>
      <c r="D493" s="67">
        <f>14008281.57-2574644.34</f>
        <v>11433637.23</v>
      </c>
      <c r="E493" s="67">
        <v>0</v>
      </c>
      <c r="F493" s="68"/>
      <c r="G493" s="68"/>
      <c r="H493" s="67">
        <f t="shared" si="184"/>
        <v>0</v>
      </c>
      <c r="I493" s="68"/>
      <c r="J493" s="68"/>
      <c r="K493" s="68"/>
      <c r="L493" s="67"/>
      <c r="M493" s="67"/>
      <c r="N493" s="67">
        <f t="shared" si="185"/>
        <v>0</v>
      </c>
      <c r="O493" s="67">
        <v>0</v>
      </c>
      <c r="P493" s="68"/>
      <c r="Q493" s="68"/>
      <c r="R493" s="67">
        <f>O493+P493</f>
        <v>0</v>
      </c>
      <c r="S493" s="68"/>
      <c r="T493" s="68"/>
      <c r="U493" s="68"/>
      <c r="V493" s="67"/>
      <c r="W493" s="67"/>
      <c r="X493" s="67">
        <f t="shared" si="186"/>
        <v>0</v>
      </c>
      <c r="Y493" s="67">
        <f t="shared" si="187"/>
        <v>0</v>
      </c>
      <c r="Z493" s="67">
        <f t="shared" si="188"/>
        <v>11433637.23</v>
      </c>
      <c r="AA493" s="67">
        <f t="shared" si="189"/>
        <v>0</v>
      </c>
      <c r="AB493" s="67">
        <f t="shared" si="190"/>
        <v>11433637.23</v>
      </c>
    </row>
    <row r="494" spans="1:28" x14ac:dyDescent="0.25">
      <c r="A494" s="46"/>
      <c r="B494" s="26"/>
      <c r="C494" s="8" t="s">
        <v>39</v>
      </c>
      <c r="D494" s="67">
        <v>2487842.12</v>
      </c>
      <c r="E494" s="67">
        <v>0</v>
      </c>
      <c r="F494" s="68"/>
      <c r="G494" s="68"/>
      <c r="H494" s="67">
        <f t="shared" si="184"/>
        <v>0</v>
      </c>
      <c r="I494" s="68"/>
      <c r="J494" s="68"/>
      <c r="K494" s="68"/>
      <c r="L494" s="67"/>
      <c r="M494" s="67"/>
      <c r="N494" s="67">
        <f t="shared" si="185"/>
        <v>0</v>
      </c>
      <c r="O494" s="67">
        <v>0</v>
      </c>
      <c r="P494" s="68"/>
      <c r="Q494" s="68"/>
      <c r="R494" s="67">
        <f>O494+P494</f>
        <v>0</v>
      </c>
      <c r="S494" s="68"/>
      <c r="T494" s="68"/>
      <c r="U494" s="68"/>
      <c r="V494" s="67"/>
      <c r="W494" s="67"/>
      <c r="X494" s="67">
        <f t="shared" si="186"/>
        <v>0</v>
      </c>
      <c r="Y494" s="67">
        <f t="shared" si="187"/>
        <v>0</v>
      </c>
      <c r="Z494" s="67">
        <f t="shared" si="188"/>
        <v>2487842.12</v>
      </c>
      <c r="AA494" s="67">
        <f t="shared" si="189"/>
        <v>0</v>
      </c>
      <c r="AB494" s="67">
        <f t="shared" si="190"/>
        <v>2487842.12</v>
      </c>
    </row>
    <row r="495" spans="1:28" x14ac:dyDescent="0.25">
      <c r="A495" s="46"/>
      <c r="B495" s="26"/>
      <c r="C495" s="4"/>
      <c r="D495" s="70" t="s">
        <v>40</v>
      </c>
      <c r="E495" s="70" t="s">
        <v>40</v>
      </c>
      <c r="F495" s="70" t="s">
        <v>40</v>
      </c>
      <c r="G495" s="70"/>
      <c r="H495" s="70" t="s">
        <v>40</v>
      </c>
      <c r="I495" s="70" t="s">
        <v>40</v>
      </c>
      <c r="J495" s="70" t="s">
        <v>40</v>
      </c>
      <c r="K495" s="70" t="s">
        <v>40</v>
      </c>
      <c r="L495" s="70" t="s">
        <v>40</v>
      </c>
      <c r="M495" s="70"/>
      <c r="N495" s="70" t="s">
        <v>40</v>
      </c>
      <c r="O495" s="70" t="s">
        <v>40</v>
      </c>
      <c r="P495" s="70" t="s">
        <v>40</v>
      </c>
      <c r="Q495" s="70"/>
      <c r="R495" s="70" t="s">
        <v>40</v>
      </c>
      <c r="S495" s="70" t="s">
        <v>40</v>
      </c>
      <c r="T495" s="70" t="s">
        <v>40</v>
      </c>
      <c r="U495" s="70" t="s">
        <v>40</v>
      </c>
      <c r="V495" s="70" t="s">
        <v>40</v>
      </c>
      <c r="W495" s="70"/>
      <c r="X495" s="70" t="s">
        <v>40</v>
      </c>
      <c r="Y495" s="70" t="s">
        <v>40</v>
      </c>
      <c r="Z495" s="70" t="s">
        <v>40</v>
      </c>
      <c r="AA495" s="70" t="s">
        <v>40</v>
      </c>
      <c r="AB495" s="70" t="s">
        <v>40</v>
      </c>
    </row>
    <row r="496" spans="1:28" x14ac:dyDescent="0.25">
      <c r="A496" s="46"/>
      <c r="B496" s="26"/>
      <c r="C496" s="4"/>
      <c r="D496" s="67">
        <f t="shared" ref="D496:AB496" si="191">SUM(D489:D494)</f>
        <v>69318827.530000001</v>
      </c>
      <c r="E496" s="67">
        <f t="shared" si="191"/>
        <v>18456004.760000002</v>
      </c>
      <c r="F496" s="67">
        <f t="shared" si="191"/>
        <v>0</v>
      </c>
      <c r="G496" s="67"/>
      <c r="H496" s="67">
        <f t="shared" si="191"/>
        <v>18456004.760000002</v>
      </c>
      <c r="I496" s="67">
        <f t="shared" si="191"/>
        <v>0</v>
      </c>
      <c r="J496" s="67">
        <f t="shared" si="191"/>
        <v>0</v>
      </c>
      <c r="K496" s="67">
        <f t="shared" si="191"/>
        <v>0</v>
      </c>
      <c r="L496" s="67">
        <f t="shared" si="191"/>
        <v>0</v>
      </c>
      <c r="M496" s="67"/>
      <c r="N496" s="67">
        <f t="shared" si="191"/>
        <v>18456004.760000002</v>
      </c>
      <c r="O496" s="67">
        <f t="shared" si="191"/>
        <v>0</v>
      </c>
      <c r="P496" s="67">
        <f t="shared" si="191"/>
        <v>0</v>
      </c>
      <c r="Q496" s="67"/>
      <c r="R496" s="67">
        <f t="shared" si="191"/>
        <v>0</v>
      </c>
      <c r="S496" s="67">
        <f t="shared" si="191"/>
        <v>0</v>
      </c>
      <c r="T496" s="67">
        <f t="shared" si="191"/>
        <v>0</v>
      </c>
      <c r="U496" s="67">
        <f t="shared" si="191"/>
        <v>0</v>
      </c>
      <c r="V496" s="67">
        <f t="shared" si="191"/>
        <v>0</v>
      </c>
      <c r="W496" s="67"/>
      <c r="X496" s="67">
        <f t="shared" si="191"/>
        <v>0</v>
      </c>
      <c r="Y496" s="67">
        <f t="shared" si="191"/>
        <v>18456004.760000002</v>
      </c>
      <c r="Z496" s="67">
        <f t="shared" si="191"/>
        <v>50862822.770000003</v>
      </c>
      <c r="AA496" s="67">
        <f t="shared" si="191"/>
        <v>18456004.760000002</v>
      </c>
      <c r="AB496" s="67">
        <f t="shared" si="191"/>
        <v>50862822.770000003</v>
      </c>
    </row>
    <row r="497" spans="1:43" x14ac:dyDescent="0.25">
      <c r="A497" s="46"/>
      <c r="B497" s="26"/>
      <c r="C497" s="4"/>
      <c r="D497" s="70" t="s">
        <v>40</v>
      </c>
      <c r="E497" s="70" t="s">
        <v>40</v>
      </c>
      <c r="F497" s="70" t="s">
        <v>40</v>
      </c>
      <c r="G497" s="70"/>
      <c r="H497" s="70" t="s">
        <v>40</v>
      </c>
      <c r="I497" s="70" t="s">
        <v>40</v>
      </c>
      <c r="J497" s="70" t="s">
        <v>40</v>
      </c>
      <c r="K497" s="70" t="s">
        <v>40</v>
      </c>
      <c r="L497" s="70" t="s">
        <v>40</v>
      </c>
      <c r="M497" s="70"/>
      <c r="N497" s="70" t="s">
        <v>40</v>
      </c>
      <c r="O497" s="70" t="s">
        <v>40</v>
      </c>
      <c r="P497" s="70" t="s">
        <v>40</v>
      </c>
      <c r="Q497" s="70"/>
      <c r="R497" s="70" t="s">
        <v>40</v>
      </c>
      <c r="S497" s="70" t="s">
        <v>40</v>
      </c>
      <c r="T497" s="70" t="s">
        <v>40</v>
      </c>
      <c r="U497" s="70" t="s">
        <v>40</v>
      </c>
      <c r="V497" s="70" t="s">
        <v>40</v>
      </c>
      <c r="W497" s="70"/>
      <c r="X497" s="70" t="s">
        <v>40</v>
      </c>
      <c r="Y497" s="70" t="s">
        <v>40</v>
      </c>
      <c r="Z497" s="70" t="s">
        <v>40</v>
      </c>
      <c r="AA497" s="70" t="s">
        <v>40</v>
      </c>
      <c r="AB497" s="70" t="s">
        <v>40</v>
      </c>
    </row>
    <row r="498" spans="1:43" x14ac:dyDescent="0.25">
      <c r="A498" s="46"/>
      <c r="B498" s="26"/>
      <c r="C498" s="4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</row>
    <row r="499" spans="1:43" x14ac:dyDescent="0.25">
      <c r="A499" s="46">
        <v>52</v>
      </c>
      <c r="B499" s="23" t="s">
        <v>86</v>
      </c>
      <c r="C499" s="2" t="s">
        <v>35</v>
      </c>
      <c r="D499" s="67">
        <v>19608433.100000001</v>
      </c>
      <c r="E499" s="67">
        <v>0</v>
      </c>
      <c r="F499" s="67"/>
      <c r="G499" s="67"/>
      <c r="H499" s="67">
        <f>E499+F499</f>
        <v>0</v>
      </c>
      <c r="I499" s="67"/>
      <c r="J499" s="67"/>
      <c r="K499" s="68"/>
      <c r="L499" s="67"/>
      <c r="M499" s="67"/>
      <c r="N499" s="67">
        <f>H499+L499</f>
        <v>0</v>
      </c>
      <c r="O499" s="67">
        <f>3588543.8+4026757.15+445292.68+1811.34+2809752.8+338393.85</f>
        <v>11210551.619999999</v>
      </c>
      <c r="P499" s="67"/>
      <c r="Q499" s="67"/>
      <c r="R499" s="67">
        <f>O499+P499</f>
        <v>11210551.619999999</v>
      </c>
      <c r="S499" s="67">
        <f>6830580.11+445292.68-4026757.15-445292.68+5233164.59</f>
        <v>8036987.5499999998</v>
      </c>
      <c r="T499" s="68">
        <v>2809752.8</v>
      </c>
      <c r="U499" s="67"/>
      <c r="V499" s="67"/>
      <c r="W499" s="67"/>
      <c r="X499" s="67">
        <f>R499+V499</f>
        <v>11210551.619999999</v>
      </c>
      <c r="Y499" s="67">
        <f>R499+H499</f>
        <v>11210551.619999999</v>
      </c>
      <c r="Z499" s="67">
        <f>D499-Y499</f>
        <v>8397881.4800000023</v>
      </c>
      <c r="AA499" s="67">
        <f>N499+X499</f>
        <v>11210551.619999999</v>
      </c>
      <c r="AB499" s="67">
        <f>+D499-N499-X499</f>
        <v>8397881.4800000023</v>
      </c>
    </row>
    <row r="500" spans="1:43" x14ac:dyDescent="0.25">
      <c r="A500" s="46"/>
      <c r="B500" s="26"/>
      <c r="C500" s="3" t="s">
        <v>36</v>
      </c>
      <c r="D500" s="67">
        <f>1910344.63+3000000</f>
        <v>4910344.63</v>
      </c>
      <c r="E500" s="67">
        <f>1910344.63+3000000</f>
        <v>4910344.63</v>
      </c>
      <c r="F500" s="68"/>
      <c r="G500" s="68"/>
      <c r="H500" s="67">
        <f>E500+F500</f>
        <v>4910344.63</v>
      </c>
      <c r="I500" s="67"/>
      <c r="J500" s="67"/>
      <c r="K500" s="68"/>
      <c r="L500" s="67">
        <f>I500-J500+K500</f>
        <v>0</v>
      </c>
      <c r="M500" s="67"/>
      <c r="N500" s="67">
        <f>H500+L500</f>
        <v>4910344.63</v>
      </c>
      <c r="O500" s="67">
        <v>0</v>
      </c>
      <c r="P500" s="68"/>
      <c r="Q500" s="68"/>
      <c r="R500" s="67">
        <f>O500+P500</f>
        <v>0</v>
      </c>
      <c r="S500" s="68"/>
      <c r="T500" s="68"/>
      <c r="U500" s="68"/>
      <c r="V500" s="67"/>
      <c r="W500" s="67"/>
      <c r="X500" s="67">
        <f>R500+V500</f>
        <v>0</v>
      </c>
      <c r="Y500" s="67">
        <f>R500+H500</f>
        <v>4910344.63</v>
      </c>
      <c r="Z500" s="67">
        <f>D500-Y500</f>
        <v>0</v>
      </c>
      <c r="AA500" s="67">
        <f>N500+X500</f>
        <v>4910344.63</v>
      </c>
      <c r="AB500" s="67">
        <f>+D500-N500-X500</f>
        <v>0</v>
      </c>
    </row>
    <row r="501" spans="1:43" x14ac:dyDescent="0.25">
      <c r="A501" s="4"/>
      <c r="B501" s="4"/>
      <c r="C501" s="4" t="s">
        <v>298</v>
      </c>
      <c r="D501" s="55">
        <v>4800000</v>
      </c>
      <c r="E501" s="55">
        <v>4800000</v>
      </c>
      <c r="F501" s="55"/>
      <c r="G501" s="55"/>
      <c r="H501" s="55">
        <f>+E501+F501</f>
        <v>4800000</v>
      </c>
      <c r="I501" s="55"/>
      <c r="J501" s="55"/>
      <c r="K501" s="55"/>
      <c r="L501" s="55">
        <v>0</v>
      </c>
      <c r="M501" s="55"/>
      <c r="N501" s="55">
        <f>+H501+L501</f>
        <v>4800000</v>
      </c>
      <c r="O501" s="55">
        <v>0</v>
      </c>
      <c r="P501" s="55"/>
      <c r="Q501" s="55"/>
      <c r="R501" s="55">
        <f>+O501+P501</f>
        <v>0</v>
      </c>
      <c r="S501" s="55"/>
      <c r="T501" s="55"/>
      <c r="U501" s="55"/>
      <c r="V501" s="55"/>
      <c r="W501" s="55"/>
      <c r="X501" s="55">
        <f>+R501+V501</f>
        <v>0</v>
      </c>
      <c r="Y501" s="67">
        <f>R501+H501</f>
        <v>4800000</v>
      </c>
      <c r="Z501" s="67">
        <f>D501-Y501</f>
        <v>0</v>
      </c>
      <c r="AA501" s="67">
        <f>N501+X501</f>
        <v>4800000</v>
      </c>
      <c r="AB501" s="67">
        <f>+D501-N501-X501</f>
        <v>0</v>
      </c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</row>
    <row r="502" spans="1:43" x14ac:dyDescent="0.25">
      <c r="A502" s="46"/>
      <c r="B502" s="26"/>
      <c r="C502" s="2" t="s">
        <v>37</v>
      </c>
      <c r="D502" s="67">
        <v>45908426.439999998</v>
      </c>
      <c r="E502" s="67">
        <v>0</v>
      </c>
      <c r="F502" s="68"/>
      <c r="G502" s="68"/>
      <c r="H502" s="67">
        <f>E502+F502</f>
        <v>0</v>
      </c>
      <c r="I502" s="68"/>
      <c r="J502" s="68"/>
      <c r="K502" s="68"/>
      <c r="L502" s="67">
        <f>I502-J502+K502</f>
        <v>0</v>
      </c>
      <c r="M502" s="67"/>
      <c r="N502" s="67">
        <f>H502+L502</f>
        <v>0</v>
      </c>
      <c r="O502" s="67">
        <v>0</v>
      </c>
      <c r="P502" s="67"/>
      <c r="Q502" s="67"/>
      <c r="R502" s="67">
        <f>O502+P502</f>
        <v>0</v>
      </c>
      <c r="S502" s="67"/>
      <c r="T502" s="68"/>
      <c r="U502" s="68"/>
      <c r="V502" s="67"/>
      <c r="W502" s="67"/>
      <c r="X502" s="67">
        <f>R502+V502</f>
        <v>0</v>
      </c>
      <c r="Y502" s="67">
        <f>R502+H502</f>
        <v>0</v>
      </c>
      <c r="Z502" s="67">
        <f>D502-Y502</f>
        <v>45908426.439999998</v>
      </c>
      <c r="AA502" s="67">
        <f>N502+X502</f>
        <v>0</v>
      </c>
      <c r="AB502" s="67">
        <f>+D502-N502-X502</f>
        <v>45908426.439999998</v>
      </c>
    </row>
    <row r="503" spans="1:43" x14ac:dyDescent="0.25">
      <c r="A503" s="46"/>
      <c r="B503" s="26"/>
      <c r="C503" s="8" t="s">
        <v>39</v>
      </c>
      <c r="D503" s="67">
        <v>4086852.24</v>
      </c>
      <c r="E503" s="67">
        <v>0</v>
      </c>
      <c r="F503" s="68"/>
      <c r="G503" s="68"/>
      <c r="H503" s="67">
        <f>E503+F503</f>
        <v>0</v>
      </c>
      <c r="I503" s="68"/>
      <c r="J503" s="68"/>
      <c r="K503" s="68"/>
      <c r="L503" s="67">
        <f>I503-J503+K503</f>
        <v>0</v>
      </c>
      <c r="M503" s="67"/>
      <c r="N503" s="67">
        <f>H503+L503</f>
        <v>0</v>
      </c>
      <c r="O503" s="67">
        <v>0</v>
      </c>
      <c r="P503" s="68"/>
      <c r="Q503" s="68"/>
      <c r="R503" s="67">
        <f>O503+P503</f>
        <v>0</v>
      </c>
      <c r="S503" s="68"/>
      <c r="T503" s="68"/>
      <c r="U503" s="68"/>
      <c r="V503" s="67"/>
      <c r="W503" s="67"/>
      <c r="X503" s="67">
        <f>R503+V503</f>
        <v>0</v>
      </c>
      <c r="Y503" s="67">
        <f>R503+H503</f>
        <v>0</v>
      </c>
      <c r="Z503" s="67">
        <f>D503-Y503</f>
        <v>4086852.24</v>
      </c>
      <c r="AA503" s="67">
        <f>N503+X503</f>
        <v>0</v>
      </c>
      <c r="AB503" s="67">
        <f>+D503-N503-X503</f>
        <v>4086852.24</v>
      </c>
    </row>
    <row r="504" spans="1:43" x14ac:dyDescent="0.25">
      <c r="A504" s="46"/>
      <c r="B504" s="26"/>
      <c r="C504" s="4"/>
      <c r="D504" s="70" t="s">
        <v>40</v>
      </c>
      <c r="E504" s="70" t="s">
        <v>40</v>
      </c>
      <c r="F504" s="70" t="s">
        <v>40</v>
      </c>
      <c r="G504" s="70"/>
      <c r="H504" s="70" t="s">
        <v>40</v>
      </c>
      <c r="I504" s="70" t="s">
        <v>40</v>
      </c>
      <c r="J504" s="70" t="s">
        <v>40</v>
      </c>
      <c r="K504" s="70" t="s">
        <v>40</v>
      </c>
      <c r="L504" s="70" t="s">
        <v>40</v>
      </c>
      <c r="M504" s="70"/>
      <c r="N504" s="70" t="s">
        <v>40</v>
      </c>
      <c r="O504" s="70" t="s">
        <v>40</v>
      </c>
      <c r="P504" s="70" t="s">
        <v>40</v>
      </c>
      <c r="Q504" s="70"/>
      <c r="R504" s="70" t="s">
        <v>40</v>
      </c>
      <c r="S504" s="70" t="s">
        <v>40</v>
      </c>
      <c r="T504" s="70" t="s">
        <v>40</v>
      </c>
      <c r="U504" s="70" t="s">
        <v>40</v>
      </c>
      <c r="V504" s="70" t="s">
        <v>40</v>
      </c>
      <c r="W504" s="70"/>
      <c r="X504" s="70" t="s">
        <v>40</v>
      </c>
      <c r="Y504" s="70" t="s">
        <v>40</v>
      </c>
      <c r="Z504" s="70" t="s">
        <v>40</v>
      </c>
      <c r="AA504" s="70" t="s">
        <v>40</v>
      </c>
      <c r="AB504" s="70" t="s">
        <v>40</v>
      </c>
    </row>
    <row r="505" spans="1:43" x14ac:dyDescent="0.25">
      <c r="A505" s="46"/>
      <c r="B505" s="26"/>
      <c r="C505" s="4"/>
      <c r="D505" s="67">
        <f>SUM(D499:D503)</f>
        <v>79314056.409999996</v>
      </c>
      <c r="E505" s="67">
        <f>SUM(E499:E503)</f>
        <v>9710344.629999999</v>
      </c>
      <c r="F505" s="67">
        <f>SUM(F499:F503)</f>
        <v>0</v>
      </c>
      <c r="G505" s="67"/>
      <c r="H505" s="67">
        <f>SUM(H499:H503)</f>
        <v>9710344.629999999</v>
      </c>
      <c r="I505" s="67">
        <f>SUM(I499:I503)</f>
        <v>0</v>
      </c>
      <c r="J505" s="67">
        <f>SUM(J499:J503)</f>
        <v>0</v>
      </c>
      <c r="K505" s="67">
        <f>SUM(K499:K503)</f>
        <v>0</v>
      </c>
      <c r="L505" s="67">
        <f>SUM(L499:L503)</f>
        <v>0</v>
      </c>
      <c r="M505" s="67"/>
      <c r="N505" s="67">
        <f>SUM(N499:N503)</f>
        <v>9710344.629999999</v>
      </c>
      <c r="O505" s="67">
        <f>SUM(O499:O503)</f>
        <v>11210551.619999999</v>
      </c>
      <c r="P505" s="67">
        <f>SUM(P499:P503)</f>
        <v>0</v>
      </c>
      <c r="Q505" s="67"/>
      <c r="R505" s="67">
        <f>SUM(R499:R503)</f>
        <v>11210551.619999999</v>
      </c>
      <c r="S505" s="67">
        <f>SUM(S499:S503)</f>
        <v>8036987.5499999998</v>
      </c>
      <c r="T505" s="67">
        <f>SUM(T499:T503)</f>
        <v>2809752.8</v>
      </c>
      <c r="U505" s="67">
        <f>SUM(U499:U503)</f>
        <v>0</v>
      </c>
      <c r="V505" s="67">
        <f>SUM(V499:V503)</f>
        <v>0</v>
      </c>
      <c r="W505" s="67"/>
      <c r="X505" s="67">
        <f>SUM(X499:X503)</f>
        <v>11210551.619999999</v>
      </c>
      <c r="Y505" s="67">
        <f>SUM(Y499:Y503)</f>
        <v>20920896.25</v>
      </c>
      <c r="Z505" s="67">
        <f>SUM(Z499:Z503)</f>
        <v>58393160.160000004</v>
      </c>
      <c r="AA505" s="67">
        <f>SUM(AA499:AA503)</f>
        <v>20920896.25</v>
      </c>
      <c r="AB505" s="67">
        <f>SUM(AB499:AB503)</f>
        <v>58393160.160000004</v>
      </c>
    </row>
    <row r="506" spans="1:43" x14ac:dyDescent="0.25">
      <c r="A506" s="46"/>
      <c r="B506" s="30"/>
      <c r="C506" s="4"/>
      <c r="D506" s="70" t="s">
        <v>40</v>
      </c>
      <c r="E506" s="70" t="s">
        <v>40</v>
      </c>
      <c r="F506" s="70" t="s">
        <v>40</v>
      </c>
      <c r="G506" s="70"/>
      <c r="H506" s="70" t="s">
        <v>40</v>
      </c>
      <c r="I506" s="70" t="s">
        <v>40</v>
      </c>
      <c r="J506" s="70" t="s">
        <v>40</v>
      </c>
      <c r="K506" s="70" t="s">
        <v>40</v>
      </c>
      <c r="L506" s="70" t="s">
        <v>40</v>
      </c>
      <c r="M506" s="70"/>
      <c r="N506" s="70" t="s">
        <v>40</v>
      </c>
      <c r="O506" s="70" t="s">
        <v>40</v>
      </c>
      <c r="P506" s="70" t="s">
        <v>40</v>
      </c>
      <c r="Q506" s="70"/>
      <c r="R506" s="70" t="s">
        <v>40</v>
      </c>
      <c r="S506" s="70" t="s">
        <v>40</v>
      </c>
      <c r="T506" s="70" t="s">
        <v>40</v>
      </c>
      <c r="U506" s="70" t="s">
        <v>40</v>
      </c>
      <c r="V506" s="70" t="s">
        <v>40</v>
      </c>
      <c r="W506" s="70"/>
      <c r="X506" s="70" t="s">
        <v>40</v>
      </c>
      <c r="Y506" s="70" t="s">
        <v>40</v>
      </c>
      <c r="Z506" s="70" t="s">
        <v>40</v>
      </c>
      <c r="AA506" s="70" t="s">
        <v>40</v>
      </c>
      <c r="AB506" s="70" t="s">
        <v>40</v>
      </c>
    </row>
    <row r="507" spans="1:43" x14ac:dyDescent="0.25">
      <c r="A507" s="46"/>
      <c r="B507" s="30"/>
      <c r="C507" s="4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</row>
    <row r="508" spans="1:43" x14ac:dyDescent="0.25">
      <c r="A508" s="46">
        <v>53</v>
      </c>
      <c r="B508" s="23" t="s">
        <v>87</v>
      </c>
      <c r="C508" s="4"/>
      <c r="D508" s="67">
        <v>36967921.149999999</v>
      </c>
      <c r="E508" s="67">
        <f>999663.73+1455112.35</f>
        <v>2454776.08</v>
      </c>
      <c r="F508" s="68"/>
      <c r="G508" s="67"/>
      <c r="H508" s="67">
        <f>E508+F508</f>
        <v>2454776.08</v>
      </c>
      <c r="I508" s="68"/>
      <c r="J508" s="68"/>
      <c r="K508" s="68"/>
      <c r="L508" s="67"/>
      <c r="M508" s="67"/>
      <c r="N508" s="67">
        <f>H508+L508</f>
        <v>2454776.08</v>
      </c>
      <c r="O508" s="67">
        <v>3067210.39</v>
      </c>
      <c r="P508" s="68"/>
      <c r="Q508" s="68"/>
      <c r="R508" s="67">
        <f>O508+P508</f>
        <v>3067210.39</v>
      </c>
      <c r="S508" s="68"/>
      <c r="T508" s="68"/>
      <c r="U508" s="68"/>
      <c r="V508" s="67"/>
      <c r="W508" s="67"/>
      <c r="X508" s="67">
        <f>R508+V508</f>
        <v>3067210.39</v>
      </c>
      <c r="Y508" s="67">
        <f>R508+H508</f>
        <v>5521986.4700000007</v>
      </c>
      <c r="Z508" s="67">
        <f>D508-Y508</f>
        <v>31445934.68</v>
      </c>
      <c r="AA508" s="67">
        <f>N508+X508</f>
        <v>5521986.4700000007</v>
      </c>
      <c r="AB508" s="67">
        <f>+D508-N508-X508</f>
        <v>31445934.68</v>
      </c>
    </row>
    <row r="509" spans="1:43" x14ac:dyDescent="0.25">
      <c r="A509" s="46"/>
      <c r="B509" s="26"/>
      <c r="C509" s="3" t="s">
        <v>36</v>
      </c>
      <c r="D509" s="67">
        <v>2957018.73</v>
      </c>
      <c r="E509" s="67">
        <v>2957018.73</v>
      </c>
      <c r="F509" s="68"/>
      <c r="G509" s="68"/>
      <c r="H509" s="67">
        <f>E509+F509</f>
        <v>2957018.73</v>
      </c>
      <c r="I509" s="68"/>
      <c r="J509" s="68"/>
      <c r="K509" s="68"/>
      <c r="L509" s="67"/>
      <c r="M509" s="67"/>
      <c r="N509" s="67">
        <f>H509+L509</f>
        <v>2957018.73</v>
      </c>
      <c r="O509" s="67">
        <v>0</v>
      </c>
      <c r="P509" s="68"/>
      <c r="Q509" s="68"/>
      <c r="R509" s="67">
        <f>O509+P509</f>
        <v>0</v>
      </c>
      <c r="S509" s="68"/>
      <c r="T509" s="68"/>
      <c r="U509" s="68"/>
      <c r="V509" s="67"/>
      <c r="W509" s="67"/>
      <c r="X509" s="67">
        <f>R509+V509</f>
        <v>0</v>
      </c>
      <c r="Y509" s="67">
        <f>R509+H509</f>
        <v>2957018.73</v>
      </c>
      <c r="Z509" s="67">
        <f>D509-Y509</f>
        <v>0</v>
      </c>
      <c r="AA509" s="67">
        <f>N509+X509</f>
        <v>2957018.73</v>
      </c>
      <c r="AB509" s="67">
        <f>+D509-N509-X509</f>
        <v>0</v>
      </c>
    </row>
    <row r="510" spans="1:43" x14ac:dyDescent="0.25">
      <c r="A510" s="46"/>
      <c r="B510" s="26"/>
      <c r="C510" s="2" t="s">
        <v>53</v>
      </c>
      <c r="D510" s="67">
        <f>41979376.45+3067210.39</f>
        <v>45046586.840000004</v>
      </c>
      <c r="E510" s="67">
        <v>0</v>
      </c>
      <c r="F510" s="68"/>
      <c r="G510" s="68"/>
      <c r="H510" s="67">
        <f>E510+F510</f>
        <v>0</v>
      </c>
      <c r="I510" s="68"/>
      <c r="J510" s="68"/>
      <c r="K510" s="68"/>
      <c r="L510" s="67"/>
      <c r="M510" s="67"/>
      <c r="N510" s="67">
        <f>H510+L510</f>
        <v>0</v>
      </c>
      <c r="O510" s="67">
        <f>6924692.69+3067210.39-3067210.39+86730</f>
        <v>7011422.6899999995</v>
      </c>
      <c r="P510" s="68"/>
      <c r="Q510" s="68"/>
      <c r="R510" s="67">
        <f>O510+P510</f>
        <v>7011422.6899999995</v>
      </c>
      <c r="S510" s="68"/>
      <c r="T510" s="68"/>
      <c r="U510" s="68"/>
      <c r="V510" s="67">
        <v>271320</v>
      </c>
      <c r="W510" s="67"/>
      <c r="X510" s="67">
        <f>R510+V510</f>
        <v>7282742.6899999995</v>
      </c>
      <c r="Y510" s="67">
        <f>R510+H510</f>
        <v>7011422.6899999995</v>
      </c>
      <c r="Z510" s="67">
        <f>D510-Y510</f>
        <v>38035164.150000006</v>
      </c>
      <c r="AA510" s="67">
        <f>N510+X510</f>
        <v>7282742.6899999995</v>
      </c>
      <c r="AB510" s="67">
        <f>+D510-N510-X510</f>
        <v>37763844.150000006</v>
      </c>
    </row>
    <row r="511" spans="1:43" x14ac:dyDescent="0.25">
      <c r="A511" s="46"/>
      <c r="B511" s="26"/>
      <c r="C511" s="2" t="s">
        <v>54</v>
      </c>
      <c r="D511" s="67">
        <f>13879136.8+2425022.49</f>
        <v>16304159.290000001</v>
      </c>
      <c r="E511" s="67">
        <v>0</v>
      </c>
      <c r="F511" s="68"/>
      <c r="G511" s="68"/>
      <c r="H511" s="67">
        <f>E511+F511</f>
        <v>0</v>
      </c>
      <c r="I511" s="68"/>
      <c r="J511" s="68"/>
      <c r="K511" s="68"/>
      <c r="L511" s="67"/>
      <c r="M511" s="67"/>
      <c r="N511" s="67">
        <f>H511+L511</f>
        <v>0</v>
      </c>
      <c r="O511" s="67">
        <v>16304159.289999999</v>
      </c>
      <c r="P511" s="68"/>
      <c r="Q511" s="68"/>
      <c r="R511" s="67">
        <f>O511+P511</f>
        <v>16304159.289999999</v>
      </c>
      <c r="S511" s="68"/>
      <c r="T511" s="68"/>
      <c r="U511" s="68"/>
      <c r="V511" s="67"/>
      <c r="W511" s="67"/>
      <c r="X511" s="67">
        <f>R511+V511</f>
        <v>16304159.289999999</v>
      </c>
      <c r="Y511" s="67">
        <f>R511+H511</f>
        <v>16304159.289999999</v>
      </c>
      <c r="Z511" s="67">
        <f>D511-Y511</f>
        <v>0</v>
      </c>
      <c r="AA511" s="67">
        <f>N511+X511</f>
        <v>16304159.289999999</v>
      </c>
      <c r="AB511" s="67">
        <f>+D511-N511-X511</f>
        <v>0</v>
      </c>
    </row>
    <row r="512" spans="1:43" x14ac:dyDescent="0.25">
      <c r="A512" s="46"/>
      <c r="B512" s="26"/>
      <c r="C512" s="4"/>
      <c r="D512" s="70" t="s">
        <v>40</v>
      </c>
      <c r="E512" s="70" t="s">
        <v>40</v>
      </c>
      <c r="F512" s="70" t="s">
        <v>40</v>
      </c>
      <c r="G512" s="70"/>
      <c r="H512" s="70" t="s">
        <v>40</v>
      </c>
      <c r="I512" s="70" t="s">
        <v>40</v>
      </c>
      <c r="J512" s="70" t="s">
        <v>40</v>
      </c>
      <c r="K512" s="70" t="s">
        <v>40</v>
      </c>
      <c r="L512" s="70" t="s">
        <v>40</v>
      </c>
      <c r="M512" s="70"/>
      <c r="N512" s="70" t="s">
        <v>40</v>
      </c>
      <c r="O512" s="70" t="s">
        <v>40</v>
      </c>
      <c r="P512" s="70" t="s">
        <v>40</v>
      </c>
      <c r="Q512" s="70"/>
      <c r="R512" s="70" t="s">
        <v>40</v>
      </c>
      <c r="S512" s="70" t="s">
        <v>40</v>
      </c>
      <c r="T512" s="70" t="s">
        <v>40</v>
      </c>
      <c r="U512" s="70" t="s">
        <v>40</v>
      </c>
      <c r="V512" s="70" t="s">
        <v>40</v>
      </c>
      <c r="W512" s="70"/>
      <c r="X512" s="70" t="s">
        <v>40</v>
      </c>
      <c r="Y512" s="70" t="s">
        <v>40</v>
      </c>
      <c r="Z512" s="70" t="s">
        <v>40</v>
      </c>
      <c r="AA512" s="70" t="s">
        <v>40</v>
      </c>
      <c r="AB512" s="70" t="s">
        <v>40</v>
      </c>
    </row>
    <row r="513" spans="1:28" x14ac:dyDescent="0.25">
      <c r="A513" s="46"/>
      <c r="B513" s="26"/>
      <c r="C513" s="4"/>
      <c r="D513" s="67">
        <f t="shared" ref="D513:AB513" si="192">SUM(D508:D511)</f>
        <v>101275686.01000001</v>
      </c>
      <c r="E513" s="67">
        <f t="shared" si="192"/>
        <v>5411794.8100000005</v>
      </c>
      <c r="F513" s="67">
        <f t="shared" si="192"/>
        <v>0</v>
      </c>
      <c r="G513" s="67"/>
      <c r="H513" s="67">
        <f t="shared" si="192"/>
        <v>5411794.8100000005</v>
      </c>
      <c r="I513" s="67">
        <f t="shared" si="192"/>
        <v>0</v>
      </c>
      <c r="J513" s="67">
        <f t="shared" si="192"/>
        <v>0</v>
      </c>
      <c r="K513" s="67">
        <f t="shared" si="192"/>
        <v>0</v>
      </c>
      <c r="L513" s="67">
        <f t="shared" si="192"/>
        <v>0</v>
      </c>
      <c r="M513" s="67"/>
      <c r="N513" s="67">
        <f t="shared" si="192"/>
        <v>5411794.8100000005</v>
      </c>
      <c r="O513" s="67">
        <f t="shared" si="192"/>
        <v>26382792.369999997</v>
      </c>
      <c r="P513" s="67">
        <f t="shared" si="192"/>
        <v>0</v>
      </c>
      <c r="Q513" s="67"/>
      <c r="R513" s="67">
        <f t="shared" si="192"/>
        <v>26382792.369999997</v>
      </c>
      <c r="S513" s="67">
        <f t="shared" si="192"/>
        <v>0</v>
      </c>
      <c r="T513" s="67">
        <f t="shared" si="192"/>
        <v>0</v>
      </c>
      <c r="U513" s="67">
        <f t="shared" si="192"/>
        <v>0</v>
      </c>
      <c r="V513" s="67">
        <f t="shared" si="192"/>
        <v>271320</v>
      </c>
      <c r="W513" s="67"/>
      <c r="X513" s="67">
        <f t="shared" si="192"/>
        <v>26654112.369999997</v>
      </c>
      <c r="Y513" s="67">
        <f t="shared" si="192"/>
        <v>31794587.18</v>
      </c>
      <c r="Z513" s="67">
        <f t="shared" si="192"/>
        <v>69481098.830000013</v>
      </c>
      <c r="AA513" s="67">
        <f t="shared" si="192"/>
        <v>32065907.18</v>
      </c>
      <c r="AB513" s="67">
        <f t="shared" si="192"/>
        <v>69209778.830000013</v>
      </c>
    </row>
    <row r="514" spans="1:28" x14ac:dyDescent="0.25">
      <c r="A514" s="46"/>
      <c r="B514" s="30"/>
      <c r="C514" s="4"/>
      <c r="D514" s="70" t="s">
        <v>40</v>
      </c>
      <c r="E514" s="70" t="s">
        <v>40</v>
      </c>
      <c r="F514" s="70" t="s">
        <v>40</v>
      </c>
      <c r="G514" s="70"/>
      <c r="H514" s="70" t="s">
        <v>40</v>
      </c>
      <c r="I514" s="70" t="s">
        <v>40</v>
      </c>
      <c r="J514" s="70" t="s">
        <v>40</v>
      </c>
      <c r="K514" s="70" t="s">
        <v>40</v>
      </c>
      <c r="L514" s="70" t="s">
        <v>40</v>
      </c>
      <c r="M514" s="70"/>
      <c r="N514" s="70" t="s">
        <v>40</v>
      </c>
      <c r="O514" s="70" t="s">
        <v>40</v>
      </c>
      <c r="P514" s="70" t="s">
        <v>40</v>
      </c>
      <c r="Q514" s="70"/>
      <c r="R514" s="70" t="s">
        <v>40</v>
      </c>
      <c r="S514" s="70" t="s">
        <v>40</v>
      </c>
      <c r="T514" s="70" t="s">
        <v>40</v>
      </c>
      <c r="U514" s="70" t="s">
        <v>40</v>
      </c>
      <c r="V514" s="70" t="s">
        <v>40</v>
      </c>
      <c r="W514" s="70"/>
      <c r="X514" s="70" t="s">
        <v>40</v>
      </c>
      <c r="Y514" s="70" t="s">
        <v>40</v>
      </c>
      <c r="Z514" s="70" t="s">
        <v>40</v>
      </c>
      <c r="AA514" s="70" t="s">
        <v>40</v>
      </c>
      <c r="AB514" s="70" t="s">
        <v>40</v>
      </c>
    </row>
    <row r="515" spans="1:28" ht="16.5" thickBot="1" x14ac:dyDescent="0.3">
      <c r="A515" s="46"/>
      <c r="B515" s="30"/>
      <c r="C515" s="4"/>
      <c r="D515" s="70"/>
      <c r="E515" s="70"/>
      <c r="F515" s="113">
        <f>999663.73+1455112.35</f>
        <v>2454776.08</v>
      </c>
      <c r="G515" s="147" t="s">
        <v>328</v>
      </c>
      <c r="H515" s="148"/>
      <c r="I515" s="70"/>
      <c r="J515" s="70"/>
      <c r="L515" s="148" t="s">
        <v>333</v>
      </c>
      <c r="M515" s="147" t="s">
        <v>47</v>
      </c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</row>
    <row r="516" spans="1:28" ht="16.5" thickTop="1" x14ac:dyDescent="0.25">
      <c r="A516" s="46">
        <v>54</v>
      </c>
      <c r="B516" s="23" t="s">
        <v>88</v>
      </c>
      <c r="C516" s="3" t="s">
        <v>35</v>
      </c>
      <c r="D516" s="67">
        <v>0</v>
      </c>
      <c r="E516" s="67">
        <v>0</v>
      </c>
      <c r="F516" s="68"/>
      <c r="G516" s="68"/>
      <c r="H516" s="67">
        <f>E516+F516</f>
        <v>0</v>
      </c>
      <c r="I516" s="68"/>
      <c r="J516" s="68"/>
      <c r="K516" s="68"/>
      <c r="L516" s="67"/>
      <c r="M516" s="67"/>
      <c r="N516" s="67">
        <f>H516+L516</f>
        <v>0</v>
      </c>
      <c r="O516" s="67">
        <v>0</v>
      </c>
      <c r="P516" s="68"/>
      <c r="Q516" s="68"/>
      <c r="R516" s="67">
        <f>O516+P516</f>
        <v>0</v>
      </c>
      <c r="S516" s="68"/>
      <c r="T516" s="68"/>
      <c r="U516" s="68"/>
      <c r="V516" s="67"/>
      <c r="W516" s="67"/>
      <c r="X516" s="67">
        <f>R516+V516</f>
        <v>0</v>
      </c>
      <c r="Y516" s="67">
        <f>R516+H516</f>
        <v>0</v>
      </c>
      <c r="Z516" s="67">
        <f>D516-Y516</f>
        <v>0</v>
      </c>
      <c r="AA516" s="67">
        <f>N516+X516</f>
        <v>0</v>
      </c>
      <c r="AB516" s="67">
        <f>+D516-N516-X516</f>
        <v>0</v>
      </c>
    </row>
    <row r="517" spans="1:28" x14ac:dyDescent="0.25">
      <c r="A517" s="46"/>
      <c r="B517" s="26"/>
      <c r="C517" s="3" t="s">
        <v>36</v>
      </c>
      <c r="D517" s="67">
        <v>511867</v>
      </c>
      <c r="E517" s="67">
        <v>511867</v>
      </c>
      <c r="F517" s="68"/>
      <c r="G517" s="68"/>
      <c r="H517" s="67">
        <f>E517+F517</f>
        <v>511867</v>
      </c>
      <c r="I517" s="68"/>
      <c r="J517" s="68"/>
      <c r="K517" s="68"/>
      <c r="L517" s="67"/>
      <c r="M517" s="67"/>
      <c r="N517" s="67">
        <f>H517+L517</f>
        <v>511867</v>
      </c>
      <c r="O517" s="67">
        <v>0</v>
      </c>
      <c r="P517" s="68"/>
      <c r="Q517" s="68"/>
      <c r="R517" s="67">
        <f>O517+P517</f>
        <v>0</v>
      </c>
      <c r="S517" s="68"/>
      <c r="T517" s="68"/>
      <c r="U517" s="68"/>
      <c r="V517" s="67"/>
      <c r="W517" s="67"/>
      <c r="X517" s="67">
        <f>R517+V517</f>
        <v>0</v>
      </c>
      <c r="Y517" s="67">
        <f>R517+H517</f>
        <v>511867</v>
      </c>
      <c r="Z517" s="67">
        <f>D517-Y517</f>
        <v>0</v>
      </c>
      <c r="AA517" s="67">
        <f>N517+X517</f>
        <v>511867</v>
      </c>
      <c r="AB517" s="67">
        <f>+D517-N517-X517</f>
        <v>0</v>
      </c>
    </row>
    <row r="518" spans="1:28" x14ac:dyDescent="0.25">
      <c r="A518" s="46"/>
      <c r="B518" s="26"/>
      <c r="C518" s="2" t="s">
        <v>53</v>
      </c>
      <c r="D518" s="67">
        <f>1440425.67+3748266.92</f>
        <v>5188692.59</v>
      </c>
      <c r="E518" s="67">
        <v>0</v>
      </c>
      <c r="F518" s="68"/>
      <c r="G518" s="68"/>
      <c r="H518" s="67">
        <f>E518+F518</f>
        <v>0</v>
      </c>
      <c r="I518" s="68"/>
      <c r="J518" s="68"/>
      <c r="K518" s="68"/>
      <c r="L518" s="67"/>
      <c r="M518" s="67"/>
      <c r="N518" s="67">
        <f>H518+L518</f>
        <v>0</v>
      </c>
      <c r="O518" s="67">
        <f>1440425.67+3748266.92</f>
        <v>5188692.59</v>
      </c>
      <c r="P518" s="68"/>
      <c r="Q518" s="68"/>
      <c r="R518" s="67">
        <f>O518+P518</f>
        <v>5188692.59</v>
      </c>
      <c r="S518" s="68"/>
      <c r="T518" s="68"/>
      <c r="U518" s="68"/>
      <c r="V518" s="67"/>
      <c r="W518" s="67"/>
      <c r="X518" s="67">
        <f>R518+V518</f>
        <v>5188692.59</v>
      </c>
      <c r="Y518" s="67">
        <f>R518+H518</f>
        <v>5188692.59</v>
      </c>
      <c r="Z518" s="67">
        <f>D518-Y518</f>
        <v>0</v>
      </c>
      <c r="AA518" s="67">
        <f>N518+X518</f>
        <v>5188692.59</v>
      </c>
      <c r="AB518" s="67">
        <f>+D518-N518-X518</f>
        <v>0</v>
      </c>
    </row>
    <row r="519" spans="1:28" x14ac:dyDescent="0.25">
      <c r="A519" s="46"/>
      <c r="B519" s="26"/>
      <c r="C519" s="2" t="s">
        <v>38</v>
      </c>
      <c r="D519" s="67">
        <v>2456018</v>
      </c>
      <c r="E519" s="67">
        <v>0</v>
      </c>
      <c r="F519" s="68"/>
      <c r="G519" s="68"/>
      <c r="H519" s="67">
        <f>E519+F519</f>
        <v>0</v>
      </c>
      <c r="I519" s="68"/>
      <c r="J519" s="68"/>
      <c r="K519" s="68"/>
      <c r="L519" s="67"/>
      <c r="M519" s="67"/>
      <c r="N519" s="67">
        <f>H519+L519</f>
        <v>0</v>
      </c>
      <c r="O519" s="67">
        <v>0</v>
      </c>
      <c r="P519" s="68"/>
      <c r="Q519" s="68"/>
      <c r="R519" s="67">
        <f>O519+P519</f>
        <v>0</v>
      </c>
      <c r="S519" s="68"/>
      <c r="T519" s="68"/>
      <c r="U519" s="68"/>
      <c r="V519" s="67"/>
      <c r="W519" s="67"/>
      <c r="X519" s="67">
        <f>R519+V519</f>
        <v>0</v>
      </c>
      <c r="Y519" s="67">
        <f>R519+H519</f>
        <v>0</v>
      </c>
      <c r="Z519" s="67">
        <f>D519-Y519</f>
        <v>2456018</v>
      </c>
      <c r="AA519" s="67">
        <f>N519+X519</f>
        <v>0</v>
      </c>
      <c r="AB519" s="67">
        <f>+D519-N519-X519</f>
        <v>2456018</v>
      </c>
    </row>
    <row r="520" spans="1:28" x14ac:dyDescent="0.25">
      <c r="A520" s="46"/>
      <c r="B520" s="26"/>
      <c r="C520" s="2" t="s">
        <v>54</v>
      </c>
      <c r="D520" s="67">
        <f>4337666.44+6362596.59-170.8</f>
        <v>10700092.23</v>
      </c>
      <c r="E520" s="67">
        <v>0</v>
      </c>
      <c r="F520" s="68"/>
      <c r="G520" s="68"/>
      <c r="H520" s="67">
        <f>E520+F520</f>
        <v>0</v>
      </c>
      <c r="I520" s="68"/>
      <c r="J520" s="68"/>
      <c r="K520" s="68"/>
      <c r="L520" s="67"/>
      <c r="M520" s="67"/>
      <c r="N520" s="67">
        <f>H520+L520</f>
        <v>0</v>
      </c>
      <c r="O520" s="67">
        <f>10700263.03-170.8</f>
        <v>10700092.229999999</v>
      </c>
      <c r="P520" s="68"/>
      <c r="Q520" s="68"/>
      <c r="R520" s="67">
        <f>O520+P520</f>
        <v>10700092.229999999</v>
      </c>
      <c r="S520" s="68"/>
      <c r="T520" s="68"/>
      <c r="U520" s="68"/>
      <c r="V520" s="67"/>
      <c r="W520" s="67"/>
      <c r="X520" s="67">
        <f>R520+V520</f>
        <v>10700092.229999999</v>
      </c>
      <c r="Y520" s="67">
        <f>R520+H520</f>
        <v>10700092.229999999</v>
      </c>
      <c r="Z520" s="67">
        <f>D520-Y520</f>
        <v>0</v>
      </c>
      <c r="AA520" s="67">
        <f>N520+X520</f>
        <v>10700092.229999999</v>
      </c>
      <c r="AB520" s="67">
        <f>+D520-N520-X520</f>
        <v>0</v>
      </c>
    </row>
    <row r="521" spans="1:28" x14ac:dyDescent="0.25">
      <c r="A521" s="46"/>
      <c r="B521" s="26"/>
      <c r="C521" s="4"/>
      <c r="D521" s="70" t="s">
        <v>40</v>
      </c>
      <c r="E521" s="70" t="s">
        <v>40</v>
      </c>
      <c r="F521" s="70" t="s">
        <v>40</v>
      </c>
      <c r="G521" s="70"/>
      <c r="H521" s="70" t="s">
        <v>40</v>
      </c>
      <c r="I521" s="70" t="s">
        <v>40</v>
      </c>
      <c r="J521" s="70" t="s">
        <v>40</v>
      </c>
      <c r="K521" s="70" t="s">
        <v>40</v>
      </c>
      <c r="L521" s="70" t="s">
        <v>40</v>
      </c>
      <c r="M521" s="70"/>
      <c r="N521" s="70" t="s">
        <v>40</v>
      </c>
      <c r="O521" s="70" t="s">
        <v>40</v>
      </c>
      <c r="P521" s="70" t="s">
        <v>40</v>
      </c>
      <c r="Q521" s="70"/>
      <c r="R521" s="70" t="s">
        <v>40</v>
      </c>
      <c r="S521" s="70" t="s">
        <v>40</v>
      </c>
      <c r="T521" s="70" t="s">
        <v>40</v>
      </c>
      <c r="U521" s="70" t="s">
        <v>40</v>
      </c>
      <c r="V521" s="70" t="s">
        <v>40</v>
      </c>
      <c r="W521" s="70"/>
      <c r="X521" s="70" t="s">
        <v>40</v>
      </c>
      <c r="Y521" s="70" t="s">
        <v>40</v>
      </c>
      <c r="Z521" s="70" t="s">
        <v>40</v>
      </c>
      <c r="AA521" s="70" t="s">
        <v>40</v>
      </c>
      <c r="AB521" s="70" t="s">
        <v>40</v>
      </c>
    </row>
    <row r="522" spans="1:28" x14ac:dyDescent="0.25">
      <c r="A522" s="46"/>
      <c r="B522" s="26"/>
      <c r="C522" s="4"/>
      <c r="D522" s="67">
        <f t="shared" ref="D522:AB522" si="193">SUM(D516:D520)</f>
        <v>18856669.82</v>
      </c>
      <c r="E522" s="67">
        <f t="shared" si="193"/>
        <v>511867</v>
      </c>
      <c r="F522" s="67">
        <f t="shared" si="193"/>
        <v>0</v>
      </c>
      <c r="G522" s="67"/>
      <c r="H522" s="67">
        <f t="shared" si="193"/>
        <v>511867</v>
      </c>
      <c r="I522" s="67">
        <f t="shared" si="193"/>
        <v>0</v>
      </c>
      <c r="J522" s="67">
        <f t="shared" si="193"/>
        <v>0</v>
      </c>
      <c r="K522" s="67">
        <f t="shared" si="193"/>
        <v>0</v>
      </c>
      <c r="L522" s="67">
        <f t="shared" si="193"/>
        <v>0</v>
      </c>
      <c r="M522" s="67"/>
      <c r="N522" s="67">
        <f t="shared" si="193"/>
        <v>511867</v>
      </c>
      <c r="O522" s="67">
        <f t="shared" si="193"/>
        <v>15888784.819999998</v>
      </c>
      <c r="P522" s="67">
        <f t="shared" si="193"/>
        <v>0</v>
      </c>
      <c r="Q522" s="67"/>
      <c r="R522" s="67">
        <f t="shared" si="193"/>
        <v>15888784.819999998</v>
      </c>
      <c r="S522" s="67">
        <f t="shared" si="193"/>
        <v>0</v>
      </c>
      <c r="T522" s="67">
        <f t="shared" si="193"/>
        <v>0</v>
      </c>
      <c r="U522" s="67">
        <f t="shared" si="193"/>
        <v>0</v>
      </c>
      <c r="V522" s="67">
        <f t="shared" si="193"/>
        <v>0</v>
      </c>
      <c r="W522" s="67"/>
      <c r="X522" s="67">
        <f t="shared" si="193"/>
        <v>15888784.819999998</v>
      </c>
      <c r="Y522" s="67">
        <f t="shared" si="193"/>
        <v>16400651.819999998</v>
      </c>
      <c r="Z522" s="67">
        <f t="shared" si="193"/>
        <v>2456018</v>
      </c>
      <c r="AA522" s="67">
        <f t="shared" si="193"/>
        <v>16400651.819999998</v>
      </c>
      <c r="AB522" s="67">
        <f t="shared" si="193"/>
        <v>2456018</v>
      </c>
    </row>
    <row r="523" spans="1:28" x14ac:dyDescent="0.25">
      <c r="A523" s="46"/>
      <c r="B523" s="30"/>
      <c r="C523" s="4"/>
      <c r="D523" s="70" t="s">
        <v>40</v>
      </c>
      <c r="E523" s="70" t="s">
        <v>40</v>
      </c>
      <c r="F523" s="70" t="s">
        <v>40</v>
      </c>
      <c r="G523" s="70"/>
      <c r="H523" s="70" t="s">
        <v>40</v>
      </c>
      <c r="I523" s="70" t="s">
        <v>40</v>
      </c>
      <c r="J523" s="70" t="s">
        <v>40</v>
      </c>
      <c r="K523" s="70" t="s">
        <v>40</v>
      </c>
      <c r="L523" s="70" t="s">
        <v>40</v>
      </c>
      <c r="M523" s="70"/>
      <c r="N523" s="70" t="s">
        <v>40</v>
      </c>
      <c r="O523" s="70" t="s">
        <v>40</v>
      </c>
      <c r="P523" s="70" t="s">
        <v>40</v>
      </c>
      <c r="Q523" s="70"/>
      <c r="R523" s="70" t="s">
        <v>40</v>
      </c>
      <c r="S523" s="70" t="s">
        <v>40</v>
      </c>
      <c r="T523" s="70" t="s">
        <v>40</v>
      </c>
      <c r="U523" s="70" t="s">
        <v>40</v>
      </c>
      <c r="V523" s="70" t="s">
        <v>40</v>
      </c>
      <c r="W523" s="70"/>
      <c r="X523" s="70" t="s">
        <v>40</v>
      </c>
      <c r="Y523" s="70" t="s">
        <v>40</v>
      </c>
      <c r="Z523" s="70" t="s">
        <v>40</v>
      </c>
      <c r="AA523" s="70" t="s">
        <v>40</v>
      </c>
      <c r="AB523" s="70" t="s">
        <v>40</v>
      </c>
    </row>
    <row r="524" spans="1:28" x14ac:dyDescent="0.25">
      <c r="A524" s="46"/>
      <c r="B524" s="30"/>
      <c r="C524" s="4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</row>
    <row r="525" spans="1:28" x14ac:dyDescent="0.25">
      <c r="A525" s="46">
        <v>55</v>
      </c>
      <c r="B525" s="23" t="s">
        <v>89</v>
      </c>
      <c r="C525" s="2" t="s">
        <v>35</v>
      </c>
      <c r="D525" s="67">
        <v>63916485.619999997</v>
      </c>
      <c r="E525" s="67">
        <v>0</v>
      </c>
      <c r="F525" s="68"/>
      <c r="G525" s="68"/>
      <c r="H525" s="67">
        <f>E525+F525</f>
        <v>0</v>
      </c>
      <c r="I525" s="68"/>
      <c r="J525" s="68"/>
      <c r="K525" s="68"/>
      <c r="L525" s="67"/>
      <c r="M525" s="67"/>
      <c r="N525" s="67">
        <f>H525+L525</f>
        <v>0</v>
      </c>
      <c r="O525" s="67">
        <v>0</v>
      </c>
      <c r="P525" s="68"/>
      <c r="Q525" s="68"/>
      <c r="R525" s="67">
        <f>O525+P525</f>
        <v>0</v>
      </c>
      <c r="S525" s="68"/>
      <c r="T525" s="68"/>
      <c r="U525" s="68"/>
      <c r="V525" s="67"/>
      <c r="W525" s="67"/>
      <c r="X525" s="67">
        <f>R525+V525</f>
        <v>0</v>
      </c>
      <c r="Y525" s="67">
        <f>R525+H525</f>
        <v>0</v>
      </c>
      <c r="Z525" s="67">
        <f>D525-Y525</f>
        <v>63916485.619999997</v>
      </c>
      <c r="AA525" s="67">
        <f>N525+X525</f>
        <v>0</v>
      </c>
      <c r="AB525" s="67">
        <f>+D525-N525-X525</f>
        <v>63916485.619999997</v>
      </c>
    </row>
    <row r="526" spans="1:28" x14ac:dyDescent="0.25">
      <c r="A526" s="46"/>
      <c r="B526" s="26"/>
      <c r="C526" s="2" t="s">
        <v>90</v>
      </c>
      <c r="D526" s="67">
        <v>182409.37</v>
      </c>
      <c r="E526" s="67">
        <v>0</v>
      </c>
      <c r="F526" s="68"/>
      <c r="G526" s="68"/>
      <c r="H526" s="67">
        <f>E526+F526</f>
        <v>0</v>
      </c>
      <c r="I526" s="68"/>
      <c r="J526" s="68"/>
      <c r="K526" s="68"/>
      <c r="L526" s="67"/>
      <c r="M526" s="67"/>
      <c r="N526" s="67">
        <f>H526+L526</f>
        <v>0</v>
      </c>
      <c r="O526" s="67">
        <v>0</v>
      </c>
      <c r="P526" s="68"/>
      <c r="Q526" s="68"/>
      <c r="R526" s="67">
        <f>O526+P526</f>
        <v>0</v>
      </c>
      <c r="S526" s="68"/>
      <c r="T526" s="68"/>
      <c r="U526" s="68"/>
      <c r="V526" s="67"/>
      <c r="W526" s="67"/>
      <c r="X526" s="67">
        <f>R526+V526</f>
        <v>0</v>
      </c>
      <c r="Y526" s="67">
        <f>R526+H526</f>
        <v>0</v>
      </c>
      <c r="Z526" s="67">
        <f>D526-Y526</f>
        <v>182409.37</v>
      </c>
      <c r="AA526" s="67">
        <f>N526+X526</f>
        <v>0</v>
      </c>
      <c r="AB526" s="67">
        <f>+D526-N526-X526</f>
        <v>182409.37</v>
      </c>
    </row>
    <row r="527" spans="1:28" x14ac:dyDescent="0.25">
      <c r="A527" s="46"/>
      <c r="B527" s="26"/>
      <c r="C527" s="2" t="s">
        <v>38</v>
      </c>
      <c r="D527" s="67">
        <v>294634</v>
      </c>
      <c r="E527" s="67">
        <v>0</v>
      </c>
      <c r="F527" s="68"/>
      <c r="G527" s="68"/>
      <c r="H527" s="67">
        <f>E527+F527</f>
        <v>0</v>
      </c>
      <c r="I527" s="68"/>
      <c r="J527" s="68"/>
      <c r="K527" s="68"/>
      <c r="L527" s="67"/>
      <c r="M527" s="67"/>
      <c r="N527" s="67">
        <f>H527+L527</f>
        <v>0</v>
      </c>
      <c r="O527" s="67">
        <v>0</v>
      </c>
      <c r="P527" s="68"/>
      <c r="Q527" s="68"/>
      <c r="R527" s="67">
        <f>O527+P527</f>
        <v>0</v>
      </c>
      <c r="S527" s="68"/>
      <c r="T527" s="68"/>
      <c r="U527" s="68"/>
      <c r="V527" s="67"/>
      <c r="W527" s="67"/>
      <c r="X527" s="67">
        <f>R527+V527</f>
        <v>0</v>
      </c>
      <c r="Y527" s="67">
        <f>R527+H527</f>
        <v>0</v>
      </c>
      <c r="Z527" s="67">
        <f>D527-Y527</f>
        <v>294634</v>
      </c>
      <c r="AA527" s="67">
        <f>N527+X527</f>
        <v>0</v>
      </c>
      <c r="AB527" s="67">
        <f>+D527-N527-X527</f>
        <v>294634</v>
      </c>
    </row>
    <row r="528" spans="1:28" x14ac:dyDescent="0.25">
      <c r="A528" s="46"/>
      <c r="B528" s="26"/>
      <c r="C528" s="4"/>
      <c r="D528" s="70" t="s">
        <v>40</v>
      </c>
      <c r="E528" s="70" t="s">
        <v>40</v>
      </c>
      <c r="F528" s="70" t="s">
        <v>40</v>
      </c>
      <c r="G528" s="70"/>
      <c r="H528" s="70" t="s">
        <v>40</v>
      </c>
      <c r="I528" s="70" t="s">
        <v>40</v>
      </c>
      <c r="J528" s="70" t="s">
        <v>40</v>
      </c>
      <c r="K528" s="70" t="s">
        <v>40</v>
      </c>
      <c r="L528" s="70" t="s">
        <v>40</v>
      </c>
      <c r="M528" s="70"/>
      <c r="N528" s="70" t="s">
        <v>40</v>
      </c>
      <c r="O528" s="70" t="s">
        <v>40</v>
      </c>
      <c r="P528" s="70" t="s">
        <v>40</v>
      </c>
      <c r="Q528" s="70"/>
      <c r="R528" s="70" t="s">
        <v>40</v>
      </c>
      <c r="S528" s="70" t="s">
        <v>40</v>
      </c>
      <c r="T528" s="70" t="s">
        <v>40</v>
      </c>
      <c r="U528" s="70" t="s">
        <v>40</v>
      </c>
      <c r="V528" s="70" t="s">
        <v>40</v>
      </c>
      <c r="W528" s="70"/>
      <c r="X528" s="70" t="s">
        <v>40</v>
      </c>
      <c r="Y528" s="70" t="s">
        <v>40</v>
      </c>
      <c r="Z528" s="70" t="s">
        <v>40</v>
      </c>
      <c r="AA528" s="70" t="s">
        <v>40</v>
      </c>
      <c r="AB528" s="70" t="s">
        <v>40</v>
      </c>
    </row>
    <row r="529" spans="1:43" x14ac:dyDescent="0.25">
      <c r="A529" s="46"/>
      <c r="B529" s="26"/>
      <c r="C529" s="4"/>
      <c r="D529" s="67">
        <f t="shared" ref="D529:AB529" si="194">SUM(D525:D527)</f>
        <v>64393528.989999995</v>
      </c>
      <c r="E529" s="67">
        <f t="shared" si="194"/>
        <v>0</v>
      </c>
      <c r="F529" s="67">
        <f t="shared" si="194"/>
        <v>0</v>
      </c>
      <c r="G529" s="67"/>
      <c r="H529" s="67">
        <f t="shared" si="194"/>
        <v>0</v>
      </c>
      <c r="I529" s="67">
        <f t="shared" si="194"/>
        <v>0</v>
      </c>
      <c r="J529" s="67">
        <f t="shared" si="194"/>
        <v>0</v>
      </c>
      <c r="K529" s="67">
        <f t="shared" si="194"/>
        <v>0</v>
      </c>
      <c r="L529" s="67">
        <f t="shared" si="194"/>
        <v>0</v>
      </c>
      <c r="M529" s="67"/>
      <c r="N529" s="67">
        <f t="shared" si="194"/>
        <v>0</v>
      </c>
      <c r="O529" s="67">
        <f t="shared" si="194"/>
        <v>0</v>
      </c>
      <c r="P529" s="67">
        <f t="shared" si="194"/>
        <v>0</v>
      </c>
      <c r="Q529" s="67"/>
      <c r="R529" s="67">
        <f t="shared" si="194"/>
        <v>0</v>
      </c>
      <c r="S529" s="67">
        <f t="shared" si="194"/>
        <v>0</v>
      </c>
      <c r="T529" s="67">
        <f t="shared" si="194"/>
        <v>0</v>
      </c>
      <c r="U529" s="67">
        <f t="shared" si="194"/>
        <v>0</v>
      </c>
      <c r="V529" s="67">
        <f t="shared" si="194"/>
        <v>0</v>
      </c>
      <c r="W529" s="67"/>
      <c r="X529" s="67">
        <f t="shared" si="194"/>
        <v>0</v>
      </c>
      <c r="Y529" s="67">
        <f t="shared" si="194"/>
        <v>0</v>
      </c>
      <c r="Z529" s="67">
        <f t="shared" si="194"/>
        <v>64393528.989999995</v>
      </c>
      <c r="AA529" s="67">
        <f t="shared" si="194"/>
        <v>0</v>
      </c>
      <c r="AB529" s="67">
        <f t="shared" si="194"/>
        <v>64393528.989999995</v>
      </c>
    </row>
    <row r="530" spans="1:43" x14ac:dyDescent="0.25">
      <c r="A530" s="46"/>
      <c r="B530" s="26"/>
      <c r="C530" s="4"/>
      <c r="D530" s="70" t="s">
        <v>40</v>
      </c>
      <c r="E530" s="70" t="s">
        <v>40</v>
      </c>
      <c r="F530" s="70" t="s">
        <v>40</v>
      </c>
      <c r="G530" s="70"/>
      <c r="H530" s="70" t="s">
        <v>40</v>
      </c>
      <c r="I530" s="70" t="s">
        <v>40</v>
      </c>
      <c r="J530" s="70" t="s">
        <v>40</v>
      </c>
      <c r="K530" s="70" t="s">
        <v>40</v>
      </c>
      <c r="L530" s="70" t="s">
        <v>40</v>
      </c>
      <c r="M530" s="70"/>
      <c r="N530" s="70" t="s">
        <v>40</v>
      </c>
      <c r="O530" s="70" t="s">
        <v>40</v>
      </c>
      <c r="P530" s="70" t="s">
        <v>40</v>
      </c>
      <c r="Q530" s="70"/>
      <c r="R530" s="70" t="s">
        <v>40</v>
      </c>
      <c r="S530" s="70" t="s">
        <v>40</v>
      </c>
      <c r="T530" s="70" t="s">
        <v>40</v>
      </c>
      <c r="U530" s="70" t="s">
        <v>40</v>
      </c>
      <c r="V530" s="70" t="s">
        <v>40</v>
      </c>
      <c r="W530" s="70"/>
      <c r="X530" s="70" t="s">
        <v>40</v>
      </c>
      <c r="Y530" s="70" t="s">
        <v>40</v>
      </c>
      <c r="Z530" s="70" t="s">
        <v>40</v>
      </c>
      <c r="AA530" s="70" t="s">
        <v>40</v>
      </c>
      <c r="AB530" s="70" t="s">
        <v>40</v>
      </c>
    </row>
    <row r="531" spans="1:43" x14ac:dyDescent="0.25">
      <c r="A531" s="46"/>
      <c r="B531" s="26"/>
      <c r="C531" s="4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</row>
    <row r="532" spans="1:43" x14ac:dyDescent="0.25">
      <c r="A532" s="46">
        <v>56</v>
      </c>
      <c r="B532" s="23" t="s">
        <v>91</v>
      </c>
      <c r="C532" s="2" t="s">
        <v>35</v>
      </c>
      <c r="D532" s="67">
        <f>45694421.91-451236.67-8498000</f>
        <v>36745185.239999995</v>
      </c>
      <c r="E532" s="67">
        <v>0</v>
      </c>
      <c r="F532" s="68"/>
      <c r="G532" s="68"/>
      <c r="H532" s="67">
        <f>E532+F532</f>
        <v>0</v>
      </c>
      <c r="I532" s="68"/>
      <c r="J532" s="68"/>
      <c r="K532" s="68"/>
      <c r="L532" s="67"/>
      <c r="M532" s="67"/>
      <c r="N532" s="67">
        <f>H532+L532</f>
        <v>0</v>
      </c>
      <c r="O532" s="67">
        <v>1659594.23</v>
      </c>
      <c r="P532" s="67"/>
      <c r="Q532" s="67"/>
      <c r="R532" s="67">
        <f>O532+P532</f>
        <v>1659594.23</v>
      </c>
      <c r="S532" s="67"/>
      <c r="T532" s="68"/>
      <c r="U532" s="67"/>
      <c r="V532" s="67"/>
      <c r="W532" s="67"/>
      <c r="X532" s="67">
        <f>R532+V532</f>
        <v>1659594.23</v>
      </c>
      <c r="Y532" s="67">
        <f t="shared" ref="Y532:Y537" si="195">R532+H532</f>
        <v>1659594.23</v>
      </c>
      <c r="Z532" s="67">
        <f t="shared" ref="Z532:Z537" si="196">D532-Y532</f>
        <v>35085591.009999998</v>
      </c>
      <c r="AA532" s="67">
        <f t="shared" ref="AA532:AA537" si="197">N532+X532</f>
        <v>1659594.23</v>
      </c>
      <c r="AB532" s="67">
        <f t="shared" ref="AB532:AB537" si="198">+D532-N532-X532</f>
        <v>35085591.009999998</v>
      </c>
    </row>
    <row r="533" spans="1:43" x14ac:dyDescent="0.25">
      <c r="C533" s="4" t="s">
        <v>317</v>
      </c>
      <c r="D533" s="55">
        <v>8498000</v>
      </c>
      <c r="E533" s="55">
        <v>8498000</v>
      </c>
      <c r="F533" s="55"/>
      <c r="G533" s="55"/>
      <c r="H533" s="55">
        <f>+E533+F533</f>
        <v>8498000</v>
      </c>
      <c r="I533" s="55"/>
      <c r="J533" s="55"/>
      <c r="K533" s="55"/>
      <c r="L533" s="55"/>
      <c r="M533" s="55"/>
      <c r="N533" s="55">
        <f>+H533+L533</f>
        <v>8498000</v>
      </c>
      <c r="O533" s="55">
        <v>0</v>
      </c>
      <c r="P533" s="55"/>
      <c r="Q533" s="55"/>
      <c r="R533" s="55">
        <f>+O533+P533</f>
        <v>0</v>
      </c>
      <c r="S533" s="55"/>
      <c r="T533" s="55"/>
      <c r="U533" s="55"/>
      <c r="V533" s="55"/>
      <c r="W533" s="55"/>
      <c r="X533" s="55">
        <f>+R533+V533</f>
        <v>0</v>
      </c>
      <c r="Y533" s="67">
        <f t="shared" si="195"/>
        <v>8498000</v>
      </c>
      <c r="Z533" s="67">
        <f t="shared" si="196"/>
        <v>0</v>
      </c>
      <c r="AA533" s="67">
        <f t="shared" si="197"/>
        <v>8498000</v>
      </c>
      <c r="AB533" s="67">
        <f t="shared" si="198"/>
        <v>0</v>
      </c>
      <c r="AC533" s="49" t="s">
        <v>327</v>
      </c>
      <c r="AD533" s="94">
        <f>+D461</f>
        <v>8500000</v>
      </c>
      <c r="AE533" s="94">
        <f>+E461</f>
        <v>8500000</v>
      </c>
      <c r="AF533" s="94">
        <f>+F461</f>
        <v>0</v>
      </c>
      <c r="AG533" s="94">
        <f>+AE533+AF533</f>
        <v>8500000</v>
      </c>
      <c r="AH533" s="94">
        <f>+L461</f>
        <v>0</v>
      </c>
      <c r="AI533" s="94">
        <f>+AG533+AH533</f>
        <v>8500000</v>
      </c>
      <c r="AJ533" s="94">
        <f>+O461</f>
        <v>0</v>
      </c>
      <c r="AK533" s="94">
        <f>+P461</f>
        <v>0</v>
      </c>
      <c r="AL533" s="94">
        <f>+AJ533+AK533</f>
        <v>0</v>
      </c>
      <c r="AM533" s="94">
        <f>+V461</f>
        <v>0</v>
      </c>
      <c r="AN533" s="94">
        <f>+AL533+AM533</f>
        <v>0</v>
      </c>
      <c r="AO533" s="97">
        <f>+AG533+AG499</f>
        <v>8500000</v>
      </c>
      <c r="AP533" s="97">
        <f>+AH533+AH499</f>
        <v>0</v>
      </c>
      <c r="AQ533" s="94">
        <f>+AE533-AP533</f>
        <v>8500000</v>
      </c>
    </row>
    <row r="534" spans="1:43" x14ac:dyDescent="0.25">
      <c r="A534" s="46"/>
      <c r="B534" s="26"/>
      <c r="C534" s="3" t="s">
        <v>36</v>
      </c>
      <c r="D534" s="67">
        <v>2147487.5</v>
      </c>
      <c r="E534" s="67">
        <v>2147487.5</v>
      </c>
      <c r="F534" s="68"/>
      <c r="G534" s="68"/>
      <c r="H534" s="67">
        <f>E534+F534</f>
        <v>2147487.5</v>
      </c>
      <c r="I534" s="68"/>
      <c r="J534" s="68"/>
      <c r="K534" s="68"/>
      <c r="L534" s="67"/>
      <c r="M534" s="67"/>
      <c r="N534" s="67">
        <f>H534+L534</f>
        <v>2147487.5</v>
      </c>
      <c r="O534" s="67">
        <v>0</v>
      </c>
      <c r="P534" s="68"/>
      <c r="Q534" s="68"/>
      <c r="R534" s="67">
        <f>O534+P534</f>
        <v>0</v>
      </c>
      <c r="S534" s="67"/>
      <c r="T534" s="68"/>
      <c r="U534" s="67"/>
      <c r="V534" s="67"/>
      <c r="W534" s="67"/>
      <c r="X534" s="67">
        <f>R534+V534</f>
        <v>0</v>
      </c>
      <c r="Y534" s="67">
        <f t="shared" si="195"/>
        <v>2147487.5</v>
      </c>
      <c r="Z534" s="67">
        <f t="shared" si="196"/>
        <v>0</v>
      </c>
      <c r="AA534" s="67">
        <f t="shared" si="197"/>
        <v>2147487.5</v>
      </c>
      <c r="AB534" s="67">
        <f t="shared" si="198"/>
        <v>0</v>
      </c>
      <c r="AC534" s="49" t="s">
        <v>317</v>
      </c>
      <c r="AD534" s="94">
        <f>+D533</f>
        <v>8498000</v>
      </c>
      <c r="AE534" s="94">
        <f>+E533</f>
        <v>8498000</v>
      </c>
      <c r="AF534" s="94">
        <f>+F533</f>
        <v>0</v>
      </c>
      <c r="AG534" s="94">
        <f>+AE534+AF534</f>
        <v>8498000</v>
      </c>
      <c r="AH534" s="94">
        <f>+L533</f>
        <v>0</v>
      </c>
      <c r="AI534" s="94">
        <f>+AG534+AH534</f>
        <v>8498000</v>
      </c>
      <c r="AJ534" s="94">
        <f>+O533</f>
        <v>0</v>
      </c>
      <c r="AK534" s="94">
        <f>+P533</f>
        <v>0</v>
      </c>
      <c r="AL534" s="94">
        <f>+AJ534+AK534</f>
        <v>0</v>
      </c>
      <c r="AM534" s="94">
        <f>+V533</f>
        <v>0</v>
      </c>
      <c r="AN534" s="94">
        <f>+AL534+AM534</f>
        <v>0</v>
      </c>
      <c r="AO534" s="97">
        <f>+AG534+AG500</f>
        <v>8498000</v>
      </c>
      <c r="AP534" s="97">
        <f>+AH534+AH500</f>
        <v>0</v>
      </c>
      <c r="AQ534" s="94">
        <f>+AE534-AP534</f>
        <v>8498000</v>
      </c>
    </row>
    <row r="535" spans="1:43" x14ac:dyDescent="0.25">
      <c r="A535" s="4"/>
      <c r="B535" s="4"/>
      <c r="C535" s="4" t="s">
        <v>298</v>
      </c>
      <c r="D535" s="55">
        <v>2842000</v>
      </c>
      <c r="E535" s="55">
        <v>2842000</v>
      </c>
      <c r="F535" s="55"/>
      <c r="G535" s="55"/>
      <c r="H535" s="55">
        <f>+E535+F535</f>
        <v>2842000</v>
      </c>
      <c r="I535" s="55"/>
      <c r="J535" s="55"/>
      <c r="K535" s="55"/>
      <c r="L535" s="55"/>
      <c r="M535" s="55"/>
      <c r="N535" s="55">
        <f>+H535+L535</f>
        <v>2842000</v>
      </c>
      <c r="O535" s="55">
        <v>0</v>
      </c>
      <c r="P535" s="55"/>
      <c r="Q535" s="55"/>
      <c r="R535" s="55">
        <f>+O535+P535</f>
        <v>0</v>
      </c>
      <c r="S535" s="55"/>
      <c r="T535" s="55"/>
      <c r="U535" s="55"/>
      <c r="V535" s="55"/>
      <c r="W535" s="55"/>
      <c r="X535" s="55">
        <f>+R535+V535</f>
        <v>0</v>
      </c>
      <c r="Y535" s="67">
        <f t="shared" si="195"/>
        <v>2842000</v>
      </c>
      <c r="Z535" s="67">
        <f t="shared" si="196"/>
        <v>0</v>
      </c>
      <c r="AA535" s="67">
        <f t="shared" si="197"/>
        <v>2842000</v>
      </c>
      <c r="AB535" s="67">
        <f t="shared" si="198"/>
        <v>0</v>
      </c>
      <c r="AC535" s="50" t="s">
        <v>298</v>
      </c>
      <c r="AD535" s="97">
        <f>+D535+D501</f>
        <v>7642000</v>
      </c>
      <c r="AE535" s="97">
        <f>+E535+E501</f>
        <v>7642000</v>
      </c>
      <c r="AF535" s="97">
        <f>+F535+F501</f>
        <v>0</v>
      </c>
      <c r="AG535" s="97">
        <f>+AE535+AF535</f>
        <v>7642000</v>
      </c>
      <c r="AH535" s="97">
        <f>+L535+L501</f>
        <v>0</v>
      </c>
      <c r="AI535" s="97">
        <f>+AG535+AH535</f>
        <v>7642000</v>
      </c>
      <c r="AJ535" s="97">
        <f>+O535+O501</f>
        <v>0</v>
      </c>
      <c r="AK535" s="97">
        <f>+P535+P501</f>
        <v>0</v>
      </c>
      <c r="AL535" s="97">
        <f>+AJ535+AK535</f>
        <v>0</v>
      </c>
      <c r="AM535" s="97">
        <f>+V535+V501</f>
        <v>0</v>
      </c>
      <c r="AN535" s="97">
        <f>+AL535+AM535</f>
        <v>0</v>
      </c>
      <c r="AO535" s="97">
        <f>+AG535+AG501</f>
        <v>7642000</v>
      </c>
      <c r="AP535" s="94">
        <f>+AD535-AO535</f>
        <v>0</v>
      </c>
      <c r="AQ535" s="94">
        <f>+AD535-AI535-AN535</f>
        <v>0</v>
      </c>
    </row>
    <row r="536" spans="1:43" x14ac:dyDescent="0.25">
      <c r="A536" s="46"/>
      <c r="B536" s="26"/>
      <c r="C536" s="2" t="s">
        <v>92</v>
      </c>
      <c r="D536" s="67">
        <f>6699983.55+975809.21-127473.36+127473.36+451236.67</f>
        <v>8127029.4299999997</v>
      </c>
      <c r="E536" s="67">
        <v>0</v>
      </c>
      <c r="F536" s="68"/>
      <c r="G536" s="68"/>
      <c r="H536" s="67">
        <f>E536+F536</f>
        <v>0</v>
      </c>
      <c r="I536" s="68"/>
      <c r="J536" s="68"/>
      <c r="K536" s="68"/>
      <c r="L536" s="67"/>
      <c r="M536" s="67"/>
      <c r="N536" s="67">
        <f>H536+L536</f>
        <v>0</v>
      </c>
      <c r="O536" s="67">
        <f>7567260.19+559769.24</f>
        <v>8127029.4300000006</v>
      </c>
      <c r="P536" s="67"/>
      <c r="Q536" s="67"/>
      <c r="R536" s="67">
        <f>O536+P536</f>
        <v>8127029.4300000006</v>
      </c>
      <c r="S536" s="68"/>
      <c r="T536" s="68"/>
      <c r="U536" s="68"/>
      <c r="V536" s="67"/>
      <c r="W536" s="67"/>
      <c r="X536" s="67">
        <f>R536+V536</f>
        <v>8127029.4300000006</v>
      </c>
      <c r="Y536" s="67">
        <f t="shared" si="195"/>
        <v>8127029.4300000006</v>
      </c>
      <c r="Z536" s="67">
        <f t="shared" si="196"/>
        <v>0</v>
      </c>
      <c r="AA536" s="67">
        <f t="shared" si="197"/>
        <v>8127029.4300000006</v>
      </c>
      <c r="AB536" s="67">
        <f t="shared" si="198"/>
        <v>0</v>
      </c>
      <c r="AC536" s="49" t="s">
        <v>47</v>
      </c>
      <c r="AD536" s="94">
        <f>D438+D445+D451+D457+D469+D478+D489+D499+D508+D516+D525+D532+D542</f>
        <v>291935881.91000003</v>
      </c>
      <c r="AE536" s="94">
        <f>E438+E445+E451+E457+E469+E478+E489+E499+E508+E516+E525+E532+E542</f>
        <v>19738648.990000002</v>
      </c>
      <c r="AF536" s="94">
        <f>F438+F445+F451+F457+F469+F478+F489+F499+F508+F516+F525+F532+F542</f>
        <v>0</v>
      </c>
      <c r="AG536" s="94">
        <f>+AE536+AF536</f>
        <v>19738648.990000002</v>
      </c>
      <c r="AH536">
        <f>L438+L445+L451+L457+L469+L478+L489+L499+L508+L516+L525+L532+L542</f>
        <v>0</v>
      </c>
      <c r="AI536" s="94">
        <f>+AG536+AH536</f>
        <v>19738648.990000002</v>
      </c>
      <c r="AJ536" s="94">
        <f>O438+O445+O451+O457+O469+O478+O489+O499+O508+O516+O525+O532+O542</f>
        <v>53770139.019999988</v>
      </c>
      <c r="AK536">
        <f>P438+P445+P451+P457+P469+P478+P489+P499+P508+P516+P525+P532+P542</f>
        <v>0</v>
      </c>
      <c r="AL536" s="94">
        <f>+AJ536+AK536</f>
        <v>53770139.019999988</v>
      </c>
      <c r="AM536" s="94">
        <f>V438+V445+V451+V457+V469+V478+V489+V499+V508+V516+V525+V532+V542</f>
        <v>2188787.5</v>
      </c>
      <c r="AN536" s="94">
        <f>+AL536+AM536</f>
        <v>55958926.519999988</v>
      </c>
      <c r="AO536" s="94">
        <f>+AG536+AL536</f>
        <v>73508788.00999999</v>
      </c>
      <c r="AP536" s="94">
        <f>+AD536-AO536</f>
        <v>218427093.90000004</v>
      </c>
      <c r="AQ536" s="94">
        <f>+AD536-AI536-AN536</f>
        <v>216238306.40000004</v>
      </c>
    </row>
    <row r="537" spans="1:43" x14ac:dyDescent="0.25">
      <c r="A537" s="46"/>
      <c r="B537" s="26"/>
      <c r="C537" s="2" t="s">
        <v>54</v>
      </c>
      <c r="D537" s="67">
        <f>3446295.33+7166279.19+87688.51+87688.51</f>
        <v>10787951.539999999</v>
      </c>
      <c r="E537" s="67">
        <v>0</v>
      </c>
      <c r="F537" s="68"/>
      <c r="G537" s="68"/>
      <c r="H537" s="67">
        <f>E537+F537</f>
        <v>0</v>
      </c>
      <c r="I537" s="68"/>
      <c r="J537" s="68"/>
      <c r="K537" s="68"/>
      <c r="L537" s="67"/>
      <c r="M537" s="67"/>
      <c r="N537" s="67">
        <f>H537+L537</f>
        <v>0</v>
      </c>
      <c r="O537" s="67">
        <f>10700263.03+87688.51</f>
        <v>10787951.539999999</v>
      </c>
      <c r="P537" s="68"/>
      <c r="Q537" s="68"/>
      <c r="R537" s="67">
        <f>O537+P537</f>
        <v>10787951.539999999</v>
      </c>
      <c r="S537" s="68"/>
      <c r="T537" s="68"/>
      <c r="U537" s="68"/>
      <c r="V537" s="67"/>
      <c r="W537" s="67"/>
      <c r="X537" s="67">
        <f>R537+V537</f>
        <v>10787951.539999999</v>
      </c>
      <c r="Y537" s="67">
        <f t="shared" si="195"/>
        <v>10787951.539999999</v>
      </c>
      <c r="Z537" s="67">
        <f t="shared" si="196"/>
        <v>0</v>
      </c>
      <c r="AA537" s="67">
        <f t="shared" si="197"/>
        <v>10787951.539999999</v>
      </c>
      <c r="AB537" s="67">
        <f t="shared" si="198"/>
        <v>0</v>
      </c>
      <c r="AC537" s="49" t="s">
        <v>36</v>
      </c>
      <c r="AD537" s="94">
        <f>D439+D458+D470+D479+D490+D500+D509+D517+D534+D543</f>
        <v>20514715.989999998</v>
      </c>
      <c r="AE537" s="94">
        <f>E439+E458+E470+E479+E490+E500+E509+E517+E534+E543</f>
        <v>20514715.989999998</v>
      </c>
      <c r="AF537" s="94">
        <f>F439+F458+F470+F479+F490+F500+F509+F517+F534+F543</f>
        <v>0</v>
      </c>
      <c r="AG537" s="94">
        <f t="shared" ref="AG537:AG548" si="199">+AE537+AF537</f>
        <v>20514715.989999998</v>
      </c>
      <c r="AH537">
        <f>L439+L458+L470+L479+L490+L500+L509+L517+L534+L543</f>
        <v>0</v>
      </c>
      <c r="AI537" s="94">
        <f t="shared" ref="AI537:AI548" si="200">+AG537+AH537</f>
        <v>20514715.989999998</v>
      </c>
      <c r="AJ537" s="94">
        <f>O439+O458+O470+O479+O490+O500+O509+O517+O534+O543</f>
        <v>0</v>
      </c>
      <c r="AK537">
        <f>P439+P458+P470+P479+P490+P500+P509+P517+P534+P543</f>
        <v>0</v>
      </c>
      <c r="AL537" s="94">
        <f t="shared" ref="AL537:AL548" si="201">+AJ537+AK537</f>
        <v>0</v>
      </c>
      <c r="AM537" s="94">
        <f>V439+V458+V470+V479+V490+V500+V509+V517+V534+V543</f>
        <v>0</v>
      </c>
      <c r="AN537" s="94">
        <f t="shared" ref="AN537:AN548" si="202">+AL537+AM537</f>
        <v>0</v>
      </c>
      <c r="AO537" s="94">
        <f t="shared" ref="AO537:AO548" si="203">+AG537+AL537</f>
        <v>20514715.989999998</v>
      </c>
      <c r="AP537" s="94">
        <f>+AD537-AO537</f>
        <v>0</v>
      </c>
      <c r="AQ537" s="94">
        <f t="shared" ref="AQ537:AQ548" si="204">+AD537-AI537-AN537</f>
        <v>0</v>
      </c>
    </row>
    <row r="538" spans="1:43" x14ac:dyDescent="0.25">
      <c r="A538" s="46"/>
      <c r="B538" s="26"/>
      <c r="C538" s="4"/>
      <c r="D538" s="70" t="s">
        <v>40</v>
      </c>
      <c r="E538" s="70" t="s">
        <v>40</v>
      </c>
      <c r="F538" s="70" t="s">
        <v>40</v>
      </c>
      <c r="G538" s="70"/>
      <c r="H538" s="70" t="s">
        <v>40</v>
      </c>
      <c r="I538" s="70" t="s">
        <v>40</v>
      </c>
      <c r="J538" s="70" t="s">
        <v>40</v>
      </c>
      <c r="K538" s="70" t="s">
        <v>40</v>
      </c>
      <c r="L538" s="70" t="s">
        <v>40</v>
      </c>
      <c r="M538" s="70"/>
      <c r="N538" s="70" t="s">
        <v>40</v>
      </c>
      <c r="O538" s="70" t="s">
        <v>40</v>
      </c>
      <c r="P538" s="70" t="s">
        <v>40</v>
      </c>
      <c r="Q538" s="70"/>
      <c r="R538" s="70" t="s">
        <v>40</v>
      </c>
      <c r="S538" s="70" t="s">
        <v>40</v>
      </c>
      <c r="T538" s="70" t="s">
        <v>40</v>
      </c>
      <c r="U538" s="70" t="s">
        <v>40</v>
      </c>
      <c r="V538" s="70" t="s">
        <v>40</v>
      </c>
      <c r="W538" s="70"/>
      <c r="X538" s="70" t="s">
        <v>40</v>
      </c>
      <c r="Y538" s="70" t="s">
        <v>40</v>
      </c>
      <c r="Z538" s="70" t="s">
        <v>40</v>
      </c>
      <c r="AA538" s="70" t="s">
        <v>40</v>
      </c>
      <c r="AB538" s="70" t="s">
        <v>40</v>
      </c>
      <c r="AC538" s="49" t="s">
        <v>183</v>
      </c>
      <c r="AD538" s="94">
        <f>D460+D472+D481+D493+D502</f>
        <v>59085471.609999999</v>
      </c>
      <c r="AE538" s="94">
        <f>E460+E472+E481+E493+E502</f>
        <v>0</v>
      </c>
      <c r="AF538" s="94">
        <f>F460+F472+F481+F493+F502</f>
        <v>0</v>
      </c>
      <c r="AG538" s="94">
        <f t="shared" si="199"/>
        <v>0</v>
      </c>
      <c r="AH538">
        <f>L460+L472+L481+L493+L502</f>
        <v>0</v>
      </c>
      <c r="AI538" s="94">
        <f t="shared" si="200"/>
        <v>0</v>
      </c>
      <c r="AJ538" s="94">
        <f>O460+O472+O481+O493+O502</f>
        <v>240154.53</v>
      </c>
      <c r="AK538">
        <f>P460+P472+P481+P493+P502</f>
        <v>0</v>
      </c>
      <c r="AL538" s="94">
        <f t="shared" si="201"/>
        <v>240154.53</v>
      </c>
      <c r="AM538" s="94">
        <f>V460+V472+V481+V493+V502</f>
        <v>0</v>
      </c>
      <c r="AN538" s="94">
        <f t="shared" si="202"/>
        <v>240154.53</v>
      </c>
      <c r="AO538" s="94">
        <f t="shared" si="203"/>
        <v>240154.53</v>
      </c>
      <c r="AP538" s="94">
        <f t="shared" ref="AP538:AP548" si="205">+AD538-AO538</f>
        <v>58845317.079999998</v>
      </c>
      <c r="AQ538" s="94">
        <f t="shared" si="204"/>
        <v>58845317.079999998</v>
      </c>
    </row>
    <row r="539" spans="1:43" x14ac:dyDescent="0.25">
      <c r="A539" s="46"/>
      <c r="B539" s="30"/>
      <c r="C539" s="4"/>
      <c r="D539" s="67">
        <f>SUM(D532:D537)</f>
        <v>69147653.709999993</v>
      </c>
      <c r="E539" s="67">
        <f>SUM(E532:E537)</f>
        <v>13487487.5</v>
      </c>
      <c r="F539" s="67">
        <f>SUM(F532:F537)</f>
        <v>0</v>
      </c>
      <c r="G539" s="67"/>
      <c r="H539" s="67">
        <f>SUM(H532:H537)</f>
        <v>13487487.5</v>
      </c>
      <c r="I539" s="67">
        <f>SUM(I532:I537)</f>
        <v>0</v>
      </c>
      <c r="J539" s="67">
        <f>SUM(J532:J537)</f>
        <v>0</v>
      </c>
      <c r="K539" s="67">
        <f>SUM(K532:K537)</f>
        <v>0</v>
      </c>
      <c r="L539" s="67">
        <f>SUM(L532:L537)</f>
        <v>0</v>
      </c>
      <c r="M539" s="67"/>
      <c r="N539" s="67">
        <f>SUM(N532:N537)</f>
        <v>13487487.5</v>
      </c>
      <c r="O539" s="67">
        <f>SUM(O532:O537)</f>
        <v>20574575.199999999</v>
      </c>
      <c r="P539" s="67">
        <f>SUM(P532:P537)</f>
        <v>0</v>
      </c>
      <c r="Q539" s="67"/>
      <c r="R539" s="67">
        <f>SUM(R532:R537)</f>
        <v>20574575.199999999</v>
      </c>
      <c r="S539" s="67">
        <f>SUM(S532:S537)</f>
        <v>0</v>
      </c>
      <c r="T539" s="67">
        <f>SUM(T532:T537)</f>
        <v>0</v>
      </c>
      <c r="U539" s="67">
        <f>SUM(U532:U537)</f>
        <v>0</v>
      </c>
      <c r="V539" s="67">
        <f>SUM(V532:V537)</f>
        <v>0</v>
      </c>
      <c r="W539" s="67"/>
      <c r="X539" s="67">
        <f>SUM(X532:X537)</f>
        <v>20574575.199999999</v>
      </c>
      <c r="Y539" s="67">
        <f>SUM(Y532:Y537)</f>
        <v>34062062.700000003</v>
      </c>
      <c r="Z539" s="67">
        <f>SUM(Z532:Z537)</f>
        <v>35085591.009999998</v>
      </c>
      <c r="AA539" s="67">
        <f>SUM(AA532:AA537)</f>
        <v>34062062.700000003</v>
      </c>
      <c r="AB539" s="67">
        <f>SUM(AB532:AB537)</f>
        <v>35085591.009999998</v>
      </c>
      <c r="AC539" s="49" t="s">
        <v>184</v>
      </c>
      <c r="AD539" s="94">
        <f>D463+D482+D494+D503</f>
        <v>11176788.580000002</v>
      </c>
      <c r="AE539" s="94">
        <f>E463+E482+E494+E503</f>
        <v>0</v>
      </c>
      <c r="AF539" s="94">
        <f>F463+F482+F494+F503</f>
        <v>0</v>
      </c>
      <c r="AG539" s="94">
        <f t="shared" si="199"/>
        <v>0</v>
      </c>
      <c r="AH539">
        <f>L463+L482+L494+L503</f>
        <v>0</v>
      </c>
      <c r="AI539" s="94">
        <f t="shared" si="200"/>
        <v>0</v>
      </c>
      <c r="AJ539" s="94">
        <f>O463+O482+O494+O503</f>
        <v>288360.2</v>
      </c>
      <c r="AK539">
        <f>P463+P482+P494+P503</f>
        <v>0</v>
      </c>
      <c r="AL539" s="94">
        <f t="shared" si="201"/>
        <v>288360.2</v>
      </c>
      <c r="AM539" s="94">
        <f>V463+V482+V494+V503</f>
        <v>0</v>
      </c>
      <c r="AN539" s="94">
        <f t="shared" si="202"/>
        <v>288360.2</v>
      </c>
      <c r="AO539" s="94">
        <f t="shared" si="203"/>
        <v>288360.2</v>
      </c>
      <c r="AP539" s="94">
        <f t="shared" si="205"/>
        <v>10888428.380000003</v>
      </c>
      <c r="AQ539" s="94">
        <f t="shared" si="204"/>
        <v>10888428.380000003</v>
      </c>
    </row>
    <row r="540" spans="1:43" x14ac:dyDescent="0.25">
      <c r="A540" s="46"/>
      <c r="B540" s="26"/>
      <c r="C540" s="4"/>
      <c r="D540" s="70" t="s">
        <v>40</v>
      </c>
      <c r="E540" s="70" t="s">
        <v>40</v>
      </c>
      <c r="F540" s="70" t="s">
        <v>40</v>
      </c>
      <c r="G540" s="70"/>
      <c r="H540" s="70" t="s">
        <v>40</v>
      </c>
      <c r="I540" s="70" t="s">
        <v>40</v>
      </c>
      <c r="J540" s="70" t="s">
        <v>40</v>
      </c>
      <c r="K540" s="70" t="s">
        <v>40</v>
      </c>
      <c r="L540" s="70" t="s">
        <v>40</v>
      </c>
      <c r="M540" s="70"/>
      <c r="N540" s="70" t="s">
        <v>40</v>
      </c>
      <c r="O540" s="70" t="s">
        <v>40</v>
      </c>
      <c r="P540" s="70" t="s">
        <v>40</v>
      </c>
      <c r="Q540" s="70"/>
      <c r="R540" s="70" t="s">
        <v>40</v>
      </c>
      <c r="S540" s="70" t="s">
        <v>40</v>
      </c>
      <c r="T540" s="70" t="s">
        <v>40</v>
      </c>
      <c r="U540" s="70" t="s">
        <v>40</v>
      </c>
      <c r="V540" s="70" t="s">
        <v>40</v>
      </c>
      <c r="W540" s="70"/>
      <c r="X540" s="70" t="s">
        <v>40</v>
      </c>
      <c r="Y540" s="70" t="s">
        <v>40</v>
      </c>
      <c r="Z540" s="70" t="s">
        <v>40</v>
      </c>
      <c r="AA540" s="70" t="s">
        <v>40</v>
      </c>
      <c r="AB540" s="70" t="s">
        <v>40</v>
      </c>
      <c r="AC540" s="49" t="s">
        <v>38</v>
      </c>
      <c r="AD540" s="94">
        <f>D462+D519+D527</f>
        <v>2901283.7</v>
      </c>
      <c r="AE540" s="94">
        <f>E462+E519+E527</f>
        <v>0</v>
      </c>
      <c r="AF540" s="94">
        <f>F462+F519+F527</f>
        <v>0</v>
      </c>
      <c r="AG540" s="94">
        <f t="shared" si="199"/>
        <v>0</v>
      </c>
      <c r="AH540">
        <f>L462+L519+L527</f>
        <v>0</v>
      </c>
      <c r="AI540" s="94">
        <f t="shared" si="200"/>
        <v>0</v>
      </c>
      <c r="AJ540" s="94">
        <f>O462+O519+O527</f>
        <v>0</v>
      </c>
      <c r="AK540">
        <f>P462+P519+P527</f>
        <v>0</v>
      </c>
      <c r="AL540" s="94">
        <f t="shared" si="201"/>
        <v>0</v>
      </c>
      <c r="AM540" s="94">
        <f>V462+V519+V527</f>
        <v>0</v>
      </c>
      <c r="AN540" s="94">
        <f t="shared" si="202"/>
        <v>0</v>
      </c>
      <c r="AO540" s="94">
        <f t="shared" si="203"/>
        <v>0</v>
      </c>
      <c r="AP540" s="94">
        <f t="shared" si="205"/>
        <v>2901283.7</v>
      </c>
      <c r="AQ540" s="94">
        <f t="shared" si="204"/>
        <v>2901283.7</v>
      </c>
    </row>
    <row r="541" spans="1:43" x14ac:dyDescent="0.25">
      <c r="A541" s="46"/>
      <c r="B541" s="26"/>
      <c r="C541" s="4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49" t="s">
        <v>262</v>
      </c>
      <c r="AD541" s="94">
        <f>D452+D471+D480+D491</f>
        <v>73921586</v>
      </c>
      <c r="AE541" s="94">
        <f>E452+E471+E480+E491</f>
        <v>73921586</v>
      </c>
      <c r="AF541" s="94">
        <f>F452+F471+F480+F491</f>
        <v>0</v>
      </c>
      <c r="AG541" s="94">
        <f t="shared" si="199"/>
        <v>73921586</v>
      </c>
      <c r="AH541">
        <f>L452+L471+L480+L491</f>
        <v>0</v>
      </c>
      <c r="AI541" s="94">
        <f t="shared" si="200"/>
        <v>73921586</v>
      </c>
      <c r="AJ541" s="94">
        <f>O452+O471+O480+O491</f>
        <v>0</v>
      </c>
      <c r="AK541">
        <f>P452+P471+P480+P491</f>
        <v>0</v>
      </c>
      <c r="AL541" s="94">
        <f t="shared" si="201"/>
        <v>0</v>
      </c>
      <c r="AM541" s="94">
        <f>V452+V471+V480+V491</f>
        <v>0</v>
      </c>
      <c r="AN541" s="94">
        <f t="shared" si="202"/>
        <v>0</v>
      </c>
      <c r="AO541" s="94">
        <f t="shared" si="203"/>
        <v>73921586</v>
      </c>
      <c r="AP541" s="94">
        <f t="shared" si="205"/>
        <v>0</v>
      </c>
      <c r="AQ541" s="94">
        <f t="shared" si="204"/>
        <v>0</v>
      </c>
    </row>
    <row r="542" spans="1:43" x14ac:dyDescent="0.25">
      <c r="A542" s="46">
        <v>57</v>
      </c>
      <c r="B542" s="23" t="s">
        <v>93</v>
      </c>
      <c r="C542" s="2" t="s">
        <v>35</v>
      </c>
      <c r="D542" s="67">
        <v>1276340.48</v>
      </c>
      <c r="E542" s="67">
        <v>0</v>
      </c>
      <c r="F542" s="68"/>
      <c r="G542" s="68"/>
      <c r="H542" s="67">
        <f>E542+F542</f>
        <v>0</v>
      </c>
      <c r="I542" s="68"/>
      <c r="J542" s="68"/>
      <c r="K542" s="68"/>
      <c r="L542" s="67"/>
      <c r="M542" s="67"/>
      <c r="N542" s="67">
        <f>H542+L542</f>
        <v>0</v>
      </c>
      <c r="O542" s="67">
        <v>0</v>
      </c>
      <c r="P542" s="68"/>
      <c r="Q542" s="68"/>
      <c r="R542" s="67">
        <f>O542+P542</f>
        <v>0</v>
      </c>
      <c r="S542" s="68"/>
      <c r="T542" s="68"/>
      <c r="U542" s="68"/>
      <c r="V542" s="67"/>
      <c r="W542" s="67"/>
      <c r="X542" s="67">
        <f>R542+V542</f>
        <v>0</v>
      </c>
      <c r="Y542" s="67">
        <f>R542+H542</f>
        <v>0</v>
      </c>
      <c r="Z542" s="67">
        <f>D542-Y542</f>
        <v>1276340.48</v>
      </c>
      <c r="AA542" s="67">
        <f>N542+X542</f>
        <v>0</v>
      </c>
      <c r="AB542" s="67">
        <f>+D542-N542-X542</f>
        <v>1276340.48</v>
      </c>
      <c r="AC542" s="49" t="s">
        <v>263</v>
      </c>
      <c r="AD542" s="94">
        <f>+D440</f>
        <v>8523000</v>
      </c>
      <c r="AE542" s="94">
        <f>+E440</f>
        <v>8523000</v>
      </c>
      <c r="AF542" s="94">
        <f>+F440</f>
        <v>0</v>
      </c>
      <c r="AG542" s="94">
        <f t="shared" si="199"/>
        <v>8523000</v>
      </c>
      <c r="AH542">
        <f>+L440</f>
        <v>0</v>
      </c>
      <c r="AI542" s="94">
        <f t="shared" si="200"/>
        <v>8523000</v>
      </c>
      <c r="AJ542" s="94">
        <f>+O440</f>
        <v>0</v>
      </c>
      <c r="AK542">
        <f>+P440</f>
        <v>0</v>
      </c>
      <c r="AL542" s="94">
        <f t="shared" si="201"/>
        <v>0</v>
      </c>
      <c r="AM542" s="94">
        <f>+V440</f>
        <v>0</v>
      </c>
      <c r="AN542" s="94">
        <f t="shared" si="202"/>
        <v>0</v>
      </c>
      <c r="AO542" s="94">
        <f t="shared" si="203"/>
        <v>8523000</v>
      </c>
      <c r="AP542" s="94">
        <f t="shared" si="205"/>
        <v>0</v>
      </c>
      <c r="AQ542" s="94">
        <f t="shared" si="204"/>
        <v>0</v>
      </c>
    </row>
    <row r="543" spans="1:43" x14ac:dyDescent="0.25">
      <c r="A543" s="46"/>
      <c r="B543" s="26"/>
      <c r="C543" s="3" t="s">
        <v>36</v>
      </c>
      <c r="D543" s="67">
        <f>114882+1166113.52</f>
        <v>1280995.52</v>
      </c>
      <c r="E543" s="67">
        <v>1280995.52</v>
      </c>
      <c r="F543" s="68"/>
      <c r="G543" s="68"/>
      <c r="H543" s="67">
        <f>E543+F543</f>
        <v>1280995.52</v>
      </c>
      <c r="I543" s="68"/>
      <c r="J543" s="68"/>
      <c r="K543" s="68"/>
      <c r="L543" s="67"/>
      <c r="M543" s="67"/>
      <c r="N543" s="67">
        <f>H543+L543</f>
        <v>1280995.52</v>
      </c>
      <c r="O543" s="67">
        <v>0</v>
      </c>
      <c r="P543" s="68"/>
      <c r="Q543" s="68"/>
      <c r="R543" s="67">
        <f>O543+P543</f>
        <v>0</v>
      </c>
      <c r="S543" s="68"/>
      <c r="T543" s="68"/>
      <c r="U543" s="68"/>
      <c r="V543" s="67"/>
      <c r="W543" s="67"/>
      <c r="X543" s="67">
        <f>R543+V543</f>
        <v>0</v>
      </c>
      <c r="Y543" s="67">
        <f>R543+H543</f>
        <v>1280995.52</v>
      </c>
      <c r="Z543" s="67">
        <f>D543-Y543</f>
        <v>0</v>
      </c>
      <c r="AA543" s="67">
        <f>N543+X543</f>
        <v>1280995.52</v>
      </c>
      <c r="AB543" s="67">
        <f>+D543-N543-X543</f>
        <v>0</v>
      </c>
      <c r="AC543" s="49" t="s">
        <v>65</v>
      </c>
      <c r="AD543" s="94">
        <f>D446+D492</f>
        <v>41640600.350000001</v>
      </c>
      <c r="AE543" s="94">
        <f>E446+E492</f>
        <v>41640600.350000001</v>
      </c>
      <c r="AF543" s="94">
        <f>F446+F492</f>
        <v>0</v>
      </c>
      <c r="AG543" s="94">
        <f t="shared" si="199"/>
        <v>41640600.350000001</v>
      </c>
      <c r="AH543">
        <f>L446+L492</f>
        <v>0</v>
      </c>
      <c r="AI543" s="94">
        <f t="shared" si="200"/>
        <v>41640600.350000001</v>
      </c>
      <c r="AJ543" s="94">
        <f>O446+O492</f>
        <v>0</v>
      </c>
      <c r="AK543">
        <f>P446+P492</f>
        <v>0</v>
      </c>
      <c r="AL543" s="94">
        <f t="shared" si="201"/>
        <v>0</v>
      </c>
      <c r="AM543" s="94">
        <f>V446+V492</f>
        <v>0</v>
      </c>
      <c r="AN543" s="94">
        <f t="shared" si="202"/>
        <v>0</v>
      </c>
      <c r="AO543" s="94">
        <f t="shared" si="203"/>
        <v>41640600.350000001</v>
      </c>
      <c r="AP543" s="94">
        <f t="shared" si="205"/>
        <v>0</v>
      </c>
      <c r="AQ543" s="94">
        <f t="shared" si="204"/>
        <v>0</v>
      </c>
    </row>
    <row r="544" spans="1:43" x14ac:dyDescent="0.25">
      <c r="A544" s="46"/>
      <c r="B544" s="26"/>
      <c r="C544" s="2" t="s">
        <v>76</v>
      </c>
      <c r="D544" s="67">
        <v>2679521.69</v>
      </c>
      <c r="E544" s="67">
        <v>0</v>
      </c>
      <c r="F544" s="68"/>
      <c r="G544" s="68"/>
      <c r="H544" s="67">
        <f>E544+F544</f>
        <v>0</v>
      </c>
      <c r="I544" s="68"/>
      <c r="J544" s="68"/>
      <c r="K544" s="68"/>
      <c r="L544" s="67"/>
      <c r="M544" s="67"/>
      <c r="N544" s="67">
        <f>H544+L544</f>
        <v>0</v>
      </c>
      <c r="O544" s="67">
        <v>0</v>
      </c>
      <c r="P544" s="68"/>
      <c r="Q544" s="68"/>
      <c r="R544" s="67">
        <f>O544+P544</f>
        <v>0</v>
      </c>
      <c r="S544" s="67">
        <f>31310-31310</f>
        <v>0</v>
      </c>
      <c r="T544" s="68"/>
      <c r="U544" s="68"/>
      <c r="V544" s="67"/>
      <c r="W544" s="67"/>
      <c r="X544" s="67">
        <f>R544+V544</f>
        <v>0</v>
      </c>
      <c r="Y544" s="67">
        <f>R544+H544</f>
        <v>0</v>
      </c>
      <c r="Z544" s="67">
        <f>D544-Y544</f>
        <v>2679521.69</v>
      </c>
      <c r="AA544" s="67">
        <f>N544+X544</f>
        <v>0</v>
      </c>
      <c r="AB544" s="67">
        <f>+D544-N544-X544</f>
        <v>2679521.69</v>
      </c>
      <c r="AC544" s="49" t="s">
        <v>268</v>
      </c>
      <c r="AD544" s="94">
        <f>+D526</f>
        <v>182409.37</v>
      </c>
      <c r="AE544" s="94">
        <f>+E526</f>
        <v>0</v>
      </c>
      <c r="AF544" s="94">
        <f>+F526</f>
        <v>0</v>
      </c>
      <c r="AG544" s="94">
        <f t="shared" si="199"/>
        <v>0</v>
      </c>
      <c r="AH544">
        <f>+L526</f>
        <v>0</v>
      </c>
      <c r="AI544" s="94">
        <f t="shared" si="200"/>
        <v>0</v>
      </c>
      <c r="AJ544" s="94">
        <f>+O526</f>
        <v>0</v>
      </c>
      <c r="AK544">
        <f>+P526</f>
        <v>0</v>
      </c>
      <c r="AL544" s="94">
        <f t="shared" si="201"/>
        <v>0</v>
      </c>
      <c r="AM544" s="94">
        <f>+V526</f>
        <v>0</v>
      </c>
      <c r="AN544" s="94">
        <f t="shared" si="202"/>
        <v>0</v>
      </c>
      <c r="AO544" s="94">
        <f t="shared" si="203"/>
        <v>0</v>
      </c>
      <c r="AP544" s="94">
        <f t="shared" si="205"/>
        <v>182409.37</v>
      </c>
      <c r="AQ544" s="94">
        <f t="shared" si="204"/>
        <v>182409.37</v>
      </c>
    </row>
    <row r="545" spans="1:43" x14ac:dyDescent="0.25">
      <c r="A545" s="46"/>
      <c r="B545" s="26"/>
      <c r="C545" s="4"/>
      <c r="D545" s="70" t="s">
        <v>40</v>
      </c>
      <c r="E545" s="70" t="s">
        <v>40</v>
      </c>
      <c r="F545" s="70" t="s">
        <v>40</v>
      </c>
      <c r="G545" s="70"/>
      <c r="H545" s="70" t="s">
        <v>40</v>
      </c>
      <c r="I545" s="70" t="s">
        <v>40</v>
      </c>
      <c r="J545" s="70" t="s">
        <v>40</v>
      </c>
      <c r="K545" s="70" t="s">
        <v>40</v>
      </c>
      <c r="L545" s="70" t="s">
        <v>40</v>
      </c>
      <c r="M545" s="70"/>
      <c r="N545" s="70" t="s">
        <v>40</v>
      </c>
      <c r="O545" s="70" t="s">
        <v>40</v>
      </c>
      <c r="P545" s="70" t="s">
        <v>40</v>
      </c>
      <c r="Q545" s="70"/>
      <c r="R545" s="70" t="s">
        <v>40</v>
      </c>
      <c r="S545" s="70" t="s">
        <v>40</v>
      </c>
      <c r="T545" s="70" t="s">
        <v>40</v>
      </c>
      <c r="U545" s="70" t="s">
        <v>40</v>
      </c>
      <c r="V545" s="70" t="s">
        <v>40</v>
      </c>
      <c r="W545" s="70"/>
      <c r="X545" s="70" t="s">
        <v>40</v>
      </c>
      <c r="Y545" s="70" t="s">
        <v>40</v>
      </c>
      <c r="Z545" s="70" t="s">
        <v>40</v>
      </c>
      <c r="AA545" s="70" t="s">
        <v>40</v>
      </c>
      <c r="AB545" s="70" t="s">
        <v>40</v>
      </c>
      <c r="AC545" s="49" t="s">
        <v>267</v>
      </c>
      <c r="AD545" s="94">
        <f>+D473</f>
        <v>10000000</v>
      </c>
      <c r="AE545" s="94">
        <f>+E473</f>
        <v>5843730.0300000003</v>
      </c>
      <c r="AF545" s="94">
        <f>+F473</f>
        <v>0</v>
      </c>
      <c r="AG545" s="94">
        <f t="shared" si="199"/>
        <v>5843730.0300000003</v>
      </c>
      <c r="AH545">
        <f>+L473</f>
        <v>0</v>
      </c>
      <c r="AI545" s="94">
        <f t="shared" si="200"/>
        <v>5843730.0300000003</v>
      </c>
      <c r="AJ545" s="94">
        <f>+O473</f>
        <v>835222.3</v>
      </c>
      <c r="AK545">
        <f>+P473</f>
        <v>0</v>
      </c>
      <c r="AL545" s="94">
        <f t="shared" si="201"/>
        <v>835222.3</v>
      </c>
      <c r="AM545" s="94">
        <f>+V473</f>
        <v>0</v>
      </c>
      <c r="AN545" s="94">
        <f t="shared" si="202"/>
        <v>835222.3</v>
      </c>
      <c r="AO545" s="94">
        <f t="shared" si="203"/>
        <v>6678952.3300000001</v>
      </c>
      <c r="AP545" s="94">
        <f t="shared" si="205"/>
        <v>3321047.67</v>
      </c>
      <c r="AQ545" s="94">
        <f t="shared" si="204"/>
        <v>3321047.67</v>
      </c>
    </row>
    <row r="546" spans="1:43" x14ac:dyDescent="0.25">
      <c r="A546" s="46"/>
      <c r="B546" s="26"/>
      <c r="C546" s="4"/>
      <c r="D546" s="67">
        <f t="shared" ref="D546:AB546" si="206">SUM(D542:D544)</f>
        <v>5236857.6899999995</v>
      </c>
      <c r="E546" s="67">
        <f t="shared" si="206"/>
        <v>1280995.52</v>
      </c>
      <c r="F546" s="67">
        <f t="shared" si="206"/>
        <v>0</v>
      </c>
      <c r="G546" s="67"/>
      <c r="H546" s="67">
        <f t="shared" si="206"/>
        <v>1280995.52</v>
      </c>
      <c r="I546" s="67">
        <f t="shared" si="206"/>
        <v>0</v>
      </c>
      <c r="J546" s="67">
        <f t="shared" si="206"/>
        <v>0</v>
      </c>
      <c r="K546" s="67">
        <f t="shared" si="206"/>
        <v>0</v>
      </c>
      <c r="L546" s="67">
        <f t="shared" si="206"/>
        <v>0</v>
      </c>
      <c r="M546" s="67"/>
      <c r="N546" s="67">
        <f t="shared" si="206"/>
        <v>1280995.52</v>
      </c>
      <c r="O546" s="67">
        <f t="shared" si="206"/>
        <v>0</v>
      </c>
      <c r="P546" s="67">
        <f t="shared" si="206"/>
        <v>0</v>
      </c>
      <c r="Q546" s="67"/>
      <c r="R546" s="67">
        <f t="shared" si="206"/>
        <v>0</v>
      </c>
      <c r="S546" s="67">
        <f t="shared" si="206"/>
        <v>0</v>
      </c>
      <c r="T546" s="67">
        <f t="shared" si="206"/>
        <v>0</v>
      </c>
      <c r="U546" s="67">
        <f t="shared" si="206"/>
        <v>0</v>
      </c>
      <c r="V546" s="67">
        <f t="shared" si="206"/>
        <v>0</v>
      </c>
      <c r="W546" s="67"/>
      <c r="X546" s="67">
        <f t="shared" si="206"/>
        <v>0</v>
      </c>
      <c r="Y546" s="67">
        <f t="shared" si="206"/>
        <v>1280995.52</v>
      </c>
      <c r="Z546" s="67">
        <f t="shared" si="206"/>
        <v>3955862.17</v>
      </c>
      <c r="AA546" s="67">
        <f t="shared" si="206"/>
        <v>1280995.52</v>
      </c>
      <c r="AB546" s="67">
        <f t="shared" si="206"/>
        <v>3955862.17</v>
      </c>
      <c r="AC546" s="49" t="s">
        <v>53</v>
      </c>
      <c r="AD546" s="94">
        <f>D510+D518+D536</f>
        <v>58362308.860000007</v>
      </c>
      <c r="AE546" s="94">
        <f>E510+E518+E536</f>
        <v>0</v>
      </c>
      <c r="AF546" s="94">
        <f>F510+F518+F536</f>
        <v>0</v>
      </c>
      <c r="AG546" s="94">
        <f t="shared" si="199"/>
        <v>0</v>
      </c>
      <c r="AH546">
        <f>L510+L518+L536</f>
        <v>0</v>
      </c>
      <c r="AI546" s="94">
        <f t="shared" si="200"/>
        <v>0</v>
      </c>
      <c r="AJ546" s="94">
        <f>O510+O518+O536</f>
        <v>20327144.710000001</v>
      </c>
      <c r="AK546">
        <f>P510+P518+P536</f>
        <v>0</v>
      </c>
      <c r="AL546" s="94">
        <f t="shared" si="201"/>
        <v>20327144.710000001</v>
      </c>
      <c r="AM546" s="94">
        <f>V510+V518+V536</f>
        <v>271320</v>
      </c>
      <c r="AN546" s="94">
        <f t="shared" si="202"/>
        <v>20598464.710000001</v>
      </c>
      <c r="AO546" s="94">
        <f t="shared" si="203"/>
        <v>20327144.710000001</v>
      </c>
      <c r="AP546" s="94">
        <f t="shared" si="205"/>
        <v>38035164.150000006</v>
      </c>
      <c r="AQ546" s="94">
        <f t="shared" si="204"/>
        <v>37763844.150000006</v>
      </c>
    </row>
    <row r="547" spans="1:43" x14ac:dyDescent="0.25">
      <c r="A547" s="46"/>
      <c r="B547" s="26"/>
      <c r="C547" s="4"/>
      <c r="D547" s="70" t="s">
        <v>40</v>
      </c>
      <c r="E547" s="70" t="s">
        <v>40</v>
      </c>
      <c r="F547" s="70" t="s">
        <v>40</v>
      </c>
      <c r="G547" s="70"/>
      <c r="H547" s="70" t="s">
        <v>40</v>
      </c>
      <c r="I547" s="70" t="s">
        <v>40</v>
      </c>
      <c r="J547" s="70" t="s">
        <v>40</v>
      </c>
      <c r="K547" s="70" t="s">
        <v>40</v>
      </c>
      <c r="L547" s="70" t="s">
        <v>40</v>
      </c>
      <c r="M547" s="70"/>
      <c r="N547" s="70" t="s">
        <v>40</v>
      </c>
      <c r="O547" s="70" t="s">
        <v>40</v>
      </c>
      <c r="P547" s="70" t="s">
        <v>40</v>
      </c>
      <c r="Q547" s="70"/>
      <c r="R547" s="70" t="s">
        <v>40</v>
      </c>
      <c r="S547" s="70" t="s">
        <v>40</v>
      </c>
      <c r="T547" s="70" t="s">
        <v>40</v>
      </c>
      <c r="U547" s="70" t="s">
        <v>40</v>
      </c>
      <c r="V547" s="70" t="s">
        <v>40</v>
      </c>
      <c r="W547" s="70"/>
      <c r="X547" s="70" t="s">
        <v>40</v>
      </c>
      <c r="Y547" s="70" t="s">
        <v>40</v>
      </c>
      <c r="Z547" s="70" t="s">
        <v>40</v>
      </c>
      <c r="AA547" s="70" t="s">
        <v>40</v>
      </c>
      <c r="AB547" s="70" t="s">
        <v>40</v>
      </c>
      <c r="AC547" s="49" t="s">
        <v>54</v>
      </c>
      <c r="AD547" s="94">
        <f>D511+D520+D537</f>
        <v>37792203.060000002</v>
      </c>
      <c r="AE547" s="94">
        <f>E511+E520+E537</f>
        <v>0</v>
      </c>
      <c r="AF547" s="94">
        <f>F511+F520+F537</f>
        <v>0</v>
      </c>
      <c r="AG547" s="94">
        <f t="shared" si="199"/>
        <v>0</v>
      </c>
      <c r="AH547">
        <f>L511+L520+L537</f>
        <v>0</v>
      </c>
      <c r="AI547" s="94">
        <f t="shared" si="200"/>
        <v>0</v>
      </c>
      <c r="AJ547" s="94">
        <f>O511+O520+O537</f>
        <v>37792203.059999995</v>
      </c>
      <c r="AK547">
        <f>P511+P520+P537</f>
        <v>0</v>
      </c>
      <c r="AL547" s="94">
        <f t="shared" si="201"/>
        <v>37792203.059999995</v>
      </c>
      <c r="AM547" s="94">
        <f>V511+V520+V537</f>
        <v>0</v>
      </c>
      <c r="AN547" s="94">
        <f t="shared" si="202"/>
        <v>37792203.059999995</v>
      </c>
      <c r="AO547" s="94">
        <f t="shared" si="203"/>
        <v>37792203.059999995</v>
      </c>
      <c r="AP547" s="94">
        <f t="shared" si="205"/>
        <v>0</v>
      </c>
      <c r="AQ547" s="94">
        <f t="shared" si="204"/>
        <v>0</v>
      </c>
    </row>
    <row r="548" spans="1:43" x14ac:dyDescent="0.25">
      <c r="A548" s="46"/>
      <c r="B548" s="26"/>
      <c r="C548" s="2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49" t="s">
        <v>264</v>
      </c>
      <c r="AD548" s="94">
        <f>D459+D544</f>
        <v>4374889.99</v>
      </c>
      <c r="AE548" s="94">
        <f>E459+E544</f>
        <v>0</v>
      </c>
      <c r="AF548" s="94">
        <f>F459+F544</f>
        <v>0</v>
      </c>
      <c r="AG548" s="94">
        <f t="shared" si="199"/>
        <v>0</v>
      </c>
      <c r="AH548">
        <f>L459+L544</f>
        <v>0</v>
      </c>
      <c r="AI548" s="94">
        <f t="shared" si="200"/>
        <v>0</v>
      </c>
      <c r="AJ548" s="94">
        <f>O459+O544</f>
        <v>0</v>
      </c>
      <c r="AK548">
        <f>P459+P544</f>
        <v>0</v>
      </c>
      <c r="AL548" s="94">
        <f t="shared" si="201"/>
        <v>0</v>
      </c>
      <c r="AM548" s="94">
        <f>V459+V544</f>
        <v>0</v>
      </c>
      <c r="AN548" s="94">
        <f t="shared" si="202"/>
        <v>0</v>
      </c>
      <c r="AO548" s="94">
        <f t="shared" si="203"/>
        <v>0</v>
      </c>
      <c r="AP548" s="94">
        <f t="shared" si="205"/>
        <v>4374889.99</v>
      </c>
      <c r="AQ548" s="94">
        <f t="shared" si="204"/>
        <v>4374889.99</v>
      </c>
    </row>
    <row r="549" spans="1:43" x14ac:dyDescent="0.25">
      <c r="A549" s="46"/>
      <c r="B549" s="37" t="s">
        <v>26</v>
      </c>
      <c r="C549" s="2" t="s">
        <v>77</v>
      </c>
      <c r="D549" s="67">
        <f>D546+D539+D529+D522+D513+D505+D496+D484+D475+D465+D454+D448+D442</f>
        <v>645051139.41999996</v>
      </c>
      <c r="E549" s="67">
        <f>E546+E539+E529+E522+E513+E505+E496+E484+E475+E465+E454+E448+E442</f>
        <v>194822281.36000001</v>
      </c>
      <c r="F549" s="67">
        <f>F546+F539+F529+F522+F513+F505+F496+F484+F475+F465+F454+F448+F442</f>
        <v>0</v>
      </c>
      <c r="G549" s="67"/>
      <c r="H549" s="67">
        <f>H546+H539+H529+H522+H513+H505+H496+H484+H475+H465+H454+H448+H442</f>
        <v>194822281.36000001</v>
      </c>
      <c r="I549" s="67">
        <f>I546+I539+I529+I522+I513+I505+I496+I484+I475+I465+I454+I448+I442</f>
        <v>0</v>
      </c>
      <c r="J549" s="67">
        <f>J546+J539+J529+J522+J513+J505+J496+J484+J475+J465+J454+J448+J442</f>
        <v>0</v>
      </c>
      <c r="K549" s="67">
        <f>K546+K539+K529+K522+K513+K505+K496+K484+K475+K465+K454+K448+K442</f>
        <v>0</v>
      </c>
      <c r="L549" s="67">
        <f>L546+L539+L529+L522+L513+L505+L496+L484+L475+L465+L454+L448+L442</f>
        <v>0</v>
      </c>
      <c r="M549" s="67"/>
      <c r="N549" s="67">
        <f>N546+N539+N529+N522+N513+N505+N496+N484+N475+N465+N454+N448+N442</f>
        <v>194822281.36000001</v>
      </c>
      <c r="O549" s="67">
        <f>O546+O539+O529+O522+O513+O505+O496+O484+O475+O465+O454+O448+O442</f>
        <v>113253223.81999999</v>
      </c>
      <c r="P549" s="67">
        <f>P546+P539+P529+P522+P513+P505+P496+P484+P475+P465+P454+P448+P442</f>
        <v>0</v>
      </c>
      <c r="Q549" s="67"/>
      <c r="R549" s="67">
        <f>R546+R539+R529+R522+R513+R505+R496+R484+R475+R465+R454+R448+R442</f>
        <v>113253223.81999999</v>
      </c>
      <c r="S549" s="67">
        <f>S546+S539+S529+S522+S513+S505+S496+S484+S475+S465+S454+S448+S442</f>
        <v>52403326.670000002</v>
      </c>
      <c r="T549" s="67">
        <f>T546+T539+T529+T522+T513+T505+T496+T484+T475+T465+T454+T448+T442</f>
        <v>14686540.129999999</v>
      </c>
      <c r="U549" s="67">
        <f>U546+U539+U529+U522+U513+U505+U496+U484+U475+U465+U454+U448+U442</f>
        <v>0</v>
      </c>
      <c r="V549" s="67">
        <f>V546+V539+V529+V522+V513+V505+V496+V484+V475+V465+V454+V448+V442</f>
        <v>2460107.5</v>
      </c>
      <c r="W549" s="67"/>
      <c r="X549" s="67">
        <f>X546+X539+X529+X522+X513+X505+X496+X484+X475+X465+X454+X448+X442</f>
        <v>115713331.31999999</v>
      </c>
      <c r="Y549" s="67">
        <f>Y546+Y539+Y529+Y522+Y513+Y505+Y496+Y484+Y475+Y465+Y454+Y448+Y442</f>
        <v>308075505.18000001</v>
      </c>
      <c r="Z549" s="67">
        <f>Z546+Z539+Z529+Z522+Z513+Z505+Z496+Z484+Z475+Z465+Z454+Z448+Z442</f>
        <v>336975634.24000001</v>
      </c>
      <c r="AA549" s="67">
        <f>AA546+AA539+AA529+AA522+AA513+AA505+AA496+AA484+AA475+AA465+AA454+AA448+AA442</f>
        <v>310535612.68000001</v>
      </c>
      <c r="AB549" s="67">
        <f>AB546+AB539+AB529+AB522+AB513+AB505+AB496+AB484+AB475+AB465+AB454+AB448+AB442</f>
        <v>334515526.74000001</v>
      </c>
      <c r="AD549" s="95">
        <f>SUM(AD533:AD548)</f>
        <v>645051139.42000008</v>
      </c>
      <c r="AE549" s="95">
        <f t="shared" ref="AE549:AQ549" si="207">SUM(AE533:AE548)</f>
        <v>194822281.36000001</v>
      </c>
      <c r="AF549" s="95">
        <f t="shared" si="207"/>
        <v>0</v>
      </c>
      <c r="AG549" s="95">
        <f t="shared" si="207"/>
        <v>194822281.36000001</v>
      </c>
      <c r="AH549" s="95">
        <f t="shared" si="207"/>
        <v>0</v>
      </c>
      <c r="AI549" s="95">
        <f t="shared" si="207"/>
        <v>194822281.36000001</v>
      </c>
      <c r="AJ549" s="95">
        <f t="shared" si="207"/>
        <v>113253223.81999999</v>
      </c>
      <c r="AK549" s="95">
        <f t="shared" si="207"/>
        <v>0</v>
      </c>
      <c r="AL549" s="95">
        <f t="shared" si="207"/>
        <v>113253223.81999999</v>
      </c>
      <c r="AM549" s="95">
        <f t="shared" si="207"/>
        <v>2460107.5</v>
      </c>
      <c r="AN549" s="95">
        <f t="shared" si="207"/>
        <v>115713331.31999999</v>
      </c>
      <c r="AO549" s="95">
        <f t="shared" si="207"/>
        <v>308075505.18000001</v>
      </c>
      <c r="AP549" s="95">
        <f t="shared" si="207"/>
        <v>336975634.24000001</v>
      </c>
      <c r="AQ549" s="95">
        <f t="shared" si="207"/>
        <v>351513526.74000001</v>
      </c>
    </row>
    <row r="550" spans="1:43" x14ac:dyDescent="0.25">
      <c r="A550" s="46"/>
      <c r="B550" s="26"/>
      <c r="C550" s="4"/>
      <c r="D550" s="70" t="s">
        <v>50</v>
      </c>
      <c r="E550" s="70" t="s">
        <v>50</v>
      </c>
      <c r="F550" s="70" t="s">
        <v>50</v>
      </c>
      <c r="G550" s="70"/>
      <c r="H550" s="70" t="s">
        <v>50</v>
      </c>
      <c r="I550" s="70" t="s">
        <v>50</v>
      </c>
      <c r="J550" s="70" t="s">
        <v>50</v>
      </c>
      <c r="K550" s="70" t="s">
        <v>50</v>
      </c>
      <c r="L550" s="70" t="s">
        <v>50</v>
      </c>
      <c r="M550" s="70"/>
      <c r="N550" s="70" t="s">
        <v>50</v>
      </c>
      <c r="O550" s="70" t="s">
        <v>50</v>
      </c>
      <c r="P550" s="70" t="s">
        <v>50</v>
      </c>
      <c r="Q550" s="70"/>
      <c r="R550" s="70" t="s">
        <v>50</v>
      </c>
      <c r="S550" s="70" t="s">
        <v>50</v>
      </c>
      <c r="T550" s="70" t="s">
        <v>50</v>
      </c>
      <c r="U550" s="70" t="s">
        <v>50</v>
      </c>
      <c r="V550" s="70" t="s">
        <v>50</v>
      </c>
      <c r="W550" s="70"/>
      <c r="X550" s="70" t="s">
        <v>50</v>
      </c>
      <c r="Y550" s="70" t="s">
        <v>50</v>
      </c>
      <c r="Z550" s="70" t="s">
        <v>50</v>
      </c>
      <c r="AA550" s="70" t="s">
        <v>50</v>
      </c>
      <c r="AB550" s="70" t="s">
        <v>50</v>
      </c>
    </row>
    <row r="551" spans="1:43" x14ac:dyDescent="0.25">
      <c r="A551" s="46"/>
      <c r="B551" s="26"/>
      <c r="C551" s="20"/>
      <c r="D551" s="75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Q551">
        <f>+AB549-AQ549</f>
        <v>-16998000</v>
      </c>
    </row>
    <row r="552" spans="1:43" ht="19.5" x14ac:dyDescent="0.35">
      <c r="A552" s="46"/>
      <c r="B552" s="48" t="s">
        <v>196</v>
      </c>
      <c r="C552" s="4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</row>
    <row r="553" spans="1:43" x14ac:dyDescent="0.25">
      <c r="A553" s="46"/>
      <c r="B553" s="26"/>
      <c r="C553" s="4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</row>
    <row r="554" spans="1:43" x14ac:dyDescent="0.25">
      <c r="A554" s="46">
        <v>58</v>
      </c>
      <c r="B554" s="26" t="s">
        <v>197</v>
      </c>
      <c r="C554" s="2" t="s">
        <v>35</v>
      </c>
      <c r="D554" s="68">
        <v>40836461.200000003</v>
      </c>
      <c r="E554" s="68">
        <v>31075446</v>
      </c>
      <c r="F554" s="68"/>
      <c r="G554" s="68"/>
      <c r="H554" s="67">
        <f>E554+F554</f>
        <v>31075446</v>
      </c>
      <c r="I554" s="68"/>
      <c r="J554" s="68"/>
      <c r="K554" s="68"/>
      <c r="L554" s="68"/>
      <c r="M554" s="68"/>
      <c r="N554" s="67">
        <f>H554+L554</f>
        <v>31075446</v>
      </c>
      <c r="O554" s="68">
        <v>1283403.3600000001</v>
      </c>
      <c r="P554" s="68"/>
      <c r="Q554" s="68"/>
      <c r="R554" s="67">
        <f>O554+P554</f>
        <v>1283403.3600000001</v>
      </c>
      <c r="S554" s="68"/>
      <c r="T554" s="68"/>
      <c r="U554" s="68"/>
      <c r="V554" s="68"/>
      <c r="W554" s="68"/>
      <c r="X554" s="67">
        <f>R554+V554</f>
        <v>1283403.3600000001</v>
      </c>
      <c r="Y554" s="67">
        <f>R554+H554</f>
        <v>32358849.359999999</v>
      </c>
      <c r="Z554" s="67">
        <f>D554-Y554</f>
        <v>8477611.8400000036</v>
      </c>
      <c r="AA554" s="67">
        <f>N554+X554</f>
        <v>32358849.359999999</v>
      </c>
      <c r="AB554" s="67">
        <f>+D554-N554-X554</f>
        <v>8477611.8400000036</v>
      </c>
    </row>
    <row r="555" spans="1:43" x14ac:dyDescent="0.25">
      <c r="A555" s="46"/>
      <c r="B555" s="26"/>
      <c r="C555" s="4" t="s">
        <v>36</v>
      </c>
      <c r="D555" s="68">
        <v>2118204</v>
      </c>
      <c r="E555" s="68">
        <v>2118204</v>
      </c>
      <c r="F555" s="68"/>
      <c r="G555" s="68"/>
      <c r="H555" s="67">
        <f>E555+F555</f>
        <v>2118204</v>
      </c>
      <c r="I555" s="68"/>
      <c r="J555" s="68"/>
      <c r="K555" s="68"/>
      <c r="L555" s="68"/>
      <c r="M555" s="68"/>
      <c r="N555" s="67">
        <f>H555+L555</f>
        <v>2118204</v>
      </c>
      <c r="O555" s="68"/>
      <c r="P555" s="68"/>
      <c r="Q555" s="68"/>
      <c r="R555" s="67">
        <f>O555+P555</f>
        <v>0</v>
      </c>
      <c r="S555" s="68"/>
      <c r="T555" s="68"/>
      <c r="U555" s="68"/>
      <c r="V555" s="68"/>
      <c r="W555" s="68"/>
      <c r="X555" s="67">
        <f>R555+V555</f>
        <v>0</v>
      </c>
      <c r="Y555" s="67">
        <f>R555+H555</f>
        <v>2118204</v>
      </c>
      <c r="Z555" s="67">
        <f>D555-Y555</f>
        <v>0</v>
      </c>
      <c r="AA555" s="67">
        <f>N555+X555</f>
        <v>2118204</v>
      </c>
      <c r="AB555" s="67">
        <f>+D555-N555-X555</f>
        <v>0</v>
      </c>
    </row>
    <row r="556" spans="1:43" x14ac:dyDescent="0.25">
      <c r="C556" s="4" t="s">
        <v>305</v>
      </c>
      <c r="D556" s="55">
        <v>34199417.729999997</v>
      </c>
      <c r="E556" s="55"/>
      <c r="F556" s="55">
        <v>34199417.729999997</v>
      </c>
      <c r="G556" s="55"/>
      <c r="H556" s="55">
        <f>+E556+F556</f>
        <v>34199417.729999997</v>
      </c>
      <c r="I556" s="55"/>
      <c r="J556" s="55"/>
      <c r="K556" s="55"/>
      <c r="L556" s="55"/>
      <c r="M556" s="55"/>
      <c r="N556" s="55">
        <f>+H556+L556</f>
        <v>34199417.729999997</v>
      </c>
      <c r="O556" s="55"/>
      <c r="P556" s="55"/>
      <c r="Q556" s="55"/>
      <c r="R556" s="55">
        <f>+O556+P556</f>
        <v>0</v>
      </c>
      <c r="S556" s="55"/>
      <c r="T556" s="55"/>
      <c r="U556" s="55"/>
      <c r="V556" s="55"/>
      <c r="W556" s="55"/>
      <c r="X556" s="55">
        <f>+R556+V556</f>
        <v>0</v>
      </c>
      <c r="Y556" s="67">
        <f>R556+H556</f>
        <v>34199417.729999997</v>
      </c>
      <c r="Z556" s="67">
        <f>D556-Y556</f>
        <v>0</v>
      </c>
      <c r="AA556" s="67">
        <f>N556+X556</f>
        <v>34199417.729999997</v>
      </c>
      <c r="AB556" s="67">
        <f>+D556-N556-X556</f>
        <v>0</v>
      </c>
    </row>
    <row r="557" spans="1:43" x14ac:dyDescent="0.25">
      <c r="A557" s="46"/>
      <c r="B557" s="26"/>
      <c r="C557" s="4" t="s">
        <v>198</v>
      </c>
      <c r="D557" s="68">
        <v>656062.4</v>
      </c>
      <c r="E557" s="68"/>
      <c r="F557" s="68"/>
      <c r="G557" s="68"/>
      <c r="H557" s="67">
        <f>E557+F557</f>
        <v>0</v>
      </c>
      <c r="I557" s="68"/>
      <c r="J557" s="68"/>
      <c r="K557" s="68"/>
      <c r="L557" s="68"/>
      <c r="M557" s="68"/>
      <c r="N557" s="67">
        <f>H557+L557</f>
        <v>0</v>
      </c>
      <c r="O557" s="68"/>
      <c r="P557" s="68"/>
      <c r="Q557" s="68"/>
      <c r="R557" s="67">
        <f>O557+P557</f>
        <v>0</v>
      </c>
      <c r="S557" s="68"/>
      <c r="T557" s="68"/>
      <c r="U557" s="68"/>
      <c r="V557" s="68"/>
      <c r="W557" s="68"/>
      <c r="X557" s="67">
        <f>R557+V557</f>
        <v>0</v>
      </c>
      <c r="Y557" s="67">
        <f>R557+H557</f>
        <v>0</v>
      </c>
      <c r="Z557" s="67">
        <f>D557-Y557</f>
        <v>656062.4</v>
      </c>
      <c r="AA557" s="67">
        <f>N557+X557</f>
        <v>0</v>
      </c>
      <c r="AB557" s="67">
        <f>+D557-N557-X557</f>
        <v>656062.4</v>
      </c>
    </row>
    <row r="558" spans="1:43" x14ac:dyDescent="0.25">
      <c r="A558" s="46"/>
      <c r="B558" s="26"/>
      <c r="C558" s="4" t="s">
        <v>183</v>
      </c>
      <c r="D558" s="68">
        <v>14818145.01</v>
      </c>
      <c r="E558" s="68"/>
      <c r="F558" s="68"/>
      <c r="G558" s="68"/>
      <c r="H558" s="67">
        <f>E558+F558</f>
        <v>0</v>
      </c>
      <c r="I558" s="68"/>
      <c r="J558" s="68"/>
      <c r="K558" s="68"/>
      <c r="L558" s="68"/>
      <c r="M558" s="68"/>
      <c r="N558" s="67">
        <f>H558+L558</f>
        <v>0</v>
      </c>
      <c r="O558" s="68">
        <v>3930287.12</v>
      </c>
      <c r="P558" s="68"/>
      <c r="Q558" s="68"/>
      <c r="R558" s="67">
        <f>O558+P558</f>
        <v>3930287.12</v>
      </c>
      <c r="S558" s="68"/>
      <c r="T558" s="68"/>
      <c r="U558" s="68"/>
      <c r="V558" s="68"/>
      <c r="W558" s="68"/>
      <c r="X558" s="67">
        <f>R558+V558</f>
        <v>3930287.12</v>
      </c>
      <c r="Y558" s="67">
        <f>R558+H558</f>
        <v>3930287.12</v>
      </c>
      <c r="Z558" s="67">
        <f>D558-Y558</f>
        <v>10887857.890000001</v>
      </c>
      <c r="AA558" s="67">
        <f>N558+X558</f>
        <v>3930287.12</v>
      </c>
      <c r="AB558" s="67">
        <f>+D558-N558-X558</f>
        <v>10887857.890000001</v>
      </c>
    </row>
    <row r="559" spans="1:43" x14ac:dyDescent="0.25">
      <c r="A559" s="46"/>
      <c r="B559" s="26"/>
      <c r="C559" s="4"/>
      <c r="D559" s="70" t="s">
        <v>40</v>
      </c>
      <c r="E559" s="70" t="s">
        <v>40</v>
      </c>
      <c r="F559" s="70" t="s">
        <v>40</v>
      </c>
      <c r="G559" s="70"/>
      <c r="H559" s="70" t="s">
        <v>40</v>
      </c>
      <c r="I559" s="70" t="s">
        <v>40</v>
      </c>
      <c r="J559" s="70" t="s">
        <v>40</v>
      </c>
      <c r="K559" s="70" t="s">
        <v>40</v>
      </c>
      <c r="L559" s="70" t="s">
        <v>40</v>
      </c>
      <c r="M559" s="70"/>
      <c r="N559" s="70" t="s">
        <v>40</v>
      </c>
      <c r="O559" s="70" t="s">
        <v>40</v>
      </c>
      <c r="P559" s="70" t="s">
        <v>40</v>
      </c>
      <c r="Q559" s="70"/>
      <c r="R559" s="70" t="s">
        <v>40</v>
      </c>
      <c r="S559" s="70" t="s">
        <v>40</v>
      </c>
      <c r="T559" s="70" t="s">
        <v>40</v>
      </c>
      <c r="U559" s="70" t="s">
        <v>40</v>
      </c>
      <c r="V559" s="70" t="s">
        <v>40</v>
      </c>
      <c r="W559" s="70"/>
      <c r="X559" s="70" t="s">
        <v>40</v>
      </c>
      <c r="Y559" s="70" t="s">
        <v>40</v>
      </c>
      <c r="Z559" s="70" t="s">
        <v>40</v>
      </c>
      <c r="AA559" s="70" t="s">
        <v>40</v>
      </c>
      <c r="AB559" s="70" t="s">
        <v>40</v>
      </c>
    </row>
    <row r="560" spans="1:43" x14ac:dyDescent="0.25">
      <c r="A560" s="46"/>
      <c r="B560" s="26"/>
      <c r="C560" s="4"/>
      <c r="D560" s="68">
        <f>SUM(D554:D558)</f>
        <v>92628290.340000018</v>
      </c>
      <c r="E560" s="68">
        <f>SUM(E554:E558)</f>
        <v>33193650</v>
      </c>
      <c r="F560" s="68">
        <f>SUM(F554:F558)</f>
        <v>34199417.729999997</v>
      </c>
      <c r="G560" s="68"/>
      <c r="H560" s="68">
        <f>SUM(H554:H558)</f>
        <v>67393067.729999989</v>
      </c>
      <c r="I560" s="68">
        <f>SUM(I554:I558)</f>
        <v>0</v>
      </c>
      <c r="J560" s="68">
        <f>SUM(J554:J558)</f>
        <v>0</v>
      </c>
      <c r="K560" s="68">
        <f>SUM(K554:K558)</f>
        <v>0</v>
      </c>
      <c r="L560" s="68">
        <f>SUM(L554:L558)</f>
        <v>0</v>
      </c>
      <c r="M560" s="68"/>
      <c r="N560" s="68">
        <f>SUM(N554:N558)</f>
        <v>67393067.729999989</v>
      </c>
      <c r="O560" s="68">
        <f>SUM(O554:O558)</f>
        <v>5213690.4800000004</v>
      </c>
      <c r="P560" s="68">
        <f>SUM(P554:P558)</f>
        <v>0</v>
      </c>
      <c r="Q560" s="68"/>
      <c r="R560" s="68">
        <f>SUM(R554:R558)</f>
        <v>5213690.4800000004</v>
      </c>
      <c r="S560" s="68">
        <f>SUM(S554:S558)</f>
        <v>0</v>
      </c>
      <c r="T560" s="68">
        <f>SUM(T554:T558)</f>
        <v>0</v>
      </c>
      <c r="U560" s="68">
        <f>SUM(U554:U558)</f>
        <v>0</v>
      </c>
      <c r="V560" s="68">
        <f>SUM(V554:V558)</f>
        <v>0</v>
      </c>
      <c r="W560" s="68"/>
      <c r="X560" s="68">
        <f>SUM(X554:X558)</f>
        <v>5213690.4800000004</v>
      </c>
      <c r="Y560" s="68">
        <f>SUM(Y554:Y558)</f>
        <v>72606758.210000008</v>
      </c>
      <c r="Z560" s="68">
        <f>SUM(Z554:Z558)</f>
        <v>20021532.130000003</v>
      </c>
      <c r="AA560" s="68">
        <f>SUM(AA554:AA558)</f>
        <v>72606758.210000008</v>
      </c>
      <c r="AB560" s="68">
        <f>SUM(AB554:AB558)</f>
        <v>20021532.130000003</v>
      </c>
    </row>
    <row r="561" spans="1:43" x14ac:dyDescent="0.25">
      <c r="A561" s="46"/>
      <c r="B561" s="26"/>
      <c r="C561" s="4"/>
      <c r="D561" s="70" t="s">
        <v>40</v>
      </c>
      <c r="E561" s="70" t="s">
        <v>40</v>
      </c>
      <c r="F561" s="70" t="s">
        <v>40</v>
      </c>
      <c r="G561" s="70"/>
      <c r="H561" s="70" t="s">
        <v>40</v>
      </c>
      <c r="I561" s="70" t="s">
        <v>40</v>
      </c>
      <c r="J561" s="70" t="s">
        <v>40</v>
      </c>
      <c r="K561" s="70" t="s">
        <v>40</v>
      </c>
      <c r="L561" s="70" t="s">
        <v>40</v>
      </c>
      <c r="M561" s="70"/>
      <c r="N561" s="70" t="s">
        <v>40</v>
      </c>
      <c r="O561" s="70" t="s">
        <v>40</v>
      </c>
      <c r="P561" s="70" t="s">
        <v>40</v>
      </c>
      <c r="Q561" s="70"/>
      <c r="R561" s="70" t="s">
        <v>40</v>
      </c>
      <c r="S561" s="70" t="s">
        <v>40</v>
      </c>
      <c r="T561" s="70" t="s">
        <v>40</v>
      </c>
      <c r="U561" s="70" t="s">
        <v>40</v>
      </c>
      <c r="V561" s="70" t="s">
        <v>40</v>
      </c>
      <c r="W561" s="70"/>
      <c r="X561" s="70" t="s">
        <v>40</v>
      </c>
      <c r="Y561" s="70" t="s">
        <v>40</v>
      </c>
      <c r="Z561" s="70" t="s">
        <v>40</v>
      </c>
      <c r="AA561" s="70" t="s">
        <v>40</v>
      </c>
      <c r="AB561" s="70" t="s">
        <v>40</v>
      </c>
    </row>
    <row r="562" spans="1:43" x14ac:dyDescent="0.25">
      <c r="A562" s="46">
        <v>59</v>
      </c>
      <c r="B562" s="26" t="s">
        <v>199</v>
      </c>
      <c r="C562" s="2" t="s">
        <v>35</v>
      </c>
      <c r="D562" s="68">
        <v>5314028.8</v>
      </c>
      <c r="E562" s="68"/>
      <c r="F562" s="68"/>
      <c r="G562" s="68"/>
      <c r="H562" s="67">
        <f>E562+F562</f>
        <v>0</v>
      </c>
      <c r="I562" s="68"/>
      <c r="J562" s="68"/>
      <c r="K562" s="68"/>
      <c r="L562" s="68"/>
      <c r="M562" s="68"/>
      <c r="N562" s="67">
        <f>H562+L562</f>
        <v>0</v>
      </c>
      <c r="O562" s="68"/>
      <c r="P562" s="68"/>
      <c r="Q562" s="68"/>
      <c r="R562" s="67">
        <f>O562+P562</f>
        <v>0</v>
      </c>
      <c r="S562" s="68"/>
      <c r="T562" s="68"/>
      <c r="U562" s="68"/>
      <c r="V562" s="68"/>
      <c r="W562" s="68"/>
      <c r="X562" s="67">
        <f>R562+V562</f>
        <v>0</v>
      </c>
      <c r="Y562" s="67">
        <f>R562+H562</f>
        <v>0</v>
      </c>
      <c r="Z562" s="67">
        <f>D562-Y562</f>
        <v>5314028.8</v>
      </c>
      <c r="AA562" s="67">
        <f>N562+X562</f>
        <v>0</v>
      </c>
      <c r="AB562" s="67">
        <f>+D562-N562-X562</f>
        <v>5314028.8</v>
      </c>
    </row>
    <row r="563" spans="1:43" x14ac:dyDescent="0.25">
      <c r="A563" s="46"/>
      <c r="B563" s="26"/>
      <c r="C563" s="4" t="s">
        <v>36</v>
      </c>
      <c r="D563" s="68">
        <v>1379685</v>
      </c>
      <c r="E563" s="68">
        <v>1379685</v>
      </c>
      <c r="F563" s="68"/>
      <c r="G563" s="68"/>
      <c r="H563" s="67">
        <f>E563+F563</f>
        <v>1379685</v>
      </c>
      <c r="I563" s="68"/>
      <c r="J563" s="68"/>
      <c r="K563" s="68"/>
      <c r="L563" s="68"/>
      <c r="M563" s="68"/>
      <c r="N563" s="67">
        <f>H563+L563</f>
        <v>1379685</v>
      </c>
      <c r="O563" s="68"/>
      <c r="P563" s="68"/>
      <c r="Q563" s="68"/>
      <c r="R563" s="67">
        <f>O563+P563</f>
        <v>0</v>
      </c>
      <c r="S563" s="68"/>
      <c r="T563" s="68"/>
      <c r="U563" s="68"/>
      <c r="V563" s="68"/>
      <c r="W563" s="68"/>
      <c r="X563" s="67">
        <f>R563+V563</f>
        <v>0</v>
      </c>
      <c r="Y563" s="67">
        <f>R563+H563</f>
        <v>1379685</v>
      </c>
      <c r="Z563" s="67">
        <f>D563-Y563</f>
        <v>0</v>
      </c>
      <c r="AA563" s="67">
        <f>N563+X563</f>
        <v>1379685</v>
      </c>
      <c r="AB563" s="67">
        <f>+D563-N563-X563</f>
        <v>0</v>
      </c>
    </row>
    <row r="564" spans="1:43" x14ac:dyDescent="0.25">
      <c r="A564" s="46"/>
      <c r="B564" s="26"/>
      <c r="C564" s="4" t="s">
        <v>53</v>
      </c>
      <c r="D564" s="68">
        <v>293396.2</v>
      </c>
      <c r="E564" s="68"/>
      <c r="F564" s="68"/>
      <c r="G564" s="68"/>
      <c r="H564" s="67">
        <f>E564+F564</f>
        <v>0</v>
      </c>
      <c r="I564" s="68"/>
      <c r="J564" s="68"/>
      <c r="K564" s="68"/>
      <c r="L564" s="68"/>
      <c r="M564" s="68"/>
      <c r="N564" s="67">
        <f>H564+L564</f>
        <v>0</v>
      </c>
      <c r="O564" s="68"/>
      <c r="P564" s="68"/>
      <c r="Q564" s="68"/>
      <c r="R564" s="67">
        <f>O564+P564</f>
        <v>0</v>
      </c>
      <c r="S564" s="68"/>
      <c r="T564" s="68"/>
      <c r="U564" s="68"/>
      <c r="V564" s="68"/>
      <c r="W564" s="68"/>
      <c r="X564" s="67">
        <f>R564+V564</f>
        <v>0</v>
      </c>
      <c r="Y564" s="67">
        <f>R564+H564</f>
        <v>0</v>
      </c>
      <c r="Z564" s="67">
        <f>D564-Y564</f>
        <v>293396.2</v>
      </c>
      <c r="AA564" s="67">
        <f>N564+X564</f>
        <v>0</v>
      </c>
      <c r="AB564" s="67">
        <f>+D564-N564-X564</f>
        <v>293396.2</v>
      </c>
    </row>
    <row r="565" spans="1:43" x14ac:dyDescent="0.25">
      <c r="A565" s="46"/>
      <c r="B565" s="26"/>
      <c r="C565" s="4"/>
      <c r="D565" s="70" t="s">
        <v>40</v>
      </c>
      <c r="E565" s="70" t="s">
        <v>40</v>
      </c>
      <c r="F565" s="70" t="s">
        <v>40</v>
      </c>
      <c r="G565" s="70"/>
      <c r="H565" s="70" t="s">
        <v>40</v>
      </c>
      <c r="I565" s="70" t="s">
        <v>40</v>
      </c>
      <c r="J565" s="70" t="s">
        <v>40</v>
      </c>
      <c r="K565" s="70" t="s">
        <v>40</v>
      </c>
      <c r="L565" s="70" t="s">
        <v>40</v>
      </c>
      <c r="M565" s="70"/>
      <c r="N565" s="70" t="s">
        <v>40</v>
      </c>
      <c r="O565" s="70" t="s">
        <v>40</v>
      </c>
      <c r="P565" s="70" t="s">
        <v>40</v>
      </c>
      <c r="Q565" s="70"/>
      <c r="R565" s="70" t="s">
        <v>40</v>
      </c>
      <c r="S565" s="70" t="s">
        <v>40</v>
      </c>
      <c r="T565" s="70" t="s">
        <v>40</v>
      </c>
      <c r="U565" s="70" t="s">
        <v>40</v>
      </c>
      <c r="V565" s="70" t="s">
        <v>40</v>
      </c>
      <c r="W565" s="70"/>
      <c r="X565" s="70" t="s">
        <v>40</v>
      </c>
      <c r="Y565" s="70" t="s">
        <v>40</v>
      </c>
      <c r="Z565" s="70" t="s">
        <v>40</v>
      </c>
      <c r="AA565" s="70" t="s">
        <v>40</v>
      </c>
      <c r="AB565" s="70" t="s">
        <v>40</v>
      </c>
    </row>
    <row r="566" spans="1:43" x14ac:dyDescent="0.25">
      <c r="A566" s="46"/>
      <c r="B566" s="26"/>
      <c r="C566" s="4"/>
      <c r="D566" s="68">
        <f>SUM(D562:D564)</f>
        <v>6987110</v>
      </c>
      <c r="E566" s="68">
        <f t="shared" ref="E566:AB566" si="208">SUM(E562:E564)</f>
        <v>1379685</v>
      </c>
      <c r="F566" s="68">
        <f t="shared" si="208"/>
        <v>0</v>
      </c>
      <c r="G566" s="68"/>
      <c r="H566" s="68">
        <f t="shared" si="208"/>
        <v>1379685</v>
      </c>
      <c r="I566" s="68">
        <f t="shared" si="208"/>
        <v>0</v>
      </c>
      <c r="J566" s="68">
        <f t="shared" si="208"/>
        <v>0</v>
      </c>
      <c r="K566" s="68">
        <f t="shared" si="208"/>
        <v>0</v>
      </c>
      <c r="L566" s="68">
        <f t="shared" si="208"/>
        <v>0</v>
      </c>
      <c r="M566" s="68"/>
      <c r="N566" s="68">
        <f t="shared" si="208"/>
        <v>1379685</v>
      </c>
      <c r="O566" s="68">
        <f t="shared" si="208"/>
        <v>0</v>
      </c>
      <c r="P566" s="68">
        <f t="shared" si="208"/>
        <v>0</v>
      </c>
      <c r="Q566" s="68"/>
      <c r="R566" s="68">
        <f t="shared" si="208"/>
        <v>0</v>
      </c>
      <c r="S566" s="68">
        <f t="shared" si="208"/>
        <v>0</v>
      </c>
      <c r="T566" s="68">
        <f t="shared" si="208"/>
        <v>0</v>
      </c>
      <c r="U566" s="68">
        <f t="shared" si="208"/>
        <v>0</v>
      </c>
      <c r="V566" s="68">
        <f t="shared" si="208"/>
        <v>0</v>
      </c>
      <c r="W566" s="68"/>
      <c r="X566" s="68">
        <f t="shared" si="208"/>
        <v>0</v>
      </c>
      <c r="Y566" s="68">
        <f t="shared" si="208"/>
        <v>1379685</v>
      </c>
      <c r="Z566" s="68">
        <f t="shared" si="208"/>
        <v>5607425</v>
      </c>
      <c r="AA566" s="68">
        <f t="shared" si="208"/>
        <v>1379685</v>
      </c>
      <c r="AB566" s="68">
        <f t="shared" si="208"/>
        <v>5607425</v>
      </c>
    </row>
    <row r="567" spans="1:43" x14ac:dyDescent="0.25">
      <c r="A567" s="46"/>
      <c r="B567" s="26"/>
      <c r="C567" s="4"/>
      <c r="D567" s="70" t="s">
        <v>40</v>
      </c>
      <c r="E567" s="70" t="s">
        <v>40</v>
      </c>
      <c r="F567" s="70" t="s">
        <v>40</v>
      </c>
      <c r="G567" s="70"/>
      <c r="H567" s="70" t="s">
        <v>40</v>
      </c>
      <c r="I567" s="70" t="s">
        <v>40</v>
      </c>
      <c r="J567" s="70" t="s">
        <v>40</v>
      </c>
      <c r="K567" s="70" t="s">
        <v>40</v>
      </c>
      <c r="L567" s="70" t="s">
        <v>40</v>
      </c>
      <c r="M567" s="70"/>
      <c r="N567" s="70" t="s">
        <v>40</v>
      </c>
      <c r="O567" s="70" t="s">
        <v>40</v>
      </c>
      <c r="P567" s="70" t="s">
        <v>40</v>
      </c>
      <c r="Q567" s="70"/>
      <c r="R567" s="70" t="s">
        <v>40</v>
      </c>
      <c r="S567" s="70" t="s">
        <v>40</v>
      </c>
      <c r="T567" s="70" t="s">
        <v>40</v>
      </c>
      <c r="U567" s="70" t="s">
        <v>40</v>
      </c>
      <c r="V567" s="70" t="s">
        <v>40</v>
      </c>
      <c r="W567" s="70"/>
      <c r="X567" s="70" t="s">
        <v>40</v>
      </c>
      <c r="Y567" s="70" t="s">
        <v>40</v>
      </c>
      <c r="Z567" s="70" t="s">
        <v>40</v>
      </c>
      <c r="AA567" s="70" t="s">
        <v>40</v>
      </c>
      <c r="AB567" s="70" t="s">
        <v>40</v>
      </c>
    </row>
    <row r="568" spans="1:43" x14ac:dyDescent="0.25">
      <c r="A568" s="46">
        <v>60</v>
      </c>
      <c r="B568" s="26" t="s">
        <v>200</v>
      </c>
      <c r="C568" s="2" t="s">
        <v>35</v>
      </c>
      <c r="D568" s="68">
        <v>36584041.859999999</v>
      </c>
      <c r="E568" s="68"/>
      <c r="F568" s="68"/>
      <c r="G568" s="68"/>
      <c r="H568" s="67">
        <f>E568+F568</f>
        <v>0</v>
      </c>
      <c r="I568" s="68"/>
      <c r="J568" s="68"/>
      <c r="K568" s="68"/>
      <c r="L568" s="68"/>
      <c r="M568" s="68"/>
      <c r="N568" s="67">
        <f>H568+L568</f>
        <v>0</v>
      </c>
      <c r="O568" s="68"/>
      <c r="P568" s="68"/>
      <c r="Q568" s="68"/>
      <c r="R568" s="67">
        <f>O568+P568</f>
        <v>0</v>
      </c>
      <c r="S568" s="68"/>
      <c r="T568" s="68"/>
      <c r="U568" s="68"/>
      <c r="V568" s="68"/>
      <c r="W568" s="68"/>
      <c r="X568" s="67">
        <f>R568+V568</f>
        <v>0</v>
      </c>
      <c r="Y568" s="67">
        <f t="shared" ref="Y568:Y573" si="209">R568+H568</f>
        <v>0</v>
      </c>
      <c r="Z568" s="67">
        <f t="shared" ref="Z568:Z573" si="210">D568-Y568</f>
        <v>36584041.859999999</v>
      </c>
      <c r="AA568" s="67">
        <f t="shared" ref="AA568:AA573" si="211">N568+X568</f>
        <v>0</v>
      </c>
      <c r="AB568" s="67">
        <f t="shared" ref="AB568:AB573" si="212">+D568-N568-X568</f>
        <v>36584041.859999999</v>
      </c>
    </row>
    <row r="569" spans="1:43" x14ac:dyDescent="0.25">
      <c r="A569" s="46"/>
      <c r="B569" s="26"/>
      <c r="C569" s="4" t="s">
        <v>36</v>
      </c>
      <c r="D569" s="68">
        <v>2099141</v>
      </c>
      <c r="E569" s="68">
        <v>2099141</v>
      </c>
      <c r="F569" s="68"/>
      <c r="G569" s="68"/>
      <c r="H569" s="67">
        <f>E569+F569</f>
        <v>2099141</v>
      </c>
      <c r="I569" s="68"/>
      <c r="J569" s="68"/>
      <c r="K569" s="68"/>
      <c r="L569" s="68"/>
      <c r="M569" s="68"/>
      <c r="N569" s="67">
        <f>H569+L569</f>
        <v>2099141</v>
      </c>
      <c r="O569" s="68"/>
      <c r="P569" s="68"/>
      <c r="Q569" s="68"/>
      <c r="R569" s="67">
        <f>O569+P569</f>
        <v>0</v>
      </c>
      <c r="S569" s="68"/>
      <c r="T569" s="68"/>
      <c r="U569" s="68"/>
      <c r="V569" s="68"/>
      <c r="W569" s="68"/>
      <c r="X569" s="67">
        <f>R569+V569</f>
        <v>0</v>
      </c>
      <c r="Y569" s="67">
        <f t="shared" si="209"/>
        <v>2099141</v>
      </c>
      <c r="Z569" s="67">
        <f t="shared" si="210"/>
        <v>0</v>
      </c>
      <c r="AA569" s="67">
        <f t="shared" si="211"/>
        <v>2099141</v>
      </c>
      <c r="AB569" s="67">
        <f t="shared" si="212"/>
        <v>0</v>
      </c>
    </row>
    <row r="570" spans="1:43" x14ac:dyDescent="0.25">
      <c r="A570" s="4"/>
      <c r="B570" s="4"/>
      <c r="C570" s="4" t="s">
        <v>306</v>
      </c>
      <c r="D570" s="55">
        <v>28245625</v>
      </c>
      <c r="E570" s="55">
        <v>28245625</v>
      </c>
      <c r="F570" s="55"/>
      <c r="G570" s="55"/>
      <c r="H570" s="55">
        <f>+E570+F570</f>
        <v>28245625</v>
      </c>
      <c r="I570" s="55"/>
      <c r="J570" s="55"/>
      <c r="K570" s="55"/>
      <c r="L570" s="55"/>
      <c r="M570" s="55"/>
      <c r="N570" s="55">
        <f>+H570+L570</f>
        <v>28245625</v>
      </c>
      <c r="O570" s="55"/>
      <c r="P570" s="55"/>
      <c r="Q570" s="55"/>
      <c r="R570" s="55">
        <f>+O570+P570</f>
        <v>0</v>
      </c>
      <c r="S570" s="55"/>
      <c r="T570" s="55"/>
      <c r="U570" s="55"/>
      <c r="V570" s="55"/>
      <c r="W570" s="55"/>
      <c r="X570" s="55">
        <f>+R570+V570</f>
        <v>0</v>
      </c>
      <c r="Y570" s="67">
        <f t="shared" si="209"/>
        <v>28245625</v>
      </c>
      <c r="Z570" s="67">
        <f t="shared" si="210"/>
        <v>0</v>
      </c>
      <c r="AA570" s="67">
        <f t="shared" si="211"/>
        <v>28245625</v>
      </c>
      <c r="AB570" s="67">
        <f t="shared" si="212"/>
        <v>0</v>
      </c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</row>
    <row r="571" spans="1:43" x14ac:dyDescent="0.25">
      <c r="A571" s="46"/>
      <c r="B571" s="26"/>
      <c r="C571" s="4" t="s">
        <v>183</v>
      </c>
      <c r="D571" s="68">
        <f>25517270.06+5473350.1</f>
        <v>30990620.159999996</v>
      </c>
      <c r="E571" s="68"/>
      <c r="F571" s="68"/>
      <c r="G571" s="68"/>
      <c r="H571" s="67">
        <f>E571+F571</f>
        <v>0</v>
      </c>
      <c r="I571" s="68"/>
      <c r="J571" s="68"/>
      <c r="K571" s="68"/>
      <c r="L571" s="68"/>
      <c r="M571" s="68"/>
      <c r="N571" s="67">
        <f>H571+L571</f>
        <v>0</v>
      </c>
      <c r="O571" s="68">
        <f>3011382.15+5473350.1</f>
        <v>8484732.25</v>
      </c>
      <c r="P571" s="68"/>
      <c r="Q571" s="68"/>
      <c r="R571" s="67">
        <f>O571+P571</f>
        <v>8484732.25</v>
      </c>
      <c r="S571" s="68"/>
      <c r="T571" s="68"/>
      <c r="U571" s="68"/>
      <c r="V571" s="68"/>
      <c r="W571" s="68"/>
      <c r="X571" s="67">
        <f>R571+V571</f>
        <v>8484732.25</v>
      </c>
      <c r="Y571" s="67">
        <f t="shared" si="209"/>
        <v>8484732.25</v>
      </c>
      <c r="Z571" s="67">
        <f t="shared" si="210"/>
        <v>22505887.909999996</v>
      </c>
      <c r="AA571" s="67">
        <f t="shared" si="211"/>
        <v>8484732.25</v>
      </c>
      <c r="AB571" s="67">
        <f t="shared" si="212"/>
        <v>22505887.909999996</v>
      </c>
    </row>
    <row r="572" spans="1:43" x14ac:dyDescent="0.25">
      <c r="A572" s="4"/>
      <c r="B572" s="4"/>
      <c r="C572" s="4" t="s">
        <v>290</v>
      </c>
      <c r="D572" s="55">
        <f>46663490.07+15000000</f>
        <v>61663490.07</v>
      </c>
      <c r="E572" s="55">
        <f>8125427.85+8574480.38+8345490.07+15000000</f>
        <v>40045398.299999997</v>
      </c>
      <c r="F572" s="55">
        <v>15000000</v>
      </c>
      <c r="G572" s="55"/>
      <c r="H572" s="55">
        <f>+E572+F572</f>
        <v>55045398.299999997</v>
      </c>
      <c r="I572" s="55"/>
      <c r="J572" s="55"/>
      <c r="K572" s="55"/>
      <c r="L572" s="55"/>
      <c r="M572" s="55"/>
      <c r="N572" s="55">
        <f>+H572+L572</f>
        <v>55045398.299999997</v>
      </c>
      <c r="O572" s="55"/>
      <c r="P572" s="55"/>
      <c r="Q572" s="55"/>
      <c r="R572" s="55">
        <f>+O572+P572</f>
        <v>0</v>
      </c>
      <c r="S572" s="55"/>
      <c r="T572" s="55"/>
      <c r="U572" s="55"/>
      <c r="V572" s="55"/>
      <c r="W572" s="55"/>
      <c r="X572" s="55">
        <f>+R572+V572</f>
        <v>0</v>
      </c>
      <c r="Y572" s="67">
        <f t="shared" si="209"/>
        <v>55045398.299999997</v>
      </c>
      <c r="Z572" s="67">
        <f t="shared" si="210"/>
        <v>6618091.7700000033</v>
      </c>
      <c r="AA572" s="67">
        <f t="shared" si="211"/>
        <v>55045398.299999997</v>
      </c>
      <c r="AB572" s="67">
        <f t="shared" si="212"/>
        <v>6618091.7700000033</v>
      </c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</row>
    <row r="573" spans="1:43" x14ac:dyDescent="0.25">
      <c r="A573" s="46"/>
      <c r="B573" s="26"/>
      <c r="C573" s="4" t="s">
        <v>38</v>
      </c>
      <c r="D573" s="68">
        <v>1351582.99</v>
      </c>
      <c r="E573" s="68"/>
      <c r="F573" s="68"/>
      <c r="G573" s="68"/>
      <c r="H573" s="67">
        <f>E573+F573</f>
        <v>0</v>
      </c>
      <c r="I573" s="68"/>
      <c r="J573" s="68"/>
      <c r="K573" s="68"/>
      <c r="L573" s="68"/>
      <c r="M573" s="68"/>
      <c r="N573" s="67">
        <f>H573+L573</f>
        <v>0</v>
      </c>
      <c r="O573" s="68"/>
      <c r="P573" s="68"/>
      <c r="Q573" s="68"/>
      <c r="R573" s="67">
        <f>O573+P573</f>
        <v>0</v>
      </c>
      <c r="S573" s="68"/>
      <c r="T573" s="68"/>
      <c r="U573" s="68"/>
      <c r="V573" s="68"/>
      <c r="W573" s="68"/>
      <c r="X573" s="67">
        <f>R573+V573</f>
        <v>0</v>
      </c>
      <c r="Y573" s="67">
        <f t="shared" si="209"/>
        <v>0</v>
      </c>
      <c r="Z573" s="67">
        <f t="shared" si="210"/>
        <v>1351582.99</v>
      </c>
      <c r="AA573" s="67">
        <f t="shared" si="211"/>
        <v>0</v>
      </c>
      <c r="AB573" s="67">
        <f t="shared" si="212"/>
        <v>1351582.99</v>
      </c>
    </row>
    <row r="574" spans="1:43" x14ac:dyDescent="0.25">
      <c r="A574" s="46"/>
      <c r="B574" s="26"/>
      <c r="C574" s="4"/>
      <c r="D574" s="70" t="s">
        <v>40</v>
      </c>
      <c r="E574" s="70" t="s">
        <v>40</v>
      </c>
      <c r="F574" s="70" t="s">
        <v>40</v>
      </c>
      <c r="G574" s="70"/>
      <c r="H574" s="70" t="s">
        <v>40</v>
      </c>
      <c r="I574" s="70" t="s">
        <v>40</v>
      </c>
      <c r="J574" s="70" t="s">
        <v>40</v>
      </c>
      <c r="K574" s="70" t="s">
        <v>40</v>
      </c>
      <c r="L574" s="70" t="s">
        <v>40</v>
      </c>
      <c r="M574" s="70"/>
      <c r="N574" s="70" t="s">
        <v>40</v>
      </c>
      <c r="O574" s="70" t="s">
        <v>40</v>
      </c>
      <c r="P574" s="70" t="s">
        <v>40</v>
      </c>
      <c r="Q574" s="70"/>
      <c r="R574" s="70" t="s">
        <v>40</v>
      </c>
      <c r="S574" s="70" t="s">
        <v>40</v>
      </c>
      <c r="T574" s="70" t="s">
        <v>40</v>
      </c>
      <c r="U574" s="70" t="s">
        <v>40</v>
      </c>
      <c r="V574" s="70" t="s">
        <v>40</v>
      </c>
      <c r="W574" s="70"/>
      <c r="X574" s="70" t="s">
        <v>40</v>
      </c>
      <c r="Y574" s="70" t="s">
        <v>40</v>
      </c>
      <c r="Z574" s="70" t="s">
        <v>40</v>
      </c>
      <c r="AA574" s="70" t="s">
        <v>40</v>
      </c>
      <c r="AB574" s="70" t="s">
        <v>40</v>
      </c>
    </row>
    <row r="575" spans="1:43" x14ac:dyDescent="0.25">
      <c r="A575" s="46"/>
      <c r="B575" s="26"/>
      <c r="C575" s="4"/>
      <c r="D575" s="68">
        <f>SUM(D568:D573)</f>
        <v>160934501.08000001</v>
      </c>
      <c r="E575" s="68">
        <f>SUM(E569:E573)</f>
        <v>70390164.299999997</v>
      </c>
      <c r="F575" s="68">
        <f>SUM(F569:F573)</f>
        <v>15000000</v>
      </c>
      <c r="G575" s="68"/>
      <c r="H575" s="68">
        <f>SUM(H569:H573)</f>
        <v>85390164.299999997</v>
      </c>
      <c r="I575" s="68">
        <f>SUM(I569:I573)</f>
        <v>0</v>
      </c>
      <c r="J575" s="68">
        <f>SUM(J569:J573)</f>
        <v>0</v>
      </c>
      <c r="K575" s="68">
        <f>SUM(K569:K573)</f>
        <v>0</v>
      </c>
      <c r="L575" s="68">
        <f>SUM(L569:L573)</f>
        <v>0</v>
      </c>
      <c r="M575" s="68"/>
      <c r="N575" s="68">
        <f>SUM(N569:N573)</f>
        <v>85390164.299999997</v>
      </c>
      <c r="O575" s="68">
        <f>SUM(O569:O573)</f>
        <v>8484732.25</v>
      </c>
      <c r="P575" s="68">
        <f>SUM(P569:P573)</f>
        <v>0</v>
      </c>
      <c r="Q575" s="68"/>
      <c r="R575" s="68">
        <f>SUM(R569:R573)</f>
        <v>8484732.25</v>
      </c>
      <c r="S575" s="68">
        <f>SUM(S569:S573)</f>
        <v>0</v>
      </c>
      <c r="T575" s="68">
        <f>SUM(T569:T573)</f>
        <v>0</v>
      </c>
      <c r="U575" s="68">
        <f>SUM(U569:U573)</f>
        <v>0</v>
      </c>
      <c r="V575" s="68">
        <f>SUM(V569:V573)</f>
        <v>0</v>
      </c>
      <c r="W575" s="68"/>
      <c r="X575" s="68">
        <f>SUM(X569:X573)</f>
        <v>8484732.25</v>
      </c>
      <c r="Y575" s="68">
        <f>SUM(Y569:Y573)</f>
        <v>93874896.549999997</v>
      </c>
      <c r="Z575" s="68">
        <f>SUM(Z568:Z573)</f>
        <v>67059604.530000001</v>
      </c>
      <c r="AA575" s="68">
        <f>SUM(AA569:AA573)</f>
        <v>93874896.549999997</v>
      </c>
      <c r="AB575" s="68">
        <f>SUM(AB568:AB573)</f>
        <v>67059604.530000001</v>
      </c>
    </row>
    <row r="576" spans="1:43" x14ac:dyDescent="0.25">
      <c r="A576" s="46"/>
      <c r="B576" s="26"/>
      <c r="C576" s="4"/>
      <c r="D576" s="70" t="s">
        <v>40</v>
      </c>
      <c r="E576" s="70" t="s">
        <v>40</v>
      </c>
      <c r="F576" s="70" t="s">
        <v>40</v>
      </c>
      <c r="G576" s="70"/>
      <c r="H576" s="70" t="s">
        <v>40</v>
      </c>
      <c r="I576" s="70" t="s">
        <v>40</v>
      </c>
      <c r="J576" s="70" t="s">
        <v>40</v>
      </c>
      <c r="K576" s="70" t="s">
        <v>40</v>
      </c>
      <c r="L576" s="70" t="s">
        <v>40</v>
      </c>
      <c r="M576" s="70"/>
      <c r="N576" s="70" t="s">
        <v>40</v>
      </c>
      <c r="O576" s="70" t="s">
        <v>40</v>
      </c>
      <c r="P576" s="70" t="s">
        <v>40</v>
      </c>
      <c r="Q576" s="70"/>
      <c r="R576" s="70" t="s">
        <v>40</v>
      </c>
      <c r="S576" s="70" t="s">
        <v>40</v>
      </c>
      <c r="T576" s="70" t="s">
        <v>40</v>
      </c>
      <c r="U576" s="70" t="s">
        <v>40</v>
      </c>
      <c r="V576" s="70" t="s">
        <v>40</v>
      </c>
      <c r="W576" s="70"/>
      <c r="X576" s="70" t="s">
        <v>40</v>
      </c>
      <c r="Y576" s="70" t="s">
        <v>40</v>
      </c>
      <c r="Z576" s="70" t="s">
        <v>40</v>
      </c>
      <c r="AA576" s="70" t="s">
        <v>40</v>
      </c>
      <c r="AB576" s="70" t="s">
        <v>40</v>
      </c>
    </row>
    <row r="577" spans="1:28" x14ac:dyDescent="0.25">
      <c r="A577" s="46">
        <v>61</v>
      </c>
      <c r="B577" s="26" t="s">
        <v>201</v>
      </c>
      <c r="C577" s="2" t="s">
        <v>35</v>
      </c>
      <c r="D577" s="68">
        <v>6669736.1799999997</v>
      </c>
      <c r="E577" s="68"/>
      <c r="F577" s="68"/>
      <c r="G577" s="68"/>
      <c r="H577" s="67">
        <f t="shared" ref="H577:H582" si="213">E577+F577</f>
        <v>0</v>
      </c>
      <c r="I577" s="68"/>
      <c r="J577" s="68"/>
      <c r="K577" s="68"/>
      <c r="L577" s="68"/>
      <c r="M577" s="68"/>
      <c r="N577" s="67">
        <f t="shared" ref="N577:N582" si="214">H577+L577</f>
        <v>0</v>
      </c>
      <c r="O577" s="68">
        <f>6636174.18+2062485.55</f>
        <v>8698659.7300000004</v>
      </c>
      <c r="P577" s="68"/>
      <c r="Q577" s="68"/>
      <c r="R577" s="67">
        <f t="shared" ref="R577:R582" si="215">O577+P577</f>
        <v>8698659.7300000004</v>
      </c>
      <c r="S577" s="68"/>
      <c r="T577" s="68"/>
      <c r="U577" s="68"/>
      <c r="V577" s="68"/>
      <c r="W577" s="68"/>
      <c r="X577" s="67">
        <f t="shared" ref="X577:X582" si="216">R577+V577</f>
        <v>8698659.7300000004</v>
      </c>
      <c r="Y577" s="67">
        <f t="shared" ref="Y577:Y582" si="217">R577+H577</f>
        <v>8698659.7300000004</v>
      </c>
      <c r="Z577" s="67">
        <f t="shared" ref="Z577:Z582" si="218">D577-Y577</f>
        <v>-2028923.5500000007</v>
      </c>
      <c r="AA577" s="67">
        <f t="shared" ref="AA577:AA582" si="219">N577+X577</f>
        <v>8698659.7300000004</v>
      </c>
      <c r="AB577" s="67">
        <f t="shared" ref="AB577:AB582" si="220">+D577-N577-X577</f>
        <v>-2028923.5500000007</v>
      </c>
    </row>
    <row r="578" spans="1:28" x14ac:dyDescent="0.25">
      <c r="A578" s="46"/>
      <c r="B578" s="26"/>
      <c r="C578" s="4" t="s">
        <v>36</v>
      </c>
      <c r="D578" s="68">
        <v>2191296</v>
      </c>
      <c r="E578" s="68">
        <v>2191296</v>
      </c>
      <c r="F578" s="68"/>
      <c r="G578" s="68"/>
      <c r="H578" s="67">
        <f t="shared" si="213"/>
        <v>2191296</v>
      </c>
      <c r="I578" s="68"/>
      <c r="J578" s="68"/>
      <c r="K578" s="68"/>
      <c r="L578" s="68"/>
      <c r="M578" s="68"/>
      <c r="N578" s="67">
        <f t="shared" si="214"/>
        <v>2191296</v>
      </c>
      <c r="O578" s="68"/>
      <c r="P578" s="68"/>
      <c r="Q578" s="68"/>
      <c r="R578" s="67">
        <f t="shared" si="215"/>
        <v>0</v>
      </c>
      <c r="S578" s="68"/>
      <c r="T578" s="68"/>
      <c r="U578" s="68"/>
      <c r="V578" s="68"/>
      <c r="W578" s="68"/>
      <c r="X578" s="67">
        <f t="shared" si="216"/>
        <v>0</v>
      </c>
      <c r="Y578" s="67">
        <f t="shared" si="217"/>
        <v>2191296</v>
      </c>
      <c r="Z578" s="67">
        <f t="shared" si="218"/>
        <v>0</v>
      </c>
      <c r="AA578" s="67">
        <f t="shared" si="219"/>
        <v>2191296</v>
      </c>
      <c r="AB578" s="67">
        <f t="shared" si="220"/>
        <v>0</v>
      </c>
    </row>
    <row r="579" spans="1:28" x14ac:dyDescent="0.25">
      <c r="A579" s="46"/>
      <c r="B579" s="26"/>
      <c r="C579" s="4" t="s">
        <v>183</v>
      </c>
      <c r="D579" s="68">
        <f>3920787.42+253276.49+108786.92</f>
        <v>4282850.83</v>
      </c>
      <c r="E579" s="68"/>
      <c r="F579" s="68"/>
      <c r="G579" s="68"/>
      <c r="H579" s="67">
        <f t="shared" si="213"/>
        <v>0</v>
      </c>
      <c r="I579" s="68"/>
      <c r="J579" s="68"/>
      <c r="K579" s="68"/>
      <c r="L579" s="68"/>
      <c r="M579" s="68"/>
      <c r="N579" s="67">
        <f t="shared" si="214"/>
        <v>0</v>
      </c>
      <c r="O579" s="68">
        <f>4282850.83+5413353.45</f>
        <v>9696204.2800000012</v>
      </c>
      <c r="P579" s="68"/>
      <c r="Q579" s="68"/>
      <c r="R579" s="67">
        <f t="shared" si="215"/>
        <v>9696204.2800000012</v>
      </c>
      <c r="S579" s="68"/>
      <c r="T579" s="68"/>
      <c r="U579" s="68"/>
      <c r="V579" s="68"/>
      <c r="W579" s="68"/>
      <c r="X579" s="67">
        <f t="shared" si="216"/>
        <v>9696204.2800000012</v>
      </c>
      <c r="Y579" s="67">
        <f t="shared" si="217"/>
        <v>9696204.2800000012</v>
      </c>
      <c r="Z579" s="67">
        <f t="shared" si="218"/>
        <v>-5413353.4500000011</v>
      </c>
      <c r="AA579" s="67">
        <f t="shared" si="219"/>
        <v>9696204.2800000012</v>
      </c>
      <c r="AB579" s="67">
        <f t="shared" si="220"/>
        <v>-5413353.4500000011</v>
      </c>
    </row>
    <row r="580" spans="1:28" x14ac:dyDescent="0.25">
      <c r="A580" s="46"/>
      <c r="B580" s="26"/>
      <c r="C580" s="4" t="s">
        <v>38</v>
      </c>
      <c r="D580" s="68">
        <v>350830.46</v>
      </c>
      <c r="E580" s="68"/>
      <c r="F580" s="68"/>
      <c r="G580" s="68"/>
      <c r="H580" s="67">
        <f t="shared" si="213"/>
        <v>0</v>
      </c>
      <c r="I580" s="68"/>
      <c r="J580" s="68"/>
      <c r="K580" s="68"/>
      <c r="L580" s="68"/>
      <c r="M580" s="68"/>
      <c r="N580" s="67">
        <f t="shared" si="214"/>
        <v>0</v>
      </c>
      <c r="O580" s="68">
        <v>843176.8</v>
      </c>
      <c r="P580" s="68">
        <v>-843176.8</v>
      </c>
      <c r="Q580" s="68"/>
      <c r="R580" s="67">
        <f t="shared" si="215"/>
        <v>0</v>
      </c>
      <c r="S580" s="68"/>
      <c r="T580" s="68"/>
      <c r="U580" s="68"/>
      <c r="V580" s="68"/>
      <c r="W580" s="68"/>
      <c r="X580" s="67">
        <f t="shared" si="216"/>
        <v>0</v>
      </c>
      <c r="Y580" s="67">
        <f t="shared" si="217"/>
        <v>0</v>
      </c>
      <c r="Z580" s="67">
        <f t="shared" si="218"/>
        <v>350830.46</v>
      </c>
      <c r="AA580" s="67">
        <f t="shared" si="219"/>
        <v>0</v>
      </c>
      <c r="AB580" s="67">
        <f t="shared" si="220"/>
        <v>350830.46</v>
      </c>
    </row>
    <row r="581" spans="1:28" x14ac:dyDescent="0.25">
      <c r="A581" s="46"/>
      <c r="B581" s="26"/>
      <c r="C581" s="4" t="s">
        <v>184</v>
      </c>
      <c r="D581" s="68">
        <v>0</v>
      </c>
      <c r="E581" s="68"/>
      <c r="F581" s="68"/>
      <c r="G581" s="68"/>
      <c r="H581" s="67">
        <f t="shared" si="213"/>
        <v>0</v>
      </c>
      <c r="I581" s="68"/>
      <c r="J581" s="68"/>
      <c r="K581" s="68"/>
      <c r="L581" s="68"/>
      <c r="M581" s="68"/>
      <c r="N581" s="67">
        <f t="shared" si="214"/>
        <v>0</v>
      </c>
      <c r="O581" s="68"/>
      <c r="P581" s="68"/>
      <c r="Q581" s="68"/>
      <c r="R581" s="67">
        <f t="shared" si="215"/>
        <v>0</v>
      </c>
      <c r="S581" s="68"/>
      <c r="T581" s="68"/>
      <c r="U581" s="68"/>
      <c r="V581" s="68"/>
      <c r="W581" s="68"/>
      <c r="X581" s="67">
        <f t="shared" si="216"/>
        <v>0</v>
      </c>
      <c r="Y581" s="67">
        <f t="shared" si="217"/>
        <v>0</v>
      </c>
      <c r="Z581" s="67">
        <f t="shared" si="218"/>
        <v>0</v>
      </c>
      <c r="AA581" s="67">
        <f t="shared" si="219"/>
        <v>0</v>
      </c>
      <c r="AB581" s="67">
        <f t="shared" si="220"/>
        <v>0</v>
      </c>
    </row>
    <row r="582" spans="1:28" x14ac:dyDescent="0.25">
      <c r="A582" s="46"/>
      <c r="B582" s="26"/>
      <c r="C582" s="29" t="s">
        <v>266</v>
      </c>
      <c r="D582" s="68">
        <v>10000000</v>
      </c>
      <c r="E582" s="68">
        <v>6791289.1600000001</v>
      </c>
      <c r="F582" s="68"/>
      <c r="G582" s="68"/>
      <c r="H582" s="67">
        <f t="shared" si="213"/>
        <v>6791289.1600000001</v>
      </c>
      <c r="I582" s="68"/>
      <c r="J582" s="68"/>
      <c r="K582" s="68"/>
      <c r="L582" s="68"/>
      <c r="M582" s="68"/>
      <c r="N582" s="67">
        <f t="shared" si="214"/>
        <v>6791289.1600000001</v>
      </c>
      <c r="O582" s="68"/>
      <c r="P582" s="68"/>
      <c r="Q582" s="68"/>
      <c r="R582" s="67">
        <f t="shared" si="215"/>
        <v>0</v>
      </c>
      <c r="S582" s="68"/>
      <c r="T582" s="68"/>
      <c r="U582" s="68"/>
      <c r="V582" s="68"/>
      <c r="W582" s="68"/>
      <c r="X582" s="67">
        <f t="shared" si="216"/>
        <v>0</v>
      </c>
      <c r="Y582" s="67">
        <f t="shared" si="217"/>
        <v>6791289.1600000001</v>
      </c>
      <c r="Z582" s="67">
        <f t="shared" si="218"/>
        <v>3208710.84</v>
      </c>
      <c r="AA582" s="67">
        <f t="shared" si="219"/>
        <v>6791289.1600000001</v>
      </c>
      <c r="AB582" s="67">
        <f t="shared" si="220"/>
        <v>3208710.84</v>
      </c>
    </row>
    <row r="583" spans="1:28" x14ac:dyDescent="0.25">
      <c r="A583" s="46"/>
      <c r="B583" s="26"/>
      <c r="C583" s="4"/>
      <c r="D583" s="70" t="s">
        <v>40</v>
      </c>
      <c r="E583" s="70" t="s">
        <v>40</v>
      </c>
      <c r="F583" s="70" t="s">
        <v>40</v>
      </c>
      <c r="G583" s="70"/>
      <c r="H583" s="70" t="s">
        <v>40</v>
      </c>
      <c r="I583" s="70" t="s">
        <v>40</v>
      </c>
      <c r="J583" s="70" t="s">
        <v>40</v>
      </c>
      <c r="K583" s="70" t="s">
        <v>40</v>
      </c>
      <c r="L583" s="70" t="s">
        <v>40</v>
      </c>
      <c r="M583" s="70"/>
      <c r="N583" s="70" t="s">
        <v>40</v>
      </c>
      <c r="O583" s="70" t="s">
        <v>40</v>
      </c>
      <c r="P583" s="70" t="s">
        <v>40</v>
      </c>
      <c r="Q583" s="70"/>
      <c r="R583" s="70" t="s">
        <v>40</v>
      </c>
      <c r="S583" s="70" t="s">
        <v>40</v>
      </c>
      <c r="T583" s="70" t="s">
        <v>40</v>
      </c>
      <c r="U583" s="70" t="s">
        <v>40</v>
      </c>
      <c r="V583" s="70" t="s">
        <v>40</v>
      </c>
      <c r="W583" s="70"/>
      <c r="X583" s="70" t="s">
        <v>40</v>
      </c>
      <c r="Y583" s="70" t="s">
        <v>40</v>
      </c>
      <c r="Z583" s="70" t="s">
        <v>40</v>
      </c>
      <c r="AA583" s="70" t="s">
        <v>40</v>
      </c>
      <c r="AB583" s="70" t="s">
        <v>40</v>
      </c>
    </row>
    <row r="584" spans="1:28" x14ac:dyDescent="0.25">
      <c r="A584" s="46"/>
      <c r="B584" s="26"/>
      <c r="C584" s="4"/>
      <c r="D584" s="68">
        <f>SUM(D577:D582)</f>
        <v>23494713.469999999</v>
      </c>
      <c r="E584" s="68">
        <f t="shared" ref="E584:V584" si="221">SUM(E577:E582)</f>
        <v>8982585.1600000001</v>
      </c>
      <c r="F584" s="68">
        <f t="shared" si="221"/>
        <v>0</v>
      </c>
      <c r="G584" s="68"/>
      <c r="H584" s="67">
        <f>E584+F584</f>
        <v>8982585.1600000001</v>
      </c>
      <c r="I584" s="68">
        <f t="shared" si="221"/>
        <v>0</v>
      </c>
      <c r="J584" s="68">
        <f t="shared" si="221"/>
        <v>0</v>
      </c>
      <c r="K584" s="68">
        <f t="shared" si="221"/>
        <v>0</v>
      </c>
      <c r="L584" s="68">
        <f t="shared" si="221"/>
        <v>0</v>
      </c>
      <c r="M584" s="68"/>
      <c r="N584" s="67">
        <f>H584+L584</f>
        <v>8982585.1600000001</v>
      </c>
      <c r="O584" s="68">
        <f t="shared" si="221"/>
        <v>19238040.810000002</v>
      </c>
      <c r="P584" s="68">
        <f t="shared" si="221"/>
        <v>-843176.8</v>
      </c>
      <c r="Q584" s="68"/>
      <c r="R584" s="67">
        <f>O584+P584</f>
        <v>18394864.010000002</v>
      </c>
      <c r="S584" s="68">
        <f t="shared" si="221"/>
        <v>0</v>
      </c>
      <c r="T584" s="68">
        <f t="shared" si="221"/>
        <v>0</v>
      </c>
      <c r="U584" s="68">
        <f t="shared" si="221"/>
        <v>0</v>
      </c>
      <c r="V584" s="68">
        <f t="shared" si="221"/>
        <v>0</v>
      </c>
      <c r="W584" s="68"/>
      <c r="X584" s="67">
        <f>+R584+V584</f>
        <v>18394864.010000002</v>
      </c>
      <c r="Y584" s="67">
        <f>R584+H584</f>
        <v>27377449.170000002</v>
      </c>
      <c r="Z584" s="67">
        <f>D584-Y584</f>
        <v>-3882735.700000003</v>
      </c>
      <c r="AA584" s="67">
        <f>N584+X584</f>
        <v>27377449.170000002</v>
      </c>
      <c r="AB584" s="67">
        <f>D584-AA584</f>
        <v>-3882735.700000003</v>
      </c>
    </row>
    <row r="585" spans="1:28" x14ac:dyDescent="0.25">
      <c r="A585" s="46"/>
      <c r="B585" s="4" t="s">
        <v>201</v>
      </c>
      <c r="C585" s="4"/>
      <c r="D585" s="70" t="s">
        <v>40</v>
      </c>
      <c r="E585" s="70" t="s">
        <v>40</v>
      </c>
      <c r="F585" s="70" t="s">
        <v>40</v>
      </c>
      <c r="G585" s="70"/>
      <c r="H585" s="70" t="s">
        <v>40</v>
      </c>
      <c r="I585" s="70" t="s">
        <v>40</v>
      </c>
      <c r="J585" s="70" t="s">
        <v>40</v>
      </c>
      <c r="K585" s="70" t="s">
        <v>40</v>
      </c>
      <c r="L585" s="70" t="s">
        <v>40</v>
      </c>
      <c r="M585" s="70"/>
      <c r="N585" s="70" t="s">
        <v>40</v>
      </c>
      <c r="O585" s="70" t="s">
        <v>40</v>
      </c>
      <c r="P585" s="70" t="s">
        <v>40</v>
      </c>
      <c r="Q585" s="70"/>
      <c r="R585" s="70" t="s">
        <v>40</v>
      </c>
      <c r="S585" s="70" t="s">
        <v>40</v>
      </c>
      <c r="T585" s="70" t="s">
        <v>40</v>
      </c>
      <c r="U585" s="70" t="s">
        <v>40</v>
      </c>
      <c r="V585" s="70" t="s">
        <v>40</v>
      </c>
      <c r="W585" s="70"/>
      <c r="X585" s="70"/>
      <c r="Y585" s="70" t="s">
        <v>40</v>
      </c>
      <c r="Z585" s="70" t="s">
        <v>40</v>
      </c>
      <c r="AA585" s="70" t="s">
        <v>40</v>
      </c>
      <c r="AB585" s="70" t="s">
        <v>40</v>
      </c>
    </row>
    <row r="586" spans="1:28" ht="20.25" thickBot="1" x14ac:dyDescent="0.4">
      <c r="A586" s="46"/>
      <c r="B586" s="112" t="s">
        <v>292</v>
      </c>
      <c r="C586" s="4"/>
      <c r="D586" s="113">
        <v>843176.8</v>
      </c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2"/>
      <c r="P586" s="87">
        <v>843176.8</v>
      </c>
      <c r="Q586" s="99"/>
      <c r="R586" s="114">
        <f>+O586+P586</f>
        <v>843176.8</v>
      </c>
      <c r="S586" s="89"/>
      <c r="T586" s="89"/>
      <c r="U586" s="89"/>
      <c r="V586" s="90"/>
      <c r="W586" s="70"/>
      <c r="X586" s="70"/>
      <c r="Y586" s="72"/>
      <c r="Z586" s="70"/>
      <c r="AA586" s="70"/>
      <c r="AB586" s="70"/>
    </row>
    <row r="587" spans="1:28" ht="16.5" thickTop="1" x14ac:dyDescent="0.25">
      <c r="A587" s="46"/>
      <c r="B587" s="26"/>
      <c r="C587" s="4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</row>
    <row r="588" spans="1:28" x14ac:dyDescent="0.25">
      <c r="A588" s="46">
        <v>62</v>
      </c>
      <c r="B588" s="26" t="s">
        <v>202</v>
      </c>
      <c r="C588" s="2" t="s">
        <v>35</v>
      </c>
      <c r="D588" s="68">
        <f>17805854.47+734</f>
        <v>17806588.469999999</v>
      </c>
      <c r="E588" s="68"/>
      <c r="F588" s="68"/>
      <c r="G588" s="68"/>
      <c r="H588" s="67">
        <f>E588+F588</f>
        <v>0</v>
      </c>
      <c r="I588" s="68"/>
      <c r="J588" s="68"/>
      <c r="K588" s="68"/>
      <c r="L588" s="68"/>
      <c r="M588" s="68"/>
      <c r="N588" s="67">
        <f>H588+L588</f>
        <v>0</v>
      </c>
      <c r="O588" s="68">
        <v>734</v>
      </c>
      <c r="P588" s="68"/>
      <c r="Q588" s="68"/>
      <c r="R588" s="67">
        <f>O588+P588</f>
        <v>734</v>
      </c>
      <c r="S588" s="68"/>
      <c r="T588" s="68"/>
      <c r="U588" s="68"/>
      <c r="V588" s="68"/>
      <c r="W588" s="68"/>
      <c r="X588" s="67">
        <f>R588+V588</f>
        <v>734</v>
      </c>
      <c r="Y588" s="67">
        <f>R588+H588</f>
        <v>734</v>
      </c>
      <c r="Z588" s="67">
        <f>D588-Y588</f>
        <v>17805854.469999999</v>
      </c>
      <c r="AA588" s="67">
        <f>N588+X588</f>
        <v>734</v>
      </c>
      <c r="AB588" s="67">
        <f>+D588-N588-X588</f>
        <v>17805854.469999999</v>
      </c>
    </row>
    <row r="589" spans="1:28" x14ac:dyDescent="0.25">
      <c r="A589" s="46"/>
      <c r="B589" s="26"/>
      <c r="C589" s="4" t="s">
        <v>36</v>
      </c>
      <c r="D589" s="68">
        <v>2107710</v>
      </c>
      <c r="E589" s="68">
        <v>2107710</v>
      </c>
      <c r="F589" s="68"/>
      <c r="G589" s="68"/>
      <c r="H589" s="67">
        <f>E589+F589</f>
        <v>2107710</v>
      </c>
      <c r="I589" s="68"/>
      <c r="J589" s="68"/>
      <c r="K589" s="68"/>
      <c r="L589" s="68"/>
      <c r="M589" s="68"/>
      <c r="N589" s="67">
        <f>H589+L589</f>
        <v>2107710</v>
      </c>
      <c r="O589" s="68">
        <v>0</v>
      </c>
      <c r="P589" s="68"/>
      <c r="Q589" s="68"/>
      <c r="R589" s="67">
        <f>O589+P589</f>
        <v>0</v>
      </c>
      <c r="S589" s="68"/>
      <c r="T589" s="68"/>
      <c r="U589" s="68"/>
      <c r="V589" s="68"/>
      <c r="W589" s="68"/>
      <c r="X589" s="67">
        <f>R589+V589</f>
        <v>0</v>
      </c>
      <c r="Y589" s="67">
        <f>R589+H589</f>
        <v>2107710</v>
      </c>
      <c r="Z589" s="67">
        <f>D589-Y589</f>
        <v>0</v>
      </c>
      <c r="AA589" s="67">
        <f>N589+X589</f>
        <v>2107710</v>
      </c>
      <c r="AB589" s="67">
        <f>+D589-N589-X589</f>
        <v>0</v>
      </c>
    </row>
    <row r="590" spans="1:28" x14ac:dyDescent="0.25">
      <c r="A590" s="46"/>
      <c r="B590" s="26"/>
      <c r="C590" s="4" t="s">
        <v>183</v>
      </c>
      <c r="D590" s="68">
        <f>758429.39</f>
        <v>758429.39</v>
      </c>
      <c r="E590" s="68"/>
      <c r="F590" s="68"/>
      <c r="G590" s="68"/>
      <c r="H590" s="67">
        <f>E590+F590</f>
        <v>0</v>
      </c>
      <c r="I590" s="68"/>
      <c r="J590" s="68"/>
      <c r="K590" s="68"/>
      <c r="L590" s="68"/>
      <c r="M590" s="68"/>
      <c r="N590" s="67">
        <f>H590+L590</f>
        <v>0</v>
      </c>
      <c r="O590" s="68">
        <v>0</v>
      </c>
      <c r="P590" s="68"/>
      <c r="Q590" s="68"/>
      <c r="R590" s="67">
        <f>O590+P590</f>
        <v>0</v>
      </c>
      <c r="S590" s="68"/>
      <c r="T590" s="68"/>
      <c r="U590" s="68"/>
      <c r="V590" s="68"/>
      <c r="W590" s="68"/>
      <c r="X590" s="67">
        <f>R590+V590</f>
        <v>0</v>
      </c>
      <c r="Y590" s="67">
        <f>R590+H590</f>
        <v>0</v>
      </c>
      <c r="Z590" s="67">
        <f>D590-Y590</f>
        <v>758429.39</v>
      </c>
      <c r="AA590" s="67">
        <f>N590+X590</f>
        <v>0</v>
      </c>
      <c r="AB590" s="67">
        <f>+D590-N590-X590</f>
        <v>758429.39</v>
      </c>
    </row>
    <row r="591" spans="1:28" x14ac:dyDescent="0.25">
      <c r="A591" s="46"/>
      <c r="B591" s="26"/>
      <c r="C591" s="4"/>
      <c r="D591" s="70" t="s">
        <v>40</v>
      </c>
      <c r="E591" s="70" t="s">
        <v>40</v>
      </c>
      <c r="F591" s="70" t="s">
        <v>40</v>
      </c>
      <c r="G591" s="70"/>
      <c r="H591" s="70" t="s">
        <v>40</v>
      </c>
      <c r="I591" s="70" t="s">
        <v>40</v>
      </c>
      <c r="J591" s="70" t="s">
        <v>40</v>
      </c>
      <c r="K591" s="70" t="s">
        <v>40</v>
      </c>
      <c r="L591" s="70" t="s">
        <v>40</v>
      </c>
      <c r="M591" s="70"/>
      <c r="N591" s="70" t="s">
        <v>40</v>
      </c>
      <c r="O591" s="70" t="s">
        <v>40</v>
      </c>
      <c r="P591" s="70" t="s">
        <v>40</v>
      </c>
      <c r="Q591" s="70"/>
      <c r="R591" s="70" t="s">
        <v>40</v>
      </c>
      <c r="S591" s="70" t="s">
        <v>40</v>
      </c>
      <c r="T591" s="70" t="s">
        <v>40</v>
      </c>
      <c r="U591" s="70" t="s">
        <v>40</v>
      </c>
      <c r="V591" s="70" t="s">
        <v>40</v>
      </c>
      <c r="W591" s="70"/>
      <c r="X591" s="70" t="s">
        <v>40</v>
      </c>
      <c r="Y591" s="70" t="s">
        <v>40</v>
      </c>
      <c r="Z591" s="70" t="s">
        <v>40</v>
      </c>
      <c r="AA591" s="70" t="s">
        <v>40</v>
      </c>
      <c r="AB591" s="70" t="s">
        <v>40</v>
      </c>
    </row>
    <row r="592" spans="1:28" x14ac:dyDescent="0.25">
      <c r="A592" s="46"/>
      <c r="B592" s="26"/>
      <c r="C592" s="4"/>
      <c r="D592" s="68">
        <f>SUM(D588:D590)</f>
        <v>20672727.859999999</v>
      </c>
      <c r="E592" s="68">
        <f t="shared" ref="E592:AB592" si="222">SUM(E588:E590)</f>
        <v>2107710</v>
      </c>
      <c r="F592" s="68">
        <f t="shared" si="222"/>
        <v>0</v>
      </c>
      <c r="G592" s="68"/>
      <c r="H592" s="68">
        <f t="shared" si="222"/>
        <v>2107710</v>
      </c>
      <c r="I592" s="68">
        <f t="shared" si="222"/>
        <v>0</v>
      </c>
      <c r="J592" s="68">
        <f t="shared" si="222"/>
        <v>0</v>
      </c>
      <c r="K592" s="68">
        <f t="shared" si="222"/>
        <v>0</v>
      </c>
      <c r="L592" s="68">
        <f t="shared" si="222"/>
        <v>0</v>
      </c>
      <c r="M592" s="68"/>
      <c r="N592" s="68">
        <f t="shared" si="222"/>
        <v>2107710</v>
      </c>
      <c r="O592" s="68">
        <f t="shared" si="222"/>
        <v>734</v>
      </c>
      <c r="P592" s="68">
        <f t="shared" si="222"/>
        <v>0</v>
      </c>
      <c r="Q592" s="68"/>
      <c r="R592" s="68">
        <f t="shared" si="222"/>
        <v>734</v>
      </c>
      <c r="S592" s="68">
        <f t="shared" si="222"/>
        <v>0</v>
      </c>
      <c r="T592" s="68">
        <f t="shared" si="222"/>
        <v>0</v>
      </c>
      <c r="U592" s="68">
        <f t="shared" si="222"/>
        <v>0</v>
      </c>
      <c r="V592" s="68">
        <f t="shared" si="222"/>
        <v>0</v>
      </c>
      <c r="W592" s="68"/>
      <c r="X592" s="68">
        <f t="shared" si="222"/>
        <v>734</v>
      </c>
      <c r="Y592" s="68">
        <f t="shared" si="222"/>
        <v>2108444</v>
      </c>
      <c r="Z592" s="68">
        <f t="shared" si="222"/>
        <v>18564283.859999999</v>
      </c>
      <c r="AA592" s="68">
        <f t="shared" si="222"/>
        <v>2108444</v>
      </c>
      <c r="AB592" s="68">
        <f t="shared" si="222"/>
        <v>18564283.859999999</v>
      </c>
    </row>
    <row r="593" spans="1:28" x14ac:dyDescent="0.25">
      <c r="A593" s="46"/>
      <c r="B593" s="26"/>
      <c r="C593" s="4"/>
      <c r="D593" s="70" t="s">
        <v>40</v>
      </c>
      <c r="E593" s="70" t="s">
        <v>40</v>
      </c>
      <c r="F593" s="70" t="s">
        <v>40</v>
      </c>
      <c r="G593" s="70"/>
      <c r="H593" s="70" t="s">
        <v>40</v>
      </c>
      <c r="I593" s="70" t="s">
        <v>40</v>
      </c>
      <c r="J593" s="70" t="s">
        <v>40</v>
      </c>
      <c r="K593" s="70" t="s">
        <v>40</v>
      </c>
      <c r="L593" s="70" t="s">
        <v>40</v>
      </c>
      <c r="M593" s="70"/>
      <c r="N593" s="70" t="s">
        <v>40</v>
      </c>
      <c r="O593" s="70" t="s">
        <v>40</v>
      </c>
      <c r="P593" s="70" t="s">
        <v>40</v>
      </c>
      <c r="Q593" s="70"/>
      <c r="R593" s="70" t="s">
        <v>40</v>
      </c>
      <c r="S593" s="70" t="s">
        <v>40</v>
      </c>
      <c r="T593" s="70" t="s">
        <v>40</v>
      </c>
      <c r="U593" s="70" t="s">
        <v>40</v>
      </c>
      <c r="V593" s="70" t="s">
        <v>40</v>
      </c>
      <c r="W593" s="70"/>
      <c r="X593" s="70" t="s">
        <v>40</v>
      </c>
      <c r="Y593" s="70" t="s">
        <v>40</v>
      </c>
      <c r="Z593" s="70" t="s">
        <v>40</v>
      </c>
      <c r="AA593" s="70" t="s">
        <v>40</v>
      </c>
      <c r="AB593" s="70" t="s">
        <v>40</v>
      </c>
    </row>
    <row r="594" spans="1:28" x14ac:dyDescent="0.25">
      <c r="A594" s="46">
        <v>63</v>
      </c>
      <c r="B594" s="26" t="s">
        <v>203</v>
      </c>
      <c r="C594" s="2" t="s">
        <v>35</v>
      </c>
      <c r="D594" s="68">
        <f>18121137.69-9903123.14-1158145.09</f>
        <v>7059869.4600000009</v>
      </c>
      <c r="E594" s="68"/>
      <c r="F594" s="68"/>
      <c r="G594" s="68"/>
      <c r="H594" s="67">
        <f>E594+F594</f>
        <v>0</v>
      </c>
      <c r="I594" s="68"/>
      <c r="J594" s="68"/>
      <c r="K594" s="68"/>
      <c r="L594" s="68"/>
      <c r="M594" s="68"/>
      <c r="N594" s="67">
        <f>H594+L594</f>
        <v>0</v>
      </c>
      <c r="O594" s="68"/>
      <c r="P594" s="68"/>
      <c r="Q594" s="68"/>
      <c r="R594" s="67">
        <f>O594+P594</f>
        <v>0</v>
      </c>
      <c r="S594" s="68"/>
      <c r="T594" s="68"/>
      <c r="U594" s="68"/>
      <c r="V594" s="68"/>
      <c r="W594" s="68"/>
      <c r="X594" s="67">
        <f>R594+V594</f>
        <v>0</v>
      </c>
      <c r="Y594" s="67">
        <f>R594+H594</f>
        <v>0</v>
      </c>
      <c r="Z594" s="67">
        <f>D594-Y594</f>
        <v>7059869.4600000009</v>
      </c>
      <c r="AA594" s="67">
        <f>N594+X594</f>
        <v>0</v>
      </c>
      <c r="AB594" s="67">
        <f>+D594-N594-X594</f>
        <v>7059869.4600000009</v>
      </c>
    </row>
    <row r="595" spans="1:28" x14ac:dyDescent="0.25">
      <c r="A595" s="46"/>
      <c r="B595" s="26"/>
      <c r="C595" s="4" t="s">
        <v>36</v>
      </c>
      <c r="D595" s="68">
        <v>2879638</v>
      </c>
      <c r="E595" s="68">
        <v>2879638</v>
      </c>
      <c r="F595" s="68"/>
      <c r="G595" s="68"/>
      <c r="H595" s="67">
        <f>E595+F595</f>
        <v>2879638</v>
      </c>
      <c r="I595" s="68"/>
      <c r="J595" s="68"/>
      <c r="K595" s="68"/>
      <c r="L595" s="68"/>
      <c r="M595" s="68"/>
      <c r="N595" s="67">
        <f>H595+L595</f>
        <v>2879638</v>
      </c>
      <c r="O595" s="68"/>
      <c r="P595" s="68"/>
      <c r="Q595" s="68"/>
      <c r="R595" s="67">
        <f>O595+P595</f>
        <v>0</v>
      </c>
      <c r="S595" s="68"/>
      <c r="T595" s="68"/>
      <c r="U595" s="68"/>
      <c r="V595" s="68"/>
      <c r="W595" s="68"/>
      <c r="X595" s="67">
        <f>R595+V595</f>
        <v>0</v>
      </c>
      <c r="Y595" s="67">
        <f>R595+H595</f>
        <v>2879638</v>
      </c>
      <c r="Z595" s="67">
        <f>D595-Y595</f>
        <v>0</v>
      </c>
      <c r="AA595" s="67">
        <f>N595+X595</f>
        <v>2879638</v>
      </c>
      <c r="AB595" s="67">
        <f>+D595-N595-X595</f>
        <v>0</v>
      </c>
    </row>
    <row r="596" spans="1:28" x14ac:dyDescent="0.25">
      <c r="A596" s="46"/>
      <c r="B596" s="26"/>
      <c r="C596" s="4" t="s">
        <v>53</v>
      </c>
      <c r="D596" s="68">
        <v>9903123.1400000006</v>
      </c>
      <c r="E596" s="68"/>
      <c r="F596" s="68"/>
      <c r="G596" s="68"/>
      <c r="H596" s="67">
        <f>E596+F596</f>
        <v>0</v>
      </c>
      <c r="I596" s="68"/>
      <c r="J596" s="68"/>
      <c r="K596" s="68"/>
      <c r="L596" s="68"/>
      <c r="M596" s="68"/>
      <c r="N596" s="67">
        <f>H596+L596</f>
        <v>0</v>
      </c>
      <c r="O596" s="68">
        <v>9903123.1400000006</v>
      </c>
      <c r="P596" s="68"/>
      <c r="Q596" s="68"/>
      <c r="R596" s="67">
        <f>O596+P596</f>
        <v>9903123.1400000006</v>
      </c>
      <c r="S596" s="68"/>
      <c r="T596" s="68"/>
      <c r="U596" s="68"/>
      <c r="V596" s="68"/>
      <c r="W596" s="68"/>
      <c r="X596" s="67">
        <f>R596+V596</f>
        <v>9903123.1400000006</v>
      </c>
      <c r="Y596" s="67">
        <f>R596+H596</f>
        <v>9903123.1400000006</v>
      </c>
      <c r="Z596" s="67">
        <f>D596-Y596</f>
        <v>0</v>
      </c>
      <c r="AA596" s="67">
        <f>N596+X596</f>
        <v>9903123.1400000006</v>
      </c>
      <c r="AB596" s="67">
        <f>+D596-N596-X596</f>
        <v>0</v>
      </c>
    </row>
    <row r="597" spans="1:28" x14ac:dyDescent="0.25">
      <c r="A597" s="46"/>
      <c r="B597" s="26"/>
      <c r="C597" s="4" t="s">
        <v>38</v>
      </c>
      <c r="D597" s="68">
        <f>2516000-2516000</f>
        <v>0</v>
      </c>
      <c r="E597" s="68"/>
      <c r="F597" s="68"/>
      <c r="G597" s="68"/>
      <c r="H597" s="67">
        <f>E597+F597</f>
        <v>0</v>
      </c>
      <c r="I597" s="68"/>
      <c r="J597" s="68"/>
      <c r="K597" s="68"/>
      <c r="L597" s="68"/>
      <c r="M597" s="68"/>
      <c r="N597" s="67">
        <f>H597+L597</f>
        <v>0</v>
      </c>
      <c r="O597" s="68"/>
      <c r="P597" s="68"/>
      <c r="Q597" s="68"/>
      <c r="R597" s="67">
        <f>O597+P597</f>
        <v>0</v>
      </c>
      <c r="S597" s="68"/>
      <c r="T597" s="68"/>
      <c r="U597" s="68"/>
      <c r="V597" s="68"/>
      <c r="W597" s="68"/>
      <c r="X597" s="67">
        <f>R597+V597</f>
        <v>0</v>
      </c>
      <c r="Y597" s="67">
        <f>R597+H597</f>
        <v>0</v>
      </c>
      <c r="Z597" s="67">
        <f>D597-Y597</f>
        <v>0</v>
      </c>
      <c r="AA597" s="67">
        <f>N597+X597</f>
        <v>0</v>
      </c>
      <c r="AB597" s="67">
        <f>+D597-N597-X597</f>
        <v>0</v>
      </c>
    </row>
    <row r="598" spans="1:28" x14ac:dyDescent="0.25">
      <c r="A598" s="46"/>
      <c r="B598" s="26"/>
      <c r="C598" s="4" t="s">
        <v>54</v>
      </c>
      <c r="D598" s="68">
        <f>1422221.68+2516000+1158145.09</f>
        <v>5096366.7699999996</v>
      </c>
      <c r="E598" s="68"/>
      <c r="F598" s="68"/>
      <c r="G598" s="68"/>
      <c r="H598" s="67">
        <f>E598+F598</f>
        <v>0</v>
      </c>
      <c r="I598" s="68"/>
      <c r="J598" s="68"/>
      <c r="K598" s="68"/>
      <c r="L598" s="68"/>
      <c r="M598" s="68"/>
      <c r="N598" s="67">
        <f>H598+L598</f>
        <v>0</v>
      </c>
      <c r="O598" s="68">
        <v>5096366.7699999996</v>
      </c>
      <c r="P598" s="68"/>
      <c r="Q598" s="68"/>
      <c r="R598" s="67">
        <f>O598+P598</f>
        <v>5096366.7699999996</v>
      </c>
      <c r="S598" s="68"/>
      <c r="T598" s="68"/>
      <c r="U598" s="68"/>
      <c r="V598" s="68"/>
      <c r="W598" s="68"/>
      <c r="X598" s="67">
        <f>R598+V598</f>
        <v>5096366.7699999996</v>
      </c>
      <c r="Y598" s="67">
        <f>R598+H598</f>
        <v>5096366.7699999996</v>
      </c>
      <c r="Z598" s="67">
        <f>D598-Y598</f>
        <v>0</v>
      </c>
      <c r="AA598" s="67">
        <f>N598+X598</f>
        <v>5096366.7699999996</v>
      </c>
      <c r="AB598" s="67">
        <f>+D598-N598-X598</f>
        <v>0</v>
      </c>
    </row>
    <row r="599" spans="1:28" x14ac:dyDescent="0.25">
      <c r="A599" s="46"/>
      <c r="B599" s="26"/>
      <c r="C599" s="4"/>
      <c r="D599" s="70" t="s">
        <v>40</v>
      </c>
      <c r="E599" s="70" t="s">
        <v>40</v>
      </c>
      <c r="F599" s="70" t="s">
        <v>40</v>
      </c>
      <c r="G599" s="70"/>
      <c r="H599" s="70" t="s">
        <v>40</v>
      </c>
      <c r="I599" s="70" t="s">
        <v>40</v>
      </c>
      <c r="J599" s="70" t="s">
        <v>40</v>
      </c>
      <c r="K599" s="70" t="s">
        <v>40</v>
      </c>
      <c r="L599" s="70" t="s">
        <v>40</v>
      </c>
      <c r="M599" s="70"/>
      <c r="N599" s="70" t="s">
        <v>40</v>
      </c>
      <c r="O599" s="70" t="s">
        <v>40</v>
      </c>
      <c r="P599" s="70" t="s">
        <v>40</v>
      </c>
      <c r="Q599" s="70"/>
      <c r="R599" s="70" t="s">
        <v>40</v>
      </c>
      <c r="S599" s="70" t="s">
        <v>40</v>
      </c>
      <c r="T599" s="70" t="s">
        <v>40</v>
      </c>
      <c r="U599" s="70" t="s">
        <v>40</v>
      </c>
      <c r="V599" s="70" t="s">
        <v>40</v>
      </c>
      <c r="W599" s="70"/>
      <c r="X599" s="70" t="s">
        <v>40</v>
      </c>
      <c r="Y599" s="70" t="s">
        <v>40</v>
      </c>
      <c r="Z599" s="70" t="s">
        <v>40</v>
      </c>
      <c r="AA599" s="70" t="s">
        <v>40</v>
      </c>
      <c r="AB599" s="70" t="s">
        <v>40</v>
      </c>
    </row>
    <row r="600" spans="1:28" x14ac:dyDescent="0.25">
      <c r="A600" s="46"/>
      <c r="B600" s="26"/>
      <c r="C600" s="4"/>
      <c r="D600" s="68">
        <f>SUM(D594:D598)</f>
        <v>24938997.370000001</v>
      </c>
      <c r="E600" s="68">
        <f t="shared" ref="E600:AB600" si="223">SUM(E594:E598)</f>
        <v>2879638</v>
      </c>
      <c r="F600" s="68">
        <f t="shared" si="223"/>
        <v>0</v>
      </c>
      <c r="G600" s="68"/>
      <c r="H600" s="68">
        <f t="shared" si="223"/>
        <v>2879638</v>
      </c>
      <c r="I600" s="68">
        <f t="shared" si="223"/>
        <v>0</v>
      </c>
      <c r="J600" s="68">
        <f t="shared" si="223"/>
        <v>0</v>
      </c>
      <c r="K600" s="68">
        <f t="shared" si="223"/>
        <v>0</v>
      </c>
      <c r="L600" s="68">
        <f t="shared" si="223"/>
        <v>0</v>
      </c>
      <c r="M600" s="68"/>
      <c r="N600" s="68">
        <f t="shared" si="223"/>
        <v>2879638</v>
      </c>
      <c r="O600" s="68">
        <f t="shared" si="223"/>
        <v>14999489.91</v>
      </c>
      <c r="P600" s="68">
        <f t="shared" si="223"/>
        <v>0</v>
      </c>
      <c r="Q600" s="68"/>
      <c r="R600" s="68">
        <f t="shared" si="223"/>
        <v>14999489.91</v>
      </c>
      <c r="S600" s="68">
        <f t="shared" si="223"/>
        <v>0</v>
      </c>
      <c r="T600" s="68">
        <f t="shared" si="223"/>
        <v>0</v>
      </c>
      <c r="U600" s="68">
        <f t="shared" si="223"/>
        <v>0</v>
      </c>
      <c r="V600" s="68">
        <f t="shared" si="223"/>
        <v>0</v>
      </c>
      <c r="W600" s="68"/>
      <c r="X600" s="68">
        <f t="shared" si="223"/>
        <v>14999489.91</v>
      </c>
      <c r="Y600" s="68">
        <f t="shared" si="223"/>
        <v>17879127.91</v>
      </c>
      <c r="Z600" s="68">
        <f t="shared" si="223"/>
        <v>7059869.4600000009</v>
      </c>
      <c r="AA600" s="68">
        <f t="shared" si="223"/>
        <v>17879127.91</v>
      </c>
      <c r="AB600" s="68">
        <f t="shared" si="223"/>
        <v>7059869.4600000009</v>
      </c>
    </row>
    <row r="601" spans="1:28" x14ac:dyDescent="0.25">
      <c r="A601" s="46"/>
      <c r="B601" s="26"/>
      <c r="C601" s="4"/>
      <c r="D601" s="70" t="s">
        <v>40</v>
      </c>
      <c r="E601" s="70" t="s">
        <v>40</v>
      </c>
      <c r="F601" s="70" t="s">
        <v>40</v>
      </c>
      <c r="G601" s="70"/>
      <c r="H601" s="70" t="s">
        <v>40</v>
      </c>
      <c r="I601" s="70" t="s">
        <v>40</v>
      </c>
      <c r="J601" s="70" t="s">
        <v>40</v>
      </c>
      <c r="K601" s="70" t="s">
        <v>40</v>
      </c>
      <c r="L601" s="70" t="s">
        <v>40</v>
      </c>
      <c r="M601" s="70"/>
      <c r="N601" s="70" t="s">
        <v>40</v>
      </c>
      <c r="O601" s="70" t="s">
        <v>40</v>
      </c>
      <c r="P601" s="70" t="s">
        <v>40</v>
      </c>
      <c r="Q601" s="70"/>
      <c r="R601" s="70" t="s">
        <v>40</v>
      </c>
      <c r="S601" s="70" t="s">
        <v>40</v>
      </c>
      <c r="T601" s="70" t="s">
        <v>40</v>
      </c>
      <c r="U601" s="70" t="s">
        <v>40</v>
      </c>
      <c r="V601" s="70" t="s">
        <v>40</v>
      </c>
      <c r="W601" s="70"/>
      <c r="X601" s="70" t="s">
        <v>40</v>
      </c>
      <c r="Y601" s="70" t="s">
        <v>40</v>
      </c>
      <c r="Z601" s="70" t="s">
        <v>40</v>
      </c>
      <c r="AA601" s="70" t="s">
        <v>40</v>
      </c>
      <c r="AB601" s="70" t="s">
        <v>40</v>
      </c>
    </row>
    <row r="602" spans="1:28" x14ac:dyDescent="0.25">
      <c r="A602" s="46">
        <v>64</v>
      </c>
      <c r="B602" s="26" t="s">
        <v>204</v>
      </c>
      <c r="C602" s="2" t="s">
        <v>35</v>
      </c>
      <c r="D602" s="68">
        <v>390829.87</v>
      </c>
      <c r="E602" s="68"/>
      <c r="F602" s="68"/>
      <c r="G602" s="68"/>
      <c r="H602" s="67">
        <f>E602+F602</f>
        <v>0</v>
      </c>
      <c r="I602" s="68"/>
      <c r="J602" s="68"/>
      <c r="K602" s="68"/>
      <c r="L602" s="68"/>
      <c r="M602" s="68"/>
      <c r="N602" s="67">
        <f>H602+L602</f>
        <v>0</v>
      </c>
      <c r="O602" s="68">
        <v>137288.60999999999</v>
      </c>
      <c r="P602" s="68"/>
      <c r="Q602" s="68"/>
      <c r="R602" s="67">
        <f>O602+P602</f>
        <v>137288.60999999999</v>
      </c>
      <c r="S602" s="68"/>
      <c r="T602" s="68"/>
      <c r="U602" s="68"/>
      <c r="V602" s="68"/>
      <c r="W602" s="68"/>
      <c r="X602" s="67">
        <f>R602+V602</f>
        <v>137288.60999999999</v>
      </c>
      <c r="Y602" s="67">
        <f>R602+H602</f>
        <v>137288.60999999999</v>
      </c>
      <c r="Z602" s="67">
        <f>D602-Y602</f>
        <v>253541.26</v>
      </c>
      <c r="AA602" s="67">
        <f>N602+X602</f>
        <v>137288.60999999999</v>
      </c>
      <c r="AB602" s="67">
        <f>+D602-N602-X602</f>
        <v>253541.26</v>
      </c>
    </row>
    <row r="603" spans="1:28" x14ac:dyDescent="0.25">
      <c r="A603" s="46"/>
      <c r="B603" s="26"/>
      <c r="C603" s="4" t="s">
        <v>36</v>
      </c>
      <c r="D603" s="68">
        <v>1048781</v>
      </c>
      <c r="E603" s="68">
        <v>1048781</v>
      </c>
      <c r="F603" s="68"/>
      <c r="G603" s="68"/>
      <c r="H603" s="67">
        <f>E603+F603</f>
        <v>1048781</v>
      </c>
      <c r="I603" s="68"/>
      <c r="J603" s="68"/>
      <c r="K603" s="68"/>
      <c r="L603" s="68"/>
      <c r="M603" s="68"/>
      <c r="N603" s="67">
        <f>H603+L603</f>
        <v>1048781</v>
      </c>
      <c r="O603" s="68"/>
      <c r="P603" s="68"/>
      <c r="Q603" s="68"/>
      <c r="R603" s="67">
        <f>O603+P603</f>
        <v>0</v>
      </c>
      <c r="S603" s="68"/>
      <c r="T603" s="68"/>
      <c r="U603" s="68"/>
      <c r="V603" s="68"/>
      <c r="W603" s="68"/>
      <c r="X603" s="67">
        <f>R603+V603</f>
        <v>0</v>
      </c>
      <c r="Y603" s="67">
        <f>R603+H603</f>
        <v>1048781</v>
      </c>
      <c r="Z603" s="67">
        <f>D603-Y603</f>
        <v>0</v>
      </c>
      <c r="AA603" s="67">
        <f>N603+X603</f>
        <v>1048781</v>
      </c>
      <c r="AB603" s="67">
        <f>+D603-N603-X603</f>
        <v>0</v>
      </c>
    </row>
    <row r="604" spans="1:28" x14ac:dyDescent="0.25">
      <c r="C604" s="4" t="s">
        <v>305</v>
      </c>
      <c r="D604" s="55">
        <v>48814406.009999998</v>
      </c>
      <c r="E604" s="55"/>
      <c r="F604" s="55">
        <v>48814406.009999998</v>
      </c>
      <c r="G604" s="55"/>
      <c r="H604" s="55">
        <f>+E604+F604</f>
        <v>48814406.009999998</v>
      </c>
      <c r="I604" s="55"/>
      <c r="J604" s="55"/>
      <c r="K604" s="55"/>
      <c r="L604" s="55"/>
      <c r="M604" s="55"/>
      <c r="N604" s="55">
        <f>+H604+L604</f>
        <v>48814406.009999998</v>
      </c>
      <c r="O604" s="55"/>
      <c r="P604" s="55"/>
      <c r="Q604" s="55"/>
      <c r="R604" s="55">
        <f>+O604+P604</f>
        <v>0</v>
      </c>
      <c r="S604" s="55"/>
      <c r="T604" s="55"/>
      <c r="U604" s="55"/>
      <c r="V604" s="55"/>
      <c r="W604" s="55"/>
      <c r="X604" s="55">
        <f>+R604+V604</f>
        <v>0</v>
      </c>
      <c r="Y604" s="67">
        <f>R604+H604</f>
        <v>48814406.009999998</v>
      </c>
      <c r="Z604" s="67">
        <f>D604-Y604</f>
        <v>0</v>
      </c>
      <c r="AA604" s="67">
        <f>N604+X604</f>
        <v>48814406.009999998</v>
      </c>
      <c r="AB604" s="67">
        <f>+D604-N604-X604</f>
        <v>0</v>
      </c>
    </row>
    <row r="605" spans="1:28" x14ac:dyDescent="0.25">
      <c r="A605" s="46"/>
      <c r="B605" s="26"/>
      <c r="C605" s="4" t="s">
        <v>183</v>
      </c>
      <c r="D605" s="68">
        <v>8999353.7200000007</v>
      </c>
      <c r="E605" s="68"/>
      <c r="F605" s="68"/>
      <c r="G605" s="68"/>
      <c r="H605" s="67">
        <f>E605+F605</f>
        <v>0</v>
      </c>
      <c r="I605" s="68"/>
      <c r="J605" s="68"/>
      <c r="K605" s="68"/>
      <c r="L605" s="68"/>
      <c r="M605" s="68"/>
      <c r="N605" s="67">
        <f>H605+L605</f>
        <v>0</v>
      </c>
      <c r="O605" s="68"/>
      <c r="P605" s="68"/>
      <c r="Q605" s="68"/>
      <c r="R605" s="67">
        <f>O605+P605</f>
        <v>0</v>
      </c>
      <c r="S605" s="68"/>
      <c r="T605" s="68"/>
      <c r="U605" s="68"/>
      <c r="V605" s="68"/>
      <c r="W605" s="68"/>
      <c r="X605" s="67">
        <f>R605+V605</f>
        <v>0</v>
      </c>
      <c r="Y605" s="67">
        <f>R605+H605</f>
        <v>0</v>
      </c>
      <c r="Z605" s="67">
        <f>D605-Y605</f>
        <v>8999353.7200000007</v>
      </c>
      <c r="AA605" s="67">
        <f>N605+X605</f>
        <v>0</v>
      </c>
      <c r="AB605" s="67">
        <f>+D605-N605-X605</f>
        <v>8999353.7200000007</v>
      </c>
    </row>
    <row r="606" spans="1:28" x14ac:dyDescent="0.25">
      <c r="A606" s="46"/>
      <c r="B606" s="26"/>
      <c r="C606" s="4" t="s">
        <v>184</v>
      </c>
      <c r="D606" s="68">
        <v>0</v>
      </c>
      <c r="E606" s="68"/>
      <c r="F606" s="68"/>
      <c r="G606" s="68"/>
      <c r="H606" s="67">
        <f>E606+F606</f>
        <v>0</v>
      </c>
      <c r="I606" s="68"/>
      <c r="J606" s="68"/>
      <c r="K606" s="68"/>
      <c r="L606" s="68"/>
      <c r="M606" s="68"/>
      <c r="N606" s="67">
        <f>H606+L606</f>
        <v>0</v>
      </c>
      <c r="O606" s="68"/>
      <c r="P606" s="68"/>
      <c r="Q606" s="68"/>
      <c r="R606" s="67">
        <f>O606+P606</f>
        <v>0</v>
      </c>
      <c r="S606" s="68"/>
      <c r="T606" s="68"/>
      <c r="U606" s="68"/>
      <c r="V606" s="68"/>
      <c r="W606" s="68"/>
      <c r="X606" s="67">
        <f>R606+V606</f>
        <v>0</v>
      </c>
      <c r="Y606" s="67">
        <f>R606+H606</f>
        <v>0</v>
      </c>
      <c r="Z606" s="67">
        <f>D606-Y606</f>
        <v>0</v>
      </c>
      <c r="AA606" s="67">
        <f>N606+X606</f>
        <v>0</v>
      </c>
      <c r="AB606" s="67">
        <f>+D606-N606-X606</f>
        <v>0</v>
      </c>
    </row>
    <row r="607" spans="1:28" x14ac:dyDescent="0.25">
      <c r="A607" s="46"/>
      <c r="B607" s="26"/>
      <c r="C607" s="4"/>
      <c r="D607" s="70" t="s">
        <v>40</v>
      </c>
      <c r="E607" s="70" t="s">
        <v>40</v>
      </c>
      <c r="F607" s="70" t="s">
        <v>40</v>
      </c>
      <c r="G607" s="70"/>
      <c r="H607" s="70" t="s">
        <v>40</v>
      </c>
      <c r="I607" s="70" t="s">
        <v>40</v>
      </c>
      <c r="J607" s="70" t="s">
        <v>40</v>
      </c>
      <c r="K607" s="70" t="s">
        <v>40</v>
      </c>
      <c r="L607" s="70" t="s">
        <v>40</v>
      </c>
      <c r="M607" s="70"/>
      <c r="N607" s="70" t="s">
        <v>40</v>
      </c>
      <c r="O607" s="70" t="s">
        <v>40</v>
      </c>
      <c r="P607" s="70" t="s">
        <v>40</v>
      </c>
      <c r="Q607" s="70"/>
      <c r="R607" s="70" t="s">
        <v>40</v>
      </c>
      <c r="S607" s="70" t="s">
        <v>40</v>
      </c>
      <c r="T607" s="70" t="s">
        <v>40</v>
      </c>
      <c r="U607" s="70" t="s">
        <v>40</v>
      </c>
      <c r="V607" s="70" t="s">
        <v>40</v>
      </c>
      <c r="W607" s="70"/>
      <c r="X607" s="70" t="s">
        <v>40</v>
      </c>
      <c r="Y607" s="70" t="s">
        <v>40</v>
      </c>
      <c r="Z607" s="70" t="s">
        <v>40</v>
      </c>
      <c r="AA607" s="70" t="s">
        <v>40</v>
      </c>
      <c r="AB607" s="70" t="s">
        <v>40</v>
      </c>
    </row>
    <row r="608" spans="1:28" x14ac:dyDescent="0.25">
      <c r="A608" s="46"/>
      <c r="B608" s="26"/>
      <c r="C608" s="4"/>
      <c r="D608" s="68">
        <f>SUM(D602:D606)</f>
        <v>59253370.599999994</v>
      </c>
      <c r="E608" s="68">
        <f>SUM(E602:E606)</f>
        <v>1048781</v>
      </c>
      <c r="F608" s="68">
        <f>SUM(F602:F606)</f>
        <v>48814406.009999998</v>
      </c>
      <c r="G608" s="68"/>
      <c r="H608" s="68">
        <f>SUM(H602:H606)</f>
        <v>49863187.009999998</v>
      </c>
      <c r="I608" s="68">
        <f>SUM(I602:I606)</f>
        <v>0</v>
      </c>
      <c r="J608" s="68">
        <f>SUM(J602:J606)</f>
        <v>0</v>
      </c>
      <c r="K608" s="68">
        <f>SUM(K602:K606)</f>
        <v>0</v>
      </c>
      <c r="L608" s="68">
        <f>SUM(L602:L606)</f>
        <v>0</v>
      </c>
      <c r="M608" s="68"/>
      <c r="N608" s="68">
        <f>SUM(N602:N606)</f>
        <v>49863187.009999998</v>
      </c>
      <c r="O608" s="68">
        <f>SUM(O602:O606)</f>
        <v>137288.60999999999</v>
      </c>
      <c r="P608" s="68">
        <f>SUM(P602:P606)</f>
        <v>0</v>
      </c>
      <c r="Q608" s="68"/>
      <c r="R608" s="68">
        <f>SUM(R602:R606)</f>
        <v>137288.60999999999</v>
      </c>
      <c r="S608" s="68">
        <f>SUM(S602:S606)</f>
        <v>0</v>
      </c>
      <c r="T608" s="68">
        <f>SUM(T602:T606)</f>
        <v>0</v>
      </c>
      <c r="U608" s="68">
        <f>SUM(U602:U606)</f>
        <v>0</v>
      </c>
      <c r="V608" s="68">
        <f>SUM(V602:V606)</f>
        <v>0</v>
      </c>
      <c r="W608" s="68"/>
      <c r="X608" s="68">
        <f>SUM(X602:X606)</f>
        <v>137288.60999999999</v>
      </c>
      <c r="Y608" s="68">
        <f>SUM(Y602:Y606)</f>
        <v>50000475.619999997</v>
      </c>
      <c r="Z608" s="68">
        <f>SUM(Z602:Z606)</f>
        <v>9252894.9800000004</v>
      </c>
      <c r="AA608" s="68">
        <f>SUM(AA602:AA606)</f>
        <v>50000475.619999997</v>
      </c>
      <c r="AB608" s="68">
        <f>SUM(AB602:AB606)</f>
        <v>9252894.9800000004</v>
      </c>
    </row>
    <row r="609" spans="1:43" x14ac:dyDescent="0.25">
      <c r="A609" s="46"/>
      <c r="B609" s="26"/>
      <c r="C609" s="4"/>
      <c r="D609" s="70" t="s">
        <v>40</v>
      </c>
      <c r="E609" s="70" t="s">
        <v>40</v>
      </c>
      <c r="F609" s="70" t="s">
        <v>40</v>
      </c>
      <c r="G609" s="70"/>
      <c r="H609" s="70" t="s">
        <v>40</v>
      </c>
      <c r="I609" s="70" t="s">
        <v>40</v>
      </c>
      <c r="J609" s="70" t="s">
        <v>40</v>
      </c>
      <c r="K609" s="70" t="s">
        <v>40</v>
      </c>
      <c r="L609" s="70" t="s">
        <v>40</v>
      </c>
      <c r="M609" s="70"/>
      <c r="N609" s="70" t="s">
        <v>40</v>
      </c>
      <c r="O609" s="70" t="s">
        <v>40</v>
      </c>
      <c r="P609" s="70" t="s">
        <v>40</v>
      </c>
      <c r="Q609" s="70"/>
      <c r="R609" s="70" t="s">
        <v>40</v>
      </c>
      <c r="S609" s="70" t="s">
        <v>40</v>
      </c>
      <c r="T609" s="70" t="s">
        <v>40</v>
      </c>
      <c r="U609" s="70" t="s">
        <v>40</v>
      </c>
      <c r="V609" s="70" t="s">
        <v>40</v>
      </c>
      <c r="W609" s="70"/>
      <c r="X609" s="70" t="s">
        <v>40</v>
      </c>
      <c r="Y609" s="70" t="s">
        <v>40</v>
      </c>
      <c r="Z609" s="70" t="s">
        <v>40</v>
      </c>
      <c r="AA609" s="70" t="s">
        <v>40</v>
      </c>
      <c r="AB609" s="70" t="s">
        <v>40</v>
      </c>
    </row>
    <row r="610" spans="1:43" x14ac:dyDescent="0.25">
      <c r="A610" s="46">
        <v>65</v>
      </c>
      <c r="B610" s="26" t="s">
        <v>205</v>
      </c>
      <c r="C610" s="2" t="s">
        <v>35</v>
      </c>
      <c r="D610" s="68">
        <v>0</v>
      </c>
      <c r="E610" s="68"/>
      <c r="F610" s="68"/>
      <c r="G610" s="68"/>
      <c r="H610" s="67">
        <f>E610+F610</f>
        <v>0</v>
      </c>
      <c r="I610" s="68"/>
      <c r="J610" s="68"/>
      <c r="K610" s="68"/>
      <c r="L610" s="68"/>
      <c r="M610" s="68"/>
      <c r="N610" s="67">
        <f>H610+L610</f>
        <v>0</v>
      </c>
      <c r="O610" s="68"/>
      <c r="P610" s="68"/>
      <c r="Q610" s="68"/>
      <c r="R610" s="67">
        <f>O610+P610</f>
        <v>0</v>
      </c>
      <c r="S610" s="68"/>
      <c r="T610" s="68"/>
      <c r="U610" s="68"/>
      <c r="V610" s="68"/>
      <c r="W610" s="68"/>
      <c r="X610" s="67">
        <f>R610+V610</f>
        <v>0</v>
      </c>
      <c r="Y610" s="67">
        <f>R610+H610</f>
        <v>0</v>
      </c>
      <c r="Z610" s="67">
        <f>D610-Y610</f>
        <v>0</v>
      </c>
      <c r="AA610" s="67">
        <f>N610+X610</f>
        <v>0</v>
      </c>
      <c r="AB610" s="67">
        <f>+D610-N610-X610</f>
        <v>0</v>
      </c>
    </row>
    <row r="611" spans="1:43" x14ac:dyDescent="0.25">
      <c r="A611" s="46"/>
      <c r="B611" s="26"/>
      <c r="C611" s="4" t="s">
        <v>36</v>
      </c>
      <c r="D611" s="68">
        <v>1175671</v>
      </c>
      <c r="E611" s="68">
        <v>1175671</v>
      </c>
      <c r="F611" s="68"/>
      <c r="G611" s="68"/>
      <c r="H611" s="67">
        <f>E611+F611</f>
        <v>1175671</v>
      </c>
      <c r="I611" s="68"/>
      <c r="J611" s="68"/>
      <c r="K611" s="68"/>
      <c r="L611" s="68"/>
      <c r="M611" s="68"/>
      <c r="N611" s="67">
        <f>H611+L611</f>
        <v>1175671</v>
      </c>
      <c r="O611" s="68"/>
      <c r="P611" s="68"/>
      <c r="Q611" s="68"/>
      <c r="R611" s="67">
        <f>O611+P611</f>
        <v>0</v>
      </c>
      <c r="S611" s="68"/>
      <c r="T611" s="68"/>
      <c r="U611" s="68"/>
      <c r="V611" s="68"/>
      <c r="W611" s="68"/>
      <c r="X611" s="67">
        <f>R611+V611</f>
        <v>0</v>
      </c>
      <c r="Y611" s="67">
        <f>R611+H611</f>
        <v>1175671</v>
      </c>
      <c r="Z611" s="67">
        <f>D611-Y611</f>
        <v>0</v>
      </c>
      <c r="AA611" s="67">
        <f>N611+X611</f>
        <v>1175671</v>
      </c>
      <c r="AB611" s="67">
        <f>+D611-N611-X611</f>
        <v>0</v>
      </c>
    </row>
    <row r="612" spans="1:43" x14ac:dyDescent="0.25">
      <c r="C612" s="4" t="s">
        <v>317</v>
      </c>
      <c r="D612" s="55">
        <v>7200537.5</v>
      </c>
      <c r="E612" s="55">
        <v>7200537.5</v>
      </c>
      <c r="F612" s="55"/>
      <c r="G612" s="55"/>
      <c r="H612" s="55">
        <f>+E612+F612</f>
        <v>7200537.5</v>
      </c>
      <c r="I612" s="55"/>
      <c r="J612" s="55"/>
      <c r="K612" s="55"/>
      <c r="L612" s="55"/>
      <c r="M612" s="55"/>
      <c r="N612" s="55">
        <f>+H612+L612</f>
        <v>7200537.5</v>
      </c>
      <c r="O612" s="55"/>
      <c r="P612" s="55"/>
      <c r="Q612" s="55"/>
      <c r="R612" s="55">
        <f>+O612+P612</f>
        <v>0</v>
      </c>
      <c r="S612" s="55"/>
      <c r="T612" s="55"/>
      <c r="U612" s="55"/>
      <c r="V612" s="55"/>
      <c r="W612" s="55"/>
      <c r="X612" s="55">
        <f>+R612+V612</f>
        <v>0</v>
      </c>
      <c r="Y612" s="67">
        <f>R612+H612</f>
        <v>7200537.5</v>
      </c>
      <c r="Z612" s="67">
        <f>D612-Y612</f>
        <v>0</v>
      </c>
      <c r="AA612" s="67">
        <f>N612+X612</f>
        <v>7200537.5</v>
      </c>
      <c r="AB612" s="67">
        <f>+D612-N612-X612</f>
        <v>0</v>
      </c>
    </row>
    <row r="613" spans="1:43" x14ac:dyDescent="0.25">
      <c r="A613" s="46"/>
      <c r="B613" s="26"/>
      <c r="C613" s="4" t="s">
        <v>183</v>
      </c>
      <c r="D613" s="68">
        <f>30785382.77-7200537.5</f>
        <v>23584845.27</v>
      </c>
      <c r="E613" s="68"/>
      <c r="F613" s="68"/>
      <c r="G613" s="68"/>
      <c r="H613" s="67">
        <f>E613+F613</f>
        <v>0</v>
      </c>
      <c r="I613" s="68"/>
      <c r="J613" s="68"/>
      <c r="K613" s="68"/>
      <c r="L613" s="68"/>
      <c r="M613" s="68"/>
      <c r="N613" s="67">
        <f>H613+L613</f>
        <v>0</v>
      </c>
      <c r="O613" s="68"/>
      <c r="P613" s="68"/>
      <c r="Q613" s="68"/>
      <c r="R613" s="67">
        <f>O613+P613</f>
        <v>0</v>
      </c>
      <c r="S613" s="68"/>
      <c r="T613" s="68"/>
      <c r="U613" s="68"/>
      <c r="V613" s="68"/>
      <c r="W613" s="68"/>
      <c r="X613" s="67">
        <f>R613+V613</f>
        <v>0</v>
      </c>
      <c r="Y613" s="67">
        <f>R613+H613</f>
        <v>0</v>
      </c>
      <c r="Z613" s="67">
        <f>D613-Y613</f>
        <v>23584845.27</v>
      </c>
      <c r="AA613" s="67">
        <f>N613+X613</f>
        <v>0</v>
      </c>
      <c r="AB613" s="67">
        <f>+D613-N613-X613</f>
        <v>23584845.27</v>
      </c>
    </row>
    <row r="614" spans="1:43" x14ac:dyDescent="0.25">
      <c r="A614" s="46"/>
      <c r="B614" s="26"/>
      <c r="C614" s="4"/>
      <c r="D614" s="70" t="s">
        <v>40</v>
      </c>
      <c r="E614" s="70" t="s">
        <v>40</v>
      </c>
      <c r="F614" s="70" t="s">
        <v>40</v>
      </c>
      <c r="G614" s="70"/>
      <c r="H614" s="70" t="s">
        <v>40</v>
      </c>
      <c r="I614" s="70" t="s">
        <v>40</v>
      </c>
      <c r="J614" s="70" t="s">
        <v>40</v>
      </c>
      <c r="K614" s="70" t="s">
        <v>40</v>
      </c>
      <c r="L614" s="70" t="s">
        <v>40</v>
      </c>
      <c r="M614" s="70"/>
      <c r="N614" s="70" t="s">
        <v>40</v>
      </c>
      <c r="O614" s="70" t="s">
        <v>40</v>
      </c>
      <c r="P614" s="70" t="s">
        <v>40</v>
      </c>
      <c r="Q614" s="70"/>
      <c r="R614" s="70" t="s">
        <v>40</v>
      </c>
      <c r="S614" s="70" t="s">
        <v>40</v>
      </c>
      <c r="T614" s="70" t="s">
        <v>40</v>
      </c>
      <c r="U614" s="70" t="s">
        <v>40</v>
      </c>
      <c r="V614" s="70" t="s">
        <v>40</v>
      </c>
      <c r="W614" s="70"/>
      <c r="X614" s="70" t="s">
        <v>40</v>
      </c>
      <c r="Y614" s="70" t="s">
        <v>40</v>
      </c>
      <c r="Z614" s="70" t="s">
        <v>40</v>
      </c>
      <c r="AA614" s="70" t="s">
        <v>40</v>
      </c>
      <c r="AB614" s="70" t="s">
        <v>40</v>
      </c>
    </row>
    <row r="615" spans="1:43" x14ac:dyDescent="0.25">
      <c r="A615" s="46"/>
      <c r="B615" s="26"/>
      <c r="C615" s="4"/>
      <c r="D615" s="68">
        <f>SUM(D610:D613)</f>
        <v>31961053.77</v>
      </c>
      <c r="E615" s="68">
        <f>SUM(E610:E613)</f>
        <v>8376208.5</v>
      </c>
      <c r="F615" s="68">
        <f>SUM(F610:F613)</f>
        <v>0</v>
      </c>
      <c r="G615" s="68"/>
      <c r="H615" s="68">
        <f>SUM(H610:H613)</f>
        <v>8376208.5</v>
      </c>
      <c r="I615" s="68">
        <f>SUM(I610:I613)</f>
        <v>0</v>
      </c>
      <c r="J615" s="68">
        <f>SUM(J610:J613)</f>
        <v>0</v>
      </c>
      <c r="K615" s="68">
        <f>SUM(K610:K613)</f>
        <v>0</v>
      </c>
      <c r="L615" s="68">
        <f>SUM(L610:L613)</f>
        <v>0</v>
      </c>
      <c r="M615" s="68"/>
      <c r="N615" s="68">
        <f>SUM(N610:N613)</f>
        <v>8376208.5</v>
      </c>
      <c r="O615" s="68">
        <f>SUM(O610:O613)</f>
        <v>0</v>
      </c>
      <c r="P615" s="68">
        <f>SUM(P610:P613)</f>
        <v>0</v>
      </c>
      <c r="Q615" s="68"/>
      <c r="R615" s="68">
        <f>SUM(R610:R613)</f>
        <v>0</v>
      </c>
      <c r="S615" s="68">
        <f>SUM(S610:S613)</f>
        <v>0</v>
      </c>
      <c r="T615" s="68">
        <f>SUM(T610:T613)</f>
        <v>0</v>
      </c>
      <c r="U615" s="68">
        <f>SUM(U610:U613)</f>
        <v>0</v>
      </c>
      <c r="V615" s="68">
        <f>SUM(V610:V613)</f>
        <v>0</v>
      </c>
      <c r="W615" s="68"/>
      <c r="X615" s="68">
        <f>SUM(X610:X613)</f>
        <v>0</v>
      </c>
      <c r="Y615" s="68">
        <f>SUM(Y610:Y613)</f>
        <v>8376208.5</v>
      </c>
      <c r="Z615" s="68">
        <f>SUM(Z610:Z613)</f>
        <v>23584845.27</v>
      </c>
      <c r="AA615" s="68">
        <f>SUM(AA610:AA613)</f>
        <v>8376208.5</v>
      </c>
      <c r="AB615" s="68">
        <f>SUM(AB610:AB613)</f>
        <v>23584845.27</v>
      </c>
    </row>
    <row r="616" spans="1:43" x14ac:dyDescent="0.25">
      <c r="A616" s="46"/>
      <c r="B616" s="26"/>
      <c r="C616" s="4"/>
      <c r="D616" s="70" t="s">
        <v>40</v>
      </c>
      <c r="E616" s="70" t="s">
        <v>40</v>
      </c>
      <c r="F616" s="70" t="s">
        <v>40</v>
      </c>
      <c r="G616" s="70"/>
      <c r="H616" s="70" t="s">
        <v>40</v>
      </c>
      <c r="I616" s="70" t="s">
        <v>40</v>
      </c>
      <c r="J616" s="70" t="s">
        <v>40</v>
      </c>
      <c r="K616" s="70" t="s">
        <v>40</v>
      </c>
      <c r="L616" s="70" t="s">
        <v>40</v>
      </c>
      <c r="M616" s="70"/>
      <c r="N616" s="70" t="s">
        <v>40</v>
      </c>
      <c r="O616" s="70" t="s">
        <v>40</v>
      </c>
      <c r="P616" s="70" t="s">
        <v>40</v>
      </c>
      <c r="Q616" s="70"/>
      <c r="R616" s="70" t="s">
        <v>40</v>
      </c>
      <c r="S616" s="70" t="s">
        <v>40</v>
      </c>
      <c r="T616" s="70" t="s">
        <v>40</v>
      </c>
      <c r="U616" s="70" t="s">
        <v>40</v>
      </c>
      <c r="V616" s="70" t="s">
        <v>40</v>
      </c>
      <c r="W616" s="70"/>
      <c r="X616" s="70" t="s">
        <v>40</v>
      </c>
      <c r="Y616" s="70" t="s">
        <v>40</v>
      </c>
      <c r="Z616" s="70" t="s">
        <v>40</v>
      </c>
      <c r="AA616" s="70" t="s">
        <v>40</v>
      </c>
      <c r="AB616" s="70" t="s">
        <v>40</v>
      </c>
    </row>
    <row r="617" spans="1:43" x14ac:dyDescent="0.25">
      <c r="A617" s="46">
        <v>66</v>
      </c>
      <c r="B617" s="26" t="s">
        <v>206</v>
      </c>
      <c r="C617" s="2" t="s">
        <v>35</v>
      </c>
      <c r="D617" s="68">
        <v>17329614.469999999</v>
      </c>
      <c r="E617" s="68"/>
      <c r="F617" s="68"/>
      <c r="G617" s="68"/>
      <c r="H617" s="67">
        <f>E617+F617</f>
        <v>0</v>
      </c>
      <c r="I617" s="68"/>
      <c r="J617" s="68"/>
      <c r="K617" s="68"/>
      <c r="L617" s="68"/>
      <c r="M617" s="68"/>
      <c r="N617" s="67">
        <f>H617+L617</f>
        <v>0</v>
      </c>
      <c r="O617" s="68"/>
      <c r="P617" s="68"/>
      <c r="Q617" s="68"/>
      <c r="R617" s="67">
        <f>O617+P617</f>
        <v>0</v>
      </c>
      <c r="S617" s="68"/>
      <c r="T617" s="68"/>
      <c r="U617" s="68"/>
      <c r="V617" s="68"/>
      <c r="W617" s="68"/>
      <c r="X617" s="67">
        <f>R617+V617</f>
        <v>0</v>
      </c>
      <c r="Y617" s="67">
        <f t="shared" ref="Y617:Y623" si="224">R617+H617</f>
        <v>0</v>
      </c>
      <c r="Z617" s="67">
        <f t="shared" ref="Z617:Z623" si="225">D617-Y617</f>
        <v>17329614.469999999</v>
      </c>
      <c r="AA617" s="67">
        <f t="shared" ref="AA617:AA623" si="226">N617+X617</f>
        <v>0</v>
      </c>
      <c r="AB617" s="67">
        <f t="shared" ref="AB617:AB623" si="227">+D617-N617-X617</f>
        <v>17329614.469999999</v>
      </c>
    </row>
    <row r="618" spans="1:43" x14ac:dyDescent="0.25">
      <c r="C618" s="4" t="s">
        <v>298</v>
      </c>
      <c r="D618" s="55">
        <v>3000000</v>
      </c>
      <c r="E618" s="55"/>
      <c r="F618" s="55">
        <v>3000000</v>
      </c>
      <c r="G618" s="55"/>
      <c r="H618" s="55">
        <f>+E618+F618</f>
        <v>3000000</v>
      </c>
      <c r="I618" s="55"/>
      <c r="J618" s="55"/>
      <c r="K618" s="55"/>
      <c r="L618" s="55"/>
      <c r="M618" s="55"/>
      <c r="N618" s="55">
        <f>+H618+L618</f>
        <v>3000000</v>
      </c>
      <c r="O618" s="55"/>
      <c r="P618" s="55"/>
      <c r="Q618" s="55"/>
      <c r="R618" s="55">
        <f>+O618+P618</f>
        <v>0</v>
      </c>
      <c r="S618" s="55"/>
      <c r="T618" s="55"/>
      <c r="U618" s="55"/>
      <c r="V618" s="55"/>
      <c r="W618" s="55"/>
      <c r="X618" s="55">
        <f>+R618+V618</f>
        <v>0</v>
      </c>
      <c r="Y618" s="67">
        <f t="shared" si="224"/>
        <v>3000000</v>
      </c>
      <c r="Z618" s="67">
        <f t="shared" si="225"/>
        <v>0</v>
      </c>
      <c r="AA618" s="67">
        <f t="shared" si="226"/>
        <v>3000000</v>
      </c>
      <c r="AB618" s="67">
        <f t="shared" si="227"/>
        <v>0</v>
      </c>
      <c r="AC618" s="49" t="s">
        <v>298</v>
      </c>
      <c r="AD618" s="94">
        <f>+D618</f>
        <v>3000000</v>
      </c>
      <c r="AE618" s="94">
        <f>+E315</f>
        <v>0</v>
      </c>
      <c r="AF618" s="94">
        <f>+F618</f>
        <v>3000000</v>
      </c>
      <c r="AG618" s="94">
        <f>+AE618+AF618</f>
        <v>3000000</v>
      </c>
      <c r="AH618" s="94">
        <f>+L618</f>
        <v>0</v>
      </c>
      <c r="AI618" s="94">
        <f>+AG618+AH618</f>
        <v>3000000</v>
      </c>
      <c r="AJ618" s="94">
        <f>+O618</f>
        <v>0</v>
      </c>
      <c r="AK618" s="94">
        <f>+P618</f>
        <v>0</v>
      </c>
      <c r="AL618" s="94">
        <f>+AJ618+AK618</f>
        <v>0</v>
      </c>
      <c r="AM618" s="94">
        <f>+V618</f>
        <v>0</v>
      </c>
      <c r="AN618" s="94">
        <f>+AL618+AM618</f>
        <v>0</v>
      </c>
      <c r="AO618" s="94">
        <f>+AG618+AL618</f>
        <v>3000000</v>
      </c>
      <c r="AP618" s="94">
        <f>+AD618-AO618</f>
        <v>0</v>
      </c>
      <c r="AQ618" s="94">
        <f>+AD618-AI618-AN618</f>
        <v>0</v>
      </c>
    </row>
    <row r="619" spans="1:43" x14ac:dyDescent="0.25">
      <c r="A619" s="46"/>
      <c r="B619" s="26"/>
      <c r="C619" s="4" t="s">
        <v>36</v>
      </c>
      <c r="D619" s="68">
        <v>2119977</v>
      </c>
      <c r="E619" s="68">
        <v>2119977</v>
      </c>
      <c r="F619" s="68"/>
      <c r="G619" s="68"/>
      <c r="H619" s="67">
        <f>E619+F619</f>
        <v>2119977</v>
      </c>
      <c r="I619" s="68"/>
      <c r="J619" s="68"/>
      <c r="K619" s="68"/>
      <c r="L619" s="68"/>
      <c r="M619" s="68"/>
      <c r="N619" s="67">
        <f>H619+L619</f>
        <v>2119977</v>
      </c>
      <c r="O619" s="68"/>
      <c r="P619" s="68"/>
      <c r="Q619" s="68"/>
      <c r="R619" s="67">
        <f>O619+P619</f>
        <v>0</v>
      </c>
      <c r="S619" s="68"/>
      <c r="T619" s="68"/>
      <c r="U619" s="68"/>
      <c r="V619" s="68"/>
      <c r="W619" s="68"/>
      <c r="X619" s="67">
        <f>R619+V619</f>
        <v>0</v>
      </c>
      <c r="Y619" s="67">
        <f t="shared" si="224"/>
        <v>2119977</v>
      </c>
      <c r="Z619" s="67">
        <f t="shared" si="225"/>
        <v>0</v>
      </c>
      <c r="AA619" s="67">
        <f t="shared" si="226"/>
        <v>2119977</v>
      </c>
      <c r="AB619" s="67">
        <f t="shared" si="227"/>
        <v>0</v>
      </c>
      <c r="AC619" s="49" t="s">
        <v>317</v>
      </c>
      <c r="AD619" s="94">
        <f>+D612</f>
        <v>7200537.5</v>
      </c>
      <c r="AE619" s="94">
        <f>+E612</f>
        <v>7200537.5</v>
      </c>
      <c r="AF619" s="94">
        <f>+F612</f>
        <v>0</v>
      </c>
      <c r="AG619" s="94">
        <f>+AE619+AF619</f>
        <v>7200537.5</v>
      </c>
      <c r="AH619" s="94">
        <f>+L612</f>
        <v>0</v>
      </c>
      <c r="AI619" s="94">
        <f>+AG619+AH619</f>
        <v>7200537.5</v>
      </c>
      <c r="AJ619" s="94">
        <f>+O612</f>
        <v>0</v>
      </c>
      <c r="AK619" s="94">
        <f>+P612</f>
        <v>0</v>
      </c>
      <c r="AL619" s="94">
        <f>+AJ619+AK619</f>
        <v>0</v>
      </c>
      <c r="AM619" s="94">
        <f>+V612</f>
        <v>0</v>
      </c>
      <c r="AN619" s="94">
        <f>+AL619+AM619</f>
        <v>0</v>
      </c>
      <c r="AO619" s="94">
        <f>+AG619+AL619</f>
        <v>7200537.5</v>
      </c>
      <c r="AP619" s="94">
        <f>+AD619-AO619</f>
        <v>0</v>
      </c>
      <c r="AQ619" s="94">
        <f>+AD619-AI619-AN619</f>
        <v>0</v>
      </c>
    </row>
    <row r="620" spans="1:43" x14ac:dyDescent="0.25">
      <c r="A620" s="46"/>
      <c r="B620" s="26"/>
      <c r="C620" s="4" t="s">
        <v>207</v>
      </c>
      <c r="D620" s="68">
        <v>9500000</v>
      </c>
      <c r="E620" s="68">
        <v>9500000</v>
      </c>
      <c r="F620" s="68"/>
      <c r="G620" s="68"/>
      <c r="H620" s="67">
        <f>E620+F620</f>
        <v>9500000</v>
      </c>
      <c r="I620" s="68"/>
      <c r="J620" s="68"/>
      <c r="K620" s="68"/>
      <c r="L620" s="68"/>
      <c r="M620" s="68"/>
      <c r="N620" s="67">
        <f>H620+L620</f>
        <v>9500000</v>
      </c>
      <c r="O620" s="68"/>
      <c r="P620" s="68"/>
      <c r="Q620" s="68"/>
      <c r="R620" s="67">
        <f>O620+P620</f>
        <v>0</v>
      </c>
      <c r="S620" s="68"/>
      <c r="T620" s="68"/>
      <c r="U620" s="68"/>
      <c r="V620" s="68"/>
      <c r="W620" s="68"/>
      <c r="X620" s="67">
        <f>R620+V620</f>
        <v>0</v>
      </c>
      <c r="Y620" s="67">
        <f t="shared" si="224"/>
        <v>9500000</v>
      </c>
      <c r="Z620" s="67">
        <f t="shared" si="225"/>
        <v>0</v>
      </c>
      <c r="AA620" s="67">
        <f t="shared" si="226"/>
        <v>9500000</v>
      </c>
      <c r="AB620" s="67">
        <f t="shared" si="227"/>
        <v>0</v>
      </c>
      <c r="AC620" s="49" t="s">
        <v>305</v>
      </c>
      <c r="AD620" s="94">
        <f>+D570+D556+D604</f>
        <v>111259448.73999999</v>
      </c>
      <c r="AE620" s="94">
        <f>+E570+E556+E604</f>
        <v>28245625</v>
      </c>
      <c r="AF620" s="94">
        <f>+F556+F604</f>
        <v>83013823.739999995</v>
      </c>
      <c r="AG620" s="94">
        <f>+AE620+AF620</f>
        <v>111259448.73999999</v>
      </c>
      <c r="AH620" s="94">
        <f>+L556</f>
        <v>0</v>
      </c>
      <c r="AI620" s="94">
        <f>+AG620+AH620</f>
        <v>111259448.73999999</v>
      </c>
      <c r="AJ620" s="94">
        <f>+O556+O604</f>
        <v>0</v>
      </c>
      <c r="AK620" s="94">
        <f>+P556+P604</f>
        <v>0</v>
      </c>
      <c r="AL620" s="94">
        <f>+AJ620+AK620</f>
        <v>0</v>
      </c>
      <c r="AM620" s="94">
        <f>+V556+V604</f>
        <v>0</v>
      </c>
      <c r="AN620" s="94">
        <f>+AL620+AM620</f>
        <v>0</v>
      </c>
      <c r="AO620" s="94">
        <f>+AG620+AL620</f>
        <v>111259448.73999999</v>
      </c>
      <c r="AP620" s="94">
        <f>+AD620-AO620</f>
        <v>0</v>
      </c>
      <c r="AQ620" s="94">
        <f>+AD620-AI620-AN620</f>
        <v>0</v>
      </c>
    </row>
    <row r="621" spans="1:43" x14ac:dyDescent="0.25">
      <c r="A621" s="46"/>
      <c r="B621" s="26"/>
      <c r="C621" s="4" t="s">
        <v>208</v>
      </c>
      <c r="D621" s="68">
        <v>815039.36</v>
      </c>
      <c r="E621" s="68"/>
      <c r="F621" s="68"/>
      <c r="G621" s="68"/>
      <c r="H621" s="67">
        <f>E621+F621</f>
        <v>0</v>
      </c>
      <c r="I621" s="68"/>
      <c r="J621" s="68"/>
      <c r="K621" s="68"/>
      <c r="L621" s="68"/>
      <c r="M621" s="68"/>
      <c r="N621" s="67">
        <f>H621+L621</f>
        <v>0</v>
      </c>
      <c r="O621" s="68"/>
      <c r="P621" s="68"/>
      <c r="Q621" s="68"/>
      <c r="R621" s="67">
        <f>O621+P621</f>
        <v>0</v>
      </c>
      <c r="S621" s="68"/>
      <c r="T621" s="68"/>
      <c r="U621" s="68"/>
      <c r="V621" s="68"/>
      <c r="W621" s="68"/>
      <c r="X621" s="67">
        <f>R621+V621</f>
        <v>0</v>
      </c>
      <c r="Y621" s="67">
        <f t="shared" si="224"/>
        <v>0</v>
      </c>
      <c r="Z621" s="67">
        <f t="shared" si="225"/>
        <v>815039.36</v>
      </c>
      <c r="AA621" s="67">
        <f t="shared" si="226"/>
        <v>0</v>
      </c>
      <c r="AB621" s="67">
        <f t="shared" si="227"/>
        <v>815039.36</v>
      </c>
      <c r="AC621" s="49" t="s">
        <v>303</v>
      </c>
      <c r="AD621" s="94">
        <f>+D572</f>
        <v>61663490.07</v>
      </c>
      <c r="AE621" s="94">
        <f>+E572</f>
        <v>40045398.299999997</v>
      </c>
      <c r="AF621" s="94">
        <f>+F572</f>
        <v>15000000</v>
      </c>
      <c r="AG621" s="94">
        <f>+AE621+AF621</f>
        <v>55045398.299999997</v>
      </c>
      <c r="AH621" s="94">
        <f>+L572</f>
        <v>0</v>
      </c>
      <c r="AI621" s="94">
        <f>+AG621+AH621</f>
        <v>55045398.299999997</v>
      </c>
      <c r="AJ621" s="94">
        <f>+O572</f>
        <v>0</v>
      </c>
      <c r="AK621" s="94">
        <f>+P572</f>
        <v>0</v>
      </c>
      <c r="AL621" s="94">
        <f>+AJ621+AK621</f>
        <v>0</v>
      </c>
      <c r="AM621" s="94">
        <f>+V572</f>
        <v>0</v>
      </c>
      <c r="AN621" s="94">
        <f>+AL621+AM621</f>
        <v>0</v>
      </c>
      <c r="AO621" s="94">
        <f>+AG621+AL621</f>
        <v>55045398.299999997</v>
      </c>
      <c r="AP621" s="94">
        <f>+AD621-AO621</f>
        <v>6618091.7700000033</v>
      </c>
      <c r="AQ621" s="94">
        <f>+AD621-AI621-AN621</f>
        <v>6618091.7700000033</v>
      </c>
    </row>
    <row r="622" spans="1:43" x14ac:dyDescent="0.25">
      <c r="A622" s="46"/>
      <c r="B622" s="26"/>
      <c r="C622" s="4" t="s">
        <v>183</v>
      </c>
      <c r="D622" s="68">
        <v>76759930.730000004</v>
      </c>
      <c r="E622" s="68"/>
      <c r="F622" s="68"/>
      <c r="G622" s="68"/>
      <c r="H622" s="67">
        <f>E622+F622</f>
        <v>0</v>
      </c>
      <c r="I622" s="68"/>
      <c r="J622" s="68"/>
      <c r="K622" s="68"/>
      <c r="L622" s="68"/>
      <c r="M622" s="68"/>
      <c r="N622" s="67">
        <f>H622+L622</f>
        <v>0</v>
      </c>
      <c r="O622" s="68">
        <v>1138553.9099999999</v>
      </c>
      <c r="P622" s="68"/>
      <c r="Q622" s="68"/>
      <c r="R622" s="67">
        <f>O622+P622</f>
        <v>1138553.9099999999</v>
      </c>
      <c r="S622" s="68"/>
      <c r="T622" s="68"/>
      <c r="U622" s="68"/>
      <c r="V622" s="68"/>
      <c r="W622" s="68"/>
      <c r="X622" s="67">
        <f>R622+V622</f>
        <v>1138553.9099999999</v>
      </c>
      <c r="Y622" s="67">
        <f t="shared" si="224"/>
        <v>1138553.9099999999</v>
      </c>
      <c r="Z622" s="67">
        <f t="shared" si="225"/>
        <v>75621376.820000008</v>
      </c>
      <c r="AA622" s="67">
        <f t="shared" si="226"/>
        <v>1138553.9099999999</v>
      </c>
      <c r="AB622" s="67">
        <f t="shared" si="227"/>
        <v>75621376.820000008</v>
      </c>
      <c r="AC622" s="49" t="s">
        <v>47</v>
      </c>
      <c r="AD622" s="94">
        <f>D554+D562+D568+D577+D588+D594+D602+D610+D617+D627</f>
        <v>193342880</v>
      </c>
      <c r="AE622" s="94">
        <f>E554+E562+E568+E577+E588+E594+E602+E610+E617+E627</f>
        <v>31075446</v>
      </c>
      <c r="AF622" s="94">
        <f>F554+F562+F568+F577+F588+F594+F602+F610+F617+F627</f>
        <v>0</v>
      </c>
      <c r="AG622" s="94">
        <f>+AE622+AF622</f>
        <v>31075446</v>
      </c>
      <c r="AH622" s="94">
        <f>L554+L562+L568+L577+L588+L594+L602+L610+L617+L627</f>
        <v>0</v>
      </c>
      <c r="AI622" s="94">
        <f>+AG622+AH622</f>
        <v>31075446</v>
      </c>
      <c r="AJ622" s="94">
        <f>O554+O562+O568+O577+O588+O594+O602+O610+O617+O627</f>
        <v>10120085.699999999</v>
      </c>
      <c r="AK622" s="94">
        <f>P554+P562+P568+P577+P588+P594+P602+P610+P617+P627</f>
        <v>0</v>
      </c>
      <c r="AL622" s="94">
        <f>+AJ622+AK622</f>
        <v>10120085.699999999</v>
      </c>
      <c r="AM622" s="94">
        <f>V554+V562+V568+V577+V588+V594+V602+V610+V617+V627</f>
        <v>0</v>
      </c>
      <c r="AN622" s="94">
        <f>+AL622+AM622</f>
        <v>10120085.699999999</v>
      </c>
      <c r="AO622" s="94">
        <f>+AG622+AL622</f>
        <v>41195531.700000003</v>
      </c>
      <c r="AP622" s="94">
        <f>+AD622-AO622</f>
        <v>152147348.30000001</v>
      </c>
      <c r="AQ622" s="94">
        <f>+AD622-AI622-AN622</f>
        <v>152147348.30000001</v>
      </c>
    </row>
    <row r="623" spans="1:43" x14ac:dyDescent="0.25">
      <c r="A623" s="46"/>
      <c r="B623" s="26"/>
      <c r="C623" s="4" t="s">
        <v>184</v>
      </c>
      <c r="D623" s="68">
        <v>1531712.09</v>
      </c>
      <c r="E623" s="68"/>
      <c r="F623" s="68"/>
      <c r="G623" s="68"/>
      <c r="H623" s="67">
        <f>E623+F623</f>
        <v>0</v>
      </c>
      <c r="I623" s="68"/>
      <c r="J623" s="68"/>
      <c r="K623" s="68"/>
      <c r="L623" s="68"/>
      <c r="M623" s="68"/>
      <c r="N623" s="67">
        <f>H623+L623</f>
        <v>0</v>
      </c>
      <c r="O623" s="68"/>
      <c r="P623" s="68"/>
      <c r="Q623" s="68"/>
      <c r="R623" s="67">
        <f>O623+P623</f>
        <v>0</v>
      </c>
      <c r="S623" s="68"/>
      <c r="T623" s="68"/>
      <c r="U623" s="68"/>
      <c r="V623" s="68"/>
      <c r="W623" s="68"/>
      <c r="X623" s="67">
        <f>R623+V623</f>
        <v>0</v>
      </c>
      <c r="Y623" s="67">
        <f t="shared" si="224"/>
        <v>0</v>
      </c>
      <c r="Z623" s="67">
        <f t="shared" si="225"/>
        <v>1531712.09</v>
      </c>
      <c r="AA623" s="67">
        <f t="shared" si="226"/>
        <v>0</v>
      </c>
      <c r="AB623" s="67">
        <f t="shared" si="227"/>
        <v>1531712.09</v>
      </c>
      <c r="AC623" s="49" t="s">
        <v>36</v>
      </c>
      <c r="AD623" s="94">
        <f>D555+D563+D569+D578+D589+D595+D603+D611+D619+D628</f>
        <v>18305903</v>
      </c>
      <c r="AE623" s="94">
        <f>E555+E563+E569+E578+E589+E595+E603+E611+E619+E628</f>
        <v>18305903</v>
      </c>
      <c r="AF623" s="94">
        <f>F555+F563+F569+F578+F589+F595+F603+F611+F619+F628</f>
        <v>0</v>
      </c>
      <c r="AG623" s="94">
        <f t="shared" ref="AG623:AG632" si="228">+AE623+AF623</f>
        <v>18305903</v>
      </c>
      <c r="AH623" s="94">
        <f>L555+L563+L569+L578+L589+L595+L603+L611+L619+L628</f>
        <v>0</v>
      </c>
      <c r="AI623" s="94">
        <f t="shared" ref="AI623:AI632" si="229">+AG623+AH623</f>
        <v>18305903</v>
      </c>
      <c r="AJ623" s="94">
        <f>O555+O563+O569+O578+O589+O595+O603+O611+O619+O628</f>
        <v>0</v>
      </c>
      <c r="AK623" s="94">
        <f>P555+P563+P569+P578+P589+P595+P603+P611+P619+P628</f>
        <v>0</v>
      </c>
      <c r="AL623" s="94">
        <f t="shared" ref="AL623:AL632" si="230">+AJ623+AK623</f>
        <v>0</v>
      </c>
      <c r="AM623" s="94">
        <f>V555+V563+V569+V578+V589+V595+V603+V611+V619+V628</f>
        <v>0</v>
      </c>
      <c r="AN623" s="94">
        <f t="shared" ref="AN623:AN632" si="231">+AL623+AM623</f>
        <v>0</v>
      </c>
      <c r="AO623" s="94">
        <f t="shared" ref="AO623:AO632" si="232">+AG623+AL623</f>
        <v>18305903</v>
      </c>
      <c r="AP623" s="94">
        <f t="shared" ref="AP623:AP632" si="233">+AD623-AO623</f>
        <v>0</v>
      </c>
      <c r="AQ623" s="94">
        <f t="shared" ref="AQ623:AQ632" si="234">+AD623-AI623-AN623</f>
        <v>0</v>
      </c>
    </row>
    <row r="624" spans="1:43" x14ac:dyDescent="0.25">
      <c r="A624" s="46"/>
      <c r="B624" s="26"/>
      <c r="C624" s="4"/>
      <c r="D624" s="70" t="s">
        <v>40</v>
      </c>
      <c r="E624" s="70" t="s">
        <v>40</v>
      </c>
      <c r="F624" s="70" t="s">
        <v>40</v>
      </c>
      <c r="G624" s="70"/>
      <c r="H624" s="70" t="s">
        <v>40</v>
      </c>
      <c r="I624" s="70" t="s">
        <v>40</v>
      </c>
      <c r="J624" s="70" t="s">
        <v>40</v>
      </c>
      <c r="K624" s="70" t="s">
        <v>40</v>
      </c>
      <c r="L624" s="70" t="s">
        <v>40</v>
      </c>
      <c r="M624" s="70"/>
      <c r="N624" s="70" t="s">
        <v>40</v>
      </c>
      <c r="O624" s="70" t="s">
        <v>40</v>
      </c>
      <c r="P624" s="70" t="s">
        <v>40</v>
      </c>
      <c r="Q624" s="70"/>
      <c r="R624" s="70" t="s">
        <v>40</v>
      </c>
      <c r="S624" s="70" t="s">
        <v>40</v>
      </c>
      <c r="T624" s="70" t="s">
        <v>40</v>
      </c>
      <c r="U624" s="70" t="s">
        <v>40</v>
      </c>
      <c r="V624" s="70" t="s">
        <v>40</v>
      </c>
      <c r="W624" s="70"/>
      <c r="X624" s="70" t="s">
        <v>40</v>
      </c>
      <c r="Y624" s="70" t="s">
        <v>40</v>
      </c>
      <c r="Z624" s="70" t="s">
        <v>40</v>
      </c>
      <c r="AA624" s="70" t="s">
        <v>40</v>
      </c>
      <c r="AB624" s="70" t="s">
        <v>40</v>
      </c>
      <c r="AC624" s="49" t="s">
        <v>183</v>
      </c>
      <c r="AD624" s="94">
        <f>D558+D571+D579+D590+D605+D613+D622</f>
        <v>160194175.11000001</v>
      </c>
      <c r="AE624" s="94">
        <f>E558+E571+E579+E590+E605+E613+E622</f>
        <v>0</v>
      </c>
      <c r="AF624" s="94">
        <f>F558+F571+F579+F590+F605+F613+F622</f>
        <v>0</v>
      </c>
      <c r="AG624" s="94">
        <f t="shared" si="228"/>
        <v>0</v>
      </c>
      <c r="AH624" s="94">
        <f>L558+L571+L579+L590+L605+L613+L622</f>
        <v>0</v>
      </c>
      <c r="AI624" s="94">
        <f t="shared" si="229"/>
        <v>0</v>
      </c>
      <c r="AJ624" s="94">
        <f>O558+O571+O579+O590+O605+O613+O622</f>
        <v>23249777.560000002</v>
      </c>
      <c r="AK624" s="94">
        <f>P558+P571+P579+P590+P605+P613+P622</f>
        <v>0</v>
      </c>
      <c r="AL624" s="94">
        <f t="shared" si="230"/>
        <v>23249777.560000002</v>
      </c>
      <c r="AM624" s="94">
        <f>V558+V571+V579+V590+V605+V613+V622</f>
        <v>0</v>
      </c>
      <c r="AN624" s="94">
        <f t="shared" si="231"/>
        <v>23249777.560000002</v>
      </c>
      <c r="AO624" s="94">
        <f t="shared" si="232"/>
        <v>23249777.560000002</v>
      </c>
      <c r="AP624" s="94">
        <f t="shared" si="233"/>
        <v>136944397.55000001</v>
      </c>
      <c r="AQ624" s="94">
        <f t="shared" si="234"/>
        <v>136944397.55000001</v>
      </c>
    </row>
    <row r="625" spans="1:43" x14ac:dyDescent="0.25">
      <c r="A625" s="46"/>
      <c r="B625" s="26"/>
      <c r="C625" s="4"/>
      <c r="D625" s="68">
        <f>SUM(D617:D623)</f>
        <v>111056273.65000001</v>
      </c>
      <c r="E625" s="68">
        <f>SUM(E617:E623)</f>
        <v>11619977</v>
      </c>
      <c r="F625" s="68">
        <f>SUM(F617:F623)</f>
        <v>3000000</v>
      </c>
      <c r="G625" s="68"/>
      <c r="H625" s="68">
        <f>SUM(H617:H623)</f>
        <v>14619977</v>
      </c>
      <c r="I625" s="68">
        <f>SUM(I617:I623)</f>
        <v>0</v>
      </c>
      <c r="J625" s="68">
        <f>SUM(J617:J623)</f>
        <v>0</v>
      </c>
      <c r="K625" s="68">
        <f>SUM(K617:K623)</f>
        <v>0</v>
      </c>
      <c r="L625" s="68">
        <f>SUM(L617:L623)</f>
        <v>0</v>
      </c>
      <c r="M625" s="68"/>
      <c r="N625" s="68">
        <f>SUM(N617:N623)</f>
        <v>14619977</v>
      </c>
      <c r="O625" s="68">
        <f>SUM(O617:O623)</f>
        <v>1138553.9099999999</v>
      </c>
      <c r="P625" s="68">
        <f>SUM(P617:P623)</f>
        <v>0</v>
      </c>
      <c r="Q625" s="68"/>
      <c r="R625" s="68">
        <f>SUM(R617:R623)</f>
        <v>1138553.9099999999</v>
      </c>
      <c r="S625" s="68">
        <f>SUM(S617:S623)</f>
        <v>0</v>
      </c>
      <c r="T625" s="68">
        <f>SUM(T617:T623)</f>
        <v>0</v>
      </c>
      <c r="U625" s="68">
        <f>SUM(U617:U623)</f>
        <v>0</v>
      </c>
      <c r="V625" s="68">
        <f>SUM(V617:V623)</f>
        <v>0</v>
      </c>
      <c r="W625" s="68"/>
      <c r="X625" s="68">
        <f>SUM(X617:X623)</f>
        <v>1138553.9099999999</v>
      </c>
      <c r="Y625" s="68">
        <f>SUM(Y617:Y623)</f>
        <v>15758530.91</v>
      </c>
      <c r="Z625" s="68">
        <f>SUM(Z617:Z623)</f>
        <v>95297742.74000001</v>
      </c>
      <c r="AA625" s="68">
        <f>SUM(AA617:AA623)</f>
        <v>15758530.91</v>
      </c>
      <c r="AB625" s="68">
        <f>SUM(AB617:AB623)</f>
        <v>95297742.74000001</v>
      </c>
      <c r="AC625" s="49" t="s">
        <v>184</v>
      </c>
      <c r="AD625" s="94">
        <f>D581+D606+D623</f>
        <v>1531712.09</v>
      </c>
      <c r="AE625" s="94">
        <f>E581+E606+E623</f>
        <v>0</v>
      </c>
      <c r="AF625" s="94">
        <f>F581+F606+F623</f>
        <v>0</v>
      </c>
      <c r="AG625" s="94">
        <f t="shared" si="228"/>
        <v>0</v>
      </c>
      <c r="AH625" s="94">
        <f>L581+L606+L623</f>
        <v>0</v>
      </c>
      <c r="AI625" s="94">
        <f t="shared" si="229"/>
        <v>0</v>
      </c>
      <c r="AJ625" s="94">
        <f>O581+O606+O623</f>
        <v>0</v>
      </c>
      <c r="AK625" s="94">
        <f>P581+P606+P623</f>
        <v>0</v>
      </c>
      <c r="AL625" s="94">
        <f t="shared" si="230"/>
        <v>0</v>
      </c>
      <c r="AM625" s="94">
        <f>V581+V606+V623</f>
        <v>0</v>
      </c>
      <c r="AN625" s="94">
        <f t="shared" si="231"/>
        <v>0</v>
      </c>
      <c r="AO625" s="94">
        <f t="shared" si="232"/>
        <v>0</v>
      </c>
      <c r="AP625" s="94">
        <f t="shared" si="233"/>
        <v>1531712.09</v>
      </c>
      <c r="AQ625" s="94">
        <f t="shared" si="234"/>
        <v>1531712.09</v>
      </c>
    </row>
    <row r="626" spans="1:43" x14ac:dyDescent="0.25">
      <c r="A626" s="46"/>
      <c r="B626" s="26"/>
      <c r="C626" s="4"/>
      <c r="D626" s="70" t="s">
        <v>40</v>
      </c>
      <c r="E626" s="70" t="s">
        <v>40</v>
      </c>
      <c r="F626" s="70" t="s">
        <v>40</v>
      </c>
      <c r="G626" s="70"/>
      <c r="H626" s="70" t="s">
        <v>40</v>
      </c>
      <c r="I626" s="70" t="s">
        <v>40</v>
      </c>
      <c r="J626" s="70" t="s">
        <v>40</v>
      </c>
      <c r="K626" s="70" t="s">
        <v>40</v>
      </c>
      <c r="L626" s="70" t="s">
        <v>40</v>
      </c>
      <c r="M626" s="70"/>
      <c r="N626" s="70" t="s">
        <v>40</v>
      </c>
      <c r="O626" s="70" t="s">
        <v>40</v>
      </c>
      <c r="P626" s="70" t="s">
        <v>40</v>
      </c>
      <c r="Q626" s="70"/>
      <c r="R626" s="70" t="s">
        <v>40</v>
      </c>
      <c r="S626" s="70" t="s">
        <v>40</v>
      </c>
      <c r="T626" s="70" t="s">
        <v>40</v>
      </c>
      <c r="U626" s="70" t="s">
        <v>40</v>
      </c>
      <c r="V626" s="70" t="s">
        <v>40</v>
      </c>
      <c r="W626" s="70"/>
      <c r="X626" s="70" t="s">
        <v>40</v>
      </c>
      <c r="Y626" s="70" t="s">
        <v>40</v>
      </c>
      <c r="Z626" s="70" t="s">
        <v>40</v>
      </c>
      <c r="AA626" s="70" t="s">
        <v>40</v>
      </c>
      <c r="AB626" s="70" t="s">
        <v>40</v>
      </c>
      <c r="AC626" s="49" t="s">
        <v>38</v>
      </c>
      <c r="AD626" s="94">
        <f>D573+D580+D597</f>
        <v>1702413.45</v>
      </c>
      <c r="AE626" s="94">
        <f>E573+E580+E597</f>
        <v>0</v>
      </c>
      <c r="AF626" s="94">
        <f>F573+F580+F597</f>
        <v>0</v>
      </c>
      <c r="AG626" s="94">
        <f t="shared" si="228"/>
        <v>0</v>
      </c>
      <c r="AH626" s="94">
        <f>L573+L580+L597</f>
        <v>0</v>
      </c>
      <c r="AI626" s="94">
        <f t="shared" si="229"/>
        <v>0</v>
      </c>
      <c r="AJ626" s="94">
        <f>O573+O580+O597</f>
        <v>843176.8</v>
      </c>
      <c r="AK626" s="94">
        <f>P573+P580+P597</f>
        <v>-843176.8</v>
      </c>
      <c r="AL626" s="94">
        <f t="shared" si="230"/>
        <v>0</v>
      </c>
      <c r="AM626" s="94">
        <f>V573+V580+V597</f>
        <v>0</v>
      </c>
      <c r="AN626" s="94">
        <f t="shared" si="231"/>
        <v>0</v>
      </c>
      <c r="AO626" s="94">
        <f t="shared" si="232"/>
        <v>0</v>
      </c>
      <c r="AP626" s="94">
        <f t="shared" si="233"/>
        <v>1702413.45</v>
      </c>
      <c r="AQ626" s="94">
        <f t="shared" si="234"/>
        <v>1702413.45</v>
      </c>
    </row>
    <row r="627" spans="1:43" x14ac:dyDescent="0.25">
      <c r="A627" s="46">
        <v>67</v>
      </c>
      <c r="B627" s="26" t="s">
        <v>209</v>
      </c>
      <c r="C627" s="2" t="s">
        <v>35</v>
      </c>
      <c r="D627" s="68">
        <v>61351709.689999998</v>
      </c>
      <c r="E627" s="75"/>
      <c r="F627" s="68"/>
      <c r="G627" s="68"/>
      <c r="H627" s="67">
        <f>+E627+F627</f>
        <v>0</v>
      </c>
      <c r="I627" s="68"/>
      <c r="J627" s="68"/>
      <c r="K627" s="68"/>
      <c r="L627" s="68"/>
      <c r="M627" s="68"/>
      <c r="N627" s="67">
        <f>H627+L627</f>
        <v>0</v>
      </c>
      <c r="O627" s="68"/>
      <c r="P627" s="68"/>
      <c r="Q627" s="68"/>
      <c r="R627" s="67">
        <f>O627+P627</f>
        <v>0</v>
      </c>
      <c r="S627" s="68"/>
      <c r="T627" s="68"/>
      <c r="U627" s="68"/>
      <c r="V627" s="68"/>
      <c r="W627" s="68"/>
      <c r="X627" s="67">
        <f>R627+V627</f>
        <v>0</v>
      </c>
      <c r="Y627" s="67">
        <f>R627+H627</f>
        <v>0</v>
      </c>
      <c r="Z627" s="67">
        <f>D627-Y627</f>
        <v>61351709.689999998</v>
      </c>
      <c r="AA627" s="67">
        <f>N627+X627</f>
        <v>0</v>
      </c>
      <c r="AB627" s="67">
        <f>+D627-N627-X627</f>
        <v>61351709.689999998</v>
      </c>
      <c r="AC627" s="49" t="s">
        <v>272</v>
      </c>
      <c r="AD627" s="94">
        <f>+D629</f>
        <v>2000000</v>
      </c>
      <c r="AE627" s="94">
        <f>+E629</f>
        <v>2000000</v>
      </c>
      <c r="AF627" s="94">
        <f>+F629</f>
        <v>0</v>
      </c>
      <c r="AG627" s="94">
        <f t="shared" si="228"/>
        <v>2000000</v>
      </c>
      <c r="AH627" s="94">
        <f>+L629</f>
        <v>0</v>
      </c>
      <c r="AI627" s="94">
        <f t="shared" si="229"/>
        <v>2000000</v>
      </c>
      <c r="AJ627" s="94">
        <f>+O629</f>
        <v>0</v>
      </c>
      <c r="AK627" s="94">
        <f>+P629</f>
        <v>0</v>
      </c>
      <c r="AL627" s="94">
        <f t="shared" si="230"/>
        <v>0</v>
      </c>
      <c r="AM627" s="94">
        <f>+V629</f>
        <v>0</v>
      </c>
      <c r="AN627" s="94">
        <f t="shared" si="231"/>
        <v>0</v>
      </c>
      <c r="AO627" s="94">
        <f t="shared" si="232"/>
        <v>2000000</v>
      </c>
      <c r="AP627" s="94">
        <f t="shared" si="233"/>
        <v>0</v>
      </c>
      <c r="AQ627" s="94">
        <f t="shared" si="234"/>
        <v>0</v>
      </c>
    </row>
    <row r="628" spans="1:43" x14ac:dyDescent="0.25">
      <c r="A628" s="46"/>
      <c r="B628" s="26"/>
      <c r="C628" s="4" t="s">
        <v>36</v>
      </c>
      <c r="D628" s="68">
        <v>1185800</v>
      </c>
      <c r="E628" s="68">
        <v>1185800</v>
      </c>
      <c r="F628" s="68"/>
      <c r="G628" s="68"/>
      <c r="H628" s="67">
        <f>D628+F628</f>
        <v>1185800</v>
      </c>
      <c r="I628" s="68"/>
      <c r="J628" s="68"/>
      <c r="K628" s="68"/>
      <c r="L628" s="68"/>
      <c r="M628" s="68"/>
      <c r="N628" s="67">
        <f>H628+L628</f>
        <v>1185800</v>
      </c>
      <c r="O628" s="68"/>
      <c r="P628" s="68"/>
      <c r="Q628" s="68"/>
      <c r="R628" s="67">
        <f>O628+P628</f>
        <v>0</v>
      </c>
      <c r="S628" s="68"/>
      <c r="T628" s="68"/>
      <c r="U628" s="68"/>
      <c r="V628" s="68"/>
      <c r="W628" s="68"/>
      <c r="X628" s="67">
        <f>R628+V628</f>
        <v>0</v>
      </c>
      <c r="Y628" s="67">
        <f>R628+H628</f>
        <v>1185800</v>
      </c>
      <c r="Z628" s="67">
        <f>D628-Y628</f>
        <v>0</v>
      </c>
      <c r="AA628" s="67">
        <f>N628+X628</f>
        <v>1185800</v>
      </c>
      <c r="AB628" s="67">
        <f>+D628-N628-X628</f>
        <v>0</v>
      </c>
      <c r="AC628" s="49" t="s">
        <v>270</v>
      </c>
      <c r="AD628" s="94">
        <f>+D620</f>
        <v>9500000</v>
      </c>
      <c r="AE628" s="94">
        <f>+E620</f>
        <v>9500000</v>
      </c>
      <c r="AF628" s="94">
        <f>+F620</f>
        <v>0</v>
      </c>
      <c r="AG628" s="94">
        <f t="shared" si="228"/>
        <v>9500000</v>
      </c>
      <c r="AH628" s="94">
        <f>+L620</f>
        <v>0</v>
      </c>
      <c r="AI628" s="94">
        <f t="shared" si="229"/>
        <v>9500000</v>
      </c>
      <c r="AJ628" s="94">
        <f>+O620</f>
        <v>0</v>
      </c>
      <c r="AK628" s="94">
        <f>+P620</f>
        <v>0</v>
      </c>
      <c r="AL628" s="94">
        <f t="shared" si="230"/>
        <v>0</v>
      </c>
      <c r="AM628" s="94">
        <f>+V620</f>
        <v>0</v>
      </c>
      <c r="AN628" s="94">
        <f t="shared" si="231"/>
        <v>0</v>
      </c>
      <c r="AO628" s="94">
        <f t="shared" si="232"/>
        <v>9500000</v>
      </c>
      <c r="AP628" s="94">
        <f t="shared" si="233"/>
        <v>0</v>
      </c>
      <c r="AQ628" s="94">
        <f t="shared" si="234"/>
        <v>0</v>
      </c>
    </row>
    <row r="629" spans="1:43" x14ac:dyDescent="0.25">
      <c r="A629" s="46"/>
      <c r="B629" s="29" t="s">
        <v>269</v>
      </c>
      <c r="D629" s="68">
        <v>2000000</v>
      </c>
      <c r="E629" s="68">
        <v>2000000</v>
      </c>
      <c r="F629" s="68"/>
      <c r="G629" s="68"/>
      <c r="H629" s="67">
        <f>D629+F629</f>
        <v>2000000</v>
      </c>
      <c r="I629" s="68"/>
      <c r="J629" s="68"/>
      <c r="K629" s="68"/>
      <c r="L629" s="68"/>
      <c r="M629" s="68"/>
      <c r="N629" s="67">
        <f>H629+L629</f>
        <v>2000000</v>
      </c>
      <c r="O629" s="68"/>
      <c r="P629" s="68"/>
      <c r="Q629" s="68"/>
      <c r="R629" s="67">
        <f>O629+P629</f>
        <v>0</v>
      </c>
      <c r="S629" s="68"/>
      <c r="T629" s="68"/>
      <c r="U629" s="68"/>
      <c r="V629" s="68"/>
      <c r="W629" s="68"/>
      <c r="X629" s="67">
        <f>R629+V629</f>
        <v>0</v>
      </c>
      <c r="Y629" s="67">
        <f>R629+H629</f>
        <v>2000000</v>
      </c>
      <c r="Z629" s="67">
        <f>D629-Y629</f>
        <v>0</v>
      </c>
      <c r="AA629" s="67">
        <f>N629+X629</f>
        <v>2000000</v>
      </c>
      <c r="AB629" s="67">
        <f>+D629-N629-X629</f>
        <v>0</v>
      </c>
      <c r="AC629" s="49" t="s">
        <v>267</v>
      </c>
      <c r="AD629" s="94">
        <f>+D582</f>
        <v>10000000</v>
      </c>
      <c r="AE629" s="94">
        <f>+E582</f>
        <v>6791289.1600000001</v>
      </c>
      <c r="AF629" s="94">
        <f>+F582</f>
        <v>0</v>
      </c>
      <c r="AG629" s="94">
        <f t="shared" si="228"/>
        <v>6791289.1600000001</v>
      </c>
      <c r="AH629" s="94">
        <f>+L582</f>
        <v>0</v>
      </c>
      <c r="AI629" s="94">
        <f t="shared" si="229"/>
        <v>6791289.1600000001</v>
      </c>
      <c r="AJ629" s="94">
        <f>+O582</f>
        <v>0</v>
      </c>
      <c r="AK629" s="94">
        <f>+P582</f>
        <v>0</v>
      </c>
      <c r="AL629" s="94">
        <f t="shared" si="230"/>
        <v>0</v>
      </c>
      <c r="AM629" s="94">
        <f>+V582</f>
        <v>0</v>
      </c>
      <c r="AN629" s="94">
        <f t="shared" si="231"/>
        <v>0</v>
      </c>
      <c r="AO629" s="94">
        <f t="shared" si="232"/>
        <v>6791289.1600000001</v>
      </c>
      <c r="AP629" s="94">
        <f t="shared" si="233"/>
        <v>3208710.84</v>
      </c>
      <c r="AQ629" s="94">
        <f t="shared" si="234"/>
        <v>3208710.84</v>
      </c>
    </row>
    <row r="630" spans="1:43" x14ac:dyDescent="0.25">
      <c r="A630" s="46"/>
      <c r="B630" s="26"/>
      <c r="C630" s="4"/>
      <c r="D630" s="70" t="s">
        <v>40</v>
      </c>
      <c r="E630" s="70" t="s">
        <v>40</v>
      </c>
      <c r="F630" s="70" t="s">
        <v>40</v>
      </c>
      <c r="G630" s="70"/>
      <c r="H630" s="70" t="s">
        <v>40</v>
      </c>
      <c r="I630" s="70" t="s">
        <v>40</v>
      </c>
      <c r="J630" s="70" t="s">
        <v>40</v>
      </c>
      <c r="K630" s="70" t="s">
        <v>40</v>
      </c>
      <c r="L630" s="70" t="s">
        <v>40</v>
      </c>
      <c r="M630" s="70"/>
      <c r="N630" s="70" t="s">
        <v>40</v>
      </c>
      <c r="O630" s="70" t="s">
        <v>40</v>
      </c>
      <c r="P630" s="70" t="s">
        <v>40</v>
      </c>
      <c r="Q630" s="70"/>
      <c r="R630" s="70" t="s">
        <v>40</v>
      </c>
      <c r="S630" s="70" t="s">
        <v>40</v>
      </c>
      <c r="T630" s="70" t="s">
        <v>40</v>
      </c>
      <c r="U630" s="70" t="s">
        <v>40</v>
      </c>
      <c r="V630" s="70" t="s">
        <v>40</v>
      </c>
      <c r="W630" s="70"/>
      <c r="X630" s="70" t="s">
        <v>40</v>
      </c>
      <c r="Y630" s="70" t="s">
        <v>40</v>
      </c>
      <c r="Z630" s="70" t="s">
        <v>40</v>
      </c>
      <c r="AA630" s="70" t="s">
        <v>40</v>
      </c>
      <c r="AB630" s="70" t="s">
        <v>40</v>
      </c>
      <c r="AC630" s="49" t="s">
        <v>53</v>
      </c>
      <c r="AD630" s="94">
        <f>+D564+D596</f>
        <v>10196519.34</v>
      </c>
      <c r="AE630" s="94">
        <f>+E564+E596</f>
        <v>0</v>
      </c>
      <c r="AF630" s="94">
        <f>+F564+F596</f>
        <v>0</v>
      </c>
      <c r="AG630" s="94">
        <f t="shared" si="228"/>
        <v>0</v>
      </c>
      <c r="AH630" s="94">
        <f>+L564+L596</f>
        <v>0</v>
      </c>
      <c r="AI630" s="94">
        <f t="shared" si="229"/>
        <v>0</v>
      </c>
      <c r="AJ630" s="94">
        <f>+O564+O596</f>
        <v>9903123.1400000006</v>
      </c>
      <c r="AK630" s="94">
        <f>+P564+P596</f>
        <v>0</v>
      </c>
      <c r="AL630" s="94">
        <f t="shared" si="230"/>
        <v>9903123.1400000006</v>
      </c>
      <c r="AM630" s="94">
        <f>+V564+V596</f>
        <v>0</v>
      </c>
      <c r="AN630" s="94">
        <f t="shared" si="231"/>
        <v>9903123.1400000006</v>
      </c>
      <c r="AO630" s="94">
        <f t="shared" si="232"/>
        <v>9903123.1400000006</v>
      </c>
      <c r="AP630" s="94">
        <f t="shared" si="233"/>
        <v>293396.19999999925</v>
      </c>
      <c r="AQ630" s="94">
        <f t="shared" si="234"/>
        <v>293396.19999999925</v>
      </c>
    </row>
    <row r="631" spans="1:43" x14ac:dyDescent="0.25">
      <c r="A631" s="46"/>
      <c r="B631" s="26"/>
      <c r="C631" s="4"/>
      <c r="D631" s="68">
        <f>SUM(D627:D629)</f>
        <v>64537509.689999998</v>
      </c>
      <c r="E631" s="68">
        <f t="shared" ref="E631:AB631" si="235">SUM(E627:E629)</f>
        <v>3185800</v>
      </c>
      <c r="F631" s="68">
        <f t="shared" si="235"/>
        <v>0</v>
      </c>
      <c r="G631" s="68"/>
      <c r="H631" s="68">
        <f t="shared" si="235"/>
        <v>3185800</v>
      </c>
      <c r="I631" s="68">
        <f t="shared" si="235"/>
        <v>0</v>
      </c>
      <c r="J631" s="68">
        <f t="shared" si="235"/>
        <v>0</v>
      </c>
      <c r="K631" s="68">
        <f t="shared" si="235"/>
        <v>0</v>
      </c>
      <c r="L631" s="68">
        <f t="shared" si="235"/>
        <v>0</v>
      </c>
      <c r="M631" s="68"/>
      <c r="N631" s="68">
        <f t="shared" si="235"/>
        <v>3185800</v>
      </c>
      <c r="O631" s="68">
        <f t="shared" si="235"/>
        <v>0</v>
      </c>
      <c r="P631" s="68">
        <f t="shared" si="235"/>
        <v>0</v>
      </c>
      <c r="Q631" s="68"/>
      <c r="R631" s="68">
        <f t="shared" si="235"/>
        <v>0</v>
      </c>
      <c r="S631" s="68">
        <f t="shared" si="235"/>
        <v>0</v>
      </c>
      <c r="T631" s="68">
        <f t="shared" si="235"/>
        <v>0</v>
      </c>
      <c r="U631" s="68">
        <f t="shared" si="235"/>
        <v>0</v>
      </c>
      <c r="V631" s="68">
        <f t="shared" si="235"/>
        <v>0</v>
      </c>
      <c r="W631" s="68"/>
      <c r="X631" s="68">
        <f t="shared" si="235"/>
        <v>0</v>
      </c>
      <c r="Y631" s="68">
        <f t="shared" si="235"/>
        <v>3185800</v>
      </c>
      <c r="Z631" s="68">
        <f t="shared" si="235"/>
        <v>61351709.689999998</v>
      </c>
      <c r="AA631" s="68">
        <f t="shared" si="235"/>
        <v>3185800</v>
      </c>
      <c r="AB631" s="68">
        <f t="shared" si="235"/>
        <v>61351709.689999998</v>
      </c>
      <c r="AC631" s="49" t="s">
        <v>54</v>
      </c>
      <c r="AD631" s="94">
        <f>+D598</f>
        <v>5096366.7699999996</v>
      </c>
      <c r="AE631" s="94">
        <f>+E598</f>
        <v>0</v>
      </c>
      <c r="AF631" s="94">
        <f>+F598</f>
        <v>0</v>
      </c>
      <c r="AG631" s="94">
        <f t="shared" si="228"/>
        <v>0</v>
      </c>
      <c r="AH631" s="94">
        <f>+L598</f>
        <v>0</v>
      </c>
      <c r="AI631" s="94">
        <f t="shared" si="229"/>
        <v>0</v>
      </c>
      <c r="AJ631" s="94">
        <f>+O598</f>
        <v>5096366.7699999996</v>
      </c>
      <c r="AK631" s="94">
        <f>+P598</f>
        <v>0</v>
      </c>
      <c r="AL631" s="94">
        <f t="shared" si="230"/>
        <v>5096366.7699999996</v>
      </c>
      <c r="AM631" s="94">
        <f>+V598</f>
        <v>0</v>
      </c>
      <c r="AN631" s="94">
        <f t="shared" si="231"/>
        <v>5096366.7699999996</v>
      </c>
      <c r="AO631" s="94">
        <f t="shared" si="232"/>
        <v>5096366.7699999996</v>
      </c>
      <c r="AP631" s="94">
        <f t="shared" si="233"/>
        <v>0</v>
      </c>
      <c r="AQ631" s="94">
        <f t="shared" si="234"/>
        <v>0</v>
      </c>
    </row>
    <row r="632" spans="1:43" x14ac:dyDescent="0.25">
      <c r="A632" s="46"/>
      <c r="B632" s="26"/>
      <c r="C632" s="4"/>
      <c r="D632" s="70" t="s">
        <v>40</v>
      </c>
      <c r="E632" s="70" t="s">
        <v>40</v>
      </c>
      <c r="F632" s="70" t="s">
        <v>40</v>
      </c>
      <c r="G632" s="70"/>
      <c r="H632" s="70" t="s">
        <v>40</v>
      </c>
      <c r="I632" s="70" t="s">
        <v>40</v>
      </c>
      <c r="J632" s="70" t="s">
        <v>40</v>
      </c>
      <c r="K632" s="70" t="s">
        <v>40</v>
      </c>
      <c r="L632" s="70" t="s">
        <v>40</v>
      </c>
      <c r="M632" s="70"/>
      <c r="N632" s="70" t="s">
        <v>40</v>
      </c>
      <c r="O632" s="70" t="s">
        <v>40</v>
      </c>
      <c r="P632" s="70" t="s">
        <v>40</v>
      </c>
      <c r="Q632" s="70"/>
      <c r="R632" s="70" t="s">
        <v>40</v>
      </c>
      <c r="S632" s="70" t="s">
        <v>40</v>
      </c>
      <c r="T632" s="70" t="s">
        <v>40</v>
      </c>
      <c r="U632" s="70" t="s">
        <v>40</v>
      </c>
      <c r="V632" s="70" t="s">
        <v>40</v>
      </c>
      <c r="W632" s="70"/>
      <c r="X632" s="70" t="s">
        <v>40</v>
      </c>
      <c r="Y632" s="70" t="s">
        <v>40</v>
      </c>
      <c r="Z632" s="70" t="s">
        <v>40</v>
      </c>
      <c r="AA632" s="70" t="s">
        <v>40</v>
      </c>
      <c r="AB632" s="70" t="s">
        <v>40</v>
      </c>
      <c r="AC632" s="49" t="s">
        <v>264</v>
      </c>
      <c r="AD632" s="94">
        <f>+D557+D621</f>
        <v>1471101.76</v>
      </c>
      <c r="AE632" s="94">
        <f>+E557+E621</f>
        <v>0</v>
      </c>
      <c r="AF632" s="94">
        <f>+F557+F621</f>
        <v>0</v>
      </c>
      <c r="AG632" s="94">
        <f t="shared" si="228"/>
        <v>0</v>
      </c>
      <c r="AH632" s="94">
        <f>+L557+L621</f>
        <v>0</v>
      </c>
      <c r="AI632" s="94">
        <f t="shared" si="229"/>
        <v>0</v>
      </c>
      <c r="AJ632" s="94">
        <f>+O557+O621</f>
        <v>0</v>
      </c>
      <c r="AK632" s="94">
        <f>+P557+P621</f>
        <v>0</v>
      </c>
      <c r="AL632" s="94">
        <f t="shared" si="230"/>
        <v>0</v>
      </c>
      <c r="AM632" s="94">
        <f>+V557+V621</f>
        <v>0</v>
      </c>
      <c r="AN632" s="94">
        <f t="shared" si="231"/>
        <v>0</v>
      </c>
      <c r="AO632" s="94">
        <f t="shared" si="232"/>
        <v>0</v>
      </c>
      <c r="AP632" s="94">
        <f t="shared" si="233"/>
        <v>1471101.76</v>
      </c>
      <c r="AQ632" s="94">
        <f t="shared" si="234"/>
        <v>1471101.76</v>
      </c>
    </row>
    <row r="633" spans="1:43" x14ac:dyDescent="0.25">
      <c r="A633" s="46"/>
      <c r="B633" s="36" t="s">
        <v>3</v>
      </c>
      <c r="C633" s="21" t="s">
        <v>196</v>
      </c>
      <c r="D633" s="68">
        <f>D560+D566+D575+D584+D592+D600+D608+D615+D625+D631</f>
        <v>596464547.82999992</v>
      </c>
      <c r="E633" s="68">
        <f>E560+E566+E575+E584+E592+E600+E608+E615+E625+E631</f>
        <v>143164198.95999998</v>
      </c>
      <c r="F633" s="68">
        <f>F560+F566+F575+F584+F592+F600+F608+F615+F625+F631</f>
        <v>101013823.73999999</v>
      </c>
      <c r="G633" s="68"/>
      <c r="H633" s="68">
        <f>H560+H566+H575+H584+H592+H600+H608+H615+H625+H631</f>
        <v>244178022.69999996</v>
      </c>
      <c r="I633" s="68">
        <f>I560+I566+I575+I584+I592+I600+I608+I615+I625+I631</f>
        <v>0</v>
      </c>
      <c r="J633" s="68">
        <f>J560+J566+J575+J584+J592+J600+J608+J615+J625+J631</f>
        <v>0</v>
      </c>
      <c r="K633" s="68">
        <f>K560+K566+K575+K584+K592+K600+K608+K615+K625+K631</f>
        <v>0</v>
      </c>
      <c r="L633" s="68">
        <f>L560+L566+L575+L584+L592+L600+L608+L615+L625+L631</f>
        <v>0</v>
      </c>
      <c r="M633" s="68"/>
      <c r="N633" s="68">
        <f>N560+N566+N575+N584+N592+N600+N608+N615+N625+N631</f>
        <v>244178022.69999996</v>
      </c>
      <c r="O633" s="68">
        <f>O560+O566+O575+O584+O592+O600+O608+O615+O625+O631</f>
        <v>49212529.969999999</v>
      </c>
      <c r="P633" s="68">
        <f>P560+P566+P575+P584+P592+P600+P608+P615+P625+P631</f>
        <v>-843176.8</v>
      </c>
      <c r="Q633" s="68"/>
      <c r="R633" s="68">
        <f>R560+R566+R575+R584+R592+R600+R608+R615+R625+R631</f>
        <v>48369353.170000002</v>
      </c>
      <c r="S633" s="68">
        <f>S560+S566+S575+S584+S592+S600+S608+S615+S625+S631</f>
        <v>0</v>
      </c>
      <c r="T633" s="68">
        <f>T560+T566+T575+T584+T592+T600+T608+T615+T625+T631</f>
        <v>0</v>
      </c>
      <c r="U633" s="68">
        <f>U560+U566+U575+U584+U592+U600+U608+U615+U625+U631</f>
        <v>0</v>
      </c>
      <c r="V633" s="68">
        <f>V560+V566+V575+V584+V592+V600+V608+V615+V625+V631</f>
        <v>0</v>
      </c>
      <c r="W633" s="68"/>
      <c r="X633" s="68">
        <f>X560+X566+X575+X584+X592+X600+X608+X615+X625+X631</f>
        <v>48369353.170000002</v>
      </c>
      <c r="Y633" s="68">
        <f>Y560+Y566+Y575+Y584+Y592+Y600+Y608+Y615+Y625+Y631</f>
        <v>292547375.87000006</v>
      </c>
      <c r="Z633" s="68">
        <f>Z560+Z566+Z575+Z584+Z592+Z600+Z608+Z615+Z625+Z631</f>
        <v>303917171.96000004</v>
      </c>
      <c r="AA633" s="68">
        <f>AA560+AA566+AA575+AA584+AA592+AA600+AA608+AA615+AA625+AA631</f>
        <v>292547375.87000006</v>
      </c>
      <c r="AB633" s="68">
        <f>AB560+AB566+AB575+AB584+AB592+AB600+AB608+AB615+AB625+AB631</f>
        <v>303917171.96000004</v>
      </c>
      <c r="AD633" s="95">
        <f>SUM(AD618:AD632)</f>
        <v>596464547.83000016</v>
      </c>
      <c r="AE633" s="95">
        <f t="shared" ref="AE633:AQ633" si="236">SUM(AE618:AE632)</f>
        <v>143164198.96000001</v>
      </c>
      <c r="AF633" s="95">
        <f t="shared" si="236"/>
        <v>101013823.73999999</v>
      </c>
      <c r="AG633" s="95">
        <f t="shared" si="236"/>
        <v>244178022.69999999</v>
      </c>
      <c r="AH633" s="95">
        <f t="shared" si="236"/>
        <v>0</v>
      </c>
      <c r="AI633" s="95">
        <f t="shared" si="236"/>
        <v>244178022.69999999</v>
      </c>
      <c r="AJ633" s="95">
        <f t="shared" si="236"/>
        <v>49212529.969999999</v>
      </c>
      <c r="AK633" s="95">
        <f t="shared" si="236"/>
        <v>-843176.8</v>
      </c>
      <c r="AL633" s="95">
        <f t="shared" si="236"/>
        <v>48369353.170000002</v>
      </c>
      <c r="AM633" s="95">
        <f t="shared" si="236"/>
        <v>0</v>
      </c>
      <c r="AN633" s="95">
        <f t="shared" si="236"/>
        <v>48369353.170000002</v>
      </c>
      <c r="AO633" s="95">
        <f t="shared" si="236"/>
        <v>292547375.87</v>
      </c>
      <c r="AP633" s="95">
        <f t="shared" si="236"/>
        <v>303917171.95999992</v>
      </c>
      <c r="AQ633" s="95">
        <f t="shared" si="236"/>
        <v>303917171.95999992</v>
      </c>
    </row>
    <row r="634" spans="1:43" x14ac:dyDescent="0.25">
      <c r="A634" s="46"/>
      <c r="B634" s="26"/>
      <c r="C634" s="4"/>
      <c r="D634" s="70" t="s">
        <v>50</v>
      </c>
      <c r="E634" s="70" t="s">
        <v>50</v>
      </c>
      <c r="F634" s="70" t="s">
        <v>50</v>
      </c>
      <c r="G634" s="70"/>
      <c r="H634" s="70" t="s">
        <v>50</v>
      </c>
      <c r="I634" s="70" t="s">
        <v>50</v>
      </c>
      <c r="J634" s="70" t="s">
        <v>50</v>
      </c>
      <c r="K634" s="70" t="s">
        <v>50</v>
      </c>
      <c r="L634" s="70" t="s">
        <v>50</v>
      </c>
      <c r="M634" s="70"/>
      <c r="N634" s="70" t="s">
        <v>50</v>
      </c>
      <c r="O634" s="70" t="s">
        <v>50</v>
      </c>
      <c r="P634" s="70" t="s">
        <v>50</v>
      </c>
      <c r="Q634" s="70"/>
      <c r="R634" s="70" t="s">
        <v>50</v>
      </c>
      <c r="S634" s="70" t="s">
        <v>50</v>
      </c>
      <c r="T634" s="70" t="s">
        <v>50</v>
      </c>
      <c r="U634" s="70" t="s">
        <v>50</v>
      </c>
      <c r="V634" s="70" t="s">
        <v>50</v>
      </c>
      <c r="W634" s="70"/>
      <c r="X634" s="70" t="s">
        <v>50</v>
      </c>
      <c r="Y634" s="70" t="s">
        <v>50</v>
      </c>
      <c r="Z634" s="70" t="s">
        <v>50</v>
      </c>
      <c r="AA634" s="70" t="s">
        <v>50</v>
      </c>
      <c r="AB634" s="70" t="s">
        <v>50</v>
      </c>
    </row>
    <row r="635" spans="1:43" x14ac:dyDescent="0.25">
      <c r="A635" s="46"/>
      <c r="B635" s="26"/>
      <c r="C635" s="20"/>
      <c r="D635" s="75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P635" s="94"/>
      <c r="AQ635" s="94"/>
    </row>
    <row r="636" spans="1:43" ht="19.5" x14ac:dyDescent="0.35">
      <c r="A636" s="46"/>
      <c r="B636" s="47" t="s">
        <v>94</v>
      </c>
      <c r="C636" s="4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</row>
    <row r="637" spans="1:43" x14ac:dyDescent="0.25">
      <c r="A637" s="46"/>
      <c r="B637" s="26"/>
      <c r="C637" s="4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</row>
    <row r="638" spans="1:43" x14ac:dyDescent="0.25">
      <c r="A638" s="46">
        <v>68</v>
      </c>
      <c r="B638" s="23" t="s">
        <v>95</v>
      </c>
      <c r="C638" s="2" t="s">
        <v>35</v>
      </c>
      <c r="D638" s="67">
        <v>23827504.09</v>
      </c>
      <c r="E638" s="67">
        <v>0</v>
      </c>
      <c r="F638" s="68"/>
      <c r="G638" s="68"/>
      <c r="H638" s="67">
        <f>E638+F638</f>
        <v>0</v>
      </c>
      <c r="I638" s="68"/>
      <c r="J638" s="68"/>
      <c r="K638" s="68"/>
      <c r="L638" s="67"/>
      <c r="M638" s="67"/>
      <c r="N638" s="67">
        <f>H638+L638</f>
        <v>0</v>
      </c>
      <c r="O638" s="67">
        <v>0</v>
      </c>
      <c r="P638" s="68"/>
      <c r="Q638" s="68"/>
      <c r="R638" s="67">
        <f>O638+P638</f>
        <v>0</v>
      </c>
      <c r="S638" s="68"/>
      <c r="T638" s="68"/>
      <c r="U638" s="68"/>
      <c r="V638" s="67"/>
      <c r="W638" s="67"/>
      <c r="X638" s="67">
        <f>R638+V638</f>
        <v>0</v>
      </c>
      <c r="Y638" s="67">
        <f>R638+H638</f>
        <v>0</v>
      </c>
      <c r="Z638" s="67">
        <f>D638-Y638</f>
        <v>23827504.09</v>
      </c>
      <c r="AA638" s="67">
        <f>N638+X638</f>
        <v>0</v>
      </c>
      <c r="AB638" s="67">
        <f>+D638-N638-X638</f>
        <v>23827504.09</v>
      </c>
    </row>
    <row r="639" spans="1:43" x14ac:dyDescent="0.25">
      <c r="A639" s="46"/>
      <c r="B639" s="26"/>
      <c r="C639" s="2" t="s">
        <v>37</v>
      </c>
      <c r="D639" s="67">
        <v>813905.19</v>
      </c>
      <c r="E639" s="67">
        <v>0</v>
      </c>
      <c r="F639" s="68"/>
      <c r="G639" s="68"/>
      <c r="H639" s="67">
        <f>E639+F639</f>
        <v>0</v>
      </c>
      <c r="I639" s="68"/>
      <c r="J639" s="68"/>
      <c r="K639" s="68"/>
      <c r="L639" s="67"/>
      <c r="M639" s="67"/>
      <c r="N639" s="67">
        <f>H639+L639</f>
        <v>0</v>
      </c>
      <c r="O639" s="67">
        <v>0</v>
      </c>
      <c r="P639" s="68"/>
      <c r="Q639" s="68"/>
      <c r="R639" s="67">
        <f>O639+P639</f>
        <v>0</v>
      </c>
      <c r="S639" s="67"/>
      <c r="T639" s="68"/>
      <c r="U639" s="68"/>
      <c r="V639" s="67"/>
      <c r="W639" s="67"/>
      <c r="X639" s="67">
        <f>R639+V639</f>
        <v>0</v>
      </c>
      <c r="Y639" s="67">
        <f>R639+H639</f>
        <v>0</v>
      </c>
      <c r="Z639" s="67">
        <f>D639-Y639</f>
        <v>813905.19</v>
      </c>
      <c r="AA639" s="67">
        <f>N639+X639</f>
        <v>0</v>
      </c>
      <c r="AB639" s="67">
        <f>+D639-N639-X639</f>
        <v>813905.19</v>
      </c>
    </row>
    <row r="640" spans="1:43" x14ac:dyDescent="0.25">
      <c r="A640" s="46"/>
      <c r="B640" s="26"/>
      <c r="C640" s="2" t="s">
        <v>38</v>
      </c>
      <c r="D640" s="67">
        <v>3400000</v>
      </c>
      <c r="E640" s="67">
        <v>0</v>
      </c>
      <c r="F640" s="68"/>
      <c r="G640" s="68"/>
      <c r="H640" s="67">
        <f>E640+F640</f>
        <v>0</v>
      </c>
      <c r="I640" s="68"/>
      <c r="J640" s="68"/>
      <c r="K640" s="68"/>
      <c r="L640" s="67"/>
      <c r="M640" s="67"/>
      <c r="N640" s="67">
        <f>H640+L640</f>
        <v>0</v>
      </c>
      <c r="O640" s="67">
        <v>0</v>
      </c>
      <c r="P640" s="68"/>
      <c r="Q640" s="68"/>
      <c r="R640" s="67">
        <f>O640+P640</f>
        <v>0</v>
      </c>
      <c r="S640" s="68"/>
      <c r="T640" s="68"/>
      <c r="U640" s="68"/>
      <c r="V640" s="67"/>
      <c r="W640" s="67"/>
      <c r="X640" s="67">
        <f>R640+V640</f>
        <v>0</v>
      </c>
      <c r="Y640" s="67">
        <f>R640+H640</f>
        <v>0</v>
      </c>
      <c r="Z640" s="67">
        <f>D640-Y640</f>
        <v>3400000</v>
      </c>
      <c r="AA640" s="67">
        <f>N640+X640</f>
        <v>0</v>
      </c>
      <c r="AB640" s="67">
        <f>+D640-N640-X640</f>
        <v>3400000</v>
      </c>
    </row>
    <row r="641" spans="1:28" x14ac:dyDescent="0.25">
      <c r="A641" s="46"/>
      <c r="B641" s="26"/>
      <c r="C641" s="4"/>
      <c r="D641" s="70" t="s">
        <v>40</v>
      </c>
      <c r="E641" s="70" t="s">
        <v>40</v>
      </c>
      <c r="F641" s="70" t="s">
        <v>40</v>
      </c>
      <c r="G641" s="70"/>
      <c r="H641" s="70" t="s">
        <v>40</v>
      </c>
      <c r="I641" s="70" t="s">
        <v>40</v>
      </c>
      <c r="J641" s="70" t="s">
        <v>40</v>
      </c>
      <c r="K641" s="70" t="s">
        <v>40</v>
      </c>
      <c r="L641" s="70" t="s">
        <v>40</v>
      </c>
      <c r="M641" s="70"/>
      <c r="N641" s="70" t="s">
        <v>40</v>
      </c>
      <c r="O641" s="70" t="s">
        <v>40</v>
      </c>
      <c r="P641" s="70" t="s">
        <v>40</v>
      </c>
      <c r="Q641" s="70"/>
      <c r="R641" s="70" t="s">
        <v>40</v>
      </c>
      <c r="S641" s="70" t="s">
        <v>40</v>
      </c>
      <c r="T641" s="70" t="s">
        <v>40</v>
      </c>
      <c r="U641" s="70" t="s">
        <v>40</v>
      </c>
      <c r="V641" s="70" t="s">
        <v>40</v>
      </c>
      <c r="W641" s="70"/>
      <c r="X641" s="70" t="s">
        <v>40</v>
      </c>
      <c r="Y641" s="70" t="s">
        <v>40</v>
      </c>
      <c r="Z641" s="70" t="s">
        <v>40</v>
      </c>
      <c r="AA641" s="70" t="s">
        <v>40</v>
      </c>
      <c r="AB641" s="70" t="s">
        <v>40</v>
      </c>
    </row>
    <row r="642" spans="1:28" x14ac:dyDescent="0.25">
      <c r="A642" s="46"/>
      <c r="B642" s="26"/>
      <c r="C642" s="4"/>
      <c r="D642" s="67">
        <f t="shared" ref="D642:AB642" si="237">SUM(D638:D640)</f>
        <v>28041409.280000001</v>
      </c>
      <c r="E642" s="67">
        <f t="shared" si="237"/>
        <v>0</v>
      </c>
      <c r="F642" s="67">
        <f t="shared" si="237"/>
        <v>0</v>
      </c>
      <c r="G642" s="67"/>
      <c r="H642" s="67">
        <f t="shared" si="237"/>
        <v>0</v>
      </c>
      <c r="I642" s="67">
        <f t="shared" si="237"/>
        <v>0</v>
      </c>
      <c r="J642" s="67">
        <f t="shared" si="237"/>
        <v>0</v>
      </c>
      <c r="K642" s="67">
        <f t="shared" si="237"/>
        <v>0</v>
      </c>
      <c r="L642" s="67">
        <f t="shared" si="237"/>
        <v>0</v>
      </c>
      <c r="M642" s="67"/>
      <c r="N642" s="67">
        <f t="shared" si="237"/>
        <v>0</v>
      </c>
      <c r="O642" s="67">
        <f t="shared" si="237"/>
        <v>0</v>
      </c>
      <c r="P642" s="67">
        <f t="shared" si="237"/>
        <v>0</v>
      </c>
      <c r="Q642" s="67"/>
      <c r="R642" s="67">
        <f t="shared" si="237"/>
        <v>0</v>
      </c>
      <c r="S642" s="67">
        <f t="shared" si="237"/>
        <v>0</v>
      </c>
      <c r="T642" s="67">
        <f t="shared" si="237"/>
        <v>0</v>
      </c>
      <c r="U642" s="67">
        <f t="shared" si="237"/>
        <v>0</v>
      </c>
      <c r="V642" s="67">
        <f t="shared" si="237"/>
        <v>0</v>
      </c>
      <c r="W642" s="67"/>
      <c r="X642" s="67">
        <f t="shared" si="237"/>
        <v>0</v>
      </c>
      <c r="Y642" s="67">
        <f t="shared" si="237"/>
        <v>0</v>
      </c>
      <c r="Z642" s="67">
        <f t="shared" si="237"/>
        <v>28041409.280000001</v>
      </c>
      <c r="AA642" s="67">
        <f t="shared" si="237"/>
        <v>0</v>
      </c>
      <c r="AB642" s="67">
        <f t="shared" si="237"/>
        <v>28041409.280000001</v>
      </c>
    </row>
    <row r="643" spans="1:28" x14ac:dyDescent="0.25">
      <c r="A643" s="46"/>
      <c r="B643" s="26"/>
      <c r="C643" s="4"/>
      <c r="D643" s="70" t="s">
        <v>40</v>
      </c>
      <c r="E643" s="70" t="s">
        <v>40</v>
      </c>
      <c r="F643" s="70" t="s">
        <v>40</v>
      </c>
      <c r="G643" s="70"/>
      <c r="H643" s="70" t="s">
        <v>40</v>
      </c>
      <c r="I643" s="70" t="s">
        <v>40</v>
      </c>
      <c r="J643" s="70" t="s">
        <v>40</v>
      </c>
      <c r="K643" s="70" t="s">
        <v>40</v>
      </c>
      <c r="L643" s="70" t="s">
        <v>40</v>
      </c>
      <c r="M643" s="70"/>
      <c r="N643" s="70" t="s">
        <v>40</v>
      </c>
      <c r="O643" s="70" t="s">
        <v>40</v>
      </c>
      <c r="P643" s="70" t="s">
        <v>40</v>
      </c>
      <c r="Q643" s="70"/>
      <c r="R643" s="70" t="s">
        <v>40</v>
      </c>
      <c r="S643" s="70" t="s">
        <v>40</v>
      </c>
      <c r="T643" s="70" t="s">
        <v>40</v>
      </c>
      <c r="U643" s="70" t="s">
        <v>40</v>
      </c>
      <c r="V643" s="70" t="s">
        <v>40</v>
      </c>
      <c r="W643" s="70"/>
      <c r="X643" s="70" t="s">
        <v>40</v>
      </c>
      <c r="Y643" s="70" t="s">
        <v>40</v>
      </c>
      <c r="Z643" s="70" t="s">
        <v>40</v>
      </c>
      <c r="AA643" s="70" t="s">
        <v>40</v>
      </c>
      <c r="AB643" s="70" t="s">
        <v>40</v>
      </c>
    </row>
    <row r="644" spans="1:28" x14ac:dyDescent="0.25">
      <c r="A644" s="46"/>
      <c r="B644" s="26"/>
      <c r="C644" s="4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</row>
    <row r="645" spans="1:28" x14ac:dyDescent="0.25">
      <c r="A645" s="46">
        <v>69</v>
      </c>
      <c r="B645" s="23" t="s">
        <v>96</v>
      </c>
      <c r="C645" s="2" t="s">
        <v>35</v>
      </c>
      <c r="D645" s="67">
        <v>248438.46</v>
      </c>
      <c r="E645" s="67">
        <v>0</v>
      </c>
      <c r="F645" s="68"/>
      <c r="G645" s="68"/>
      <c r="H645" s="67">
        <f>E645+F645</f>
        <v>0</v>
      </c>
      <c r="I645" s="68"/>
      <c r="J645" s="68"/>
      <c r="K645" s="68"/>
      <c r="L645" s="67"/>
      <c r="M645" s="67"/>
      <c r="N645" s="67">
        <f>H645+L645</f>
        <v>0</v>
      </c>
      <c r="O645" s="67">
        <v>0</v>
      </c>
      <c r="P645" s="68"/>
      <c r="Q645" s="68"/>
      <c r="R645" s="67">
        <f>O645+P645</f>
        <v>0</v>
      </c>
      <c r="S645" s="68"/>
      <c r="T645" s="68"/>
      <c r="U645" s="68"/>
      <c r="V645" s="67"/>
      <c r="W645" s="67"/>
      <c r="X645" s="67">
        <f>R645+V645</f>
        <v>0</v>
      </c>
      <c r="Y645" s="67">
        <f>R645+H645</f>
        <v>0</v>
      </c>
      <c r="Z645" s="67">
        <f>D645-Y645</f>
        <v>248438.46</v>
      </c>
      <c r="AA645" s="67">
        <f>N645+X645</f>
        <v>0</v>
      </c>
      <c r="AB645" s="67">
        <f>+D645-N645-X645</f>
        <v>248438.46</v>
      </c>
    </row>
    <row r="646" spans="1:28" x14ac:dyDescent="0.25">
      <c r="A646" s="46"/>
      <c r="B646" s="26"/>
      <c r="C646" s="3" t="s">
        <v>36</v>
      </c>
      <c r="D646" s="67">
        <v>36000</v>
      </c>
      <c r="E646" s="67">
        <v>36000</v>
      </c>
      <c r="F646" s="68"/>
      <c r="G646" s="68"/>
      <c r="H646" s="67">
        <f>E646+F646</f>
        <v>36000</v>
      </c>
      <c r="I646" s="68"/>
      <c r="J646" s="68"/>
      <c r="K646" s="68"/>
      <c r="L646" s="67"/>
      <c r="M646" s="67"/>
      <c r="N646" s="67">
        <f>H646+L646</f>
        <v>36000</v>
      </c>
      <c r="O646" s="67">
        <v>0</v>
      </c>
      <c r="P646" s="68"/>
      <c r="Q646" s="68"/>
      <c r="R646" s="67">
        <f>O646+P646</f>
        <v>0</v>
      </c>
      <c r="S646" s="68"/>
      <c r="T646" s="68"/>
      <c r="U646" s="68"/>
      <c r="V646" s="67"/>
      <c r="W646" s="67"/>
      <c r="X646" s="67">
        <f>R646+V646</f>
        <v>0</v>
      </c>
      <c r="Y646" s="67">
        <f>R646+H646</f>
        <v>36000</v>
      </c>
      <c r="Z646" s="67">
        <f>D646-Y646</f>
        <v>0</v>
      </c>
      <c r="AA646" s="67">
        <f>N646+X646</f>
        <v>36000</v>
      </c>
      <c r="AB646" s="67">
        <f>+D646-N646-X646</f>
        <v>0</v>
      </c>
    </row>
    <row r="647" spans="1:28" x14ac:dyDescent="0.25">
      <c r="A647" s="46"/>
      <c r="B647" s="26"/>
      <c r="C647" s="2" t="s">
        <v>76</v>
      </c>
      <c r="D647" s="67">
        <v>2181839.42</v>
      </c>
      <c r="E647" s="67">
        <v>0</v>
      </c>
      <c r="F647" s="68"/>
      <c r="G647" s="68"/>
      <c r="H647" s="67">
        <f>E647+F647</f>
        <v>0</v>
      </c>
      <c r="I647" s="68"/>
      <c r="J647" s="68"/>
      <c r="K647" s="68"/>
      <c r="L647" s="67"/>
      <c r="M647" s="67"/>
      <c r="N647" s="67">
        <f>H647+L647</f>
        <v>0</v>
      </c>
      <c r="O647" s="67">
        <v>0</v>
      </c>
      <c r="P647" s="68"/>
      <c r="Q647" s="68"/>
      <c r="R647" s="67">
        <f>O647+P647</f>
        <v>0</v>
      </c>
      <c r="S647" s="68"/>
      <c r="T647" s="68"/>
      <c r="U647" s="68"/>
      <c r="V647" s="67"/>
      <c r="W647" s="67"/>
      <c r="X647" s="67">
        <f>R647+V647</f>
        <v>0</v>
      </c>
      <c r="Y647" s="67">
        <f>R647+H647</f>
        <v>0</v>
      </c>
      <c r="Z647" s="67">
        <f>D647-Y647</f>
        <v>2181839.42</v>
      </c>
      <c r="AA647" s="67">
        <f>N647+X647</f>
        <v>0</v>
      </c>
      <c r="AB647" s="67">
        <f>+D647-N647-X647</f>
        <v>2181839.42</v>
      </c>
    </row>
    <row r="648" spans="1:28" x14ac:dyDescent="0.25">
      <c r="A648" s="46"/>
      <c r="B648" s="26"/>
      <c r="C648" s="2" t="s">
        <v>53</v>
      </c>
      <c r="D648" s="67">
        <v>7022706.3499999996</v>
      </c>
      <c r="E648" s="67">
        <v>0</v>
      </c>
      <c r="F648" s="68"/>
      <c r="G648" s="68"/>
      <c r="H648" s="67">
        <f>E648+F648</f>
        <v>0</v>
      </c>
      <c r="I648" s="68"/>
      <c r="J648" s="68"/>
      <c r="K648" s="68"/>
      <c r="L648" s="67"/>
      <c r="M648" s="67"/>
      <c r="N648" s="67">
        <f>H648+L648</f>
        <v>0</v>
      </c>
      <c r="O648" s="67">
        <f>16308742.77-11368569.7</f>
        <v>4940173.07</v>
      </c>
      <c r="P648" s="67"/>
      <c r="Q648" s="67"/>
      <c r="R648" s="67">
        <f>O648+P648</f>
        <v>4940173.07</v>
      </c>
      <c r="S648" s="68"/>
      <c r="T648" s="68"/>
      <c r="U648" s="68"/>
      <c r="V648" s="67"/>
      <c r="W648" s="67"/>
      <c r="X648" s="67">
        <f>R648+V648</f>
        <v>4940173.07</v>
      </c>
      <c r="Y648" s="67">
        <f>R648+H648</f>
        <v>4940173.07</v>
      </c>
      <c r="Z648" s="67">
        <f>D648-Y648</f>
        <v>2082533.2799999993</v>
      </c>
      <c r="AA648" s="67">
        <f>N648+X648</f>
        <v>4940173.07</v>
      </c>
      <c r="AB648" s="67">
        <f>+D648-N648-X648</f>
        <v>2082533.2799999993</v>
      </c>
    </row>
    <row r="649" spans="1:28" x14ac:dyDescent="0.25">
      <c r="A649" s="46"/>
      <c r="B649" s="26"/>
      <c r="C649" s="2" t="s">
        <v>54</v>
      </c>
      <c r="D649" s="67">
        <v>11330000</v>
      </c>
      <c r="E649" s="67">
        <v>0</v>
      </c>
      <c r="F649" s="68"/>
      <c r="G649" s="68"/>
      <c r="H649" s="67">
        <f>E649+F649</f>
        <v>0</v>
      </c>
      <c r="I649" s="68"/>
      <c r="J649" s="68"/>
      <c r="K649" s="68"/>
      <c r="L649" s="67"/>
      <c r="M649" s="67"/>
      <c r="N649" s="67">
        <f>H649+L649</f>
        <v>0</v>
      </c>
      <c r="O649" s="67">
        <v>5603896.2599999998</v>
      </c>
      <c r="P649" s="68"/>
      <c r="Q649" s="68"/>
      <c r="R649" s="67">
        <f>O649+P649</f>
        <v>5603896.2599999998</v>
      </c>
      <c r="S649" s="68"/>
      <c r="T649" s="68"/>
      <c r="U649" s="68"/>
      <c r="V649" s="67"/>
      <c r="W649" s="67"/>
      <c r="X649" s="67">
        <f>R649+V649</f>
        <v>5603896.2599999998</v>
      </c>
      <c r="Y649" s="67">
        <f>R649+H649</f>
        <v>5603896.2599999998</v>
      </c>
      <c r="Z649" s="67">
        <f>D649-Y649</f>
        <v>5726103.7400000002</v>
      </c>
      <c r="AA649" s="67">
        <f>N649+X649</f>
        <v>5603896.2599999998</v>
      </c>
      <c r="AB649" s="67">
        <f>+D649-N649-X649</f>
        <v>5726103.7400000002</v>
      </c>
    </row>
    <row r="650" spans="1:28" x14ac:dyDescent="0.25">
      <c r="A650" s="46"/>
      <c r="B650" s="26"/>
      <c r="C650" s="4"/>
      <c r="D650" s="70" t="s">
        <v>40</v>
      </c>
      <c r="E650" s="70" t="s">
        <v>40</v>
      </c>
      <c r="F650" s="70" t="s">
        <v>40</v>
      </c>
      <c r="G650" s="70"/>
      <c r="H650" s="70" t="s">
        <v>40</v>
      </c>
      <c r="I650" s="70" t="s">
        <v>40</v>
      </c>
      <c r="J650" s="70" t="s">
        <v>40</v>
      </c>
      <c r="K650" s="70" t="s">
        <v>40</v>
      </c>
      <c r="L650" s="70" t="s">
        <v>40</v>
      </c>
      <c r="M650" s="70"/>
      <c r="N650" s="70" t="s">
        <v>40</v>
      </c>
      <c r="O650" s="70" t="s">
        <v>40</v>
      </c>
      <c r="P650" s="70" t="s">
        <v>40</v>
      </c>
      <c r="Q650" s="70"/>
      <c r="R650" s="70" t="s">
        <v>40</v>
      </c>
      <c r="S650" s="70" t="s">
        <v>40</v>
      </c>
      <c r="T650" s="70" t="s">
        <v>40</v>
      </c>
      <c r="U650" s="70" t="s">
        <v>40</v>
      </c>
      <c r="V650" s="70" t="s">
        <v>40</v>
      </c>
      <c r="W650" s="70"/>
      <c r="X650" s="70" t="s">
        <v>40</v>
      </c>
      <c r="Y650" s="70" t="s">
        <v>40</v>
      </c>
      <c r="Z650" s="70" t="s">
        <v>40</v>
      </c>
      <c r="AA650" s="70" t="s">
        <v>40</v>
      </c>
      <c r="AB650" s="70" t="s">
        <v>40</v>
      </c>
    </row>
    <row r="651" spans="1:28" x14ac:dyDescent="0.25">
      <c r="A651" s="46"/>
      <c r="B651" s="26"/>
      <c r="C651" s="4"/>
      <c r="D651" s="67">
        <f t="shared" ref="D651:AB651" si="238">SUM(D645:D649)</f>
        <v>20818984.23</v>
      </c>
      <c r="E651" s="67">
        <f t="shared" si="238"/>
        <v>36000</v>
      </c>
      <c r="F651" s="67">
        <f t="shared" si="238"/>
        <v>0</v>
      </c>
      <c r="G651" s="67"/>
      <c r="H651" s="67">
        <f t="shared" si="238"/>
        <v>36000</v>
      </c>
      <c r="I651" s="67">
        <f t="shared" si="238"/>
        <v>0</v>
      </c>
      <c r="J651" s="67">
        <f t="shared" si="238"/>
        <v>0</v>
      </c>
      <c r="K651" s="67">
        <f t="shared" si="238"/>
        <v>0</v>
      </c>
      <c r="L651" s="67">
        <f t="shared" si="238"/>
        <v>0</v>
      </c>
      <c r="M651" s="67"/>
      <c r="N651" s="67">
        <f t="shared" si="238"/>
        <v>36000</v>
      </c>
      <c r="O651" s="67">
        <f t="shared" si="238"/>
        <v>10544069.33</v>
      </c>
      <c r="P651" s="67">
        <f t="shared" si="238"/>
        <v>0</v>
      </c>
      <c r="Q651" s="67"/>
      <c r="R651" s="67">
        <f t="shared" si="238"/>
        <v>10544069.33</v>
      </c>
      <c r="S651" s="67">
        <f t="shared" si="238"/>
        <v>0</v>
      </c>
      <c r="T651" s="67">
        <f t="shared" si="238"/>
        <v>0</v>
      </c>
      <c r="U651" s="67">
        <f t="shared" si="238"/>
        <v>0</v>
      </c>
      <c r="V651" s="67">
        <f t="shared" si="238"/>
        <v>0</v>
      </c>
      <c r="W651" s="67"/>
      <c r="X651" s="67">
        <f t="shared" si="238"/>
        <v>10544069.33</v>
      </c>
      <c r="Y651" s="67">
        <f t="shared" si="238"/>
        <v>10580069.33</v>
      </c>
      <c r="Z651" s="67">
        <f t="shared" si="238"/>
        <v>10238914.899999999</v>
      </c>
      <c r="AA651" s="67">
        <f t="shared" si="238"/>
        <v>10580069.33</v>
      </c>
      <c r="AB651" s="67">
        <f t="shared" si="238"/>
        <v>10238914.899999999</v>
      </c>
    </row>
    <row r="652" spans="1:28" x14ac:dyDescent="0.25">
      <c r="A652" s="46"/>
      <c r="B652" s="26"/>
      <c r="C652" s="4"/>
      <c r="D652" s="70" t="s">
        <v>40</v>
      </c>
      <c r="E652" s="70" t="s">
        <v>40</v>
      </c>
      <c r="F652" s="70" t="s">
        <v>40</v>
      </c>
      <c r="G652" s="70"/>
      <c r="H652" s="70" t="s">
        <v>40</v>
      </c>
      <c r="I652" s="70" t="s">
        <v>40</v>
      </c>
      <c r="J652" s="70" t="s">
        <v>40</v>
      </c>
      <c r="K652" s="70" t="s">
        <v>40</v>
      </c>
      <c r="L652" s="70" t="s">
        <v>40</v>
      </c>
      <c r="M652" s="70"/>
      <c r="N652" s="70" t="s">
        <v>40</v>
      </c>
      <c r="O652" s="70" t="s">
        <v>40</v>
      </c>
      <c r="P652" s="70" t="s">
        <v>40</v>
      </c>
      <c r="Q652" s="70"/>
      <c r="R652" s="70" t="s">
        <v>40</v>
      </c>
      <c r="S652" s="70" t="s">
        <v>40</v>
      </c>
      <c r="T652" s="70" t="s">
        <v>40</v>
      </c>
      <c r="U652" s="70" t="s">
        <v>40</v>
      </c>
      <c r="V652" s="70" t="s">
        <v>40</v>
      </c>
      <c r="W652" s="70"/>
      <c r="X652" s="70" t="s">
        <v>40</v>
      </c>
      <c r="Y652" s="70" t="s">
        <v>40</v>
      </c>
      <c r="Z652" s="70" t="s">
        <v>40</v>
      </c>
      <c r="AA652" s="70" t="s">
        <v>40</v>
      </c>
      <c r="AB652" s="70" t="s">
        <v>40</v>
      </c>
    </row>
    <row r="653" spans="1:28" x14ac:dyDescent="0.25">
      <c r="A653" s="46"/>
      <c r="B653" s="26"/>
      <c r="C653" s="4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</row>
    <row r="654" spans="1:28" x14ac:dyDescent="0.25">
      <c r="A654" s="46">
        <v>70</v>
      </c>
      <c r="B654" s="35" t="s">
        <v>97</v>
      </c>
      <c r="C654" s="3" t="s">
        <v>35</v>
      </c>
      <c r="D654" s="67">
        <v>33537.919999999998</v>
      </c>
      <c r="E654" s="67">
        <v>0</v>
      </c>
      <c r="F654" s="68"/>
      <c r="G654" s="68"/>
      <c r="H654" s="67">
        <f>E654+F654</f>
        <v>0</v>
      </c>
      <c r="I654" s="68"/>
      <c r="J654" s="68"/>
      <c r="K654" s="68"/>
      <c r="L654" s="67"/>
      <c r="M654" s="67"/>
      <c r="N654" s="67">
        <f>H654+L654</f>
        <v>0</v>
      </c>
      <c r="O654" s="67">
        <f>11850+33537.92-2240.55-9609.45</f>
        <v>33537.919999999998</v>
      </c>
      <c r="P654" s="68"/>
      <c r="Q654" s="68"/>
      <c r="R654" s="67">
        <f>+O654+P654</f>
        <v>33537.919999999998</v>
      </c>
      <c r="S654" s="67"/>
      <c r="T654" s="68"/>
      <c r="U654" s="68"/>
      <c r="V654" s="67"/>
      <c r="W654" s="67"/>
      <c r="X654" s="67">
        <f>R654+V654</f>
        <v>33537.919999999998</v>
      </c>
      <c r="Y654" s="67">
        <f>R654+H654</f>
        <v>33537.919999999998</v>
      </c>
      <c r="Z654" s="67">
        <f>D654-Y654</f>
        <v>0</v>
      </c>
      <c r="AA654" s="67">
        <f>N654+X654</f>
        <v>33537.919999999998</v>
      </c>
      <c r="AB654" s="67">
        <f>+D654-N654-X654</f>
        <v>0</v>
      </c>
    </row>
    <row r="655" spans="1:28" x14ac:dyDescent="0.25">
      <c r="A655" s="46"/>
      <c r="B655" s="26"/>
      <c r="C655" s="3" t="s">
        <v>36</v>
      </c>
      <c r="D655" s="67">
        <v>2222894</v>
      </c>
      <c r="E655" s="67">
        <v>2222894</v>
      </c>
      <c r="F655" s="68"/>
      <c r="G655" s="68"/>
      <c r="H655" s="67">
        <f>E655+F655</f>
        <v>2222894</v>
      </c>
      <c r="I655" s="68"/>
      <c r="J655" s="68"/>
      <c r="K655" s="68"/>
      <c r="L655" s="67"/>
      <c r="M655" s="67"/>
      <c r="N655" s="67">
        <f>H655+L655</f>
        <v>2222894</v>
      </c>
      <c r="O655" s="67">
        <v>0</v>
      </c>
      <c r="P655" s="68"/>
      <c r="Q655" s="68"/>
      <c r="R655" s="67">
        <f>O655+P655</f>
        <v>0</v>
      </c>
      <c r="S655" s="67"/>
      <c r="T655" s="68"/>
      <c r="U655" s="68"/>
      <c r="V655" s="67"/>
      <c r="W655" s="67"/>
      <c r="X655" s="67">
        <f>R655+V655</f>
        <v>0</v>
      </c>
      <c r="Y655" s="67">
        <f>R655+H655</f>
        <v>2222894</v>
      </c>
      <c r="Z655" s="67">
        <f>D655-Y655</f>
        <v>0</v>
      </c>
      <c r="AA655" s="67">
        <f>N655+X655</f>
        <v>2222894</v>
      </c>
      <c r="AB655" s="67">
        <f>+D655-N655-X655</f>
        <v>0</v>
      </c>
    </row>
    <row r="656" spans="1:28" x14ac:dyDescent="0.25">
      <c r="A656" s="46"/>
      <c r="B656" s="26"/>
      <c r="C656" s="2" t="s">
        <v>37</v>
      </c>
      <c r="D656" s="67">
        <v>0</v>
      </c>
      <c r="E656" s="67">
        <v>0</v>
      </c>
      <c r="F656" s="68"/>
      <c r="G656" s="68"/>
      <c r="H656" s="67">
        <f>E656+F656</f>
        <v>0</v>
      </c>
      <c r="I656" s="68"/>
      <c r="J656" s="68"/>
      <c r="K656" s="68"/>
      <c r="L656" s="67"/>
      <c r="M656" s="67"/>
      <c r="N656" s="67">
        <f>H656+L656</f>
        <v>0</v>
      </c>
      <c r="O656" s="67">
        <f>-2240.55+2240.55</f>
        <v>0</v>
      </c>
      <c r="P656" s="68"/>
      <c r="Q656" s="68"/>
      <c r="R656" s="67">
        <f>O656+P656</f>
        <v>0</v>
      </c>
      <c r="S656" s="67"/>
      <c r="T656" s="68"/>
      <c r="U656" s="68"/>
      <c r="V656" s="67"/>
      <c r="W656" s="67"/>
      <c r="X656" s="67">
        <f>R656+V656</f>
        <v>0</v>
      </c>
      <c r="Y656" s="67">
        <f>R656+H656</f>
        <v>0</v>
      </c>
      <c r="Z656" s="67">
        <f>D656-Y656</f>
        <v>0</v>
      </c>
      <c r="AA656" s="67">
        <f>N656+X656</f>
        <v>0</v>
      </c>
      <c r="AB656" s="67">
        <f>+D656-N656-X656</f>
        <v>0</v>
      </c>
    </row>
    <row r="657" spans="1:28" x14ac:dyDescent="0.25">
      <c r="A657" s="46"/>
      <c r="B657" s="26"/>
      <c r="C657" s="8" t="s">
        <v>39</v>
      </c>
      <c r="D657" s="67">
        <v>0</v>
      </c>
      <c r="E657" s="67">
        <v>0</v>
      </c>
      <c r="F657" s="68"/>
      <c r="G657" s="68"/>
      <c r="H657" s="67">
        <f>E657+F657</f>
        <v>0</v>
      </c>
      <c r="I657" s="68"/>
      <c r="J657" s="68"/>
      <c r="K657" s="68"/>
      <c r="L657" s="67"/>
      <c r="M657" s="67"/>
      <c r="N657" s="67">
        <f>H657+L657</f>
        <v>0</v>
      </c>
      <c r="O657" s="67">
        <v>0</v>
      </c>
      <c r="P657" s="68"/>
      <c r="Q657" s="68"/>
      <c r="R657" s="67">
        <f>O657+P657</f>
        <v>0</v>
      </c>
      <c r="S657" s="67"/>
      <c r="T657" s="68"/>
      <c r="U657" s="68"/>
      <c r="V657" s="67"/>
      <c r="W657" s="67"/>
      <c r="X657" s="67">
        <f>R657+V657</f>
        <v>0</v>
      </c>
      <c r="Y657" s="67">
        <f>R657+H657</f>
        <v>0</v>
      </c>
      <c r="Z657" s="67">
        <f>D657-Y657</f>
        <v>0</v>
      </c>
      <c r="AA657" s="67">
        <f>N657+X657</f>
        <v>0</v>
      </c>
      <c r="AB657" s="67">
        <f>+D657-N657-X657</f>
        <v>0</v>
      </c>
    </row>
    <row r="658" spans="1:28" x14ac:dyDescent="0.25">
      <c r="A658" s="46"/>
      <c r="B658" s="26"/>
      <c r="C658" s="28" t="str">
        <f>+C81</f>
        <v>EL-CONCESSIONAL</v>
      </c>
      <c r="D658" s="67">
        <v>3406124</v>
      </c>
      <c r="E658" s="67">
        <v>3406124</v>
      </c>
      <c r="F658" s="68"/>
      <c r="G658" s="68"/>
      <c r="H658" s="67">
        <f>E658+F658</f>
        <v>3406124</v>
      </c>
      <c r="I658" s="68"/>
      <c r="J658" s="68"/>
      <c r="K658" s="68"/>
      <c r="L658" s="67"/>
      <c r="M658" s="67"/>
      <c r="N658" s="67">
        <f>H658+L658</f>
        <v>3406124</v>
      </c>
      <c r="O658" s="67">
        <v>0</v>
      </c>
      <c r="P658" s="68"/>
      <c r="Q658" s="68"/>
      <c r="R658" s="67">
        <f>O658+P658</f>
        <v>0</v>
      </c>
      <c r="S658" s="67"/>
      <c r="T658" s="68"/>
      <c r="U658" s="68"/>
      <c r="V658" s="67"/>
      <c r="W658" s="67"/>
      <c r="X658" s="67">
        <f>R658+V658</f>
        <v>0</v>
      </c>
      <c r="Y658" s="67">
        <f>R658+H658</f>
        <v>3406124</v>
      </c>
      <c r="Z658" s="67">
        <f>D658-Y658</f>
        <v>0</v>
      </c>
      <c r="AA658" s="67">
        <f>N658+X658</f>
        <v>3406124</v>
      </c>
      <c r="AB658" s="67">
        <f>+D658-N658-X658</f>
        <v>0</v>
      </c>
    </row>
    <row r="659" spans="1:28" x14ac:dyDescent="0.25">
      <c r="A659" s="46"/>
      <c r="B659" s="26"/>
      <c r="C659" s="4"/>
      <c r="D659" s="70" t="s">
        <v>40</v>
      </c>
      <c r="E659" s="70" t="s">
        <v>40</v>
      </c>
      <c r="F659" s="70" t="s">
        <v>40</v>
      </c>
      <c r="G659" s="70"/>
      <c r="H659" s="70" t="s">
        <v>40</v>
      </c>
      <c r="I659" s="70" t="s">
        <v>40</v>
      </c>
      <c r="J659" s="70" t="s">
        <v>40</v>
      </c>
      <c r="K659" s="70" t="s">
        <v>40</v>
      </c>
      <c r="L659" s="70" t="s">
        <v>40</v>
      </c>
      <c r="M659" s="70"/>
      <c r="N659" s="70" t="s">
        <v>40</v>
      </c>
      <c r="O659" s="70" t="s">
        <v>40</v>
      </c>
      <c r="P659" s="70" t="s">
        <v>40</v>
      </c>
      <c r="Q659" s="70"/>
      <c r="R659" s="70" t="s">
        <v>40</v>
      </c>
      <c r="S659" s="70" t="s">
        <v>40</v>
      </c>
      <c r="T659" s="70" t="s">
        <v>40</v>
      </c>
      <c r="U659" s="70" t="s">
        <v>40</v>
      </c>
      <c r="V659" s="70" t="s">
        <v>40</v>
      </c>
      <c r="W659" s="70"/>
      <c r="X659" s="70" t="s">
        <v>40</v>
      </c>
      <c r="Y659" s="70" t="s">
        <v>40</v>
      </c>
      <c r="Z659" s="70" t="s">
        <v>40</v>
      </c>
      <c r="AA659" s="70" t="s">
        <v>40</v>
      </c>
      <c r="AB659" s="70" t="s">
        <v>40</v>
      </c>
    </row>
    <row r="660" spans="1:28" x14ac:dyDescent="0.25">
      <c r="A660" s="46"/>
      <c r="B660" s="26"/>
      <c r="C660" s="4"/>
      <c r="D660" s="67">
        <f t="shared" ref="D660:AB660" si="239">SUM(D654:D658)</f>
        <v>5662555.9199999999</v>
      </c>
      <c r="E660" s="67">
        <f t="shared" si="239"/>
        <v>5629018</v>
      </c>
      <c r="F660" s="67">
        <f t="shared" si="239"/>
        <v>0</v>
      </c>
      <c r="G660" s="67"/>
      <c r="H660" s="67">
        <f t="shared" si="239"/>
        <v>5629018</v>
      </c>
      <c r="I660" s="67">
        <f t="shared" si="239"/>
        <v>0</v>
      </c>
      <c r="J660" s="67">
        <f t="shared" si="239"/>
        <v>0</v>
      </c>
      <c r="K660" s="67">
        <f t="shared" si="239"/>
        <v>0</v>
      </c>
      <c r="L660" s="67">
        <f t="shared" si="239"/>
        <v>0</v>
      </c>
      <c r="M660" s="67"/>
      <c r="N660" s="67">
        <f t="shared" si="239"/>
        <v>5629018</v>
      </c>
      <c r="O660" s="67">
        <f t="shared" si="239"/>
        <v>33537.919999999998</v>
      </c>
      <c r="P660" s="67">
        <f t="shared" si="239"/>
        <v>0</v>
      </c>
      <c r="Q660" s="67"/>
      <c r="R660" s="67">
        <f t="shared" si="239"/>
        <v>33537.919999999998</v>
      </c>
      <c r="S660" s="67">
        <f t="shared" si="239"/>
        <v>0</v>
      </c>
      <c r="T660" s="67">
        <f t="shared" si="239"/>
        <v>0</v>
      </c>
      <c r="U660" s="67">
        <f t="shared" si="239"/>
        <v>0</v>
      </c>
      <c r="V660" s="67">
        <f t="shared" si="239"/>
        <v>0</v>
      </c>
      <c r="W660" s="67"/>
      <c r="X660" s="67">
        <f t="shared" si="239"/>
        <v>33537.919999999998</v>
      </c>
      <c r="Y660" s="67">
        <f t="shared" si="239"/>
        <v>5662555.9199999999</v>
      </c>
      <c r="Z660" s="67">
        <f t="shared" si="239"/>
        <v>0</v>
      </c>
      <c r="AA660" s="67">
        <f t="shared" si="239"/>
        <v>5662555.9199999999</v>
      </c>
      <c r="AB660" s="67">
        <f t="shared" si="239"/>
        <v>0</v>
      </c>
    </row>
    <row r="661" spans="1:28" x14ac:dyDescent="0.25">
      <c r="A661" s="46"/>
      <c r="B661" s="4" t="s">
        <v>311</v>
      </c>
      <c r="C661" s="4"/>
      <c r="D661" s="70" t="s">
        <v>40</v>
      </c>
      <c r="E661" s="70" t="s">
        <v>40</v>
      </c>
      <c r="F661" s="70" t="s">
        <v>40</v>
      </c>
      <c r="G661" s="70"/>
      <c r="H661" s="70" t="s">
        <v>40</v>
      </c>
      <c r="I661" s="70" t="s">
        <v>40</v>
      </c>
      <c r="J661" s="70" t="s">
        <v>40</v>
      </c>
      <c r="K661" s="70" t="s">
        <v>40</v>
      </c>
      <c r="L661" s="70" t="s">
        <v>40</v>
      </c>
      <c r="M661" s="70"/>
      <c r="N661" s="70" t="s">
        <v>40</v>
      </c>
      <c r="O661" s="70" t="s">
        <v>40</v>
      </c>
      <c r="P661" s="70" t="s">
        <v>40</v>
      </c>
      <c r="Q661" s="70"/>
      <c r="R661" s="70" t="s">
        <v>40</v>
      </c>
      <c r="S661" s="70" t="s">
        <v>40</v>
      </c>
      <c r="T661" s="70" t="s">
        <v>40</v>
      </c>
      <c r="U661" s="70" t="s">
        <v>40</v>
      </c>
      <c r="V661" s="70" t="s">
        <v>40</v>
      </c>
      <c r="W661" s="70"/>
      <c r="X661" s="70" t="s">
        <v>40</v>
      </c>
      <c r="Y661" s="70" t="s">
        <v>40</v>
      </c>
      <c r="Z661" s="70" t="s">
        <v>40</v>
      </c>
      <c r="AA661" s="70" t="s">
        <v>40</v>
      </c>
      <c r="AB661" s="70" t="s">
        <v>40</v>
      </c>
    </row>
    <row r="662" spans="1:28" ht="16.5" thickBot="1" x14ac:dyDescent="0.3">
      <c r="A662" s="46"/>
      <c r="B662" s="112" t="s">
        <v>292</v>
      </c>
      <c r="C662" s="4"/>
      <c r="D662" s="113">
        <v>11457</v>
      </c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113">
        <v>11457</v>
      </c>
      <c r="P662" s="104"/>
      <c r="Q662" s="70"/>
      <c r="R662" s="113">
        <f>+O662+P662</f>
        <v>11457</v>
      </c>
      <c r="S662" s="70"/>
      <c r="T662" s="70"/>
      <c r="U662" s="70"/>
      <c r="V662" s="70"/>
      <c r="W662" s="70"/>
      <c r="X662" s="70"/>
      <c r="Y662" s="104"/>
      <c r="Z662" s="70"/>
      <c r="AA662" s="70"/>
      <c r="AB662" s="70"/>
    </row>
    <row r="663" spans="1:28" ht="16.5" thickTop="1" x14ac:dyDescent="0.25">
      <c r="A663" s="46">
        <v>71</v>
      </c>
      <c r="B663" s="23" t="s">
        <v>98</v>
      </c>
      <c r="C663" s="2" t="s">
        <v>35</v>
      </c>
      <c r="D663" s="67">
        <v>12106728.84</v>
      </c>
      <c r="E663" s="67">
        <v>0</v>
      </c>
      <c r="F663" s="68"/>
      <c r="G663" s="68"/>
      <c r="H663" s="67">
        <f>E663+F663</f>
        <v>0</v>
      </c>
      <c r="I663" s="68"/>
      <c r="J663" s="68"/>
      <c r="K663" s="68"/>
      <c r="L663" s="67"/>
      <c r="M663" s="67"/>
      <c r="N663" s="67">
        <f>H663+L663</f>
        <v>0</v>
      </c>
      <c r="O663" s="67">
        <v>0</v>
      </c>
      <c r="P663" s="68"/>
      <c r="Q663" s="68"/>
      <c r="R663" s="67">
        <f>O663+P663</f>
        <v>0</v>
      </c>
      <c r="S663" s="68"/>
      <c r="T663" s="68"/>
      <c r="U663" s="68"/>
      <c r="V663" s="67"/>
      <c r="W663" s="67"/>
      <c r="X663" s="67">
        <f>R663+V663</f>
        <v>0</v>
      </c>
      <c r="Y663" s="67">
        <f>R663+H663</f>
        <v>0</v>
      </c>
      <c r="Z663" s="67">
        <f>D663-Y663</f>
        <v>12106728.84</v>
      </c>
      <c r="AA663" s="67">
        <f>N663+X663</f>
        <v>0</v>
      </c>
      <c r="AB663" s="67">
        <f>+D663-N663-X663</f>
        <v>12106728.84</v>
      </c>
    </row>
    <row r="664" spans="1:28" x14ac:dyDescent="0.25">
      <c r="A664" s="46"/>
      <c r="B664" s="26"/>
      <c r="C664" s="3" t="s">
        <v>36</v>
      </c>
      <c r="D664" s="67">
        <f>912000+1200000+888000</f>
        <v>3000000</v>
      </c>
      <c r="E664" s="67">
        <f>912000+1200000+888000</f>
        <v>3000000</v>
      </c>
      <c r="F664" s="68"/>
      <c r="G664" s="68"/>
      <c r="H664" s="67">
        <f>E664+F664</f>
        <v>3000000</v>
      </c>
      <c r="I664" s="68"/>
      <c r="J664" s="68"/>
      <c r="K664" s="68"/>
      <c r="L664" s="67"/>
      <c r="M664" s="67"/>
      <c r="N664" s="67">
        <f>H664+L664</f>
        <v>3000000</v>
      </c>
      <c r="O664" s="67">
        <v>0</v>
      </c>
      <c r="P664" s="68"/>
      <c r="Q664" s="68"/>
      <c r="R664" s="67">
        <f>O664+P664</f>
        <v>0</v>
      </c>
      <c r="S664" s="68"/>
      <c r="T664" s="68"/>
      <c r="U664" s="68"/>
      <c r="V664" s="67"/>
      <c r="W664" s="67"/>
      <c r="X664" s="67">
        <f>R664+V664</f>
        <v>0</v>
      </c>
      <c r="Y664" s="67">
        <f>R664+H664</f>
        <v>3000000</v>
      </c>
      <c r="Z664" s="67">
        <f>D664-Y664</f>
        <v>0</v>
      </c>
      <c r="AA664" s="67">
        <f>N664+X664</f>
        <v>3000000</v>
      </c>
      <c r="AB664" s="67">
        <f>+D664-N664-X664</f>
        <v>0</v>
      </c>
    </row>
    <row r="665" spans="1:28" x14ac:dyDescent="0.25">
      <c r="A665" s="46"/>
      <c r="B665" s="26"/>
      <c r="C665" s="2" t="s">
        <v>37</v>
      </c>
      <c r="D665" s="67">
        <f>6194389.29-316310.35</f>
        <v>5878078.9400000004</v>
      </c>
      <c r="E665" s="67">
        <v>0</v>
      </c>
      <c r="F665" s="68"/>
      <c r="G665" s="68"/>
      <c r="H665" s="67">
        <f>E665+F665</f>
        <v>0</v>
      </c>
      <c r="I665" s="68"/>
      <c r="J665" s="68"/>
      <c r="K665" s="68"/>
      <c r="L665" s="67"/>
      <c r="M665" s="67"/>
      <c r="N665" s="67">
        <f>H665+L665</f>
        <v>0</v>
      </c>
      <c r="O665" s="67">
        <v>0</v>
      </c>
      <c r="P665" s="68"/>
      <c r="Q665" s="68"/>
      <c r="R665" s="67">
        <f>O665+P665</f>
        <v>0</v>
      </c>
      <c r="S665" s="68"/>
      <c r="T665" s="68"/>
      <c r="U665" s="68"/>
      <c r="V665" s="67"/>
      <c r="W665" s="67"/>
      <c r="X665" s="67">
        <f>R665+V665</f>
        <v>0</v>
      </c>
      <c r="Y665" s="67">
        <f>R665+H665</f>
        <v>0</v>
      </c>
      <c r="Z665" s="67">
        <f>D665-Y665</f>
        <v>5878078.9400000004</v>
      </c>
      <c r="AA665" s="67">
        <f>N665+X665</f>
        <v>0</v>
      </c>
      <c r="AB665" s="67">
        <f>+D665-N665-X665</f>
        <v>5878078.9400000004</v>
      </c>
    </row>
    <row r="666" spans="1:28" x14ac:dyDescent="0.25">
      <c r="A666" s="46"/>
      <c r="B666" s="26"/>
      <c r="C666" s="8" t="s">
        <v>39</v>
      </c>
      <c r="D666" s="67">
        <v>87995.66</v>
      </c>
      <c r="E666" s="67">
        <v>0</v>
      </c>
      <c r="F666" s="68"/>
      <c r="G666" s="68"/>
      <c r="H666" s="67">
        <f>E666+F666</f>
        <v>0</v>
      </c>
      <c r="I666" s="68"/>
      <c r="J666" s="68"/>
      <c r="K666" s="68"/>
      <c r="L666" s="67"/>
      <c r="M666" s="67"/>
      <c r="N666" s="67">
        <f>H666+L666</f>
        <v>0</v>
      </c>
      <c r="O666" s="67">
        <v>0</v>
      </c>
      <c r="P666" s="68"/>
      <c r="Q666" s="68"/>
      <c r="R666" s="67">
        <f>O666+P666</f>
        <v>0</v>
      </c>
      <c r="S666" s="68"/>
      <c r="T666" s="68"/>
      <c r="U666" s="68"/>
      <c r="V666" s="67"/>
      <c r="W666" s="67"/>
      <c r="X666" s="67">
        <f>R666+V666</f>
        <v>0</v>
      </c>
      <c r="Y666" s="67">
        <f>R666+H666</f>
        <v>0</v>
      </c>
      <c r="Z666" s="67">
        <f>D666-Y666</f>
        <v>87995.66</v>
      </c>
      <c r="AA666" s="67">
        <f>N666+X666</f>
        <v>0</v>
      </c>
      <c r="AB666" s="67">
        <f>+D666-N666-X666</f>
        <v>87995.66</v>
      </c>
    </row>
    <row r="667" spans="1:28" x14ac:dyDescent="0.25">
      <c r="A667" s="46"/>
      <c r="B667" s="26"/>
      <c r="C667" s="4"/>
      <c r="D667" s="70" t="s">
        <v>40</v>
      </c>
      <c r="E667" s="70" t="s">
        <v>40</v>
      </c>
      <c r="F667" s="70" t="s">
        <v>40</v>
      </c>
      <c r="G667" s="70"/>
      <c r="H667" s="70" t="s">
        <v>40</v>
      </c>
      <c r="I667" s="70" t="s">
        <v>40</v>
      </c>
      <c r="J667" s="70" t="s">
        <v>40</v>
      </c>
      <c r="K667" s="70" t="s">
        <v>40</v>
      </c>
      <c r="L667" s="70" t="s">
        <v>40</v>
      </c>
      <c r="M667" s="70"/>
      <c r="N667" s="70" t="s">
        <v>40</v>
      </c>
      <c r="O667" s="70" t="s">
        <v>40</v>
      </c>
      <c r="P667" s="70" t="s">
        <v>40</v>
      </c>
      <c r="Q667" s="70"/>
      <c r="R667" s="70" t="s">
        <v>40</v>
      </c>
      <c r="S667" s="70" t="s">
        <v>40</v>
      </c>
      <c r="T667" s="70" t="s">
        <v>40</v>
      </c>
      <c r="U667" s="70" t="s">
        <v>40</v>
      </c>
      <c r="V667" s="70" t="s">
        <v>40</v>
      </c>
      <c r="W667" s="70"/>
      <c r="X667" s="70" t="s">
        <v>40</v>
      </c>
      <c r="Y667" s="70" t="s">
        <v>40</v>
      </c>
      <c r="Z667" s="70" t="s">
        <v>40</v>
      </c>
      <c r="AA667" s="70" t="s">
        <v>40</v>
      </c>
      <c r="AB667" s="70" t="s">
        <v>40</v>
      </c>
    </row>
    <row r="668" spans="1:28" x14ac:dyDescent="0.25">
      <c r="A668" s="46"/>
      <c r="B668" s="26"/>
      <c r="C668" s="4"/>
      <c r="D668" s="67">
        <f t="shared" ref="D668:AB668" si="240">SUM(D663:D666)</f>
        <v>21072803.440000001</v>
      </c>
      <c r="E668" s="67">
        <f t="shared" si="240"/>
        <v>3000000</v>
      </c>
      <c r="F668" s="67">
        <f t="shared" si="240"/>
        <v>0</v>
      </c>
      <c r="G668" s="67"/>
      <c r="H668" s="67">
        <f t="shared" si="240"/>
        <v>3000000</v>
      </c>
      <c r="I668" s="67">
        <f t="shared" si="240"/>
        <v>0</v>
      </c>
      <c r="J668" s="67">
        <f t="shared" si="240"/>
        <v>0</v>
      </c>
      <c r="K668" s="67">
        <f t="shared" si="240"/>
        <v>0</v>
      </c>
      <c r="L668" s="67">
        <f t="shared" si="240"/>
        <v>0</v>
      </c>
      <c r="M668" s="67"/>
      <c r="N668" s="67">
        <f t="shared" si="240"/>
        <v>3000000</v>
      </c>
      <c r="O668" s="67">
        <f t="shared" si="240"/>
        <v>0</v>
      </c>
      <c r="P668" s="67">
        <f t="shared" si="240"/>
        <v>0</v>
      </c>
      <c r="Q668" s="67"/>
      <c r="R668" s="67">
        <f t="shared" si="240"/>
        <v>0</v>
      </c>
      <c r="S668" s="67">
        <f t="shared" si="240"/>
        <v>0</v>
      </c>
      <c r="T668" s="67">
        <f t="shared" si="240"/>
        <v>0</v>
      </c>
      <c r="U668" s="67">
        <f t="shared" si="240"/>
        <v>0</v>
      </c>
      <c r="V668" s="67">
        <f t="shared" si="240"/>
        <v>0</v>
      </c>
      <c r="W668" s="67"/>
      <c r="X668" s="67">
        <f t="shared" si="240"/>
        <v>0</v>
      </c>
      <c r="Y668" s="67">
        <f t="shared" si="240"/>
        <v>3000000</v>
      </c>
      <c r="Z668" s="67">
        <f t="shared" si="240"/>
        <v>18072803.440000001</v>
      </c>
      <c r="AA668" s="67">
        <f t="shared" si="240"/>
        <v>3000000</v>
      </c>
      <c r="AB668" s="67">
        <f t="shared" si="240"/>
        <v>18072803.440000001</v>
      </c>
    </row>
    <row r="669" spans="1:28" x14ac:dyDescent="0.25">
      <c r="A669" s="46"/>
      <c r="B669" s="26"/>
      <c r="C669" s="4"/>
      <c r="D669" s="70" t="s">
        <v>40</v>
      </c>
      <c r="E669" s="70" t="s">
        <v>40</v>
      </c>
      <c r="F669" s="70" t="s">
        <v>40</v>
      </c>
      <c r="G669" s="70"/>
      <c r="H669" s="70" t="s">
        <v>40</v>
      </c>
      <c r="I669" s="70" t="s">
        <v>40</v>
      </c>
      <c r="J669" s="70" t="s">
        <v>40</v>
      </c>
      <c r="K669" s="70" t="s">
        <v>40</v>
      </c>
      <c r="L669" s="70" t="s">
        <v>40</v>
      </c>
      <c r="M669" s="70"/>
      <c r="N669" s="70" t="s">
        <v>40</v>
      </c>
      <c r="O669" s="70" t="s">
        <v>40</v>
      </c>
      <c r="P669" s="70" t="s">
        <v>40</v>
      </c>
      <c r="Q669" s="70"/>
      <c r="R669" s="70" t="s">
        <v>40</v>
      </c>
      <c r="S669" s="70" t="s">
        <v>40</v>
      </c>
      <c r="T669" s="70" t="s">
        <v>40</v>
      </c>
      <c r="U669" s="70" t="s">
        <v>40</v>
      </c>
      <c r="V669" s="70" t="s">
        <v>40</v>
      </c>
      <c r="W669" s="70"/>
      <c r="X669" s="70" t="s">
        <v>40</v>
      </c>
      <c r="Y669" s="70" t="s">
        <v>40</v>
      </c>
      <c r="Z669" s="70" t="s">
        <v>40</v>
      </c>
      <c r="AA669" s="70" t="s">
        <v>40</v>
      </c>
      <c r="AB669" s="70" t="s">
        <v>40</v>
      </c>
    </row>
    <row r="670" spans="1:28" x14ac:dyDescent="0.25">
      <c r="A670" s="46"/>
      <c r="B670" s="26"/>
      <c r="C670" s="4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</row>
    <row r="671" spans="1:28" x14ac:dyDescent="0.25">
      <c r="A671" s="46">
        <v>72</v>
      </c>
      <c r="B671" s="23" t="s">
        <v>99</v>
      </c>
      <c r="C671" s="2" t="s">
        <v>35</v>
      </c>
      <c r="D671" s="67">
        <v>10685213.609999999</v>
      </c>
      <c r="E671" s="67">
        <v>0</v>
      </c>
      <c r="F671" s="68"/>
      <c r="G671" s="68"/>
      <c r="H671" s="67">
        <f>E671+F671</f>
        <v>0</v>
      </c>
      <c r="I671" s="68"/>
      <c r="J671" s="68"/>
      <c r="K671" s="68"/>
      <c r="L671" s="67"/>
      <c r="M671" s="67"/>
      <c r="N671" s="67">
        <f>H671+L671</f>
        <v>0</v>
      </c>
      <c r="O671" s="67">
        <v>0</v>
      </c>
      <c r="P671" s="68"/>
      <c r="Q671" s="68"/>
      <c r="R671" s="67">
        <f>O671+P671</f>
        <v>0</v>
      </c>
      <c r="S671" s="68"/>
      <c r="T671" s="68"/>
      <c r="U671" s="68"/>
      <c r="V671" s="67"/>
      <c r="W671" s="67"/>
      <c r="X671" s="67">
        <f>R671+V671</f>
        <v>0</v>
      </c>
      <c r="Y671" s="67">
        <f>R671+H671</f>
        <v>0</v>
      </c>
      <c r="Z671" s="67">
        <f>D671-Y671</f>
        <v>10685213.609999999</v>
      </c>
      <c r="AA671" s="67">
        <f>N671+X671</f>
        <v>0</v>
      </c>
      <c r="AB671" s="67">
        <f>+D671-N671-X671</f>
        <v>10685213.609999999</v>
      </c>
    </row>
    <row r="672" spans="1:28" x14ac:dyDescent="0.25">
      <c r="A672" s="46"/>
      <c r="B672" s="26"/>
      <c r="C672" s="3" t="s">
        <v>36</v>
      </c>
      <c r="D672" s="67">
        <f>7750+1852565</f>
        <v>1860315</v>
      </c>
      <c r="E672" s="67">
        <f>7750+1852565</f>
        <v>1860315</v>
      </c>
      <c r="F672" s="68"/>
      <c r="G672" s="68"/>
      <c r="H672" s="67">
        <f>E672+F672</f>
        <v>1860315</v>
      </c>
      <c r="I672" s="68"/>
      <c r="J672" s="68"/>
      <c r="K672" s="68"/>
      <c r="L672" s="67"/>
      <c r="M672" s="67"/>
      <c r="N672" s="67">
        <f>H672+L672</f>
        <v>1860315</v>
      </c>
      <c r="O672" s="67">
        <v>0</v>
      </c>
      <c r="P672" s="68"/>
      <c r="Q672" s="68"/>
      <c r="R672" s="67">
        <f>O672+P672</f>
        <v>0</v>
      </c>
      <c r="S672" s="68"/>
      <c r="T672" s="68"/>
      <c r="U672" s="68"/>
      <c r="V672" s="67"/>
      <c r="W672" s="67"/>
      <c r="X672" s="67">
        <f>R672+V672</f>
        <v>0</v>
      </c>
      <c r="Y672" s="67">
        <f>R672+H672</f>
        <v>1860315</v>
      </c>
      <c r="Z672" s="67">
        <f>D672-Y672</f>
        <v>0</v>
      </c>
      <c r="AA672" s="67">
        <f>N672+X672</f>
        <v>1860315</v>
      </c>
      <c r="AB672" s="67">
        <f>+D672-N672-X672</f>
        <v>0</v>
      </c>
    </row>
    <row r="673" spans="1:28" x14ac:dyDescent="0.25">
      <c r="C673" s="4" t="s">
        <v>314</v>
      </c>
      <c r="D673" s="55">
        <f>3000000+5000000</f>
        <v>8000000</v>
      </c>
      <c r="E673" s="55">
        <f>3000000+5000000</f>
        <v>8000000</v>
      </c>
      <c r="F673" s="55"/>
      <c r="G673" s="55"/>
      <c r="H673" s="55">
        <f>+E673+F673</f>
        <v>8000000</v>
      </c>
      <c r="I673" s="55"/>
      <c r="J673" s="55"/>
      <c r="K673" s="55"/>
      <c r="L673" s="55"/>
      <c r="M673" s="55"/>
      <c r="N673" s="55">
        <f>+H673+L673</f>
        <v>8000000</v>
      </c>
      <c r="O673" s="55">
        <v>0</v>
      </c>
      <c r="P673" s="55"/>
      <c r="Q673" s="55"/>
      <c r="R673" s="55">
        <f>+O673+P673</f>
        <v>0</v>
      </c>
      <c r="S673" s="55"/>
      <c r="T673" s="55"/>
      <c r="U673" s="55"/>
      <c r="V673" s="55"/>
      <c r="W673" s="55"/>
      <c r="X673" s="55">
        <f>+R673+V673</f>
        <v>0</v>
      </c>
      <c r="Y673" s="67">
        <f>R673+H673</f>
        <v>8000000</v>
      </c>
      <c r="Z673" s="67">
        <f>D673-Y673</f>
        <v>0</v>
      </c>
      <c r="AA673" s="67">
        <f>N673+X673</f>
        <v>8000000</v>
      </c>
      <c r="AB673" s="67">
        <f>+D673-N673-X673</f>
        <v>0</v>
      </c>
    </row>
    <row r="674" spans="1:28" x14ac:dyDescent="0.25">
      <c r="A674" s="46"/>
      <c r="B674" s="26"/>
      <c r="C674" s="2" t="s">
        <v>37</v>
      </c>
      <c r="D674" s="67">
        <v>21381879.050000001</v>
      </c>
      <c r="E674" s="67">
        <v>0</v>
      </c>
      <c r="F674" s="68"/>
      <c r="G674" s="68"/>
      <c r="H674" s="67">
        <f>E674+F674</f>
        <v>0</v>
      </c>
      <c r="I674" s="68"/>
      <c r="J674" s="68"/>
      <c r="K674" s="68"/>
      <c r="L674" s="67"/>
      <c r="M674" s="67"/>
      <c r="N674" s="67">
        <f>H674+L674</f>
        <v>0</v>
      </c>
      <c r="O674" s="67">
        <v>0</v>
      </c>
      <c r="P674" s="68"/>
      <c r="Q674" s="68"/>
      <c r="R674" s="67">
        <f>O674+P674</f>
        <v>0</v>
      </c>
      <c r="S674" s="68"/>
      <c r="T674" s="68"/>
      <c r="U674" s="68"/>
      <c r="V674" s="67"/>
      <c r="W674" s="67"/>
      <c r="X674" s="67">
        <f>R674+V674</f>
        <v>0</v>
      </c>
      <c r="Y674" s="67">
        <f>R674+H674</f>
        <v>0</v>
      </c>
      <c r="Z674" s="67">
        <f>D674-Y674</f>
        <v>21381879.050000001</v>
      </c>
      <c r="AA674" s="67">
        <f>N674+X674</f>
        <v>0</v>
      </c>
      <c r="AB674" s="67">
        <f>+D674-N674-X674</f>
        <v>21381879.050000001</v>
      </c>
    </row>
    <row r="675" spans="1:28" x14ac:dyDescent="0.25">
      <c r="A675" s="46"/>
      <c r="B675" s="26"/>
      <c r="C675" s="8" t="s">
        <v>39</v>
      </c>
      <c r="D675" s="67">
        <v>191104.28</v>
      </c>
      <c r="E675" s="67">
        <v>0</v>
      </c>
      <c r="F675" s="68"/>
      <c r="G675" s="68"/>
      <c r="H675" s="67">
        <f>E675+F675</f>
        <v>0</v>
      </c>
      <c r="I675" s="68"/>
      <c r="J675" s="68"/>
      <c r="K675" s="68"/>
      <c r="L675" s="67"/>
      <c r="M675" s="67"/>
      <c r="N675" s="67">
        <f>H675+L675</f>
        <v>0</v>
      </c>
      <c r="O675" s="67">
        <v>0</v>
      </c>
      <c r="P675" s="68">
        <v>235272</v>
      </c>
      <c r="Q675" s="68"/>
      <c r="R675" s="67">
        <f>O675+P675</f>
        <v>235272</v>
      </c>
      <c r="S675" s="68"/>
      <c r="T675" s="68"/>
      <c r="U675" s="68"/>
      <c r="V675" s="67"/>
      <c r="W675" s="67"/>
      <c r="X675" s="67">
        <f>R675+V675</f>
        <v>235272</v>
      </c>
      <c r="Y675" s="67">
        <f>R675+H675</f>
        <v>235272</v>
      </c>
      <c r="Z675" s="67">
        <f>D675-Y675</f>
        <v>-44167.72</v>
      </c>
      <c r="AA675" s="67">
        <f>N675+X675</f>
        <v>235272</v>
      </c>
      <c r="AB675" s="67">
        <f>+D675-N675-X675</f>
        <v>-44167.72</v>
      </c>
    </row>
    <row r="676" spans="1:28" x14ac:dyDescent="0.25">
      <c r="A676" s="46"/>
      <c r="B676" s="26"/>
      <c r="C676" s="4"/>
      <c r="D676" s="70" t="s">
        <v>40</v>
      </c>
      <c r="E676" s="70" t="s">
        <v>40</v>
      </c>
      <c r="F676" s="70" t="s">
        <v>40</v>
      </c>
      <c r="G676" s="70"/>
      <c r="H676" s="70" t="s">
        <v>40</v>
      </c>
      <c r="I676" s="70" t="s">
        <v>40</v>
      </c>
      <c r="J676" s="70" t="s">
        <v>40</v>
      </c>
      <c r="K676" s="70" t="s">
        <v>40</v>
      </c>
      <c r="L676" s="70" t="s">
        <v>40</v>
      </c>
      <c r="M676" s="70"/>
      <c r="N676" s="70" t="s">
        <v>40</v>
      </c>
      <c r="O676" s="70" t="s">
        <v>40</v>
      </c>
      <c r="P676" s="70" t="s">
        <v>40</v>
      </c>
      <c r="Q676" s="70"/>
      <c r="R676" s="70" t="s">
        <v>40</v>
      </c>
      <c r="S676" s="70" t="s">
        <v>40</v>
      </c>
      <c r="T676" s="70" t="s">
        <v>40</v>
      </c>
      <c r="U676" s="70" t="s">
        <v>40</v>
      </c>
      <c r="V676" s="70" t="s">
        <v>40</v>
      </c>
      <c r="W676" s="70"/>
      <c r="X676" s="70" t="s">
        <v>40</v>
      </c>
      <c r="Y676" s="70" t="s">
        <v>40</v>
      </c>
      <c r="Z676" s="70" t="s">
        <v>40</v>
      </c>
      <c r="AA676" s="70" t="s">
        <v>40</v>
      </c>
      <c r="AB676" s="70" t="s">
        <v>40</v>
      </c>
    </row>
    <row r="677" spans="1:28" x14ac:dyDescent="0.25">
      <c r="A677" s="46"/>
      <c r="B677" s="30"/>
      <c r="C677" s="4"/>
      <c r="D677" s="67">
        <f>SUM(D671:D675)</f>
        <v>42118511.939999998</v>
      </c>
      <c r="E677" s="67">
        <f>SUM(E671:E675)</f>
        <v>9860315</v>
      </c>
      <c r="F677" s="67">
        <f>SUM(F671:F675)</f>
        <v>0</v>
      </c>
      <c r="G677" s="67"/>
      <c r="H677" s="67">
        <f>SUM(H671:H675)</f>
        <v>9860315</v>
      </c>
      <c r="I677" s="67">
        <f>SUM(I671:I675)</f>
        <v>0</v>
      </c>
      <c r="J677" s="67">
        <f>SUM(J671:J675)</f>
        <v>0</v>
      </c>
      <c r="K677" s="67">
        <f>SUM(K671:K675)</f>
        <v>0</v>
      </c>
      <c r="L677" s="67">
        <f>SUM(L671:L675)</f>
        <v>0</v>
      </c>
      <c r="M677" s="67"/>
      <c r="N677" s="67">
        <f>SUM(N671:N675)</f>
        <v>9860315</v>
      </c>
      <c r="O677" s="67">
        <f>SUM(O671:O675)</f>
        <v>0</v>
      </c>
      <c r="P677" s="67">
        <f>SUM(P671:P675)</f>
        <v>235272</v>
      </c>
      <c r="Q677" s="67"/>
      <c r="R677" s="67">
        <f>SUM(R671:R675)</f>
        <v>235272</v>
      </c>
      <c r="S677" s="67">
        <f>SUM(S671:S675)</f>
        <v>0</v>
      </c>
      <c r="T677" s="67">
        <f>SUM(T671:T675)</f>
        <v>0</v>
      </c>
      <c r="U677" s="67">
        <f>SUM(U671:U675)</f>
        <v>0</v>
      </c>
      <c r="V677" s="67">
        <f>SUM(V671:V675)</f>
        <v>0</v>
      </c>
      <c r="W677" s="67"/>
      <c r="X677" s="67">
        <f>SUM(X671:X675)</f>
        <v>235272</v>
      </c>
      <c r="Y677" s="67">
        <f>SUM(Y671:Y675)</f>
        <v>10095587</v>
      </c>
      <c r="Z677" s="67">
        <f>SUM(Z671:Z675)</f>
        <v>32022924.940000001</v>
      </c>
      <c r="AA677" s="67">
        <f>SUM(AA671:AA675)</f>
        <v>10095587</v>
      </c>
      <c r="AB677" s="67">
        <f>SUM(AB671:AB675)</f>
        <v>32022924.940000001</v>
      </c>
    </row>
    <row r="678" spans="1:28" x14ac:dyDescent="0.25">
      <c r="A678" s="46"/>
      <c r="B678" s="26"/>
      <c r="C678" s="4"/>
      <c r="D678" s="70" t="s">
        <v>40</v>
      </c>
      <c r="E678" s="70" t="s">
        <v>40</v>
      </c>
      <c r="F678" s="70" t="s">
        <v>40</v>
      </c>
      <c r="G678" s="70"/>
      <c r="H678" s="70" t="s">
        <v>40</v>
      </c>
      <c r="I678" s="70" t="s">
        <v>40</v>
      </c>
      <c r="J678" s="70" t="s">
        <v>40</v>
      </c>
      <c r="K678" s="70" t="s">
        <v>40</v>
      </c>
      <c r="L678" s="70" t="s">
        <v>40</v>
      </c>
      <c r="M678" s="70"/>
      <c r="N678" s="70" t="s">
        <v>40</v>
      </c>
      <c r="O678" s="70" t="s">
        <v>40</v>
      </c>
      <c r="P678" s="70" t="s">
        <v>40</v>
      </c>
      <c r="Q678" s="70"/>
      <c r="R678" s="70" t="s">
        <v>40</v>
      </c>
      <c r="S678" s="70" t="s">
        <v>40</v>
      </c>
      <c r="T678" s="70" t="s">
        <v>40</v>
      </c>
      <c r="U678" s="70" t="s">
        <v>40</v>
      </c>
      <c r="V678" s="70" t="s">
        <v>40</v>
      </c>
      <c r="W678" s="70"/>
      <c r="X678" s="70" t="s">
        <v>40</v>
      </c>
      <c r="Y678" s="70" t="s">
        <v>40</v>
      </c>
      <c r="Z678" s="70" t="s">
        <v>40</v>
      </c>
      <c r="AA678" s="70" t="s">
        <v>40</v>
      </c>
      <c r="AB678" s="70" t="s">
        <v>40</v>
      </c>
    </row>
    <row r="679" spans="1:28" x14ac:dyDescent="0.25">
      <c r="A679" s="46"/>
      <c r="B679" s="26"/>
      <c r="C679" s="4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</row>
    <row r="680" spans="1:28" x14ac:dyDescent="0.25">
      <c r="A680" s="46">
        <v>73</v>
      </c>
      <c r="B680" s="38" t="s">
        <v>100</v>
      </c>
      <c r="C680" s="2" t="s">
        <v>35</v>
      </c>
      <c r="D680" s="67">
        <v>19339323.57</v>
      </c>
      <c r="E680" s="67">
        <v>0</v>
      </c>
      <c r="F680" s="68"/>
      <c r="G680" s="68"/>
      <c r="H680" s="67">
        <f>E680+F680</f>
        <v>0</v>
      </c>
      <c r="I680" s="68"/>
      <c r="J680" s="68"/>
      <c r="K680" s="68"/>
      <c r="L680" s="67"/>
      <c r="M680" s="67"/>
      <c r="N680" s="67">
        <f>H680+L680</f>
        <v>0</v>
      </c>
      <c r="O680" s="67">
        <v>107341.2</v>
      </c>
      <c r="P680" s="68"/>
      <c r="Q680" s="68"/>
      <c r="R680" s="67">
        <f>O680+P680</f>
        <v>107341.2</v>
      </c>
      <c r="S680" s="68"/>
      <c r="T680" s="68"/>
      <c r="U680" s="68"/>
      <c r="V680" s="67"/>
      <c r="W680" s="67"/>
      <c r="X680" s="67">
        <f>R680+V680</f>
        <v>107341.2</v>
      </c>
      <c r="Y680" s="67">
        <f>R680+H680</f>
        <v>107341.2</v>
      </c>
      <c r="Z680" s="67">
        <f>D680-Y680</f>
        <v>19231982.370000001</v>
      </c>
      <c r="AA680" s="67">
        <f>N680+X680</f>
        <v>107341.2</v>
      </c>
      <c r="AB680" s="67">
        <f>+D680-N680-X680</f>
        <v>19231982.370000001</v>
      </c>
    </row>
    <row r="681" spans="1:28" x14ac:dyDescent="0.25">
      <c r="A681" s="46"/>
      <c r="B681" s="38"/>
      <c r="C681" s="3" t="s">
        <v>36</v>
      </c>
      <c r="D681" s="67">
        <v>2008032</v>
      </c>
      <c r="E681" s="67">
        <v>2008032</v>
      </c>
      <c r="F681" s="68"/>
      <c r="G681" s="68"/>
      <c r="H681" s="67">
        <f>E681+F681</f>
        <v>2008032</v>
      </c>
      <c r="I681" s="68"/>
      <c r="J681" s="68"/>
      <c r="K681" s="68"/>
      <c r="L681" s="67"/>
      <c r="M681" s="67"/>
      <c r="N681" s="67">
        <f>H681+L681</f>
        <v>2008032</v>
      </c>
      <c r="O681" s="67">
        <v>0</v>
      </c>
      <c r="P681" s="68"/>
      <c r="Q681" s="68"/>
      <c r="R681" s="67">
        <f>O681+P681</f>
        <v>0</v>
      </c>
      <c r="S681" s="68"/>
      <c r="T681" s="68"/>
      <c r="U681" s="68"/>
      <c r="V681" s="67"/>
      <c r="W681" s="67"/>
      <c r="X681" s="67">
        <f>R681+V681</f>
        <v>0</v>
      </c>
      <c r="Y681" s="67">
        <f>R681+H681</f>
        <v>2008032</v>
      </c>
      <c r="Z681" s="67">
        <f>D681-Y681</f>
        <v>0</v>
      </c>
      <c r="AA681" s="67">
        <f>N681+X681</f>
        <v>2008032</v>
      </c>
      <c r="AB681" s="67">
        <f>+D681-N681-X681</f>
        <v>0</v>
      </c>
    </row>
    <row r="682" spans="1:28" x14ac:dyDescent="0.25">
      <c r="A682" s="46"/>
      <c r="B682" s="26"/>
      <c r="C682" s="2" t="s">
        <v>53</v>
      </c>
      <c r="D682" s="67">
        <v>0</v>
      </c>
      <c r="E682" s="67">
        <v>0</v>
      </c>
      <c r="F682" s="68"/>
      <c r="G682" s="68"/>
      <c r="H682" s="67">
        <f>E682+F682</f>
        <v>0</v>
      </c>
      <c r="I682" s="68"/>
      <c r="J682" s="68"/>
      <c r="K682" s="68"/>
      <c r="L682" s="67"/>
      <c r="M682" s="67"/>
      <c r="N682" s="67">
        <f>H682+L682</f>
        <v>0</v>
      </c>
      <c r="O682" s="67">
        <v>0</v>
      </c>
      <c r="P682" s="68"/>
      <c r="Q682" s="68"/>
      <c r="R682" s="67">
        <f>O682+P682</f>
        <v>0</v>
      </c>
      <c r="S682" s="68"/>
      <c r="T682" s="68"/>
      <c r="U682" s="68"/>
      <c r="V682" s="67"/>
      <c r="W682" s="67"/>
      <c r="X682" s="67">
        <f>R682+V682</f>
        <v>0</v>
      </c>
      <c r="Y682" s="67">
        <f>R682+H682</f>
        <v>0</v>
      </c>
      <c r="Z682" s="67">
        <f>D682-Y682</f>
        <v>0</v>
      </c>
      <c r="AA682" s="67">
        <f>N682+X682</f>
        <v>0</v>
      </c>
      <c r="AB682" s="67">
        <f>+D682-N682-X682</f>
        <v>0</v>
      </c>
    </row>
    <row r="683" spans="1:28" x14ac:dyDescent="0.25">
      <c r="A683" s="46"/>
      <c r="B683" s="26"/>
      <c r="C683" s="2" t="s">
        <v>54</v>
      </c>
      <c r="D683" s="67">
        <f>879189.19-76848.3</f>
        <v>802340.8899999999</v>
      </c>
      <c r="E683" s="67">
        <v>0</v>
      </c>
      <c r="F683" s="68"/>
      <c r="G683" s="68"/>
      <c r="H683" s="67">
        <f>E683+F683</f>
        <v>0</v>
      </c>
      <c r="I683" s="68"/>
      <c r="J683" s="68"/>
      <c r="K683" s="68"/>
      <c r="L683" s="67"/>
      <c r="M683" s="67"/>
      <c r="N683" s="67">
        <f>H683+L683</f>
        <v>0</v>
      </c>
      <c r="O683" s="67">
        <v>188191.13</v>
      </c>
      <c r="P683" s="68"/>
      <c r="Q683" s="68"/>
      <c r="R683" s="67">
        <f>O683+P683</f>
        <v>188191.13</v>
      </c>
      <c r="S683" s="68"/>
      <c r="T683" s="68"/>
      <c r="U683" s="68"/>
      <c r="V683" s="67"/>
      <c r="W683" s="67"/>
      <c r="X683" s="67">
        <f>R683+V683</f>
        <v>188191.13</v>
      </c>
      <c r="Y683" s="67">
        <f>R683+H683</f>
        <v>188191.13</v>
      </c>
      <c r="Z683" s="67">
        <f>D683-Y683</f>
        <v>614149.75999999989</v>
      </c>
      <c r="AA683" s="67">
        <f>N683+X683</f>
        <v>188191.13</v>
      </c>
      <c r="AB683" s="67">
        <f>+D683-N683-X683</f>
        <v>614149.75999999989</v>
      </c>
    </row>
    <row r="684" spans="1:28" x14ac:dyDescent="0.25">
      <c r="A684" s="46"/>
      <c r="B684" s="26"/>
      <c r="C684" s="4"/>
      <c r="D684" s="70" t="s">
        <v>40</v>
      </c>
      <c r="E684" s="70" t="s">
        <v>40</v>
      </c>
      <c r="F684" s="70" t="s">
        <v>40</v>
      </c>
      <c r="G684" s="70"/>
      <c r="H684" s="70" t="s">
        <v>40</v>
      </c>
      <c r="I684" s="70" t="s">
        <v>40</v>
      </c>
      <c r="J684" s="70" t="s">
        <v>40</v>
      </c>
      <c r="K684" s="70" t="s">
        <v>40</v>
      </c>
      <c r="L684" s="70" t="s">
        <v>40</v>
      </c>
      <c r="M684" s="70"/>
      <c r="N684" s="70" t="s">
        <v>40</v>
      </c>
      <c r="O684" s="70" t="s">
        <v>40</v>
      </c>
      <c r="P684" s="70" t="s">
        <v>40</v>
      </c>
      <c r="Q684" s="70"/>
      <c r="R684" s="70" t="s">
        <v>40</v>
      </c>
      <c r="S684" s="70" t="s">
        <v>40</v>
      </c>
      <c r="T684" s="70" t="s">
        <v>40</v>
      </c>
      <c r="U684" s="70" t="s">
        <v>40</v>
      </c>
      <c r="V684" s="70" t="s">
        <v>40</v>
      </c>
      <c r="W684" s="70"/>
      <c r="X684" s="70" t="s">
        <v>40</v>
      </c>
      <c r="Y684" s="70" t="s">
        <v>40</v>
      </c>
      <c r="Z684" s="70" t="s">
        <v>40</v>
      </c>
      <c r="AA684" s="70" t="s">
        <v>40</v>
      </c>
      <c r="AB684" s="70" t="s">
        <v>40</v>
      </c>
    </row>
    <row r="685" spans="1:28" x14ac:dyDescent="0.25">
      <c r="A685" s="46"/>
      <c r="B685" s="26"/>
      <c r="C685" s="4"/>
      <c r="D685" s="67">
        <f t="shared" ref="D685:AB685" si="241">SUM(D680:D683)</f>
        <v>22149696.460000001</v>
      </c>
      <c r="E685" s="67">
        <f t="shared" si="241"/>
        <v>2008032</v>
      </c>
      <c r="F685" s="67">
        <f t="shared" si="241"/>
        <v>0</v>
      </c>
      <c r="G685" s="67"/>
      <c r="H685" s="67">
        <f t="shared" si="241"/>
        <v>2008032</v>
      </c>
      <c r="I685" s="67">
        <f t="shared" si="241"/>
        <v>0</v>
      </c>
      <c r="J685" s="67">
        <f t="shared" si="241"/>
        <v>0</v>
      </c>
      <c r="K685" s="67">
        <f t="shared" si="241"/>
        <v>0</v>
      </c>
      <c r="L685" s="67">
        <f t="shared" si="241"/>
        <v>0</v>
      </c>
      <c r="M685" s="67"/>
      <c r="N685" s="67">
        <f t="shared" si="241"/>
        <v>2008032</v>
      </c>
      <c r="O685" s="67">
        <f t="shared" si="241"/>
        <v>295532.33</v>
      </c>
      <c r="P685" s="67">
        <f t="shared" si="241"/>
        <v>0</v>
      </c>
      <c r="Q685" s="67"/>
      <c r="R685" s="67">
        <f t="shared" si="241"/>
        <v>295532.33</v>
      </c>
      <c r="S685" s="67">
        <f t="shared" si="241"/>
        <v>0</v>
      </c>
      <c r="T685" s="67">
        <f t="shared" si="241"/>
        <v>0</v>
      </c>
      <c r="U685" s="67">
        <f t="shared" si="241"/>
        <v>0</v>
      </c>
      <c r="V685" s="67">
        <f t="shared" si="241"/>
        <v>0</v>
      </c>
      <c r="W685" s="67"/>
      <c r="X685" s="67">
        <f t="shared" si="241"/>
        <v>295532.33</v>
      </c>
      <c r="Y685" s="67">
        <f t="shared" si="241"/>
        <v>2303564.33</v>
      </c>
      <c r="Z685" s="67">
        <f t="shared" si="241"/>
        <v>19846132.130000003</v>
      </c>
      <c r="AA685" s="67">
        <f t="shared" si="241"/>
        <v>2303564.33</v>
      </c>
      <c r="AB685" s="67">
        <f t="shared" si="241"/>
        <v>19846132.130000003</v>
      </c>
    </row>
    <row r="686" spans="1:28" x14ac:dyDescent="0.25">
      <c r="A686" s="46"/>
      <c r="B686" s="30"/>
      <c r="C686" s="4"/>
      <c r="D686" s="70" t="s">
        <v>40</v>
      </c>
      <c r="E686" s="70" t="s">
        <v>40</v>
      </c>
      <c r="F686" s="70" t="s">
        <v>40</v>
      </c>
      <c r="G686" s="70"/>
      <c r="H686" s="70" t="s">
        <v>40</v>
      </c>
      <c r="I686" s="70" t="s">
        <v>40</v>
      </c>
      <c r="J686" s="70" t="s">
        <v>40</v>
      </c>
      <c r="K686" s="70" t="s">
        <v>40</v>
      </c>
      <c r="L686" s="70" t="s">
        <v>40</v>
      </c>
      <c r="M686" s="70"/>
      <c r="N686" s="70" t="s">
        <v>40</v>
      </c>
      <c r="O686" s="70" t="s">
        <v>40</v>
      </c>
      <c r="P686" s="70" t="s">
        <v>40</v>
      </c>
      <c r="Q686" s="70"/>
      <c r="R686" s="70" t="s">
        <v>40</v>
      </c>
      <c r="S686" s="70" t="s">
        <v>40</v>
      </c>
      <c r="T686" s="70" t="s">
        <v>40</v>
      </c>
      <c r="U686" s="70" t="s">
        <v>40</v>
      </c>
      <c r="V686" s="70" t="s">
        <v>40</v>
      </c>
      <c r="W686" s="70"/>
      <c r="X686" s="70" t="s">
        <v>40</v>
      </c>
      <c r="Y686" s="70" t="s">
        <v>40</v>
      </c>
      <c r="Z686" s="70" t="s">
        <v>40</v>
      </c>
      <c r="AA686" s="70" t="s">
        <v>40</v>
      </c>
      <c r="AB686" s="70" t="s">
        <v>40</v>
      </c>
    </row>
    <row r="687" spans="1:28" x14ac:dyDescent="0.25">
      <c r="A687" s="46"/>
      <c r="B687" s="30"/>
      <c r="C687" s="4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6"/>
      <c r="R687" s="70"/>
      <c r="S687" s="70"/>
      <c r="T687" s="70"/>
      <c r="U687" s="70"/>
      <c r="W687" s="70"/>
      <c r="X687" s="70"/>
      <c r="Y687" s="70"/>
      <c r="Z687" s="70"/>
      <c r="AA687" s="70"/>
      <c r="AB687" s="70"/>
    </row>
    <row r="688" spans="1:28" x14ac:dyDescent="0.25">
      <c r="A688" s="46"/>
      <c r="B688" s="30"/>
      <c r="C688" s="4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</row>
    <row r="689" spans="1:28" x14ac:dyDescent="0.25">
      <c r="A689" s="46"/>
      <c r="B689" s="30"/>
      <c r="C689" s="4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</row>
    <row r="690" spans="1:28" x14ac:dyDescent="0.25">
      <c r="A690" s="46">
        <v>74</v>
      </c>
      <c r="B690" s="38" t="s">
        <v>101</v>
      </c>
      <c r="C690" s="3" t="s">
        <v>35</v>
      </c>
      <c r="D690" s="67">
        <v>0</v>
      </c>
      <c r="E690" s="67">
        <v>0</v>
      </c>
      <c r="F690" s="68"/>
      <c r="G690" s="68"/>
      <c r="H690" s="67">
        <f>E690+F690</f>
        <v>0</v>
      </c>
      <c r="I690" s="68"/>
      <c r="J690" s="68"/>
      <c r="K690" s="68"/>
      <c r="L690" s="67"/>
      <c r="M690" s="67"/>
      <c r="N690" s="67">
        <f>H690+L690</f>
        <v>0</v>
      </c>
      <c r="O690" s="67">
        <f>23379.4-23379.4</f>
        <v>0</v>
      </c>
      <c r="P690" s="68"/>
      <c r="Q690" s="55"/>
      <c r="R690" s="67">
        <f>O690+P690</f>
        <v>0</v>
      </c>
      <c r="S690" s="68"/>
      <c r="T690" s="68"/>
      <c r="U690" s="68"/>
      <c r="V690" s="67"/>
      <c r="W690" s="67"/>
      <c r="X690" s="67">
        <f>R690+V690</f>
        <v>0</v>
      </c>
      <c r="Y690" s="67">
        <f>R690+H690</f>
        <v>0</v>
      </c>
      <c r="Z690" s="67">
        <f>D690-Y690</f>
        <v>0</v>
      </c>
      <c r="AA690" s="67">
        <f>N690+X690</f>
        <v>0</v>
      </c>
      <c r="AB690" s="67">
        <f>+D690-N690-X690</f>
        <v>0</v>
      </c>
    </row>
    <row r="691" spans="1:28" x14ac:dyDescent="0.25">
      <c r="A691" s="46"/>
      <c r="B691" s="26"/>
      <c r="C691" s="3" t="s">
        <v>36</v>
      </c>
      <c r="D691" s="67">
        <v>140000</v>
      </c>
      <c r="E691" s="67">
        <v>140000</v>
      </c>
      <c r="F691" s="68"/>
      <c r="G691" s="68"/>
      <c r="H691" s="67">
        <f>E691+F691</f>
        <v>140000</v>
      </c>
      <c r="I691" s="68"/>
      <c r="J691" s="68"/>
      <c r="K691" s="68"/>
      <c r="L691" s="67"/>
      <c r="M691" s="67"/>
      <c r="N691" s="67">
        <f>H691+L691</f>
        <v>140000</v>
      </c>
      <c r="O691" s="67">
        <v>0</v>
      </c>
      <c r="P691" s="68"/>
      <c r="Q691" s="68"/>
      <c r="R691" s="67">
        <f>O691+P691</f>
        <v>0</v>
      </c>
      <c r="S691" s="68"/>
      <c r="T691" s="68"/>
      <c r="U691" s="68"/>
      <c r="V691" s="67"/>
      <c r="W691" s="67"/>
      <c r="X691" s="67">
        <f>R691+V691</f>
        <v>0</v>
      </c>
      <c r="Y691" s="67">
        <f>R691+H691</f>
        <v>140000</v>
      </c>
      <c r="Z691" s="67">
        <f>D691-Y691</f>
        <v>0</v>
      </c>
      <c r="AA691" s="67">
        <f>N691+X691</f>
        <v>140000</v>
      </c>
      <c r="AB691" s="67">
        <f>+D691-N691-X691</f>
        <v>0</v>
      </c>
    </row>
    <row r="692" spans="1:28" x14ac:dyDescent="0.25">
      <c r="A692" s="46"/>
      <c r="B692" s="26"/>
      <c r="C692" s="3" t="s">
        <v>76</v>
      </c>
      <c r="D692" s="67">
        <v>0</v>
      </c>
      <c r="E692" s="67">
        <v>0</v>
      </c>
      <c r="F692" s="68"/>
      <c r="G692" s="68"/>
      <c r="H692" s="67">
        <f>E692+F692</f>
        <v>0</v>
      </c>
      <c r="I692" s="68"/>
      <c r="J692" s="68"/>
      <c r="K692" s="68"/>
      <c r="L692" s="67"/>
      <c r="M692" s="67"/>
      <c r="N692" s="67">
        <f>H692+L692</f>
        <v>0</v>
      </c>
      <c r="O692" s="67">
        <v>0</v>
      </c>
      <c r="P692" s="68"/>
      <c r="Q692" s="68"/>
      <c r="R692" s="67">
        <f>O692+P692</f>
        <v>0</v>
      </c>
      <c r="S692" s="68"/>
      <c r="T692" s="68"/>
      <c r="U692" s="68"/>
      <c r="V692" s="67"/>
      <c r="W692" s="67"/>
      <c r="X692" s="67">
        <f>R692+V692</f>
        <v>0</v>
      </c>
      <c r="Y692" s="67">
        <f>R692+H692</f>
        <v>0</v>
      </c>
      <c r="Z692" s="67">
        <f>D692-Y692</f>
        <v>0</v>
      </c>
      <c r="AA692" s="67">
        <f>N692+X692</f>
        <v>0</v>
      </c>
      <c r="AB692" s="67">
        <f>+D692-N692-X692</f>
        <v>0</v>
      </c>
    </row>
    <row r="693" spans="1:28" x14ac:dyDescent="0.25">
      <c r="A693" s="46"/>
      <c r="B693" s="26"/>
      <c r="C693" s="4"/>
      <c r="D693" s="70" t="s">
        <v>40</v>
      </c>
      <c r="E693" s="70" t="s">
        <v>40</v>
      </c>
      <c r="F693" s="70" t="s">
        <v>40</v>
      </c>
      <c r="G693" s="70"/>
      <c r="H693" s="70" t="s">
        <v>40</v>
      </c>
      <c r="I693" s="70" t="s">
        <v>40</v>
      </c>
      <c r="J693" s="70" t="s">
        <v>40</v>
      </c>
      <c r="K693" s="70" t="s">
        <v>40</v>
      </c>
      <c r="L693" s="70" t="s">
        <v>40</v>
      </c>
      <c r="M693" s="70"/>
      <c r="N693" s="70" t="s">
        <v>40</v>
      </c>
      <c r="O693" s="70" t="s">
        <v>40</v>
      </c>
      <c r="P693" s="70" t="s">
        <v>40</v>
      </c>
      <c r="Q693" s="70"/>
      <c r="R693" s="70" t="s">
        <v>40</v>
      </c>
      <c r="S693" s="70" t="s">
        <v>40</v>
      </c>
      <c r="T693" s="70" t="s">
        <v>40</v>
      </c>
      <c r="U693" s="70" t="s">
        <v>40</v>
      </c>
      <c r="V693" s="70" t="s">
        <v>40</v>
      </c>
      <c r="W693" s="70"/>
      <c r="X693" s="70" t="s">
        <v>40</v>
      </c>
      <c r="Y693" s="70" t="s">
        <v>40</v>
      </c>
      <c r="Z693" s="70" t="s">
        <v>40</v>
      </c>
      <c r="AA693" s="70" t="s">
        <v>40</v>
      </c>
      <c r="AB693" s="70" t="s">
        <v>40</v>
      </c>
    </row>
    <row r="694" spans="1:28" x14ac:dyDescent="0.25">
      <c r="A694" s="46"/>
      <c r="B694" s="26"/>
      <c r="C694" s="4"/>
      <c r="D694" s="67">
        <f t="shared" ref="D694:AB694" si="242">SUM(D690:D692)</f>
        <v>140000</v>
      </c>
      <c r="E694" s="67">
        <f t="shared" si="242"/>
        <v>140000</v>
      </c>
      <c r="F694" s="67">
        <f t="shared" si="242"/>
        <v>0</v>
      </c>
      <c r="G694" s="67"/>
      <c r="H694" s="67">
        <f t="shared" si="242"/>
        <v>140000</v>
      </c>
      <c r="I694" s="67">
        <f t="shared" si="242"/>
        <v>0</v>
      </c>
      <c r="J694" s="67">
        <f t="shared" si="242"/>
        <v>0</v>
      </c>
      <c r="K694" s="67">
        <f t="shared" si="242"/>
        <v>0</v>
      </c>
      <c r="L694" s="67">
        <f t="shared" si="242"/>
        <v>0</v>
      </c>
      <c r="M694" s="67"/>
      <c r="N694" s="67">
        <f t="shared" si="242"/>
        <v>140000</v>
      </c>
      <c r="O694" s="67">
        <f t="shared" si="242"/>
        <v>0</v>
      </c>
      <c r="P694" s="67">
        <f t="shared" si="242"/>
        <v>0</v>
      </c>
      <c r="Q694" s="67"/>
      <c r="R694" s="67">
        <f t="shared" si="242"/>
        <v>0</v>
      </c>
      <c r="S694" s="67">
        <f t="shared" si="242"/>
        <v>0</v>
      </c>
      <c r="T694" s="67">
        <f t="shared" si="242"/>
        <v>0</v>
      </c>
      <c r="U694" s="67">
        <f t="shared" si="242"/>
        <v>0</v>
      </c>
      <c r="V694" s="67">
        <f t="shared" si="242"/>
        <v>0</v>
      </c>
      <c r="W694" s="67"/>
      <c r="X694" s="67">
        <f t="shared" si="242"/>
        <v>0</v>
      </c>
      <c r="Y694" s="67">
        <f t="shared" si="242"/>
        <v>140000</v>
      </c>
      <c r="Z694" s="67">
        <f t="shared" si="242"/>
        <v>0</v>
      </c>
      <c r="AA694" s="67">
        <f t="shared" si="242"/>
        <v>140000</v>
      </c>
      <c r="AB694" s="67">
        <f t="shared" si="242"/>
        <v>0</v>
      </c>
    </row>
    <row r="695" spans="1:28" x14ac:dyDescent="0.25">
      <c r="A695" s="46"/>
      <c r="B695" s="26"/>
      <c r="C695" s="4"/>
      <c r="D695" s="70" t="s">
        <v>40</v>
      </c>
      <c r="E695" s="70" t="s">
        <v>40</v>
      </c>
      <c r="F695" s="70" t="s">
        <v>40</v>
      </c>
      <c r="G695" s="70"/>
      <c r="H695" s="70" t="s">
        <v>40</v>
      </c>
      <c r="I695" s="70" t="s">
        <v>40</v>
      </c>
      <c r="J695" s="70" t="s">
        <v>40</v>
      </c>
      <c r="K695" s="70" t="s">
        <v>40</v>
      </c>
      <c r="L695" s="70" t="s">
        <v>40</v>
      </c>
      <c r="M695" s="70"/>
      <c r="N695" s="70" t="s">
        <v>40</v>
      </c>
      <c r="O695" s="70" t="s">
        <v>40</v>
      </c>
      <c r="P695" s="70" t="s">
        <v>40</v>
      </c>
      <c r="Q695" s="70"/>
      <c r="R695" s="70" t="s">
        <v>40</v>
      </c>
      <c r="S695" s="70" t="s">
        <v>40</v>
      </c>
      <c r="T695" s="70" t="s">
        <v>40</v>
      </c>
      <c r="U695" s="70" t="s">
        <v>40</v>
      </c>
      <c r="V695" s="70" t="s">
        <v>40</v>
      </c>
      <c r="W695" s="70"/>
      <c r="X695" s="70" t="s">
        <v>40</v>
      </c>
      <c r="Y695" s="70" t="s">
        <v>40</v>
      </c>
      <c r="Z695" s="70" t="s">
        <v>40</v>
      </c>
      <c r="AA695" s="70" t="s">
        <v>40</v>
      </c>
      <c r="AB695" s="70" t="s">
        <v>40</v>
      </c>
    </row>
    <row r="696" spans="1:28" x14ac:dyDescent="0.25">
      <c r="A696" s="46"/>
      <c r="B696" s="26"/>
      <c r="C696" s="4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7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</row>
    <row r="697" spans="1:28" x14ac:dyDescent="0.25">
      <c r="A697" s="46">
        <v>75</v>
      </c>
      <c r="B697" s="23" t="s">
        <v>102</v>
      </c>
      <c r="C697" s="2" t="s">
        <v>35</v>
      </c>
      <c r="D697" s="67">
        <v>13919821.32</v>
      </c>
      <c r="E697" s="67">
        <v>0</v>
      </c>
      <c r="F697" s="68"/>
      <c r="G697" s="68"/>
      <c r="H697" s="67">
        <f>E697+F697</f>
        <v>0</v>
      </c>
      <c r="I697" s="68"/>
      <c r="J697" s="68"/>
      <c r="K697" s="68"/>
      <c r="L697" s="67"/>
      <c r="M697" s="67"/>
      <c r="N697" s="67">
        <f>H697+L697</f>
        <v>0</v>
      </c>
      <c r="O697" s="67">
        <v>0</v>
      </c>
      <c r="P697" s="68"/>
      <c r="Q697" s="68"/>
      <c r="R697" s="67">
        <f>O697+P697</f>
        <v>0</v>
      </c>
      <c r="S697" s="68"/>
      <c r="T697" s="68"/>
      <c r="U697" s="68"/>
      <c r="V697" s="67"/>
      <c r="W697" s="67"/>
      <c r="X697" s="67">
        <f>R697+V697</f>
        <v>0</v>
      </c>
      <c r="Y697" s="67">
        <f>R697+H697</f>
        <v>0</v>
      </c>
      <c r="Z697" s="67">
        <f>D697-Y697</f>
        <v>13919821.32</v>
      </c>
      <c r="AA697" s="67">
        <f>N697+X697</f>
        <v>0</v>
      </c>
      <c r="AB697" s="67">
        <f>+D697-N697-X697</f>
        <v>13919821.32</v>
      </c>
    </row>
    <row r="698" spans="1:28" x14ac:dyDescent="0.25">
      <c r="A698" s="46"/>
      <c r="B698" s="26"/>
      <c r="C698" s="3" t="s">
        <v>36</v>
      </c>
      <c r="D698" s="67">
        <f>2098990+2326694</f>
        <v>4425684</v>
      </c>
      <c r="E698" s="67">
        <f>2098990+2326694</f>
        <v>4425684</v>
      </c>
      <c r="F698" s="68"/>
      <c r="G698" s="68"/>
      <c r="H698" s="67">
        <f>E698+F698</f>
        <v>4425684</v>
      </c>
      <c r="I698" s="68"/>
      <c r="J698" s="68"/>
      <c r="K698" s="68"/>
      <c r="L698" s="67"/>
      <c r="M698" s="67"/>
      <c r="N698" s="67">
        <f>H698+L698</f>
        <v>4425684</v>
      </c>
      <c r="O698" s="67">
        <v>0</v>
      </c>
      <c r="P698" s="68"/>
      <c r="Q698" s="68"/>
      <c r="R698" s="67">
        <f>O698+P698</f>
        <v>0</v>
      </c>
      <c r="S698" s="68"/>
      <c r="T698" s="68"/>
      <c r="U698" s="68"/>
      <c r="V698" s="67"/>
      <c r="W698" s="67"/>
      <c r="X698" s="67">
        <f>R698+V698</f>
        <v>0</v>
      </c>
      <c r="Y698" s="67">
        <f>R698+H698</f>
        <v>4425684</v>
      </c>
      <c r="Z698" s="67">
        <f>D698-Y698</f>
        <v>0</v>
      </c>
      <c r="AA698" s="67">
        <f>N698+X698</f>
        <v>4425684</v>
      </c>
      <c r="AB698" s="67">
        <f>+D698-N698-X698</f>
        <v>0</v>
      </c>
    </row>
    <row r="699" spans="1:28" x14ac:dyDescent="0.25">
      <c r="A699" s="46"/>
      <c r="B699" s="26"/>
      <c r="C699" s="2" t="s">
        <v>38</v>
      </c>
      <c r="D699" s="67">
        <v>2145700</v>
      </c>
      <c r="E699" s="67">
        <v>0</v>
      </c>
      <c r="F699" s="68"/>
      <c r="G699" s="68"/>
      <c r="H699" s="67">
        <f>E699+F699</f>
        <v>0</v>
      </c>
      <c r="I699" s="68"/>
      <c r="J699" s="68"/>
      <c r="K699" s="68"/>
      <c r="L699" s="67"/>
      <c r="M699" s="67"/>
      <c r="N699" s="67">
        <f>H699+L699</f>
        <v>0</v>
      </c>
      <c r="O699" s="67">
        <v>0</v>
      </c>
      <c r="P699" s="68"/>
      <c r="Q699" s="68"/>
      <c r="R699" s="67">
        <f>O699+P699</f>
        <v>0</v>
      </c>
      <c r="S699" s="68"/>
      <c r="T699" s="68"/>
      <c r="U699" s="68"/>
      <c r="V699" s="67"/>
      <c r="W699" s="67"/>
      <c r="X699" s="67">
        <f>R699+V699</f>
        <v>0</v>
      </c>
      <c r="Y699" s="67">
        <f>R699+H699</f>
        <v>0</v>
      </c>
      <c r="Z699" s="67">
        <f>D699-Y699</f>
        <v>2145700</v>
      </c>
      <c r="AA699" s="67">
        <f>N699+X699</f>
        <v>0</v>
      </c>
      <c r="AB699" s="67">
        <f>+D699-N699-X699</f>
        <v>2145700</v>
      </c>
    </row>
    <row r="700" spans="1:28" x14ac:dyDescent="0.25">
      <c r="A700" s="46"/>
      <c r="B700" s="26"/>
      <c r="C700" s="4"/>
      <c r="D700" s="70" t="s">
        <v>40</v>
      </c>
      <c r="E700" s="70" t="s">
        <v>40</v>
      </c>
      <c r="F700" s="70" t="s">
        <v>40</v>
      </c>
      <c r="G700" s="70"/>
      <c r="H700" s="70" t="s">
        <v>40</v>
      </c>
      <c r="I700" s="70" t="s">
        <v>40</v>
      </c>
      <c r="J700" s="70" t="s">
        <v>40</v>
      </c>
      <c r="K700" s="70" t="s">
        <v>40</v>
      </c>
      <c r="L700" s="70" t="s">
        <v>40</v>
      </c>
      <c r="M700" s="70"/>
      <c r="N700" s="70" t="s">
        <v>40</v>
      </c>
      <c r="O700" s="70" t="s">
        <v>40</v>
      </c>
      <c r="P700" s="70" t="s">
        <v>40</v>
      </c>
      <c r="Q700" s="70"/>
      <c r="R700" s="70" t="s">
        <v>40</v>
      </c>
      <c r="S700" s="70" t="s">
        <v>40</v>
      </c>
      <c r="T700" s="70" t="s">
        <v>40</v>
      </c>
      <c r="U700" s="70" t="s">
        <v>40</v>
      </c>
      <c r="V700" s="70" t="s">
        <v>40</v>
      </c>
      <c r="W700" s="70"/>
      <c r="X700" s="70" t="s">
        <v>40</v>
      </c>
      <c r="Y700" s="70" t="s">
        <v>40</v>
      </c>
      <c r="Z700" s="70" t="s">
        <v>40</v>
      </c>
      <c r="AA700" s="70" t="s">
        <v>40</v>
      </c>
      <c r="AB700" s="70" t="s">
        <v>40</v>
      </c>
    </row>
    <row r="701" spans="1:28" x14ac:dyDescent="0.25">
      <c r="A701" s="46"/>
      <c r="B701" s="26"/>
      <c r="C701" s="4"/>
      <c r="D701" s="67">
        <f t="shared" ref="D701:AB701" si="243">SUM(D695:D699)</f>
        <v>20491205.32</v>
      </c>
      <c r="E701" s="67">
        <f t="shared" si="243"/>
        <v>4425684</v>
      </c>
      <c r="F701" s="67">
        <f t="shared" si="243"/>
        <v>0</v>
      </c>
      <c r="G701" s="67"/>
      <c r="H701" s="67">
        <f t="shared" si="243"/>
        <v>4425684</v>
      </c>
      <c r="I701" s="67">
        <f t="shared" si="243"/>
        <v>0</v>
      </c>
      <c r="J701" s="67">
        <f t="shared" si="243"/>
        <v>0</v>
      </c>
      <c r="K701" s="67">
        <f t="shared" si="243"/>
        <v>0</v>
      </c>
      <c r="L701" s="67">
        <f t="shared" si="243"/>
        <v>0</v>
      </c>
      <c r="M701" s="67"/>
      <c r="N701" s="67">
        <f t="shared" si="243"/>
        <v>4425684</v>
      </c>
      <c r="O701" s="67">
        <f t="shared" si="243"/>
        <v>0</v>
      </c>
      <c r="P701" s="67">
        <f t="shared" si="243"/>
        <v>0</v>
      </c>
      <c r="Q701" s="67"/>
      <c r="R701" s="67">
        <f t="shared" si="243"/>
        <v>0</v>
      </c>
      <c r="S701" s="67">
        <f t="shared" si="243"/>
        <v>0</v>
      </c>
      <c r="T701" s="67">
        <f t="shared" si="243"/>
        <v>0</v>
      </c>
      <c r="U701" s="67">
        <f t="shared" si="243"/>
        <v>0</v>
      </c>
      <c r="V701" s="67">
        <f t="shared" si="243"/>
        <v>0</v>
      </c>
      <c r="W701" s="67"/>
      <c r="X701" s="67">
        <f t="shared" si="243"/>
        <v>0</v>
      </c>
      <c r="Y701" s="67">
        <f t="shared" si="243"/>
        <v>4425684</v>
      </c>
      <c r="Z701" s="67">
        <f t="shared" si="243"/>
        <v>16065521.32</v>
      </c>
      <c r="AA701" s="67">
        <f t="shared" si="243"/>
        <v>4425684</v>
      </c>
      <c r="AB701" s="67">
        <f t="shared" si="243"/>
        <v>16065521.32</v>
      </c>
    </row>
    <row r="702" spans="1:28" x14ac:dyDescent="0.25">
      <c r="A702" s="46"/>
      <c r="B702" s="26"/>
      <c r="C702" s="4"/>
      <c r="D702" s="70" t="s">
        <v>40</v>
      </c>
      <c r="E702" s="70" t="s">
        <v>40</v>
      </c>
      <c r="F702" s="70" t="s">
        <v>40</v>
      </c>
      <c r="G702" s="70"/>
      <c r="H702" s="70" t="s">
        <v>40</v>
      </c>
      <c r="I702" s="70" t="s">
        <v>40</v>
      </c>
      <c r="J702" s="70" t="s">
        <v>40</v>
      </c>
      <c r="K702" s="70" t="s">
        <v>40</v>
      </c>
      <c r="L702" s="70" t="s">
        <v>40</v>
      </c>
      <c r="M702" s="70"/>
      <c r="N702" s="70" t="s">
        <v>40</v>
      </c>
      <c r="O702" s="70" t="s">
        <v>40</v>
      </c>
      <c r="P702" s="70" t="s">
        <v>40</v>
      </c>
      <c r="Q702" s="70"/>
      <c r="R702" s="70" t="s">
        <v>40</v>
      </c>
      <c r="S702" s="70" t="s">
        <v>40</v>
      </c>
      <c r="T702" s="70" t="s">
        <v>40</v>
      </c>
      <c r="U702" s="70" t="s">
        <v>40</v>
      </c>
      <c r="V702" s="70" t="s">
        <v>40</v>
      </c>
      <c r="W702" s="70"/>
      <c r="X702" s="70" t="s">
        <v>40</v>
      </c>
      <c r="Y702" s="70" t="s">
        <v>40</v>
      </c>
      <c r="Z702" s="70" t="s">
        <v>40</v>
      </c>
      <c r="AA702" s="70" t="s">
        <v>40</v>
      </c>
      <c r="AB702" s="70" t="s">
        <v>40</v>
      </c>
    </row>
    <row r="703" spans="1:28" x14ac:dyDescent="0.25">
      <c r="A703" s="46"/>
      <c r="B703" s="26"/>
      <c r="C703" s="4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</row>
    <row r="704" spans="1:28" x14ac:dyDescent="0.25">
      <c r="A704" s="46">
        <v>76</v>
      </c>
      <c r="B704" s="23" t="s">
        <v>103</v>
      </c>
      <c r="C704" s="2" t="s">
        <v>35</v>
      </c>
      <c r="D704" s="67">
        <v>4323437.87</v>
      </c>
      <c r="E704" s="67">
        <v>0</v>
      </c>
      <c r="F704" s="68"/>
      <c r="G704" s="68"/>
      <c r="H704" s="67">
        <f>E704+F704</f>
        <v>0</v>
      </c>
      <c r="I704" s="68"/>
      <c r="J704" s="68"/>
      <c r="K704" s="68"/>
      <c r="L704" s="67"/>
      <c r="M704" s="67"/>
      <c r="N704" s="67">
        <f>H704+L704</f>
        <v>0</v>
      </c>
      <c r="O704" s="67">
        <v>0</v>
      </c>
      <c r="P704" s="68"/>
      <c r="Q704" s="68"/>
      <c r="R704" s="67">
        <f>O704+P704</f>
        <v>0</v>
      </c>
      <c r="S704" s="68"/>
      <c r="T704" s="68"/>
      <c r="U704" s="68"/>
      <c r="V704" s="67"/>
      <c r="W704" s="67"/>
      <c r="X704" s="67">
        <f>R704+V704</f>
        <v>0</v>
      </c>
      <c r="Y704" s="67">
        <f>R704+H704</f>
        <v>0</v>
      </c>
      <c r="Z704" s="67">
        <f>D704-Y704</f>
        <v>4323437.87</v>
      </c>
      <c r="AA704" s="67">
        <f>N704+X704</f>
        <v>0</v>
      </c>
      <c r="AB704" s="67">
        <f>+D704-N704-X704</f>
        <v>4323437.87</v>
      </c>
    </row>
    <row r="705" spans="1:43" x14ac:dyDescent="0.25">
      <c r="A705" s="46"/>
      <c r="B705" s="26"/>
      <c r="C705" s="3" t="s">
        <v>36</v>
      </c>
      <c r="D705" s="67">
        <f>1480097+569207.5</f>
        <v>2049304.5</v>
      </c>
      <c r="E705" s="67">
        <f>1480097+569207.5</f>
        <v>2049304.5</v>
      </c>
      <c r="F705" s="68"/>
      <c r="G705" s="68"/>
      <c r="H705" s="67">
        <f>E705+F705</f>
        <v>2049304.5</v>
      </c>
      <c r="I705" s="68"/>
      <c r="J705" s="68"/>
      <c r="K705" s="68"/>
      <c r="L705" s="67"/>
      <c r="M705" s="67"/>
      <c r="N705" s="67">
        <f>+H705+L705</f>
        <v>2049304.5</v>
      </c>
      <c r="O705" s="67">
        <v>0</v>
      </c>
      <c r="P705" s="68"/>
      <c r="Q705" s="68"/>
      <c r="R705" s="67">
        <f>O705+P705</f>
        <v>0</v>
      </c>
      <c r="S705" s="68"/>
      <c r="T705" s="68"/>
      <c r="U705" s="68"/>
      <c r="V705" s="67"/>
      <c r="W705" s="67"/>
      <c r="X705" s="67">
        <f>R705+V705</f>
        <v>0</v>
      </c>
      <c r="Y705" s="67">
        <f>R705+H705</f>
        <v>2049304.5</v>
      </c>
      <c r="Z705" s="67">
        <f>D705-Y705</f>
        <v>0</v>
      </c>
      <c r="AA705" s="67">
        <f>N705+X705</f>
        <v>2049304.5</v>
      </c>
      <c r="AB705" s="67">
        <f>+D705-N705-X705</f>
        <v>0</v>
      </c>
    </row>
    <row r="706" spans="1:43" x14ac:dyDescent="0.25">
      <c r="A706" s="46"/>
      <c r="B706" s="26"/>
      <c r="C706" s="2" t="s">
        <v>38</v>
      </c>
      <c r="D706" s="67">
        <v>4520373</v>
      </c>
      <c r="E706" s="67">
        <v>0</v>
      </c>
      <c r="F706" s="68"/>
      <c r="G706" s="68"/>
      <c r="H706" s="67">
        <f>E706+F706</f>
        <v>0</v>
      </c>
      <c r="I706" s="68"/>
      <c r="J706" s="68"/>
      <c r="K706" s="68"/>
      <c r="L706" s="67"/>
      <c r="M706" s="67"/>
      <c r="N706" s="67">
        <f>H706+L706</f>
        <v>0</v>
      </c>
      <c r="O706" s="67">
        <v>0</v>
      </c>
      <c r="P706" s="68">
        <v>141345.20000000001</v>
      </c>
      <c r="Q706" s="68"/>
      <c r="R706" s="67">
        <f>O706+P706</f>
        <v>141345.20000000001</v>
      </c>
      <c r="S706" s="68"/>
      <c r="T706" s="68"/>
      <c r="U706" s="68"/>
      <c r="V706" s="67"/>
      <c r="W706" s="67"/>
      <c r="X706" s="67">
        <f>R706+V706</f>
        <v>141345.20000000001</v>
      </c>
      <c r="Y706" s="67">
        <f>R706+H706</f>
        <v>141345.20000000001</v>
      </c>
      <c r="Z706" s="67">
        <f>D706-Y706</f>
        <v>4379027.8</v>
      </c>
      <c r="AA706" s="67">
        <f>N706+X706</f>
        <v>141345.20000000001</v>
      </c>
      <c r="AB706" s="67">
        <f>+D706-N706-X706</f>
        <v>4379027.8</v>
      </c>
    </row>
    <row r="707" spans="1:43" x14ac:dyDescent="0.25">
      <c r="A707" s="46"/>
      <c r="B707" s="30"/>
      <c r="C707" s="4"/>
      <c r="D707" s="70" t="s">
        <v>40</v>
      </c>
      <c r="E707" s="70" t="s">
        <v>40</v>
      </c>
      <c r="F707" s="70" t="s">
        <v>40</v>
      </c>
      <c r="G707" s="70"/>
      <c r="H707" s="70" t="s">
        <v>40</v>
      </c>
      <c r="I707" s="70" t="s">
        <v>40</v>
      </c>
      <c r="J707" s="70" t="s">
        <v>40</v>
      </c>
      <c r="K707" s="70" t="s">
        <v>40</v>
      </c>
      <c r="L707" s="70" t="s">
        <v>40</v>
      </c>
      <c r="M707" s="70"/>
      <c r="N707" s="70" t="s">
        <v>40</v>
      </c>
      <c r="O707" s="70" t="s">
        <v>40</v>
      </c>
      <c r="P707" s="70" t="s">
        <v>40</v>
      </c>
      <c r="Q707" s="70"/>
      <c r="R707" s="70" t="s">
        <v>40</v>
      </c>
      <c r="S707" s="70" t="s">
        <v>40</v>
      </c>
      <c r="T707" s="70" t="s">
        <v>40</v>
      </c>
      <c r="U707" s="70" t="s">
        <v>40</v>
      </c>
      <c r="V707" s="70" t="s">
        <v>40</v>
      </c>
      <c r="W707" s="70"/>
      <c r="X707" s="70" t="s">
        <v>40</v>
      </c>
      <c r="Y707" s="70" t="s">
        <v>40</v>
      </c>
      <c r="Z707" s="70" t="s">
        <v>40</v>
      </c>
      <c r="AA707" s="70" t="s">
        <v>40</v>
      </c>
      <c r="AB707" s="70" t="s">
        <v>40</v>
      </c>
      <c r="AC707" s="124" t="s">
        <v>315</v>
      </c>
      <c r="AD707" s="138">
        <f>+D673</f>
        <v>8000000</v>
      </c>
      <c r="AE707" s="94">
        <f>E673</f>
        <v>8000000</v>
      </c>
      <c r="AF707" s="94">
        <f>F673</f>
        <v>0</v>
      </c>
      <c r="AG707" s="94">
        <f>+AE707+AF707</f>
        <v>8000000</v>
      </c>
      <c r="AH707" s="94">
        <f>L673</f>
        <v>0</v>
      </c>
      <c r="AI707" s="94">
        <f>+AG707+AH707</f>
        <v>8000000</v>
      </c>
      <c r="AJ707" s="94">
        <f>O673</f>
        <v>0</v>
      </c>
      <c r="AK707" s="94">
        <f>P673</f>
        <v>0</v>
      </c>
      <c r="AL707" s="94">
        <f>+AJ707+AK707</f>
        <v>0</v>
      </c>
      <c r="AM707" s="94">
        <f>V673</f>
        <v>0</v>
      </c>
      <c r="AN707" s="94">
        <f>+AL707+AM707</f>
        <v>0</v>
      </c>
      <c r="AO707" s="94">
        <f>+AG707+AL707</f>
        <v>8000000</v>
      </c>
      <c r="AP707" s="94">
        <f>+AD707-AO707</f>
        <v>0</v>
      </c>
      <c r="AQ707" s="94">
        <f>+AD707-AI707-AN707</f>
        <v>0</v>
      </c>
    </row>
    <row r="708" spans="1:43" x14ac:dyDescent="0.25">
      <c r="A708" s="46"/>
      <c r="B708" s="26"/>
      <c r="C708" s="4"/>
      <c r="D708" s="67">
        <f t="shared" ref="D708:AB708" si="244">SUM(D704:D706)</f>
        <v>10893115.370000001</v>
      </c>
      <c r="E708" s="67">
        <f t="shared" si="244"/>
        <v>2049304.5</v>
      </c>
      <c r="F708" s="67">
        <f t="shared" si="244"/>
        <v>0</v>
      </c>
      <c r="G708" s="67"/>
      <c r="H708" s="67">
        <f t="shared" si="244"/>
        <v>2049304.5</v>
      </c>
      <c r="I708" s="67">
        <f t="shared" si="244"/>
        <v>0</v>
      </c>
      <c r="J708" s="67">
        <f t="shared" si="244"/>
        <v>0</v>
      </c>
      <c r="K708" s="67">
        <f t="shared" si="244"/>
        <v>0</v>
      </c>
      <c r="L708" s="67">
        <f t="shared" si="244"/>
        <v>0</v>
      </c>
      <c r="M708" s="67"/>
      <c r="N708" s="67">
        <f t="shared" si="244"/>
        <v>2049304.5</v>
      </c>
      <c r="O708" s="67">
        <f t="shared" si="244"/>
        <v>0</v>
      </c>
      <c r="P708" s="67">
        <f t="shared" si="244"/>
        <v>141345.20000000001</v>
      </c>
      <c r="Q708" s="67"/>
      <c r="R708" s="67">
        <f t="shared" si="244"/>
        <v>141345.20000000001</v>
      </c>
      <c r="S708" s="67">
        <f t="shared" si="244"/>
        <v>0</v>
      </c>
      <c r="T708" s="67">
        <f t="shared" si="244"/>
        <v>0</v>
      </c>
      <c r="U708" s="67">
        <f t="shared" si="244"/>
        <v>0</v>
      </c>
      <c r="V708" s="67">
        <f t="shared" si="244"/>
        <v>0</v>
      </c>
      <c r="W708" s="67"/>
      <c r="X708" s="67">
        <f t="shared" si="244"/>
        <v>141345.20000000001</v>
      </c>
      <c r="Y708" s="67">
        <f t="shared" si="244"/>
        <v>2190649.7000000002</v>
      </c>
      <c r="Z708" s="67">
        <f t="shared" si="244"/>
        <v>8702465.6699999999</v>
      </c>
      <c r="AA708" s="67">
        <f t="shared" si="244"/>
        <v>2190649.7000000002</v>
      </c>
      <c r="AB708" s="67">
        <f t="shared" si="244"/>
        <v>8702465.6699999999</v>
      </c>
      <c r="AC708" s="49" t="s">
        <v>47</v>
      </c>
      <c r="AD708" s="94">
        <f>D638+D645+D654+D663+D671+D680+D690+D697+D704+D711</f>
        <v>87737341.320000008</v>
      </c>
      <c r="AE708" s="94">
        <f>E638+E645+E654+E663+E671+E680+E690+E697+E704+E711</f>
        <v>0</v>
      </c>
      <c r="AF708" s="94">
        <f>F638+F645+F654+F663+F671+F680+F690+F697+F704+F711</f>
        <v>0</v>
      </c>
      <c r="AG708" s="94">
        <f>+AE708+AF708</f>
        <v>0</v>
      </c>
      <c r="AH708" s="94">
        <f>L638+L645+L654+L663+L671+L680+L690+L697+L704+L711</f>
        <v>0</v>
      </c>
      <c r="AI708" s="94">
        <f>+AG708+AH708</f>
        <v>0</v>
      </c>
      <c r="AJ708" s="94">
        <f>O638+O645+O654+O663+O671+O680+O690+O697+O704+O711</f>
        <v>140879.12</v>
      </c>
      <c r="AK708" s="94">
        <f>P638+P645+P654+P663+P671+P680+P690+P697+P704+P711</f>
        <v>0</v>
      </c>
      <c r="AL708" s="94">
        <f>+AJ708+AK708</f>
        <v>140879.12</v>
      </c>
      <c r="AM708" s="94">
        <f>V638+V645+V654+V663+V671+V680+V690+V697+V704+V711</f>
        <v>0</v>
      </c>
      <c r="AN708" s="94">
        <f>+AL708+AM708</f>
        <v>140879.12</v>
      </c>
      <c r="AO708" s="94">
        <f>+AG708+AL708</f>
        <v>140879.12</v>
      </c>
      <c r="AP708" s="94">
        <f>+AD708-AO708</f>
        <v>87596462.200000003</v>
      </c>
      <c r="AQ708" s="94">
        <f>+AD708-AI708-AN708</f>
        <v>87596462.200000003</v>
      </c>
    </row>
    <row r="709" spans="1:43" x14ac:dyDescent="0.25">
      <c r="A709" s="46"/>
      <c r="B709" s="26"/>
      <c r="C709" s="4"/>
      <c r="D709" s="70" t="s">
        <v>40</v>
      </c>
      <c r="E709" s="70" t="s">
        <v>40</v>
      </c>
      <c r="F709" s="70" t="s">
        <v>40</v>
      </c>
      <c r="G709" s="70"/>
      <c r="H709" s="70" t="s">
        <v>40</v>
      </c>
      <c r="I709" s="70" t="s">
        <v>40</v>
      </c>
      <c r="J709" s="70" t="s">
        <v>40</v>
      </c>
      <c r="K709" s="70" t="s">
        <v>40</v>
      </c>
      <c r="L709" s="70" t="s">
        <v>40</v>
      </c>
      <c r="M709" s="70"/>
      <c r="N709" s="70" t="s">
        <v>40</v>
      </c>
      <c r="O709" s="70" t="s">
        <v>40</v>
      </c>
      <c r="P709" s="70" t="s">
        <v>40</v>
      </c>
      <c r="Q709" s="70"/>
      <c r="R709" s="70" t="s">
        <v>40</v>
      </c>
      <c r="S709" s="70" t="s">
        <v>40</v>
      </c>
      <c r="T709" s="70" t="s">
        <v>40</v>
      </c>
      <c r="U709" s="70" t="s">
        <v>40</v>
      </c>
      <c r="V709" s="70" t="s">
        <v>40</v>
      </c>
      <c r="W709" s="70"/>
      <c r="X709" s="70" t="s">
        <v>40</v>
      </c>
      <c r="Y709" s="70" t="s">
        <v>40</v>
      </c>
      <c r="Z709" s="70" t="s">
        <v>40</v>
      </c>
      <c r="AA709" s="70" t="s">
        <v>40</v>
      </c>
      <c r="AB709" s="70" t="s">
        <v>40</v>
      </c>
      <c r="AC709" s="49" t="s">
        <v>36</v>
      </c>
      <c r="AD709" s="94">
        <f>D646+D655+D664+D672+D681+D691+D698+D705+D712</f>
        <v>20610119.5</v>
      </c>
      <c r="AE709" s="94">
        <f>E646+E655+E664+E672+E681+E691+E698+E705+E712</f>
        <v>20610119.5</v>
      </c>
      <c r="AF709" s="94">
        <f>F646+F655+F664+F672+F681+F691+F698+F705+F712</f>
        <v>0</v>
      </c>
      <c r="AG709" s="94">
        <f t="shared" ref="AG709:AG716" si="245">+AE709+AF709</f>
        <v>20610119.5</v>
      </c>
      <c r="AH709" s="94">
        <f>L646+L655+L664+L672+L681+L691+L698+L705+L712</f>
        <v>0</v>
      </c>
      <c r="AI709" s="94">
        <f t="shared" ref="AI709:AI716" si="246">+AG709+AH709</f>
        <v>20610119.5</v>
      </c>
      <c r="AJ709" s="94">
        <f>O646+O655+O664+O672+O681+O691+O698+O705+O712</f>
        <v>0</v>
      </c>
      <c r="AK709" s="94">
        <f>P646+P655+P664+P672+P681+P691+P698+P705+P712</f>
        <v>0</v>
      </c>
      <c r="AL709" s="94">
        <f t="shared" ref="AL709:AL716" si="247">+AJ709+AK709</f>
        <v>0</v>
      </c>
      <c r="AM709" s="94">
        <f>V646+V655+V664+V672+V681+V691+V698+V705+V712</f>
        <v>0</v>
      </c>
      <c r="AN709" s="94">
        <f t="shared" ref="AN709:AN716" si="248">+AL709+AM709</f>
        <v>0</v>
      </c>
      <c r="AO709" s="94">
        <f t="shared" ref="AO709:AO716" si="249">+AG709+AL709</f>
        <v>20610119.5</v>
      </c>
      <c r="AP709" s="94">
        <f t="shared" ref="AP709:AP716" si="250">+AD709-AO709</f>
        <v>0</v>
      </c>
      <c r="AQ709" s="94">
        <f t="shared" ref="AQ709:AQ716" si="251">+AD709-AI709-AN709</f>
        <v>0</v>
      </c>
    </row>
    <row r="710" spans="1:43" x14ac:dyDescent="0.25">
      <c r="A710" s="46"/>
      <c r="B710" s="26"/>
      <c r="C710" s="4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49" t="s">
        <v>183</v>
      </c>
      <c r="AD710" s="94">
        <f>D639+D656+D665+D674</f>
        <v>28073863.18</v>
      </c>
      <c r="AE710" s="94">
        <f>E639+E656+E665+E674</f>
        <v>0</v>
      </c>
      <c r="AF710" s="94">
        <f>F639+F656+F665+F674</f>
        <v>0</v>
      </c>
      <c r="AG710" s="94">
        <f t="shared" si="245"/>
        <v>0</v>
      </c>
      <c r="AH710" s="94">
        <f>L639+L656+L665+L674</f>
        <v>0</v>
      </c>
      <c r="AI710" s="94">
        <f t="shared" si="246"/>
        <v>0</v>
      </c>
      <c r="AJ710" s="94">
        <f>O639+O656+O665+O674</f>
        <v>0</v>
      </c>
      <c r="AK710" s="94">
        <f>P639+P656+P665+P674</f>
        <v>0</v>
      </c>
      <c r="AL710" s="94">
        <f t="shared" si="247"/>
        <v>0</v>
      </c>
      <c r="AM710" s="94">
        <f>V639+V656+V665+V674</f>
        <v>0</v>
      </c>
      <c r="AN710" s="94">
        <f t="shared" si="248"/>
        <v>0</v>
      </c>
      <c r="AO710" s="94">
        <f t="shared" si="249"/>
        <v>0</v>
      </c>
      <c r="AP710" s="94">
        <f t="shared" si="250"/>
        <v>28073863.18</v>
      </c>
      <c r="AQ710" s="94">
        <f t="shared" si="251"/>
        <v>28073863.18</v>
      </c>
    </row>
    <row r="711" spans="1:43" x14ac:dyDescent="0.25">
      <c r="A711" s="46">
        <v>77</v>
      </c>
      <c r="B711" s="23" t="s">
        <v>104</v>
      </c>
      <c r="C711" s="2" t="s">
        <v>35</v>
      </c>
      <c r="D711" s="67">
        <v>3253335.64</v>
      </c>
      <c r="E711" s="67">
        <v>0</v>
      </c>
      <c r="F711" s="68"/>
      <c r="G711" s="68"/>
      <c r="H711" s="67">
        <f>E711+F711</f>
        <v>0</v>
      </c>
      <c r="I711" s="68"/>
      <c r="J711" s="68"/>
      <c r="K711" s="68"/>
      <c r="L711" s="67"/>
      <c r="M711" s="67"/>
      <c r="N711" s="67">
        <f>H711+L711</f>
        <v>0</v>
      </c>
      <c r="O711" s="67">
        <v>0</v>
      </c>
      <c r="P711" s="68"/>
      <c r="Q711" s="68"/>
      <c r="R711" s="67">
        <f>O711+P711</f>
        <v>0</v>
      </c>
      <c r="S711" s="68"/>
      <c r="T711" s="68"/>
      <c r="U711" s="68"/>
      <c r="V711" s="67"/>
      <c r="W711" s="67"/>
      <c r="X711" s="67">
        <f>R711+V711</f>
        <v>0</v>
      </c>
      <c r="Y711" s="67">
        <f>R711+H711</f>
        <v>0</v>
      </c>
      <c r="Z711" s="67">
        <f>D711-Y711</f>
        <v>3253335.64</v>
      </c>
      <c r="AA711" s="67">
        <f>N711+X711</f>
        <v>0</v>
      </c>
      <c r="AB711" s="67">
        <f>+D711-N711-X711</f>
        <v>3253335.64</v>
      </c>
      <c r="AC711" s="49" t="s">
        <v>184</v>
      </c>
      <c r="AD711" s="94">
        <f>D657+D666+D675</f>
        <v>279099.94</v>
      </c>
      <c r="AE711" s="94">
        <f>E657+E666+E675</f>
        <v>0</v>
      </c>
      <c r="AF711" s="94">
        <f>F657+F666+F675</f>
        <v>0</v>
      </c>
      <c r="AG711" s="94">
        <f t="shared" si="245"/>
        <v>0</v>
      </c>
      <c r="AH711" s="94">
        <f>L657+L666+L675</f>
        <v>0</v>
      </c>
      <c r="AI711" s="94">
        <f t="shared" si="246"/>
        <v>0</v>
      </c>
      <c r="AJ711" s="94">
        <f>O657+O666+O675</f>
        <v>0</v>
      </c>
      <c r="AK711" s="94">
        <f>P657+P666+P675</f>
        <v>235272</v>
      </c>
      <c r="AL711" s="94">
        <f t="shared" si="247"/>
        <v>235272</v>
      </c>
      <c r="AM711" s="94">
        <f>V657+V666+V675</f>
        <v>0</v>
      </c>
      <c r="AN711" s="94">
        <f t="shared" si="248"/>
        <v>235272</v>
      </c>
      <c r="AO711" s="94">
        <f t="shared" si="249"/>
        <v>235272</v>
      </c>
      <c r="AP711" s="94">
        <f t="shared" si="250"/>
        <v>43827.94</v>
      </c>
      <c r="AQ711" s="94">
        <f t="shared" si="251"/>
        <v>43827.94</v>
      </c>
    </row>
    <row r="712" spans="1:43" x14ac:dyDescent="0.25">
      <c r="A712" s="46"/>
      <c r="B712" s="26"/>
      <c r="C712" s="3" t="s">
        <v>36</v>
      </c>
      <c r="D712" s="67">
        <f>2041693+326197+2500000</f>
        <v>4867890</v>
      </c>
      <c r="E712" s="67">
        <f>2041693+326197+2500000</f>
        <v>4867890</v>
      </c>
      <c r="F712" s="68"/>
      <c r="G712" s="68"/>
      <c r="H712" s="67">
        <f>E712+F712</f>
        <v>4867890</v>
      </c>
      <c r="I712" s="68"/>
      <c r="J712" s="68"/>
      <c r="K712" s="68"/>
      <c r="L712" s="67"/>
      <c r="M712" s="67"/>
      <c r="N712" s="67">
        <f>H712+L712</f>
        <v>4867890</v>
      </c>
      <c r="O712" s="67">
        <v>0</v>
      </c>
      <c r="P712" s="68"/>
      <c r="Q712" s="68"/>
      <c r="R712" s="67">
        <f>O712+P712</f>
        <v>0</v>
      </c>
      <c r="S712" s="68"/>
      <c r="T712" s="68"/>
      <c r="U712" s="68"/>
      <c r="V712" s="67"/>
      <c r="W712" s="67"/>
      <c r="X712" s="67">
        <f>R712+V712</f>
        <v>0</v>
      </c>
      <c r="Y712" s="67">
        <f>R712+H712</f>
        <v>4867890</v>
      </c>
      <c r="Z712" s="67">
        <f>D712-Y712</f>
        <v>0</v>
      </c>
      <c r="AA712" s="67">
        <f>N712+X712</f>
        <v>4867890</v>
      </c>
      <c r="AB712" s="67">
        <f>+D712-N712-X712</f>
        <v>0</v>
      </c>
      <c r="AC712" s="49" t="s">
        <v>38</v>
      </c>
      <c r="AD712" s="94">
        <f>D640+D699+D706</f>
        <v>10066073</v>
      </c>
      <c r="AE712" s="94">
        <f>E640+E699+E706</f>
        <v>0</v>
      </c>
      <c r="AF712" s="94">
        <f>F640+F699+F706</f>
        <v>0</v>
      </c>
      <c r="AG712" s="94">
        <f t="shared" si="245"/>
        <v>0</v>
      </c>
      <c r="AH712" s="94">
        <f>L640+L699+L706</f>
        <v>0</v>
      </c>
      <c r="AI712" s="94">
        <f t="shared" si="246"/>
        <v>0</v>
      </c>
      <c r="AJ712" s="94">
        <f>O640+O699+O706</f>
        <v>0</v>
      </c>
      <c r="AK712" s="94">
        <f>P640+P699+P706</f>
        <v>141345.20000000001</v>
      </c>
      <c r="AL712" s="94">
        <f t="shared" si="247"/>
        <v>141345.20000000001</v>
      </c>
      <c r="AM712" s="94">
        <f>V640+V699+V706</f>
        <v>0</v>
      </c>
      <c r="AN712" s="94">
        <f t="shared" si="248"/>
        <v>141345.20000000001</v>
      </c>
      <c r="AO712" s="94">
        <f t="shared" si="249"/>
        <v>141345.20000000001</v>
      </c>
      <c r="AP712" s="94">
        <f t="shared" si="250"/>
        <v>9924727.8000000007</v>
      </c>
      <c r="AQ712" s="94">
        <f t="shared" si="251"/>
        <v>9924727.8000000007</v>
      </c>
    </row>
    <row r="713" spans="1:43" x14ac:dyDescent="0.25">
      <c r="A713" s="46"/>
      <c r="B713" s="26"/>
      <c r="C713" s="4"/>
      <c r="D713" s="70" t="s">
        <v>40</v>
      </c>
      <c r="E713" s="70" t="s">
        <v>40</v>
      </c>
      <c r="F713" s="70" t="s">
        <v>40</v>
      </c>
      <c r="G713" s="70"/>
      <c r="H713" s="70" t="s">
        <v>40</v>
      </c>
      <c r="I713" s="70" t="s">
        <v>40</v>
      </c>
      <c r="J713" s="70" t="s">
        <v>40</v>
      </c>
      <c r="K713" s="70" t="s">
        <v>40</v>
      </c>
      <c r="L713" s="70" t="s">
        <v>40</v>
      </c>
      <c r="M713" s="70"/>
      <c r="N713" s="70" t="s">
        <v>40</v>
      </c>
      <c r="O713" s="70" t="s">
        <v>40</v>
      </c>
      <c r="P713" s="70" t="s">
        <v>40</v>
      </c>
      <c r="Q713" s="70"/>
      <c r="R713" s="70" t="s">
        <v>40</v>
      </c>
      <c r="S713" s="70" t="s">
        <v>40</v>
      </c>
      <c r="T713" s="70" t="s">
        <v>40</v>
      </c>
      <c r="U713" s="70" t="s">
        <v>40</v>
      </c>
      <c r="V713" s="70" t="s">
        <v>40</v>
      </c>
      <c r="W713" s="70"/>
      <c r="X713" s="70" t="s">
        <v>40</v>
      </c>
      <c r="Y713" s="70" t="s">
        <v>40</v>
      </c>
      <c r="Z713" s="70" t="s">
        <v>40</v>
      </c>
      <c r="AA713" s="70" t="s">
        <v>40</v>
      </c>
      <c r="AB713" s="70" t="s">
        <v>40</v>
      </c>
      <c r="AC713" s="49" t="s">
        <v>264</v>
      </c>
      <c r="AD713" s="94">
        <f>D647+D692</f>
        <v>2181839.42</v>
      </c>
      <c r="AE713" s="94">
        <f>E647+E692</f>
        <v>0</v>
      </c>
      <c r="AF713" s="94">
        <f>F647+F692</f>
        <v>0</v>
      </c>
      <c r="AG713" s="94">
        <f t="shared" si="245"/>
        <v>0</v>
      </c>
      <c r="AH713" s="94">
        <f>L647+L692</f>
        <v>0</v>
      </c>
      <c r="AI713" s="94">
        <f t="shared" si="246"/>
        <v>0</v>
      </c>
      <c r="AJ713" s="94">
        <f>O647+O692</f>
        <v>0</v>
      </c>
      <c r="AK713" s="94">
        <f>P647+P692</f>
        <v>0</v>
      </c>
      <c r="AL713" s="94">
        <f t="shared" si="247"/>
        <v>0</v>
      </c>
      <c r="AM713" s="94">
        <f>V647+V692</f>
        <v>0</v>
      </c>
      <c r="AN713" s="94">
        <f t="shared" si="248"/>
        <v>0</v>
      </c>
      <c r="AO713" s="94">
        <f t="shared" si="249"/>
        <v>0</v>
      </c>
      <c r="AP713" s="94">
        <f t="shared" si="250"/>
        <v>2181839.42</v>
      </c>
      <c r="AQ713" s="94">
        <f t="shared" si="251"/>
        <v>2181839.42</v>
      </c>
    </row>
    <row r="714" spans="1:43" x14ac:dyDescent="0.25">
      <c r="A714" s="46"/>
      <c r="B714" s="26"/>
      <c r="C714" s="4"/>
      <c r="D714" s="67">
        <f t="shared" ref="D714:AB714" si="252">D711+D712</f>
        <v>8121225.6400000006</v>
      </c>
      <c r="E714" s="67">
        <f t="shared" si="252"/>
        <v>4867890</v>
      </c>
      <c r="F714" s="67">
        <f t="shared" si="252"/>
        <v>0</v>
      </c>
      <c r="G714" s="67"/>
      <c r="H714" s="67">
        <f t="shared" si="252"/>
        <v>4867890</v>
      </c>
      <c r="I714" s="67">
        <f t="shared" si="252"/>
        <v>0</v>
      </c>
      <c r="J714" s="67">
        <f t="shared" si="252"/>
        <v>0</v>
      </c>
      <c r="K714" s="67">
        <f t="shared" si="252"/>
        <v>0</v>
      </c>
      <c r="L714" s="67">
        <f t="shared" si="252"/>
        <v>0</v>
      </c>
      <c r="M714" s="67"/>
      <c r="N714" s="67">
        <f t="shared" si="252"/>
        <v>4867890</v>
      </c>
      <c r="O714" s="67">
        <f t="shared" si="252"/>
        <v>0</v>
      </c>
      <c r="P714" s="67">
        <f t="shared" si="252"/>
        <v>0</v>
      </c>
      <c r="Q714" s="67"/>
      <c r="R714" s="67">
        <f t="shared" si="252"/>
        <v>0</v>
      </c>
      <c r="S714" s="67">
        <f t="shared" si="252"/>
        <v>0</v>
      </c>
      <c r="T714" s="67">
        <f t="shared" si="252"/>
        <v>0</v>
      </c>
      <c r="U714" s="67">
        <f t="shared" si="252"/>
        <v>0</v>
      </c>
      <c r="V714" s="67">
        <f t="shared" si="252"/>
        <v>0</v>
      </c>
      <c r="W714" s="67"/>
      <c r="X714" s="67">
        <f t="shared" si="252"/>
        <v>0</v>
      </c>
      <c r="Y714" s="67">
        <f t="shared" si="252"/>
        <v>4867890</v>
      </c>
      <c r="Z714" s="67">
        <f t="shared" si="252"/>
        <v>3253335.64</v>
      </c>
      <c r="AA714" s="67">
        <f t="shared" si="252"/>
        <v>4867890</v>
      </c>
      <c r="AB714" s="67">
        <f t="shared" si="252"/>
        <v>3253335.64</v>
      </c>
      <c r="AC714" s="49" t="s">
        <v>53</v>
      </c>
      <c r="AD714" s="94">
        <f t="shared" ref="AD714:AF715" si="253">D648+D682</f>
        <v>7022706.3499999996</v>
      </c>
      <c r="AE714" s="94">
        <f t="shared" si="253"/>
        <v>0</v>
      </c>
      <c r="AF714" s="94">
        <f t="shared" si="253"/>
        <v>0</v>
      </c>
      <c r="AG714" s="94">
        <f t="shared" si="245"/>
        <v>0</v>
      </c>
      <c r="AH714" s="94">
        <f>L648+L682</f>
        <v>0</v>
      </c>
      <c r="AI714" s="94">
        <f t="shared" si="246"/>
        <v>0</v>
      </c>
      <c r="AJ714" s="94">
        <f>O648+O682</f>
        <v>4940173.07</v>
      </c>
      <c r="AK714" s="94">
        <f>P648+P682</f>
        <v>0</v>
      </c>
      <c r="AL714" s="94">
        <f t="shared" si="247"/>
        <v>4940173.07</v>
      </c>
      <c r="AM714" s="94">
        <f>V648+V682</f>
        <v>0</v>
      </c>
      <c r="AN714" s="94">
        <f t="shared" si="248"/>
        <v>4940173.07</v>
      </c>
      <c r="AO714" s="94">
        <f t="shared" si="249"/>
        <v>4940173.07</v>
      </c>
      <c r="AP714" s="94">
        <f t="shared" si="250"/>
        <v>2082533.2799999993</v>
      </c>
      <c r="AQ714" s="94">
        <f t="shared" si="251"/>
        <v>2082533.2799999993</v>
      </c>
    </row>
    <row r="715" spans="1:43" x14ac:dyDescent="0.25">
      <c r="A715" s="46"/>
      <c r="B715" s="26"/>
      <c r="C715" s="4"/>
      <c r="D715" s="70" t="s">
        <v>40</v>
      </c>
      <c r="E715" s="70" t="s">
        <v>40</v>
      </c>
      <c r="F715" s="70" t="s">
        <v>40</v>
      </c>
      <c r="G715" s="70"/>
      <c r="H715" s="70" t="s">
        <v>40</v>
      </c>
      <c r="I715" s="70" t="s">
        <v>40</v>
      </c>
      <c r="J715" s="70" t="s">
        <v>40</v>
      </c>
      <c r="K715" s="70" t="s">
        <v>40</v>
      </c>
      <c r="L715" s="70" t="s">
        <v>40</v>
      </c>
      <c r="M715" s="70"/>
      <c r="N715" s="70" t="s">
        <v>40</v>
      </c>
      <c r="O715" s="70" t="s">
        <v>40</v>
      </c>
      <c r="P715" s="70" t="s">
        <v>40</v>
      </c>
      <c r="Q715" s="70"/>
      <c r="R715" s="70" t="s">
        <v>40</v>
      </c>
      <c r="S715" s="70" t="s">
        <v>40</v>
      </c>
      <c r="T715" s="70" t="s">
        <v>40</v>
      </c>
      <c r="U715" s="70" t="s">
        <v>40</v>
      </c>
      <c r="V715" s="70" t="s">
        <v>40</v>
      </c>
      <c r="W715" s="70"/>
      <c r="X715" s="70" t="s">
        <v>40</v>
      </c>
      <c r="Y715" s="70" t="s">
        <v>40</v>
      </c>
      <c r="Z715" s="70" t="s">
        <v>40</v>
      </c>
      <c r="AA715" s="70" t="s">
        <v>40</v>
      </c>
      <c r="AB715" s="70" t="s">
        <v>40</v>
      </c>
      <c r="AC715" s="49" t="s">
        <v>54</v>
      </c>
      <c r="AD715" s="94">
        <f t="shared" si="253"/>
        <v>12132340.890000001</v>
      </c>
      <c r="AE715" s="94">
        <f t="shared" si="253"/>
        <v>0</v>
      </c>
      <c r="AF715" s="94">
        <f t="shared" si="253"/>
        <v>0</v>
      </c>
      <c r="AG715" s="94">
        <f t="shared" si="245"/>
        <v>0</v>
      </c>
      <c r="AH715" s="94">
        <f>L649+L683</f>
        <v>0</v>
      </c>
      <c r="AI715" s="94">
        <f t="shared" si="246"/>
        <v>0</v>
      </c>
      <c r="AJ715" s="94">
        <f>O649+O683</f>
        <v>5792087.3899999997</v>
      </c>
      <c r="AK715" s="94">
        <f>P649+P683</f>
        <v>0</v>
      </c>
      <c r="AL715" s="94">
        <f t="shared" si="247"/>
        <v>5792087.3899999997</v>
      </c>
      <c r="AM715" s="94">
        <f>V649+V683</f>
        <v>0</v>
      </c>
      <c r="AN715" s="94">
        <f t="shared" si="248"/>
        <v>5792087.3899999997</v>
      </c>
      <c r="AO715" s="94">
        <f t="shared" si="249"/>
        <v>5792087.3899999997</v>
      </c>
      <c r="AP715" s="94">
        <f t="shared" si="250"/>
        <v>6340253.5000000009</v>
      </c>
      <c r="AQ715" s="94">
        <f t="shared" si="251"/>
        <v>6340253.5000000009</v>
      </c>
    </row>
    <row r="716" spans="1:43" x14ac:dyDescent="0.25">
      <c r="A716" s="46"/>
      <c r="B716" s="26"/>
      <c r="C716" s="4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49" t="s">
        <v>261</v>
      </c>
      <c r="AD716" s="94">
        <f>+D658</f>
        <v>3406124</v>
      </c>
      <c r="AE716" s="94">
        <f>+E658</f>
        <v>3406124</v>
      </c>
      <c r="AF716" s="94">
        <f>+F658</f>
        <v>0</v>
      </c>
      <c r="AG716" s="94">
        <f t="shared" si="245"/>
        <v>3406124</v>
      </c>
      <c r="AH716" s="94">
        <f>+L658</f>
        <v>0</v>
      </c>
      <c r="AI716" s="94">
        <f t="shared" si="246"/>
        <v>3406124</v>
      </c>
      <c r="AJ716" s="94">
        <f>+O658</f>
        <v>0</v>
      </c>
      <c r="AK716" s="94">
        <f>+P658</f>
        <v>0</v>
      </c>
      <c r="AL716" s="94">
        <f t="shared" si="247"/>
        <v>0</v>
      </c>
      <c r="AM716" s="94">
        <f>+V658</f>
        <v>0</v>
      </c>
      <c r="AN716" s="94">
        <f t="shared" si="248"/>
        <v>0</v>
      </c>
      <c r="AO716" s="94">
        <f t="shared" si="249"/>
        <v>3406124</v>
      </c>
      <c r="AP716" s="94">
        <f t="shared" si="250"/>
        <v>0</v>
      </c>
      <c r="AQ716" s="94">
        <f t="shared" si="251"/>
        <v>0</v>
      </c>
    </row>
    <row r="717" spans="1:43" x14ac:dyDescent="0.25">
      <c r="A717" s="46"/>
      <c r="B717" s="37" t="s">
        <v>26</v>
      </c>
      <c r="C717" s="7" t="s">
        <v>94</v>
      </c>
      <c r="D717" s="67">
        <f>D714+D708+D701+D685+D677+D668+D660+D651+D642+D694</f>
        <v>179509507.59999999</v>
      </c>
      <c r="E717" s="67">
        <f>E714+E708+E701+E685+E677+E668+E660+E651+E642+E694</f>
        <v>32016243.5</v>
      </c>
      <c r="F717" s="67">
        <f>F714+F708+F701+F685+F677+F668+F660+F651+F642+F694</f>
        <v>0</v>
      </c>
      <c r="G717" s="67"/>
      <c r="H717" s="67">
        <f>H714+H708+H701+H685+H677+H668+H660+H651+H642+H694</f>
        <v>32016243.5</v>
      </c>
      <c r="I717" s="67">
        <f>I714+I708+I701+I685+I677+I668+I660+I651+I642+I694</f>
        <v>0</v>
      </c>
      <c r="J717" s="67">
        <f>J714+J708+J701+J685+J677+J668+J660+J651+J642+J694</f>
        <v>0</v>
      </c>
      <c r="K717" s="67">
        <f>K714+K708+K701+K685+K677+K668+K660+K651+K642+K694</f>
        <v>0</v>
      </c>
      <c r="L717" s="67">
        <f>L714+L708+L701+L685+L677+L668+L660+L651+L642+L694</f>
        <v>0</v>
      </c>
      <c r="M717" s="67"/>
      <c r="N717" s="67">
        <f>N714+N708+N701+N685+N677+N668+N660+N651+N642+N694</f>
        <v>32016243.5</v>
      </c>
      <c r="O717" s="67">
        <f>O714+O708+O701+O685+O677+O668+O660+O651+O642+O694</f>
        <v>10873139.58</v>
      </c>
      <c r="P717" s="67">
        <f>P714+P708+P701+P685+P677+P668+P660+P651+P642+P694</f>
        <v>376617.2</v>
      </c>
      <c r="Q717" s="67"/>
      <c r="R717" s="67">
        <f>R714+R708+R701+R685+R677+R668+R660+R651+R642+R694</f>
        <v>11249756.779999999</v>
      </c>
      <c r="S717" s="67">
        <f>S714+S708+S701+S685+S677+S668+S660+S651+S642+S694</f>
        <v>0</v>
      </c>
      <c r="T717" s="67">
        <f>T714+T708+T701+T685+T677+T668+T660+T651+T642+T694</f>
        <v>0</v>
      </c>
      <c r="U717" s="67">
        <f>U714+U708+U701+U685+U677+U668+U660+U651+U642+U694</f>
        <v>0</v>
      </c>
      <c r="V717" s="67">
        <f>V714+V708+V701+V685+V677+V668+V660+V651+V642+V694</f>
        <v>0</v>
      </c>
      <c r="W717" s="67"/>
      <c r="X717" s="67">
        <f>X714+X708+X701+X685+X677+X668+X660+X651+X642+X694</f>
        <v>11249756.779999999</v>
      </c>
      <c r="Y717" s="67">
        <f>Y714+Y708+Y701+Y685+Y677+Y668+Y660+Y651+Y642+Y694</f>
        <v>43266000.280000001</v>
      </c>
      <c r="Z717" s="67">
        <f>Z714+Z708+Z701+Z685+Z677+Z668+Z660+Z651+Z642+Z694</f>
        <v>136243507.31999999</v>
      </c>
      <c r="AA717" s="67">
        <f>AA714+AA708+AA701+AA685+AA677+AA668+AA660+AA651+AA642+AA694</f>
        <v>43266000.280000001</v>
      </c>
      <c r="AB717" s="67">
        <f>AB714+AB708+AB701+AB685+AB677+AB668+AB660+AB651+AB642+AB694</f>
        <v>136243507.31999999</v>
      </c>
      <c r="AD717" s="95">
        <f>SUM(AD707:AD716)</f>
        <v>179509507.59999996</v>
      </c>
      <c r="AE717" s="95">
        <f t="shared" ref="AE717:AQ717" si="254">SUM(AE707:AE716)</f>
        <v>32016243.5</v>
      </c>
      <c r="AF717" s="95">
        <f t="shared" si="254"/>
        <v>0</v>
      </c>
      <c r="AG717" s="95">
        <f t="shared" si="254"/>
        <v>32016243.5</v>
      </c>
      <c r="AH717" s="95">
        <f t="shared" si="254"/>
        <v>0</v>
      </c>
      <c r="AI717" s="95">
        <f t="shared" si="254"/>
        <v>32016243.5</v>
      </c>
      <c r="AJ717" s="95">
        <f t="shared" si="254"/>
        <v>10873139.58</v>
      </c>
      <c r="AK717" s="95">
        <f t="shared" si="254"/>
        <v>376617.2</v>
      </c>
      <c r="AL717" s="95">
        <f t="shared" si="254"/>
        <v>11249756.780000001</v>
      </c>
      <c r="AM717" s="95">
        <f t="shared" si="254"/>
        <v>0</v>
      </c>
      <c r="AN717" s="95">
        <f t="shared" si="254"/>
        <v>11249756.780000001</v>
      </c>
      <c r="AO717" s="95">
        <f t="shared" si="254"/>
        <v>43266000.280000001</v>
      </c>
      <c r="AP717" s="95">
        <f t="shared" si="254"/>
        <v>136243507.31999999</v>
      </c>
      <c r="AQ717" s="95">
        <f t="shared" si="254"/>
        <v>136243507.31999999</v>
      </c>
    </row>
    <row r="718" spans="1:43" x14ac:dyDescent="0.25">
      <c r="A718" s="46"/>
      <c r="B718" s="26"/>
      <c r="C718" s="4"/>
      <c r="D718" s="70" t="s">
        <v>50</v>
      </c>
      <c r="E718" s="70" t="s">
        <v>50</v>
      </c>
      <c r="F718" s="70" t="s">
        <v>50</v>
      </c>
      <c r="G718" s="70"/>
      <c r="H718" s="70" t="s">
        <v>50</v>
      </c>
      <c r="I718" s="70" t="s">
        <v>50</v>
      </c>
      <c r="J718" s="70" t="s">
        <v>50</v>
      </c>
      <c r="K718" s="70" t="s">
        <v>50</v>
      </c>
      <c r="L718" s="70" t="s">
        <v>50</v>
      </c>
      <c r="M718" s="70"/>
      <c r="N718" s="70" t="s">
        <v>50</v>
      </c>
      <c r="O718" s="70" t="s">
        <v>50</v>
      </c>
      <c r="P718" s="70" t="s">
        <v>50</v>
      </c>
      <c r="Q718" s="70"/>
      <c r="R718" s="70" t="s">
        <v>50</v>
      </c>
      <c r="S718" s="70" t="s">
        <v>50</v>
      </c>
      <c r="T718" s="70" t="s">
        <v>50</v>
      </c>
      <c r="U718" s="70" t="s">
        <v>50</v>
      </c>
      <c r="V718" s="70" t="s">
        <v>50</v>
      </c>
      <c r="W718" s="70"/>
      <c r="X718" s="70" t="s">
        <v>50</v>
      </c>
      <c r="Y718" s="70" t="s">
        <v>50</v>
      </c>
      <c r="Z718" s="70" t="s">
        <v>50</v>
      </c>
      <c r="AA718" s="70" t="s">
        <v>50</v>
      </c>
      <c r="AB718" s="70" t="s">
        <v>50</v>
      </c>
    </row>
    <row r="719" spans="1:43" x14ac:dyDescent="0.25">
      <c r="A719" s="46"/>
      <c r="B719" s="26"/>
      <c r="C719" s="20"/>
      <c r="D719" s="75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</row>
    <row r="720" spans="1:43" ht="19.5" x14ac:dyDescent="0.35">
      <c r="A720" s="46"/>
      <c r="B720" s="48" t="s">
        <v>210</v>
      </c>
      <c r="C720" s="4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</row>
    <row r="721" spans="1:28" x14ac:dyDescent="0.25">
      <c r="A721" s="46"/>
      <c r="B721" s="26"/>
      <c r="C721" s="4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</row>
    <row r="722" spans="1:28" x14ac:dyDescent="0.25">
      <c r="A722" s="46">
        <v>78</v>
      </c>
      <c r="B722" s="26" t="s">
        <v>211</v>
      </c>
      <c r="C722" s="2" t="s">
        <v>35</v>
      </c>
      <c r="D722" s="68">
        <v>0</v>
      </c>
      <c r="E722" s="75"/>
      <c r="F722" s="68"/>
      <c r="G722" s="68"/>
      <c r="H722" s="67">
        <f>+E722+F722</f>
        <v>0</v>
      </c>
      <c r="I722" s="68"/>
      <c r="J722" s="68"/>
      <c r="K722" s="68"/>
      <c r="L722" s="68"/>
      <c r="M722" s="68"/>
      <c r="N722" s="67">
        <f t="shared" ref="N722:N785" si="255">H722+L722</f>
        <v>0</v>
      </c>
      <c r="O722" s="68"/>
      <c r="P722" s="68"/>
      <c r="Q722" s="68"/>
      <c r="R722" s="67">
        <f>O722+P722</f>
        <v>0</v>
      </c>
      <c r="S722" s="68"/>
      <c r="T722" s="68"/>
      <c r="U722" s="68"/>
      <c r="V722" s="68"/>
      <c r="W722" s="68"/>
      <c r="X722" s="67">
        <f>R722+V722</f>
        <v>0</v>
      </c>
      <c r="Y722" s="67">
        <f>R722+H722</f>
        <v>0</v>
      </c>
      <c r="Z722" s="67">
        <f>D722-Y722</f>
        <v>0</v>
      </c>
      <c r="AA722" s="67">
        <f>N722+X722</f>
        <v>0</v>
      </c>
      <c r="AB722" s="67">
        <f>+D722-N722-X722</f>
        <v>0</v>
      </c>
    </row>
    <row r="723" spans="1:28" x14ac:dyDescent="0.25">
      <c r="A723" s="46"/>
      <c r="B723" s="26"/>
      <c r="C723" s="4" t="s">
        <v>36</v>
      </c>
      <c r="D723" s="68">
        <v>1870946</v>
      </c>
      <c r="E723" s="68">
        <v>1870946</v>
      </c>
      <c r="F723" s="68"/>
      <c r="G723" s="68"/>
      <c r="H723" s="67">
        <f t="shared" ref="H723:H785" si="256">+E723+F723</f>
        <v>1870946</v>
      </c>
      <c r="I723" s="68"/>
      <c r="J723" s="68"/>
      <c r="K723" s="68"/>
      <c r="L723" s="68"/>
      <c r="M723" s="68"/>
      <c r="N723" s="67">
        <f t="shared" si="255"/>
        <v>1870946</v>
      </c>
      <c r="O723" s="68"/>
      <c r="P723" s="68"/>
      <c r="Q723" s="68"/>
      <c r="R723" s="67">
        <f>O723+P723</f>
        <v>0</v>
      </c>
      <c r="S723" s="68"/>
      <c r="T723" s="68"/>
      <c r="U723" s="68"/>
      <c r="V723" s="68"/>
      <c r="W723" s="68"/>
      <c r="X723" s="67">
        <f t="shared" ref="X723:X785" si="257">R723+V723</f>
        <v>0</v>
      </c>
      <c r="Y723" s="67">
        <f>R723+H723</f>
        <v>1870946</v>
      </c>
      <c r="Z723" s="67">
        <f>D723-Y723</f>
        <v>0</v>
      </c>
      <c r="AA723" s="67">
        <f>N723+X723</f>
        <v>1870946</v>
      </c>
      <c r="AB723" s="67">
        <f>+D723-N723-X723</f>
        <v>0</v>
      </c>
    </row>
    <row r="724" spans="1:28" x14ac:dyDescent="0.25">
      <c r="A724" s="46"/>
      <c r="B724" s="26"/>
      <c r="C724" s="4" t="s">
        <v>53</v>
      </c>
      <c r="D724" s="68">
        <v>12938291.029999999</v>
      </c>
      <c r="E724" s="68"/>
      <c r="F724" s="68"/>
      <c r="G724" s="68"/>
      <c r="H724" s="67">
        <f t="shared" si="256"/>
        <v>0</v>
      </c>
      <c r="I724" s="68"/>
      <c r="J724" s="68"/>
      <c r="K724" s="68"/>
      <c r="L724" s="68"/>
      <c r="M724" s="68"/>
      <c r="N724" s="67">
        <f t="shared" si="255"/>
        <v>0</v>
      </c>
      <c r="O724" s="68">
        <v>380310.74</v>
      </c>
      <c r="P724" s="68"/>
      <c r="Q724" s="68"/>
      <c r="R724" s="67">
        <f>O724+P724</f>
        <v>380310.74</v>
      </c>
      <c r="S724" s="68"/>
      <c r="T724" s="68"/>
      <c r="U724" s="68"/>
      <c r="V724" s="68"/>
      <c r="W724" s="68"/>
      <c r="X724" s="67">
        <f t="shared" si="257"/>
        <v>380310.74</v>
      </c>
      <c r="Y724" s="67">
        <f>R724+H724</f>
        <v>380310.74</v>
      </c>
      <c r="Z724" s="67">
        <f>D724-Y724</f>
        <v>12557980.289999999</v>
      </c>
      <c r="AA724" s="67">
        <f>N724+X724</f>
        <v>380310.74</v>
      </c>
      <c r="AB724" s="67">
        <f>+D724-N724-X724</f>
        <v>12557980.289999999</v>
      </c>
    </row>
    <row r="725" spans="1:28" x14ac:dyDescent="0.25">
      <c r="A725" s="46"/>
      <c r="B725" s="26"/>
      <c r="C725" s="4" t="s">
        <v>54</v>
      </c>
      <c r="D725" s="68">
        <f>15488129.63+308500.17</f>
        <v>15796629.800000001</v>
      </c>
      <c r="E725" s="68"/>
      <c r="F725" s="68"/>
      <c r="G725" s="68"/>
      <c r="H725" s="67">
        <f t="shared" si="256"/>
        <v>0</v>
      </c>
      <c r="I725" s="68"/>
      <c r="J725" s="68"/>
      <c r="K725" s="68"/>
      <c r="L725" s="68"/>
      <c r="M725" s="68"/>
      <c r="N725" s="67">
        <f t="shared" si="255"/>
        <v>0</v>
      </c>
      <c r="O725" s="68">
        <f>15796629.8+308500.17</f>
        <v>16105129.970000001</v>
      </c>
      <c r="P725" s="68"/>
      <c r="Q725" s="68"/>
      <c r="R725" s="67">
        <f>O725+P725</f>
        <v>16105129.970000001</v>
      </c>
      <c r="S725" s="68"/>
      <c r="T725" s="68"/>
      <c r="U725" s="68"/>
      <c r="V725" s="68"/>
      <c r="W725" s="68"/>
      <c r="X725" s="67">
        <f t="shared" si="257"/>
        <v>16105129.970000001</v>
      </c>
      <c r="Y725" s="67">
        <f>R725+H725</f>
        <v>16105129.970000001</v>
      </c>
      <c r="Z725" s="67">
        <f>D725-Y725</f>
        <v>-308500.16999999993</v>
      </c>
      <c r="AA725" s="67">
        <f>N725+X725</f>
        <v>16105129.970000001</v>
      </c>
      <c r="AB725" s="67">
        <f>+D725-N725-X725</f>
        <v>-308500.16999999993</v>
      </c>
    </row>
    <row r="726" spans="1:28" x14ac:dyDescent="0.25">
      <c r="A726" s="46"/>
      <c r="B726" s="26"/>
      <c r="C726" s="4"/>
      <c r="D726" s="70" t="s">
        <v>40</v>
      </c>
      <c r="E726" s="70" t="s">
        <v>40</v>
      </c>
      <c r="F726" s="70" t="s">
        <v>40</v>
      </c>
      <c r="G726" s="70"/>
      <c r="H726" s="70" t="s">
        <v>40</v>
      </c>
      <c r="I726" s="70" t="s">
        <v>40</v>
      </c>
      <c r="J726" s="70" t="s">
        <v>40</v>
      </c>
      <c r="K726" s="70" t="s">
        <v>40</v>
      </c>
      <c r="L726" s="70" t="s">
        <v>40</v>
      </c>
      <c r="M726" s="70"/>
      <c r="N726" s="70" t="s">
        <v>40</v>
      </c>
      <c r="O726" s="70" t="s">
        <v>40</v>
      </c>
      <c r="P726" s="70" t="s">
        <v>40</v>
      </c>
      <c r="Q726" s="70"/>
      <c r="R726" s="70" t="s">
        <v>40</v>
      </c>
      <c r="S726" s="70" t="s">
        <v>40</v>
      </c>
      <c r="T726" s="70" t="s">
        <v>40</v>
      </c>
      <c r="U726" s="70" t="s">
        <v>40</v>
      </c>
      <c r="V726" s="70" t="s">
        <v>40</v>
      </c>
      <c r="W726" s="70"/>
      <c r="X726" s="70" t="s">
        <v>40</v>
      </c>
      <c r="Y726" s="70" t="s">
        <v>40</v>
      </c>
      <c r="Z726" s="70" t="s">
        <v>40</v>
      </c>
      <c r="AA726" s="70" t="s">
        <v>40</v>
      </c>
      <c r="AB726" s="70" t="s">
        <v>40</v>
      </c>
    </row>
    <row r="727" spans="1:28" x14ac:dyDescent="0.25">
      <c r="A727" s="46"/>
      <c r="B727" s="26"/>
      <c r="C727" s="4"/>
      <c r="D727" s="68">
        <f>SUM(D722:D725)</f>
        <v>30605866.829999998</v>
      </c>
      <c r="E727" s="68">
        <f t="shared" ref="E727:AB727" si="258">SUM(E722:E725)</f>
        <v>1870946</v>
      </c>
      <c r="F727" s="68">
        <f t="shared" si="258"/>
        <v>0</v>
      </c>
      <c r="G727" s="68"/>
      <c r="H727" s="68">
        <f t="shared" si="258"/>
        <v>1870946</v>
      </c>
      <c r="I727" s="68">
        <f t="shared" si="258"/>
        <v>0</v>
      </c>
      <c r="J727" s="68">
        <f t="shared" si="258"/>
        <v>0</v>
      </c>
      <c r="K727" s="68">
        <f t="shared" si="258"/>
        <v>0</v>
      </c>
      <c r="L727" s="68">
        <f t="shared" si="258"/>
        <v>0</v>
      </c>
      <c r="M727" s="68"/>
      <c r="N727" s="68">
        <f t="shared" si="258"/>
        <v>1870946</v>
      </c>
      <c r="O727" s="68">
        <f t="shared" si="258"/>
        <v>16485440.710000001</v>
      </c>
      <c r="P727" s="68">
        <f t="shared" si="258"/>
        <v>0</v>
      </c>
      <c r="Q727" s="68"/>
      <c r="R727" s="68">
        <f t="shared" si="258"/>
        <v>16485440.710000001</v>
      </c>
      <c r="S727" s="68">
        <f t="shared" si="258"/>
        <v>0</v>
      </c>
      <c r="T727" s="68">
        <f t="shared" si="258"/>
        <v>0</v>
      </c>
      <c r="U727" s="68">
        <f t="shared" si="258"/>
        <v>0</v>
      </c>
      <c r="V727" s="68">
        <f t="shared" si="258"/>
        <v>0</v>
      </c>
      <c r="W727" s="68"/>
      <c r="X727" s="68">
        <f t="shared" si="258"/>
        <v>16485440.710000001</v>
      </c>
      <c r="Y727" s="68">
        <f t="shared" si="258"/>
        <v>18356386.710000001</v>
      </c>
      <c r="Z727" s="68">
        <f t="shared" si="258"/>
        <v>12249480.119999999</v>
      </c>
      <c r="AA727" s="68">
        <f t="shared" si="258"/>
        <v>18356386.710000001</v>
      </c>
      <c r="AB727" s="68">
        <f t="shared" si="258"/>
        <v>12249480.119999999</v>
      </c>
    </row>
    <row r="728" spans="1:28" x14ac:dyDescent="0.25">
      <c r="A728" s="46"/>
      <c r="B728" s="26"/>
      <c r="C728" s="4"/>
      <c r="D728" s="70" t="s">
        <v>40</v>
      </c>
      <c r="E728" s="70" t="s">
        <v>40</v>
      </c>
      <c r="F728" s="70" t="s">
        <v>40</v>
      </c>
      <c r="G728" s="70"/>
      <c r="H728" s="70" t="s">
        <v>40</v>
      </c>
      <c r="I728" s="70" t="s">
        <v>40</v>
      </c>
      <c r="J728" s="70" t="s">
        <v>40</v>
      </c>
      <c r="K728" s="70" t="s">
        <v>40</v>
      </c>
      <c r="L728" s="70" t="s">
        <v>40</v>
      </c>
      <c r="M728" s="70"/>
      <c r="N728" s="70" t="s">
        <v>40</v>
      </c>
      <c r="O728" s="70" t="s">
        <v>40</v>
      </c>
      <c r="P728" s="70" t="s">
        <v>40</v>
      </c>
      <c r="Q728" s="70"/>
      <c r="R728" s="70" t="s">
        <v>40</v>
      </c>
      <c r="S728" s="70" t="s">
        <v>40</v>
      </c>
      <c r="T728" s="70" t="s">
        <v>40</v>
      </c>
      <c r="U728" s="70" t="s">
        <v>40</v>
      </c>
      <c r="V728" s="70" t="s">
        <v>40</v>
      </c>
      <c r="W728" s="70"/>
      <c r="X728" s="70" t="s">
        <v>40</v>
      </c>
      <c r="Y728" s="70" t="s">
        <v>40</v>
      </c>
      <c r="Z728" s="70" t="s">
        <v>40</v>
      </c>
      <c r="AA728" s="70" t="s">
        <v>40</v>
      </c>
      <c r="AB728" s="70" t="s">
        <v>40</v>
      </c>
    </row>
    <row r="729" spans="1:28" x14ac:dyDescent="0.25">
      <c r="A729" s="46">
        <v>79</v>
      </c>
      <c r="B729" s="26" t="s">
        <v>212</v>
      </c>
      <c r="C729" s="2" t="s">
        <v>35</v>
      </c>
      <c r="D729" s="68">
        <v>34526520.799999997</v>
      </c>
      <c r="E729" s="68"/>
      <c r="F729" s="68"/>
      <c r="G729" s="68"/>
      <c r="H729" s="67">
        <f t="shared" si="256"/>
        <v>0</v>
      </c>
      <c r="I729" s="68"/>
      <c r="J729" s="68"/>
      <c r="K729" s="68"/>
      <c r="L729" s="68"/>
      <c r="M729" s="68"/>
      <c r="N729" s="67">
        <f t="shared" si="255"/>
        <v>0</v>
      </c>
      <c r="O729" s="68"/>
      <c r="P729" s="68"/>
      <c r="Q729" s="68"/>
      <c r="R729" s="67">
        <f>O729+P729</f>
        <v>0</v>
      </c>
      <c r="S729" s="68"/>
      <c r="T729" s="68"/>
      <c r="U729" s="68"/>
      <c r="V729" s="68"/>
      <c r="W729" s="68"/>
      <c r="X729" s="67">
        <f t="shared" si="257"/>
        <v>0</v>
      </c>
      <c r="Y729" s="67">
        <f>R729+H729</f>
        <v>0</v>
      </c>
      <c r="Z729" s="67">
        <f>D729-Y729</f>
        <v>34526520.799999997</v>
      </c>
      <c r="AA729" s="67">
        <f>N729+X729</f>
        <v>0</v>
      </c>
      <c r="AB729" s="67">
        <f>+D729-N729-X729</f>
        <v>34526520.799999997</v>
      </c>
    </row>
    <row r="730" spans="1:28" x14ac:dyDescent="0.25">
      <c r="A730" s="46"/>
      <c r="B730" s="26"/>
      <c r="C730" s="4" t="s">
        <v>36</v>
      </c>
      <c r="D730" s="68">
        <v>564161</v>
      </c>
      <c r="E730" s="68">
        <v>564161</v>
      </c>
      <c r="F730" s="68"/>
      <c r="G730" s="68"/>
      <c r="H730" s="67">
        <f t="shared" si="256"/>
        <v>564161</v>
      </c>
      <c r="I730" s="68"/>
      <c r="J730" s="68"/>
      <c r="K730" s="68"/>
      <c r="L730" s="68"/>
      <c r="M730" s="68"/>
      <c r="N730" s="67">
        <f t="shared" si="255"/>
        <v>564161</v>
      </c>
      <c r="O730" s="68"/>
      <c r="P730" s="68"/>
      <c r="Q730" s="68"/>
      <c r="R730" s="67">
        <f>O730+P730</f>
        <v>0</v>
      </c>
      <c r="S730" s="68"/>
      <c r="T730" s="68"/>
      <c r="U730" s="68"/>
      <c r="V730" s="68"/>
      <c r="W730" s="68"/>
      <c r="X730" s="67">
        <f t="shared" si="257"/>
        <v>0</v>
      </c>
      <c r="Y730" s="67">
        <f>R730+H730</f>
        <v>564161</v>
      </c>
      <c r="Z730" s="67">
        <f>D730-Y730</f>
        <v>0</v>
      </c>
      <c r="AA730" s="67">
        <f>N730+X730</f>
        <v>564161</v>
      </c>
      <c r="AB730" s="67">
        <f>+D730-N730-X730</f>
        <v>0</v>
      </c>
    </row>
    <row r="731" spans="1:28" x14ac:dyDescent="0.25">
      <c r="A731" s="46"/>
      <c r="B731" s="26"/>
      <c r="C731" s="4" t="s">
        <v>53</v>
      </c>
      <c r="D731" s="68">
        <f>2046673.66+460343.79</f>
        <v>2507017.4499999997</v>
      </c>
      <c r="E731" s="68"/>
      <c r="F731" s="68"/>
      <c r="G731" s="68"/>
      <c r="H731" s="67">
        <f t="shared" si="256"/>
        <v>0</v>
      </c>
      <c r="I731" s="68"/>
      <c r="J731" s="68"/>
      <c r="K731" s="68"/>
      <c r="L731" s="68"/>
      <c r="M731" s="68"/>
      <c r="N731" s="67">
        <f t="shared" si="255"/>
        <v>0</v>
      </c>
      <c r="O731" s="68">
        <f>2046673.66+460343.79</f>
        <v>2507017.4499999997</v>
      </c>
      <c r="P731" s="68"/>
      <c r="Q731" s="68"/>
      <c r="R731" s="67">
        <f>O731+P731</f>
        <v>2507017.4499999997</v>
      </c>
      <c r="S731" s="68"/>
      <c r="T731" s="68"/>
      <c r="U731" s="68"/>
      <c r="V731" s="68"/>
      <c r="W731" s="68"/>
      <c r="X731" s="67">
        <f t="shared" si="257"/>
        <v>2507017.4499999997</v>
      </c>
      <c r="Y731" s="67">
        <f>R731+H731</f>
        <v>2507017.4499999997</v>
      </c>
      <c r="Z731" s="67">
        <f>D731-Y731</f>
        <v>0</v>
      </c>
      <c r="AA731" s="67">
        <f>N731+X731</f>
        <v>2507017.4499999997</v>
      </c>
      <c r="AB731" s="67">
        <f>+D731-N731-X731</f>
        <v>0</v>
      </c>
    </row>
    <row r="732" spans="1:28" x14ac:dyDescent="0.25">
      <c r="A732" s="46"/>
      <c r="B732" s="26"/>
      <c r="C732" s="4" t="s">
        <v>54</v>
      </c>
      <c r="D732" s="68">
        <f>2699794.12+13604365.17</f>
        <v>16304159.289999999</v>
      </c>
      <c r="E732" s="68"/>
      <c r="F732" s="68"/>
      <c r="G732" s="68"/>
      <c r="H732" s="67">
        <f t="shared" si="256"/>
        <v>0</v>
      </c>
      <c r="I732" s="68"/>
      <c r="J732" s="68"/>
      <c r="K732" s="68"/>
      <c r="L732" s="68"/>
      <c r="M732" s="68"/>
      <c r="N732" s="67">
        <f t="shared" si="255"/>
        <v>0</v>
      </c>
      <c r="O732" s="68">
        <v>16304159.289999999</v>
      </c>
      <c r="P732" s="68"/>
      <c r="Q732" s="68"/>
      <c r="R732" s="67">
        <f>O732+P732</f>
        <v>16304159.289999999</v>
      </c>
      <c r="S732" s="68"/>
      <c r="T732" s="68"/>
      <c r="U732" s="68"/>
      <c r="V732" s="68"/>
      <c r="W732" s="68"/>
      <c r="X732" s="67">
        <f t="shared" si="257"/>
        <v>16304159.289999999</v>
      </c>
      <c r="Y732" s="67">
        <f>R732+H732</f>
        <v>16304159.289999999</v>
      </c>
      <c r="Z732" s="67">
        <f>D732-Y732</f>
        <v>0</v>
      </c>
      <c r="AA732" s="67">
        <f>N732+X732</f>
        <v>16304159.289999999</v>
      </c>
      <c r="AB732" s="67">
        <f>+D732-N732-X732</f>
        <v>0</v>
      </c>
    </row>
    <row r="733" spans="1:28" x14ac:dyDescent="0.25">
      <c r="A733" s="46"/>
      <c r="B733" s="26"/>
      <c r="C733" s="4"/>
      <c r="D733" s="70" t="s">
        <v>40</v>
      </c>
      <c r="E733" s="70" t="s">
        <v>40</v>
      </c>
      <c r="F733" s="70" t="s">
        <v>40</v>
      </c>
      <c r="G733" s="70"/>
      <c r="H733" s="70" t="s">
        <v>40</v>
      </c>
      <c r="I733" s="70" t="s">
        <v>40</v>
      </c>
      <c r="J733" s="70" t="s">
        <v>40</v>
      </c>
      <c r="K733" s="70" t="s">
        <v>40</v>
      </c>
      <c r="L733" s="70" t="s">
        <v>40</v>
      </c>
      <c r="M733" s="70"/>
      <c r="N733" s="70" t="s">
        <v>40</v>
      </c>
      <c r="O733" s="70" t="s">
        <v>40</v>
      </c>
      <c r="P733" s="70" t="s">
        <v>40</v>
      </c>
      <c r="Q733" s="70"/>
      <c r="R733" s="70" t="s">
        <v>40</v>
      </c>
      <c r="S733" s="70" t="s">
        <v>40</v>
      </c>
      <c r="T733" s="70" t="s">
        <v>40</v>
      </c>
      <c r="U733" s="70" t="s">
        <v>40</v>
      </c>
      <c r="V733" s="70" t="s">
        <v>40</v>
      </c>
      <c r="W733" s="70"/>
      <c r="X733" s="70" t="s">
        <v>40</v>
      </c>
      <c r="Y733" s="70" t="s">
        <v>40</v>
      </c>
      <c r="Z733" s="70" t="s">
        <v>40</v>
      </c>
      <c r="AA733" s="70" t="s">
        <v>40</v>
      </c>
      <c r="AB733" s="70" t="s">
        <v>40</v>
      </c>
    </row>
    <row r="734" spans="1:28" x14ac:dyDescent="0.25">
      <c r="A734" s="46"/>
      <c r="B734" s="26"/>
      <c r="C734" s="4"/>
      <c r="D734" s="68">
        <f>SUM(D729:D732)</f>
        <v>53901858.539999999</v>
      </c>
      <c r="E734" s="68">
        <f t="shared" ref="E734:AB734" si="259">SUM(E729:E732)</f>
        <v>564161</v>
      </c>
      <c r="F734" s="68">
        <f t="shared" si="259"/>
        <v>0</v>
      </c>
      <c r="G734" s="68"/>
      <c r="H734" s="68">
        <f t="shared" si="259"/>
        <v>564161</v>
      </c>
      <c r="I734" s="68">
        <f t="shared" si="259"/>
        <v>0</v>
      </c>
      <c r="J734" s="68">
        <f t="shared" si="259"/>
        <v>0</v>
      </c>
      <c r="K734" s="68">
        <f t="shared" si="259"/>
        <v>0</v>
      </c>
      <c r="L734" s="68">
        <f t="shared" si="259"/>
        <v>0</v>
      </c>
      <c r="M734" s="68"/>
      <c r="N734" s="68">
        <f t="shared" si="259"/>
        <v>564161</v>
      </c>
      <c r="O734" s="68">
        <f t="shared" si="259"/>
        <v>18811176.739999998</v>
      </c>
      <c r="P734" s="68">
        <f t="shared" si="259"/>
        <v>0</v>
      </c>
      <c r="Q734" s="68"/>
      <c r="R734" s="68">
        <f t="shared" si="259"/>
        <v>18811176.739999998</v>
      </c>
      <c r="S734" s="68">
        <f t="shared" si="259"/>
        <v>0</v>
      </c>
      <c r="T734" s="68">
        <f t="shared" si="259"/>
        <v>0</v>
      </c>
      <c r="U734" s="68">
        <f t="shared" si="259"/>
        <v>0</v>
      </c>
      <c r="V734" s="68">
        <f t="shared" si="259"/>
        <v>0</v>
      </c>
      <c r="W734" s="68"/>
      <c r="X734" s="68">
        <f t="shared" si="259"/>
        <v>18811176.739999998</v>
      </c>
      <c r="Y734" s="68">
        <f t="shared" si="259"/>
        <v>19375337.739999998</v>
      </c>
      <c r="Z734" s="68">
        <f t="shared" si="259"/>
        <v>34526520.799999997</v>
      </c>
      <c r="AA734" s="68">
        <f t="shared" si="259"/>
        <v>19375337.739999998</v>
      </c>
      <c r="AB734" s="68">
        <f t="shared" si="259"/>
        <v>34526520.799999997</v>
      </c>
    </row>
    <row r="735" spans="1:28" x14ac:dyDescent="0.25">
      <c r="A735" s="46"/>
      <c r="B735" s="26"/>
      <c r="C735" s="4"/>
      <c r="D735" s="70" t="s">
        <v>40</v>
      </c>
      <c r="E735" s="70" t="s">
        <v>40</v>
      </c>
      <c r="F735" s="70" t="s">
        <v>40</v>
      </c>
      <c r="G735" s="70"/>
      <c r="H735" s="70" t="s">
        <v>40</v>
      </c>
      <c r="I735" s="70" t="s">
        <v>40</v>
      </c>
      <c r="J735" s="70" t="s">
        <v>40</v>
      </c>
      <c r="K735" s="70" t="s">
        <v>40</v>
      </c>
      <c r="L735" s="70" t="s">
        <v>40</v>
      </c>
      <c r="M735" s="70"/>
      <c r="N735" s="70" t="s">
        <v>40</v>
      </c>
      <c r="O735" s="70" t="s">
        <v>40</v>
      </c>
      <c r="P735" s="70" t="s">
        <v>40</v>
      </c>
      <c r="Q735" s="70"/>
      <c r="R735" s="70" t="s">
        <v>40</v>
      </c>
      <c r="S735" s="70" t="s">
        <v>40</v>
      </c>
      <c r="T735" s="70" t="s">
        <v>40</v>
      </c>
      <c r="U735" s="70" t="s">
        <v>40</v>
      </c>
      <c r="V735" s="70" t="s">
        <v>40</v>
      </c>
      <c r="W735" s="70"/>
      <c r="X735" s="70" t="s">
        <v>40</v>
      </c>
      <c r="Y735" s="70" t="s">
        <v>40</v>
      </c>
      <c r="Z735" s="70" t="s">
        <v>40</v>
      </c>
      <c r="AA735" s="70" t="s">
        <v>40</v>
      </c>
      <c r="AB735" s="70" t="s">
        <v>40</v>
      </c>
    </row>
    <row r="736" spans="1:28" x14ac:dyDescent="0.25">
      <c r="A736" s="46">
        <v>80</v>
      </c>
      <c r="B736" s="26" t="s">
        <v>213</v>
      </c>
      <c r="C736" s="2" t="s">
        <v>35</v>
      </c>
      <c r="D736" s="68">
        <v>2557619.83</v>
      </c>
      <c r="E736" s="68"/>
      <c r="F736" s="68"/>
      <c r="G736" s="68"/>
      <c r="H736" s="67">
        <f t="shared" si="256"/>
        <v>0</v>
      </c>
      <c r="I736" s="68"/>
      <c r="J736" s="68"/>
      <c r="K736" s="68"/>
      <c r="L736" s="68"/>
      <c r="M736" s="68"/>
      <c r="N736" s="67">
        <f t="shared" si="255"/>
        <v>0</v>
      </c>
      <c r="O736" s="68"/>
      <c r="P736" s="68"/>
      <c r="Q736" s="68"/>
      <c r="R736" s="67">
        <f>O736+P736</f>
        <v>0</v>
      </c>
      <c r="S736" s="68"/>
      <c r="T736" s="68"/>
      <c r="U736" s="68"/>
      <c r="V736" s="68"/>
      <c r="W736" s="68"/>
      <c r="X736" s="67">
        <f t="shared" si="257"/>
        <v>0</v>
      </c>
      <c r="Y736" s="67">
        <f>R736+H736</f>
        <v>0</v>
      </c>
      <c r="Z736" s="67">
        <f>D736-Y736</f>
        <v>2557619.83</v>
      </c>
      <c r="AA736" s="67">
        <f>N736+X736</f>
        <v>0</v>
      </c>
      <c r="AB736" s="67">
        <f>+D736-N736-X736</f>
        <v>2557619.83</v>
      </c>
    </row>
    <row r="737" spans="1:28" x14ac:dyDescent="0.25">
      <c r="A737" s="46"/>
      <c r="B737" s="26"/>
      <c r="C737" s="4" t="s">
        <v>36</v>
      </c>
      <c r="D737" s="68">
        <v>1697084</v>
      </c>
      <c r="E737" s="68">
        <v>1697084</v>
      </c>
      <c r="F737" s="68"/>
      <c r="G737" s="68"/>
      <c r="H737" s="67">
        <f t="shared" si="256"/>
        <v>1697084</v>
      </c>
      <c r="I737" s="68"/>
      <c r="J737" s="68"/>
      <c r="K737" s="68"/>
      <c r="L737" s="68"/>
      <c r="M737" s="68"/>
      <c r="N737" s="67">
        <f t="shared" si="255"/>
        <v>1697084</v>
      </c>
      <c r="O737" s="68"/>
      <c r="P737" s="68"/>
      <c r="Q737" s="68"/>
      <c r="R737" s="67">
        <f>O737+P737</f>
        <v>0</v>
      </c>
      <c r="S737" s="68"/>
      <c r="T737" s="68"/>
      <c r="U737" s="68"/>
      <c r="V737" s="68"/>
      <c r="W737" s="68"/>
      <c r="X737" s="67">
        <f t="shared" si="257"/>
        <v>0</v>
      </c>
      <c r="Y737" s="67">
        <f>R737+H737</f>
        <v>1697084</v>
      </c>
      <c r="Z737" s="67">
        <f>D737-Y737</f>
        <v>0</v>
      </c>
      <c r="AA737" s="67">
        <f>N737+X737</f>
        <v>1697084</v>
      </c>
      <c r="AB737" s="67">
        <f>+D737-N737-X737</f>
        <v>0</v>
      </c>
    </row>
    <row r="738" spans="1:28" x14ac:dyDescent="0.25">
      <c r="A738" s="46"/>
      <c r="B738" s="26"/>
      <c r="C738" s="4" t="s">
        <v>38</v>
      </c>
      <c r="D738" s="68">
        <v>457500</v>
      </c>
      <c r="E738" s="68"/>
      <c r="F738" s="68"/>
      <c r="G738" s="68"/>
      <c r="H738" s="67">
        <f t="shared" si="256"/>
        <v>0</v>
      </c>
      <c r="I738" s="68"/>
      <c r="J738" s="68"/>
      <c r="K738" s="68"/>
      <c r="L738" s="68"/>
      <c r="M738" s="68"/>
      <c r="N738" s="67">
        <f t="shared" si="255"/>
        <v>0</v>
      </c>
      <c r="O738" s="68"/>
      <c r="P738" s="68"/>
      <c r="Q738" s="68"/>
      <c r="R738" s="67">
        <f>O738+P738</f>
        <v>0</v>
      </c>
      <c r="S738" s="68"/>
      <c r="T738" s="68"/>
      <c r="U738" s="68"/>
      <c r="V738" s="68"/>
      <c r="W738" s="68"/>
      <c r="X738" s="67">
        <f t="shared" si="257"/>
        <v>0</v>
      </c>
      <c r="Y738" s="67">
        <f>R738+H738</f>
        <v>0</v>
      </c>
      <c r="Z738" s="67">
        <f>D738-Y738</f>
        <v>457500</v>
      </c>
      <c r="AA738" s="67">
        <f>N738+X738</f>
        <v>0</v>
      </c>
      <c r="AB738" s="67">
        <f>+D738-N738-X738</f>
        <v>457500</v>
      </c>
    </row>
    <row r="739" spans="1:28" x14ac:dyDescent="0.25">
      <c r="A739" s="46"/>
      <c r="B739" s="26"/>
      <c r="C739" s="22" t="s">
        <v>133</v>
      </c>
      <c r="D739" s="68">
        <v>1783171.83</v>
      </c>
      <c r="E739" s="68"/>
      <c r="F739" s="68"/>
      <c r="G739" s="68"/>
      <c r="H739" s="67">
        <f t="shared" si="256"/>
        <v>0</v>
      </c>
      <c r="I739" s="68"/>
      <c r="J739" s="68"/>
      <c r="K739" s="68"/>
      <c r="L739" s="68"/>
      <c r="M739" s="68"/>
      <c r="N739" s="67">
        <f t="shared" si="255"/>
        <v>0</v>
      </c>
      <c r="O739" s="68"/>
      <c r="P739" s="68"/>
      <c r="Q739" s="68"/>
      <c r="R739" s="67">
        <f>O739+P739</f>
        <v>0</v>
      </c>
      <c r="S739" s="68"/>
      <c r="T739" s="68"/>
      <c r="U739" s="68"/>
      <c r="V739" s="68"/>
      <c r="W739" s="68"/>
      <c r="X739" s="67">
        <f t="shared" si="257"/>
        <v>0</v>
      </c>
      <c r="Y739" s="67">
        <f>R739+H739</f>
        <v>0</v>
      </c>
      <c r="Z739" s="67">
        <f>D739-Y739</f>
        <v>1783171.83</v>
      </c>
      <c r="AA739" s="67">
        <f>N739+X739</f>
        <v>0</v>
      </c>
      <c r="AB739" s="67">
        <f>+D739-N739-X739</f>
        <v>1783171.83</v>
      </c>
    </row>
    <row r="740" spans="1:28" x14ac:dyDescent="0.25">
      <c r="A740" s="46"/>
      <c r="B740" s="26"/>
      <c r="C740" s="4"/>
      <c r="D740" s="70" t="s">
        <v>40</v>
      </c>
      <c r="E740" s="70" t="s">
        <v>40</v>
      </c>
      <c r="F740" s="70" t="s">
        <v>40</v>
      </c>
      <c r="G740" s="70"/>
      <c r="H740" s="70" t="s">
        <v>40</v>
      </c>
      <c r="I740" s="70" t="s">
        <v>40</v>
      </c>
      <c r="J740" s="70" t="s">
        <v>40</v>
      </c>
      <c r="K740" s="70" t="s">
        <v>40</v>
      </c>
      <c r="L740" s="70" t="s">
        <v>40</v>
      </c>
      <c r="M740" s="70"/>
      <c r="N740" s="70" t="s">
        <v>40</v>
      </c>
      <c r="O740" s="70" t="s">
        <v>40</v>
      </c>
      <c r="P740" s="70" t="s">
        <v>40</v>
      </c>
      <c r="Q740" s="70"/>
      <c r="R740" s="70" t="s">
        <v>40</v>
      </c>
      <c r="S740" s="70" t="s">
        <v>40</v>
      </c>
      <c r="T740" s="70" t="s">
        <v>40</v>
      </c>
      <c r="U740" s="70" t="s">
        <v>40</v>
      </c>
      <c r="V740" s="70" t="s">
        <v>40</v>
      </c>
      <c r="W740" s="70"/>
      <c r="X740" s="70" t="s">
        <v>40</v>
      </c>
      <c r="Y740" s="70" t="s">
        <v>40</v>
      </c>
      <c r="Z740" s="70" t="s">
        <v>40</v>
      </c>
      <c r="AA740" s="70" t="s">
        <v>40</v>
      </c>
      <c r="AB740" s="70" t="s">
        <v>40</v>
      </c>
    </row>
    <row r="741" spans="1:28" x14ac:dyDescent="0.25">
      <c r="A741" s="46"/>
      <c r="B741" s="26"/>
      <c r="C741" s="4"/>
      <c r="D741" s="68">
        <f>SUM(D736:D739)</f>
        <v>6495375.6600000001</v>
      </c>
      <c r="E741" s="68">
        <f t="shared" ref="E741:AB741" si="260">SUM(E736:E739)</f>
        <v>1697084</v>
      </c>
      <c r="F741" s="68">
        <f t="shared" si="260"/>
        <v>0</v>
      </c>
      <c r="G741" s="68"/>
      <c r="H741" s="68">
        <f t="shared" si="260"/>
        <v>1697084</v>
      </c>
      <c r="I741" s="68">
        <f t="shared" si="260"/>
        <v>0</v>
      </c>
      <c r="J741" s="68">
        <f t="shared" si="260"/>
        <v>0</v>
      </c>
      <c r="K741" s="68">
        <f t="shared" si="260"/>
        <v>0</v>
      </c>
      <c r="L741" s="68">
        <f t="shared" si="260"/>
        <v>0</v>
      </c>
      <c r="M741" s="68"/>
      <c r="N741" s="68">
        <f t="shared" si="260"/>
        <v>1697084</v>
      </c>
      <c r="O741" s="68">
        <f t="shared" si="260"/>
        <v>0</v>
      </c>
      <c r="P741" s="68">
        <f t="shared" si="260"/>
        <v>0</v>
      </c>
      <c r="Q741" s="68"/>
      <c r="R741" s="68">
        <f t="shared" si="260"/>
        <v>0</v>
      </c>
      <c r="S741" s="68">
        <f t="shared" si="260"/>
        <v>0</v>
      </c>
      <c r="T741" s="68">
        <f t="shared" si="260"/>
        <v>0</v>
      </c>
      <c r="U741" s="68">
        <f t="shared" si="260"/>
        <v>0</v>
      </c>
      <c r="V741" s="68">
        <f t="shared" si="260"/>
        <v>0</v>
      </c>
      <c r="W741" s="68"/>
      <c r="X741" s="68">
        <f t="shared" si="260"/>
        <v>0</v>
      </c>
      <c r="Y741" s="68">
        <f t="shared" si="260"/>
        <v>1697084</v>
      </c>
      <c r="Z741" s="68">
        <f t="shared" si="260"/>
        <v>4798291.66</v>
      </c>
      <c r="AA741" s="68">
        <f t="shared" si="260"/>
        <v>1697084</v>
      </c>
      <c r="AB741" s="68">
        <f t="shared" si="260"/>
        <v>4798291.66</v>
      </c>
    </row>
    <row r="742" spans="1:28" x14ac:dyDescent="0.25">
      <c r="A742" s="46"/>
      <c r="B742" s="26"/>
      <c r="C742" s="4"/>
      <c r="D742" s="70" t="s">
        <v>40</v>
      </c>
      <c r="E742" s="70" t="s">
        <v>40</v>
      </c>
      <c r="F742" s="70" t="s">
        <v>40</v>
      </c>
      <c r="G742" s="70"/>
      <c r="H742" s="70" t="s">
        <v>40</v>
      </c>
      <c r="I742" s="70" t="s">
        <v>40</v>
      </c>
      <c r="J742" s="70" t="s">
        <v>40</v>
      </c>
      <c r="K742" s="70" t="s">
        <v>40</v>
      </c>
      <c r="L742" s="70" t="s">
        <v>40</v>
      </c>
      <c r="M742" s="70"/>
      <c r="N742" s="70" t="s">
        <v>40</v>
      </c>
      <c r="O742" s="70" t="s">
        <v>40</v>
      </c>
      <c r="P742" s="70" t="s">
        <v>40</v>
      </c>
      <c r="Q742" s="70"/>
      <c r="R742" s="70" t="s">
        <v>40</v>
      </c>
      <c r="S742" s="70" t="s">
        <v>40</v>
      </c>
      <c r="T742" s="70" t="s">
        <v>40</v>
      </c>
      <c r="U742" s="70" t="s">
        <v>40</v>
      </c>
      <c r="V742" s="70" t="s">
        <v>40</v>
      </c>
      <c r="W742" s="70"/>
      <c r="X742" s="70" t="s">
        <v>40</v>
      </c>
      <c r="Y742" s="70" t="s">
        <v>40</v>
      </c>
      <c r="Z742" s="70" t="s">
        <v>40</v>
      </c>
      <c r="AA742" s="70" t="s">
        <v>40</v>
      </c>
      <c r="AB742" s="70" t="s">
        <v>40</v>
      </c>
    </row>
    <row r="743" spans="1:28" x14ac:dyDescent="0.25">
      <c r="A743" s="46">
        <v>81</v>
      </c>
      <c r="B743" s="26" t="s">
        <v>214</v>
      </c>
      <c r="C743" s="2" t="s">
        <v>35</v>
      </c>
      <c r="D743" s="68">
        <v>8934053.8800000008</v>
      </c>
      <c r="E743" s="68"/>
      <c r="F743" s="68"/>
      <c r="G743" s="68"/>
      <c r="H743" s="67">
        <f t="shared" si="256"/>
        <v>0</v>
      </c>
      <c r="I743" s="68"/>
      <c r="J743" s="68"/>
      <c r="K743" s="68"/>
      <c r="L743" s="68"/>
      <c r="M743" s="68"/>
      <c r="N743" s="67">
        <f t="shared" si="255"/>
        <v>0</v>
      </c>
      <c r="O743" s="68"/>
      <c r="P743" s="68"/>
      <c r="Q743" s="68"/>
      <c r="R743" s="67">
        <f>O743+P743</f>
        <v>0</v>
      </c>
      <c r="S743" s="68"/>
      <c r="T743" s="68"/>
      <c r="U743" s="68"/>
      <c r="V743" s="68"/>
      <c r="W743" s="68"/>
      <c r="X743" s="67">
        <f t="shared" si="257"/>
        <v>0</v>
      </c>
      <c r="Y743" s="67">
        <f>R743+H743</f>
        <v>0</v>
      </c>
      <c r="Z743" s="67">
        <f>D743-Y743</f>
        <v>8934053.8800000008</v>
      </c>
      <c r="AA743" s="67">
        <f>N743+X743</f>
        <v>0</v>
      </c>
      <c r="AB743" s="67">
        <f>+D743-N743-X743</f>
        <v>8934053.8800000008</v>
      </c>
    </row>
    <row r="744" spans="1:28" x14ac:dyDescent="0.25">
      <c r="A744" s="46"/>
      <c r="B744" s="26"/>
      <c r="C744" s="4" t="s">
        <v>36</v>
      </c>
      <c r="D744" s="68">
        <v>189662</v>
      </c>
      <c r="E744" s="68">
        <v>189662</v>
      </c>
      <c r="F744" s="68"/>
      <c r="G744" s="68"/>
      <c r="H744" s="67">
        <f t="shared" si="256"/>
        <v>189662</v>
      </c>
      <c r="I744" s="68"/>
      <c r="J744" s="68"/>
      <c r="K744" s="68"/>
      <c r="L744" s="68"/>
      <c r="M744" s="68"/>
      <c r="N744" s="67">
        <f t="shared" si="255"/>
        <v>189662</v>
      </c>
      <c r="O744" s="68"/>
      <c r="P744" s="68"/>
      <c r="Q744" s="68"/>
      <c r="R744" s="67">
        <f>O744+P744</f>
        <v>0</v>
      </c>
      <c r="S744" s="68"/>
      <c r="T744" s="68"/>
      <c r="U744" s="68"/>
      <c r="V744" s="68"/>
      <c r="W744" s="68"/>
      <c r="X744" s="67">
        <f t="shared" si="257"/>
        <v>0</v>
      </c>
      <c r="Y744" s="67">
        <f>R744+H744</f>
        <v>189662</v>
      </c>
      <c r="Z744" s="67">
        <f>D744-Y744</f>
        <v>0</v>
      </c>
      <c r="AA744" s="67">
        <f>N744+X744</f>
        <v>189662</v>
      </c>
      <c r="AB744" s="67">
        <f>+D744-N744-X744</f>
        <v>0</v>
      </c>
    </row>
    <row r="745" spans="1:28" x14ac:dyDescent="0.25">
      <c r="A745" s="46"/>
      <c r="B745" s="26"/>
      <c r="C745" s="4" t="s">
        <v>53</v>
      </c>
      <c r="D745" s="68">
        <v>9490486.5</v>
      </c>
      <c r="E745" s="68"/>
      <c r="F745" s="68"/>
      <c r="G745" s="68"/>
      <c r="H745" s="67">
        <f t="shared" si="256"/>
        <v>0</v>
      </c>
      <c r="I745" s="68"/>
      <c r="J745" s="68"/>
      <c r="K745" s="68"/>
      <c r="L745" s="68"/>
      <c r="M745" s="68"/>
      <c r="N745" s="67">
        <f t="shared" si="255"/>
        <v>0</v>
      </c>
      <c r="O745" s="68">
        <v>5995171.7699999996</v>
      </c>
      <c r="P745" s="68"/>
      <c r="Q745" s="68"/>
      <c r="R745" s="67">
        <f>O745+P745</f>
        <v>5995171.7699999996</v>
      </c>
      <c r="S745" s="68"/>
      <c r="T745" s="68"/>
      <c r="U745" s="68"/>
      <c r="V745" s="68"/>
      <c r="W745" s="68"/>
      <c r="X745" s="67">
        <f t="shared" si="257"/>
        <v>5995171.7699999996</v>
      </c>
      <c r="Y745" s="67">
        <f>R745+H745</f>
        <v>5995171.7699999996</v>
      </c>
      <c r="Z745" s="67">
        <f>D745-Y745</f>
        <v>3495314.7300000004</v>
      </c>
      <c r="AA745" s="67">
        <f>N745+X745</f>
        <v>5995171.7699999996</v>
      </c>
      <c r="AB745" s="67">
        <f>+D745-N745-X745</f>
        <v>3495314.7300000004</v>
      </c>
    </row>
    <row r="746" spans="1:28" x14ac:dyDescent="0.25">
      <c r="A746" s="46"/>
      <c r="B746" s="26"/>
      <c r="C746" s="4" t="s">
        <v>38</v>
      </c>
      <c r="D746" s="68">
        <v>7038000</v>
      </c>
      <c r="E746" s="68"/>
      <c r="F746" s="68"/>
      <c r="G746" s="68"/>
      <c r="H746" s="67">
        <f t="shared" si="256"/>
        <v>0</v>
      </c>
      <c r="I746" s="68"/>
      <c r="J746" s="68"/>
      <c r="K746" s="68"/>
      <c r="L746" s="68"/>
      <c r="M746" s="68"/>
      <c r="N746" s="67">
        <f t="shared" si="255"/>
        <v>0</v>
      </c>
      <c r="O746" s="68"/>
      <c r="P746" s="68"/>
      <c r="Q746" s="68"/>
      <c r="R746" s="67">
        <f>O746+P746</f>
        <v>0</v>
      </c>
      <c r="S746" s="68"/>
      <c r="T746" s="68"/>
      <c r="U746" s="68"/>
      <c r="V746" s="68"/>
      <c r="W746" s="68"/>
      <c r="X746" s="67">
        <f t="shared" si="257"/>
        <v>0</v>
      </c>
      <c r="Y746" s="67">
        <f>R746+H746</f>
        <v>0</v>
      </c>
      <c r="Z746" s="67">
        <f>D746-Y746</f>
        <v>7038000</v>
      </c>
      <c r="AA746" s="67">
        <f>N746+X746</f>
        <v>0</v>
      </c>
      <c r="AB746" s="67">
        <f>+D746-N746-X746</f>
        <v>7038000</v>
      </c>
    </row>
    <row r="747" spans="1:28" x14ac:dyDescent="0.25">
      <c r="A747" s="46"/>
      <c r="B747" s="26"/>
      <c r="C747" s="4" t="s">
        <v>54</v>
      </c>
      <c r="D747" s="68">
        <v>1613294.6</v>
      </c>
      <c r="E747" s="68"/>
      <c r="F747" s="68"/>
      <c r="G747" s="68"/>
      <c r="H747" s="67">
        <f t="shared" si="256"/>
        <v>0</v>
      </c>
      <c r="I747" s="68"/>
      <c r="J747" s="68"/>
      <c r="K747" s="68"/>
      <c r="L747" s="68"/>
      <c r="M747" s="68"/>
      <c r="N747" s="67">
        <f t="shared" si="255"/>
        <v>0</v>
      </c>
      <c r="O747" s="68"/>
      <c r="P747" s="68"/>
      <c r="Q747" s="68"/>
      <c r="R747" s="67">
        <f>O747+P747</f>
        <v>0</v>
      </c>
      <c r="S747" s="68"/>
      <c r="T747" s="68"/>
      <c r="U747" s="68"/>
      <c r="V747" s="68"/>
      <c r="W747" s="68"/>
      <c r="X747" s="67">
        <f t="shared" si="257"/>
        <v>0</v>
      </c>
      <c r="Y747" s="67">
        <f>R747+H747</f>
        <v>0</v>
      </c>
      <c r="Z747" s="67">
        <f>D747-Y747</f>
        <v>1613294.6</v>
      </c>
      <c r="AA747" s="67">
        <f>N747+X747</f>
        <v>0</v>
      </c>
      <c r="AB747" s="67">
        <f>+D747-N747-X747</f>
        <v>1613294.6</v>
      </c>
    </row>
    <row r="748" spans="1:28" x14ac:dyDescent="0.25">
      <c r="A748" s="46"/>
      <c r="B748" s="26"/>
      <c r="C748" s="4"/>
      <c r="D748" s="70" t="s">
        <v>40</v>
      </c>
      <c r="E748" s="70" t="s">
        <v>40</v>
      </c>
      <c r="F748" s="70" t="s">
        <v>40</v>
      </c>
      <c r="G748" s="70"/>
      <c r="H748" s="70" t="s">
        <v>40</v>
      </c>
      <c r="I748" s="70" t="s">
        <v>40</v>
      </c>
      <c r="J748" s="70" t="s">
        <v>40</v>
      </c>
      <c r="K748" s="70" t="s">
        <v>40</v>
      </c>
      <c r="L748" s="70" t="s">
        <v>40</v>
      </c>
      <c r="M748" s="70"/>
      <c r="N748" s="70" t="s">
        <v>40</v>
      </c>
      <c r="O748" s="70" t="s">
        <v>40</v>
      </c>
      <c r="P748" s="70" t="s">
        <v>40</v>
      </c>
      <c r="Q748" s="70"/>
      <c r="R748" s="70" t="s">
        <v>40</v>
      </c>
      <c r="S748" s="70" t="s">
        <v>40</v>
      </c>
      <c r="T748" s="70" t="s">
        <v>40</v>
      </c>
      <c r="U748" s="70" t="s">
        <v>40</v>
      </c>
      <c r="V748" s="70" t="s">
        <v>40</v>
      </c>
      <c r="W748" s="70"/>
      <c r="X748" s="70" t="s">
        <v>40</v>
      </c>
      <c r="Y748" s="70" t="s">
        <v>40</v>
      </c>
      <c r="Z748" s="70" t="s">
        <v>40</v>
      </c>
      <c r="AA748" s="70" t="s">
        <v>40</v>
      </c>
      <c r="AB748" s="70" t="s">
        <v>40</v>
      </c>
    </row>
    <row r="749" spans="1:28" x14ac:dyDescent="0.25">
      <c r="A749" s="46"/>
      <c r="B749" s="26"/>
      <c r="C749" s="4"/>
      <c r="D749" s="68">
        <f>SUM(D743:D747)</f>
        <v>27265496.980000004</v>
      </c>
      <c r="E749" s="68">
        <f t="shared" ref="E749:AB749" si="261">SUM(E743:E747)</f>
        <v>189662</v>
      </c>
      <c r="F749" s="68">
        <f t="shared" si="261"/>
        <v>0</v>
      </c>
      <c r="G749" s="68"/>
      <c r="H749" s="68">
        <f t="shared" si="261"/>
        <v>189662</v>
      </c>
      <c r="I749" s="68">
        <f t="shared" si="261"/>
        <v>0</v>
      </c>
      <c r="J749" s="68">
        <f t="shared" si="261"/>
        <v>0</v>
      </c>
      <c r="K749" s="68">
        <f t="shared" si="261"/>
        <v>0</v>
      </c>
      <c r="L749" s="68">
        <f t="shared" si="261"/>
        <v>0</v>
      </c>
      <c r="M749" s="68"/>
      <c r="N749" s="68">
        <f t="shared" si="261"/>
        <v>189662</v>
      </c>
      <c r="O749" s="68">
        <f t="shared" si="261"/>
        <v>5995171.7699999996</v>
      </c>
      <c r="P749" s="68">
        <f t="shared" si="261"/>
        <v>0</v>
      </c>
      <c r="Q749" s="68"/>
      <c r="R749" s="68">
        <f t="shared" si="261"/>
        <v>5995171.7699999996</v>
      </c>
      <c r="S749" s="68">
        <f t="shared" si="261"/>
        <v>0</v>
      </c>
      <c r="T749" s="68">
        <f t="shared" si="261"/>
        <v>0</v>
      </c>
      <c r="U749" s="68">
        <f t="shared" si="261"/>
        <v>0</v>
      </c>
      <c r="V749" s="68">
        <f t="shared" si="261"/>
        <v>0</v>
      </c>
      <c r="W749" s="68"/>
      <c r="X749" s="68">
        <f t="shared" si="261"/>
        <v>5995171.7699999996</v>
      </c>
      <c r="Y749" s="68">
        <f t="shared" si="261"/>
        <v>6184833.7699999996</v>
      </c>
      <c r="Z749" s="68">
        <f t="shared" si="261"/>
        <v>21080663.210000001</v>
      </c>
      <c r="AA749" s="68">
        <f t="shared" si="261"/>
        <v>6184833.7699999996</v>
      </c>
      <c r="AB749" s="68">
        <f t="shared" si="261"/>
        <v>21080663.210000001</v>
      </c>
    </row>
    <row r="750" spans="1:28" x14ac:dyDescent="0.25">
      <c r="A750" s="46"/>
      <c r="B750" s="26"/>
      <c r="C750" s="4"/>
      <c r="D750" s="70" t="s">
        <v>40</v>
      </c>
      <c r="E750" s="70" t="s">
        <v>40</v>
      </c>
      <c r="F750" s="70" t="s">
        <v>40</v>
      </c>
      <c r="G750" s="70"/>
      <c r="H750" s="70" t="s">
        <v>40</v>
      </c>
      <c r="I750" s="70" t="s">
        <v>40</v>
      </c>
      <c r="J750" s="70" t="s">
        <v>40</v>
      </c>
      <c r="K750" s="70" t="s">
        <v>40</v>
      </c>
      <c r="L750" s="70" t="s">
        <v>40</v>
      </c>
      <c r="M750" s="70"/>
      <c r="N750" s="70" t="s">
        <v>40</v>
      </c>
      <c r="O750" s="70" t="s">
        <v>40</v>
      </c>
      <c r="P750" s="70" t="s">
        <v>40</v>
      </c>
      <c r="Q750" s="70"/>
      <c r="R750" s="70" t="s">
        <v>40</v>
      </c>
      <c r="S750" s="70" t="s">
        <v>40</v>
      </c>
      <c r="T750" s="70" t="s">
        <v>40</v>
      </c>
      <c r="U750" s="70" t="s">
        <v>40</v>
      </c>
      <c r="V750" s="70" t="s">
        <v>40</v>
      </c>
      <c r="W750" s="70"/>
      <c r="X750" s="70" t="s">
        <v>40</v>
      </c>
      <c r="Y750" s="70" t="s">
        <v>40</v>
      </c>
      <c r="Z750" s="70" t="s">
        <v>40</v>
      </c>
      <c r="AA750" s="70" t="s">
        <v>40</v>
      </c>
      <c r="AB750" s="70" t="s">
        <v>40</v>
      </c>
    </row>
    <row r="751" spans="1:28" x14ac:dyDescent="0.25">
      <c r="A751" s="46">
        <v>82</v>
      </c>
      <c r="B751" s="26" t="s">
        <v>215</v>
      </c>
      <c r="C751" s="2" t="s">
        <v>35</v>
      </c>
      <c r="D751" s="68">
        <f>15898696.25-15898696.25</f>
        <v>0</v>
      </c>
      <c r="E751" s="68"/>
      <c r="F751" s="68"/>
      <c r="G751" s="68"/>
      <c r="H751" s="67">
        <f t="shared" si="256"/>
        <v>0</v>
      </c>
      <c r="I751" s="68"/>
      <c r="J751" s="68"/>
      <c r="K751" s="68"/>
      <c r="L751" s="68"/>
      <c r="M751" s="68"/>
      <c r="N751" s="67">
        <f t="shared" si="255"/>
        <v>0</v>
      </c>
      <c r="O751" s="68"/>
      <c r="P751" s="68"/>
      <c r="Q751" s="68"/>
      <c r="R751" s="67">
        <f>O751+P751</f>
        <v>0</v>
      </c>
      <c r="S751" s="68"/>
      <c r="T751" s="68"/>
      <c r="U751" s="68"/>
      <c r="V751" s="68"/>
      <c r="W751" s="68"/>
      <c r="X751" s="67">
        <f t="shared" si="257"/>
        <v>0</v>
      </c>
      <c r="Y751" s="67">
        <f>R751+H751</f>
        <v>0</v>
      </c>
      <c r="Z751" s="67">
        <f>D751-Y751</f>
        <v>0</v>
      </c>
      <c r="AA751" s="67">
        <f>N751+X751</f>
        <v>0</v>
      </c>
      <c r="AB751" s="67">
        <f>+D751-N751-X751</f>
        <v>0</v>
      </c>
    </row>
    <row r="752" spans="1:28" x14ac:dyDescent="0.25">
      <c r="A752" s="46"/>
      <c r="B752" s="26"/>
      <c r="C752" s="4" t="s">
        <v>36</v>
      </c>
      <c r="D752" s="68">
        <v>21000</v>
      </c>
      <c r="E752" s="68">
        <v>21000</v>
      </c>
      <c r="F752" s="68"/>
      <c r="G752" s="68"/>
      <c r="H752" s="67">
        <f t="shared" si="256"/>
        <v>21000</v>
      </c>
      <c r="I752" s="68"/>
      <c r="J752" s="68"/>
      <c r="K752" s="68"/>
      <c r="L752" s="68"/>
      <c r="M752" s="68"/>
      <c r="N752" s="67">
        <f t="shared" si="255"/>
        <v>21000</v>
      </c>
      <c r="O752" s="68"/>
      <c r="P752" s="68"/>
      <c r="Q752" s="68"/>
      <c r="R752" s="67">
        <f>O752+P752</f>
        <v>0</v>
      </c>
      <c r="S752" s="68"/>
      <c r="T752" s="68"/>
      <c r="U752" s="68"/>
      <c r="V752" s="68"/>
      <c r="W752" s="68"/>
      <c r="X752" s="67">
        <f t="shared" si="257"/>
        <v>0</v>
      </c>
      <c r="Y752" s="67">
        <f>R752+H752</f>
        <v>21000</v>
      </c>
      <c r="Z752" s="67">
        <f>D752-Y752</f>
        <v>0</v>
      </c>
      <c r="AA752" s="67">
        <f>N752+X752</f>
        <v>21000</v>
      </c>
      <c r="AB752" s="67">
        <f>+D752-N752-X752</f>
        <v>0</v>
      </c>
    </row>
    <row r="753" spans="1:29" x14ac:dyDescent="0.25">
      <c r="A753" s="46"/>
      <c r="B753" s="26"/>
      <c r="C753" s="4" t="s">
        <v>53</v>
      </c>
      <c r="D753" s="68">
        <v>15898696.25</v>
      </c>
      <c r="E753" s="68"/>
      <c r="F753" s="68"/>
      <c r="G753" s="68"/>
      <c r="H753" s="67">
        <f t="shared" si="256"/>
        <v>0</v>
      </c>
      <c r="I753" s="68"/>
      <c r="J753" s="68"/>
      <c r="K753" s="68"/>
      <c r="L753" s="68"/>
      <c r="M753" s="68"/>
      <c r="N753" s="67">
        <f t="shared" si="255"/>
        <v>0</v>
      </c>
      <c r="O753" s="68">
        <v>22943067.109999999</v>
      </c>
      <c r="P753" s="68"/>
      <c r="Q753" s="68"/>
      <c r="R753" s="67">
        <f>O753+P753</f>
        <v>22943067.109999999</v>
      </c>
      <c r="S753" s="68"/>
      <c r="T753" s="68"/>
      <c r="U753" s="68"/>
      <c r="V753" s="68"/>
      <c r="W753" s="68"/>
      <c r="X753" s="67">
        <f t="shared" si="257"/>
        <v>22943067.109999999</v>
      </c>
      <c r="Y753" s="67">
        <f>R753+H753</f>
        <v>22943067.109999999</v>
      </c>
      <c r="Z753" s="67">
        <f>D753-Y753</f>
        <v>-7044370.8599999994</v>
      </c>
      <c r="AA753" s="67">
        <f>N753+X753</f>
        <v>22943067.109999999</v>
      </c>
      <c r="AB753" s="67">
        <f>+D753-N753-X753</f>
        <v>-7044370.8599999994</v>
      </c>
      <c r="AC753" t="s">
        <v>307</v>
      </c>
    </row>
    <row r="754" spans="1:29" x14ac:dyDescent="0.25">
      <c r="A754" s="46"/>
      <c r="B754" s="26"/>
      <c r="C754" s="4" t="s">
        <v>54</v>
      </c>
      <c r="D754" s="68">
        <f>2288876.88+870389.25</f>
        <v>3159266.13</v>
      </c>
      <c r="E754" s="68"/>
      <c r="F754" s="68"/>
      <c r="G754" s="68"/>
      <c r="H754" s="67">
        <f t="shared" si="256"/>
        <v>0</v>
      </c>
      <c r="I754" s="68"/>
      <c r="J754" s="68"/>
      <c r="K754" s="68"/>
      <c r="L754" s="68"/>
      <c r="M754" s="68"/>
      <c r="N754" s="67">
        <f t="shared" si="255"/>
        <v>0</v>
      </c>
      <c r="O754" s="68">
        <f>15796629.8+870389.25</f>
        <v>16667019.050000001</v>
      </c>
      <c r="P754" s="68"/>
      <c r="Q754" s="68"/>
      <c r="R754" s="67">
        <f>O754+P754</f>
        <v>16667019.050000001</v>
      </c>
      <c r="S754" s="68"/>
      <c r="T754" s="68"/>
      <c r="U754" s="68"/>
      <c r="V754" s="68"/>
      <c r="W754" s="68"/>
      <c r="X754" s="67">
        <f t="shared" si="257"/>
        <v>16667019.050000001</v>
      </c>
      <c r="Y754" s="67">
        <f>R754+H754</f>
        <v>16667019.050000001</v>
      </c>
      <c r="Z754" s="67">
        <f>D754-Y754</f>
        <v>-13507752.920000002</v>
      </c>
      <c r="AA754" s="67">
        <f>N754+X754</f>
        <v>16667019.050000001</v>
      </c>
      <c r="AB754" s="67">
        <f>+D754-N754-X754</f>
        <v>-13507752.920000002</v>
      </c>
      <c r="AC754" t="s">
        <v>307</v>
      </c>
    </row>
    <row r="755" spans="1:29" x14ac:dyDescent="0.25">
      <c r="A755" s="46"/>
      <c r="B755" s="26"/>
      <c r="C755" s="22" t="str">
        <f>+C739</f>
        <v>EL-CONCESSIONAL</v>
      </c>
      <c r="D755" s="68">
        <v>254999.03</v>
      </c>
      <c r="E755" s="68"/>
      <c r="F755" s="68"/>
      <c r="G755" s="68"/>
      <c r="H755" s="67">
        <f t="shared" si="256"/>
        <v>0</v>
      </c>
      <c r="I755" s="68"/>
      <c r="J755" s="68"/>
      <c r="K755" s="68"/>
      <c r="L755" s="68"/>
      <c r="M755" s="68"/>
      <c r="N755" s="67">
        <f t="shared" si="255"/>
        <v>0</v>
      </c>
      <c r="O755" s="68"/>
      <c r="P755" s="68"/>
      <c r="Q755" s="68"/>
      <c r="R755" s="67">
        <f>O755+P755</f>
        <v>0</v>
      </c>
      <c r="S755" s="68"/>
      <c r="T755" s="68"/>
      <c r="U755" s="68"/>
      <c r="V755" s="68"/>
      <c r="W755" s="68"/>
      <c r="X755" s="67">
        <f t="shared" si="257"/>
        <v>0</v>
      </c>
      <c r="Y755" s="67">
        <f>R755+H755</f>
        <v>0</v>
      </c>
      <c r="Z755" s="67">
        <f>D755-Y755</f>
        <v>254999.03</v>
      </c>
      <c r="AA755" s="67">
        <f>N755+X755</f>
        <v>0</v>
      </c>
      <c r="AB755" s="67">
        <f>+D755-N755-X755</f>
        <v>254999.03</v>
      </c>
    </row>
    <row r="756" spans="1:29" x14ac:dyDescent="0.25">
      <c r="A756" s="46"/>
      <c r="B756" s="26"/>
      <c r="C756" s="4"/>
      <c r="D756" s="70" t="s">
        <v>40</v>
      </c>
      <c r="E756" s="70" t="s">
        <v>40</v>
      </c>
      <c r="F756" s="70" t="s">
        <v>40</v>
      </c>
      <c r="G756" s="70"/>
      <c r="H756" s="70" t="s">
        <v>40</v>
      </c>
      <c r="I756" s="70" t="s">
        <v>40</v>
      </c>
      <c r="J756" s="70" t="s">
        <v>40</v>
      </c>
      <c r="K756" s="70" t="s">
        <v>40</v>
      </c>
      <c r="L756" s="70" t="s">
        <v>40</v>
      </c>
      <c r="M756" s="70"/>
      <c r="N756" s="70" t="s">
        <v>40</v>
      </c>
      <c r="O756" s="70" t="s">
        <v>40</v>
      </c>
      <c r="P756" s="70" t="s">
        <v>40</v>
      </c>
      <c r="Q756" s="70"/>
      <c r="R756" s="70" t="s">
        <v>40</v>
      </c>
      <c r="S756" s="70" t="s">
        <v>40</v>
      </c>
      <c r="T756" s="70" t="s">
        <v>40</v>
      </c>
      <c r="U756" s="70" t="s">
        <v>40</v>
      </c>
      <c r="V756" s="70" t="s">
        <v>40</v>
      </c>
      <c r="W756" s="70"/>
      <c r="X756" s="70" t="s">
        <v>40</v>
      </c>
      <c r="Y756" s="70" t="s">
        <v>40</v>
      </c>
      <c r="Z756" s="70" t="s">
        <v>40</v>
      </c>
      <c r="AA756" s="70" t="s">
        <v>40</v>
      </c>
      <c r="AB756" s="70" t="s">
        <v>40</v>
      </c>
    </row>
    <row r="757" spans="1:29" x14ac:dyDescent="0.25">
      <c r="A757" s="46"/>
      <c r="B757" s="26"/>
      <c r="C757" s="4"/>
      <c r="D757" s="68">
        <f>SUM(D751:D755)</f>
        <v>19333961.41</v>
      </c>
      <c r="E757" s="68">
        <f t="shared" ref="E757:AB757" si="262">SUM(E751:E755)</f>
        <v>21000</v>
      </c>
      <c r="F757" s="68">
        <f t="shared" si="262"/>
        <v>0</v>
      </c>
      <c r="G757" s="68"/>
      <c r="H757" s="68">
        <f t="shared" si="262"/>
        <v>21000</v>
      </c>
      <c r="I757" s="68">
        <f t="shared" si="262"/>
        <v>0</v>
      </c>
      <c r="J757" s="68">
        <f t="shared" si="262"/>
        <v>0</v>
      </c>
      <c r="K757" s="68">
        <f t="shared" si="262"/>
        <v>0</v>
      </c>
      <c r="L757" s="68">
        <f t="shared" si="262"/>
        <v>0</v>
      </c>
      <c r="M757" s="68"/>
      <c r="N757" s="68">
        <f t="shared" si="262"/>
        <v>21000</v>
      </c>
      <c r="O757" s="68">
        <f t="shared" si="262"/>
        <v>39610086.159999996</v>
      </c>
      <c r="P757" s="68">
        <f t="shared" si="262"/>
        <v>0</v>
      </c>
      <c r="Q757" s="68"/>
      <c r="R757" s="68">
        <f t="shared" si="262"/>
        <v>39610086.159999996</v>
      </c>
      <c r="S757" s="68">
        <f t="shared" si="262"/>
        <v>0</v>
      </c>
      <c r="T757" s="68">
        <f t="shared" si="262"/>
        <v>0</v>
      </c>
      <c r="U757" s="68">
        <f t="shared" si="262"/>
        <v>0</v>
      </c>
      <c r="V757" s="68">
        <f t="shared" si="262"/>
        <v>0</v>
      </c>
      <c r="W757" s="68"/>
      <c r="X757" s="68">
        <f t="shared" si="262"/>
        <v>39610086.159999996</v>
      </c>
      <c r="Y757" s="68">
        <f t="shared" si="262"/>
        <v>39631086.159999996</v>
      </c>
      <c r="Z757" s="68">
        <f t="shared" si="262"/>
        <v>-20297124.75</v>
      </c>
      <c r="AA757" s="68">
        <f t="shared" si="262"/>
        <v>39631086.159999996</v>
      </c>
      <c r="AB757" s="68">
        <f t="shared" si="262"/>
        <v>-20297124.75</v>
      </c>
    </row>
    <row r="758" spans="1:29" x14ac:dyDescent="0.25">
      <c r="A758" s="46"/>
      <c r="B758" s="26"/>
      <c r="C758" s="4"/>
      <c r="D758" s="70" t="s">
        <v>40</v>
      </c>
      <c r="E758" s="70" t="s">
        <v>40</v>
      </c>
      <c r="F758" s="70" t="s">
        <v>40</v>
      </c>
      <c r="G758" s="70"/>
      <c r="H758" s="70" t="s">
        <v>40</v>
      </c>
      <c r="I758" s="70" t="s">
        <v>40</v>
      </c>
      <c r="J758" s="70" t="s">
        <v>40</v>
      </c>
      <c r="K758" s="70" t="s">
        <v>40</v>
      </c>
      <c r="L758" s="70" t="s">
        <v>40</v>
      </c>
      <c r="M758" s="70"/>
      <c r="N758" s="70" t="s">
        <v>40</v>
      </c>
      <c r="O758" s="70" t="s">
        <v>40</v>
      </c>
      <c r="P758" s="70" t="s">
        <v>40</v>
      </c>
      <c r="Q758" s="70"/>
      <c r="R758" s="70" t="s">
        <v>40</v>
      </c>
      <c r="S758" s="70" t="s">
        <v>40</v>
      </c>
      <c r="T758" s="70" t="s">
        <v>40</v>
      </c>
      <c r="U758" s="70" t="s">
        <v>40</v>
      </c>
      <c r="V758" s="70" t="s">
        <v>40</v>
      </c>
      <c r="W758" s="70"/>
      <c r="X758" s="70" t="s">
        <v>40</v>
      </c>
      <c r="Y758" s="70" t="s">
        <v>40</v>
      </c>
      <c r="Z758" s="70" t="s">
        <v>40</v>
      </c>
      <c r="AA758" s="70" t="s">
        <v>40</v>
      </c>
      <c r="AB758" s="70" t="s">
        <v>40</v>
      </c>
    </row>
    <row r="759" spans="1:29" x14ac:dyDescent="0.25">
      <c r="A759" s="46">
        <v>83</v>
      </c>
      <c r="B759" s="26" t="s">
        <v>216</v>
      </c>
      <c r="C759" s="2" t="s">
        <v>35</v>
      </c>
      <c r="D759" s="68">
        <v>38431551.149999999</v>
      </c>
      <c r="E759" s="68"/>
      <c r="F759" s="68"/>
      <c r="G759" s="68"/>
      <c r="H759" s="67">
        <f t="shared" si="256"/>
        <v>0</v>
      </c>
      <c r="I759" s="68"/>
      <c r="J759" s="68"/>
      <c r="K759" s="68"/>
      <c r="L759" s="68"/>
      <c r="M759" s="68"/>
      <c r="N759" s="67">
        <f t="shared" si="255"/>
        <v>0</v>
      </c>
      <c r="O759" s="68"/>
      <c r="P759" s="68"/>
      <c r="Q759" s="68"/>
      <c r="R759" s="67">
        <f>O759+P759</f>
        <v>0</v>
      </c>
      <c r="S759" s="68"/>
      <c r="T759" s="68"/>
      <c r="U759" s="68"/>
      <c r="V759" s="68"/>
      <c r="W759" s="68"/>
      <c r="X759" s="67">
        <f t="shared" si="257"/>
        <v>0</v>
      </c>
      <c r="Y759" s="67">
        <f>R759+H759</f>
        <v>0</v>
      </c>
      <c r="Z759" s="67">
        <f>D759-Y759</f>
        <v>38431551.149999999</v>
      </c>
      <c r="AA759" s="67">
        <f>N759+X759</f>
        <v>0</v>
      </c>
      <c r="AB759" s="67">
        <f>+D759-N759-X759</f>
        <v>38431551.149999999</v>
      </c>
    </row>
    <row r="760" spans="1:29" x14ac:dyDescent="0.25">
      <c r="A760" s="46"/>
      <c r="B760" s="26"/>
      <c r="C760" s="4" t="s">
        <v>36</v>
      </c>
      <c r="D760" s="68">
        <v>2291138</v>
      </c>
      <c r="E760" s="68">
        <v>2291138</v>
      </c>
      <c r="F760" s="68"/>
      <c r="G760" s="68"/>
      <c r="H760" s="67">
        <f t="shared" si="256"/>
        <v>2291138</v>
      </c>
      <c r="I760" s="68"/>
      <c r="J760" s="68"/>
      <c r="K760" s="68"/>
      <c r="L760" s="68"/>
      <c r="M760" s="68"/>
      <c r="N760" s="67">
        <f t="shared" si="255"/>
        <v>2291138</v>
      </c>
      <c r="O760" s="68"/>
      <c r="P760" s="68"/>
      <c r="Q760" s="68"/>
      <c r="R760" s="67">
        <f>O760+P760</f>
        <v>0</v>
      </c>
      <c r="S760" s="68"/>
      <c r="T760" s="68"/>
      <c r="U760" s="68"/>
      <c r="V760" s="68"/>
      <c r="W760" s="68"/>
      <c r="X760" s="67">
        <f t="shared" si="257"/>
        <v>0</v>
      </c>
      <c r="Y760" s="67">
        <f>R760+H760</f>
        <v>2291138</v>
      </c>
      <c r="Z760" s="67">
        <f>D760-Y760</f>
        <v>0</v>
      </c>
      <c r="AA760" s="67">
        <f>N760+X760</f>
        <v>2291138</v>
      </c>
      <c r="AB760" s="67">
        <f>+D760-N760-X760</f>
        <v>0</v>
      </c>
    </row>
    <row r="761" spans="1:29" x14ac:dyDescent="0.25">
      <c r="A761" s="46"/>
      <c r="B761" s="26"/>
      <c r="C761" s="4" t="s">
        <v>53</v>
      </c>
      <c r="D761" s="68">
        <v>2361326.14</v>
      </c>
      <c r="E761" s="68"/>
      <c r="F761" s="68"/>
      <c r="G761" s="68"/>
      <c r="H761" s="67">
        <f t="shared" si="256"/>
        <v>0</v>
      </c>
      <c r="I761" s="68"/>
      <c r="J761" s="68"/>
      <c r="K761" s="68"/>
      <c r="L761" s="68"/>
      <c r="M761" s="68"/>
      <c r="N761" s="67">
        <f t="shared" si="255"/>
        <v>0</v>
      </c>
      <c r="O761" s="68">
        <v>2361326.14</v>
      </c>
      <c r="P761" s="68"/>
      <c r="Q761" s="68"/>
      <c r="R761" s="67">
        <f>O761+P761</f>
        <v>2361326.14</v>
      </c>
      <c r="S761" s="68"/>
      <c r="T761" s="68"/>
      <c r="U761" s="68"/>
      <c r="V761" s="68"/>
      <c r="W761" s="68"/>
      <c r="X761" s="67">
        <f t="shared" si="257"/>
        <v>2361326.14</v>
      </c>
      <c r="Y761" s="67">
        <f>R761+H761</f>
        <v>2361326.14</v>
      </c>
      <c r="Z761" s="67">
        <f>D761-Y761</f>
        <v>0</v>
      </c>
      <c r="AA761" s="67">
        <f>N761+X761</f>
        <v>2361326.14</v>
      </c>
      <c r="AB761" s="67">
        <f>+D761-N761-X761</f>
        <v>0</v>
      </c>
    </row>
    <row r="762" spans="1:29" x14ac:dyDescent="0.25">
      <c r="A762" s="46"/>
      <c r="B762" s="26"/>
      <c r="C762" s="4" t="s">
        <v>54</v>
      </c>
      <c r="D762" s="68">
        <v>1355997.59</v>
      </c>
      <c r="E762" s="68"/>
      <c r="F762" s="68"/>
      <c r="G762" s="68"/>
      <c r="H762" s="67">
        <f t="shared" si="256"/>
        <v>0</v>
      </c>
      <c r="I762" s="68"/>
      <c r="J762" s="68"/>
      <c r="K762" s="68"/>
      <c r="L762" s="68"/>
      <c r="M762" s="68"/>
      <c r="N762" s="67">
        <f t="shared" si="255"/>
        <v>0</v>
      </c>
      <c r="O762" s="68"/>
      <c r="P762" s="68"/>
      <c r="Q762" s="68"/>
      <c r="R762" s="67">
        <f>O762+P762</f>
        <v>0</v>
      </c>
      <c r="S762" s="68"/>
      <c r="T762" s="68"/>
      <c r="U762" s="68"/>
      <c r="V762" s="68"/>
      <c r="W762" s="68"/>
      <c r="X762" s="67">
        <f t="shared" si="257"/>
        <v>0</v>
      </c>
      <c r="Y762" s="67">
        <f>R762+H762</f>
        <v>0</v>
      </c>
      <c r="Z762" s="67">
        <f>D762-Y762</f>
        <v>1355997.59</v>
      </c>
      <c r="AA762" s="67">
        <f>N762+X762</f>
        <v>0</v>
      </c>
      <c r="AB762" s="67">
        <f>+D762-N762-X762</f>
        <v>1355997.59</v>
      </c>
    </row>
    <row r="763" spans="1:29" x14ac:dyDescent="0.25">
      <c r="A763" s="46"/>
      <c r="B763" s="26"/>
      <c r="C763" s="4"/>
      <c r="D763" s="70" t="s">
        <v>40</v>
      </c>
      <c r="E763" s="70" t="s">
        <v>40</v>
      </c>
      <c r="F763" s="70" t="s">
        <v>40</v>
      </c>
      <c r="G763" s="70"/>
      <c r="H763" s="70" t="s">
        <v>40</v>
      </c>
      <c r="I763" s="70" t="s">
        <v>40</v>
      </c>
      <c r="J763" s="70" t="s">
        <v>40</v>
      </c>
      <c r="K763" s="70" t="s">
        <v>40</v>
      </c>
      <c r="L763" s="70" t="s">
        <v>40</v>
      </c>
      <c r="M763" s="70"/>
      <c r="N763" s="70" t="s">
        <v>40</v>
      </c>
      <c r="O763" s="70" t="s">
        <v>40</v>
      </c>
      <c r="P763" s="70" t="s">
        <v>40</v>
      </c>
      <c r="Q763" s="70"/>
      <c r="R763" s="70" t="s">
        <v>40</v>
      </c>
      <c r="S763" s="70" t="s">
        <v>40</v>
      </c>
      <c r="T763" s="70" t="s">
        <v>40</v>
      </c>
      <c r="U763" s="70" t="s">
        <v>40</v>
      </c>
      <c r="V763" s="70" t="s">
        <v>40</v>
      </c>
      <c r="W763" s="70"/>
      <c r="X763" s="70" t="s">
        <v>40</v>
      </c>
      <c r="Y763" s="70" t="s">
        <v>40</v>
      </c>
      <c r="Z763" s="70" t="s">
        <v>40</v>
      </c>
      <c r="AA763" s="70" t="s">
        <v>40</v>
      </c>
      <c r="AB763" s="70" t="s">
        <v>40</v>
      </c>
    </row>
    <row r="764" spans="1:29" x14ac:dyDescent="0.25">
      <c r="A764" s="46"/>
      <c r="B764" s="26"/>
      <c r="C764" s="4"/>
      <c r="D764" s="68">
        <f>SUM(D759:D762)</f>
        <v>44440012.880000003</v>
      </c>
      <c r="E764" s="68">
        <f t="shared" ref="E764:AB764" si="263">SUM(E759:E762)</f>
        <v>2291138</v>
      </c>
      <c r="F764" s="68">
        <f t="shared" si="263"/>
        <v>0</v>
      </c>
      <c r="G764" s="68"/>
      <c r="H764" s="68">
        <f t="shared" si="263"/>
        <v>2291138</v>
      </c>
      <c r="I764" s="68">
        <f t="shared" si="263"/>
        <v>0</v>
      </c>
      <c r="J764" s="68">
        <f t="shared" si="263"/>
        <v>0</v>
      </c>
      <c r="K764" s="68">
        <f t="shared" si="263"/>
        <v>0</v>
      </c>
      <c r="L764" s="68">
        <f t="shared" si="263"/>
        <v>0</v>
      </c>
      <c r="M764" s="68"/>
      <c r="N764" s="68">
        <f t="shared" si="263"/>
        <v>2291138</v>
      </c>
      <c r="O764" s="68">
        <f t="shared" si="263"/>
        <v>2361326.14</v>
      </c>
      <c r="P764" s="68">
        <f t="shared" si="263"/>
        <v>0</v>
      </c>
      <c r="Q764" s="68"/>
      <c r="R764" s="68">
        <f t="shared" si="263"/>
        <v>2361326.14</v>
      </c>
      <c r="S764" s="68">
        <f t="shared" si="263"/>
        <v>0</v>
      </c>
      <c r="T764" s="68">
        <f t="shared" si="263"/>
        <v>0</v>
      </c>
      <c r="U764" s="68">
        <f t="shared" si="263"/>
        <v>0</v>
      </c>
      <c r="V764" s="68">
        <f t="shared" si="263"/>
        <v>0</v>
      </c>
      <c r="W764" s="68"/>
      <c r="X764" s="68">
        <f t="shared" si="263"/>
        <v>2361326.14</v>
      </c>
      <c r="Y764" s="68">
        <f t="shared" si="263"/>
        <v>4652464.1400000006</v>
      </c>
      <c r="Z764" s="68">
        <f t="shared" si="263"/>
        <v>39787548.740000002</v>
      </c>
      <c r="AA764" s="68">
        <f t="shared" si="263"/>
        <v>4652464.1400000006</v>
      </c>
      <c r="AB764" s="68">
        <f t="shared" si="263"/>
        <v>39787548.740000002</v>
      </c>
    </row>
    <row r="765" spans="1:29" x14ac:dyDescent="0.25">
      <c r="A765" s="46"/>
      <c r="B765" s="26"/>
      <c r="C765" s="4"/>
      <c r="D765" s="70" t="s">
        <v>40</v>
      </c>
      <c r="E765" s="70" t="s">
        <v>40</v>
      </c>
      <c r="F765" s="70" t="s">
        <v>40</v>
      </c>
      <c r="G765" s="70"/>
      <c r="H765" s="70" t="s">
        <v>40</v>
      </c>
      <c r="I765" s="70" t="s">
        <v>40</v>
      </c>
      <c r="J765" s="70" t="s">
        <v>40</v>
      </c>
      <c r="K765" s="70" t="s">
        <v>40</v>
      </c>
      <c r="L765" s="70" t="s">
        <v>40</v>
      </c>
      <c r="M765" s="70"/>
      <c r="N765" s="70" t="s">
        <v>40</v>
      </c>
      <c r="O765" s="70" t="s">
        <v>40</v>
      </c>
      <c r="P765" s="70" t="s">
        <v>40</v>
      </c>
      <c r="Q765" s="70"/>
      <c r="R765" s="70" t="s">
        <v>40</v>
      </c>
      <c r="S765" s="70" t="s">
        <v>40</v>
      </c>
      <c r="T765" s="70" t="s">
        <v>40</v>
      </c>
      <c r="U765" s="70" t="s">
        <v>40</v>
      </c>
      <c r="V765" s="70" t="s">
        <v>40</v>
      </c>
      <c r="W765" s="70"/>
      <c r="X765" s="70" t="s">
        <v>40</v>
      </c>
      <c r="Y765" s="70" t="s">
        <v>40</v>
      </c>
      <c r="Z765" s="70" t="s">
        <v>40</v>
      </c>
      <c r="AA765" s="70" t="s">
        <v>40</v>
      </c>
      <c r="AB765" s="70" t="s">
        <v>40</v>
      </c>
    </row>
    <row r="766" spans="1:29" x14ac:dyDescent="0.25">
      <c r="A766" s="46">
        <v>84</v>
      </c>
      <c r="B766" s="26" t="s">
        <v>217</v>
      </c>
      <c r="C766" s="2" t="s">
        <v>35</v>
      </c>
      <c r="D766" s="68">
        <f>4746291.1-4746291.1</f>
        <v>0</v>
      </c>
      <c r="E766" s="68"/>
      <c r="F766" s="68"/>
      <c r="G766" s="68"/>
      <c r="H766" s="67">
        <f t="shared" si="256"/>
        <v>0</v>
      </c>
      <c r="I766" s="68"/>
      <c r="J766" s="68"/>
      <c r="K766" s="68"/>
      <c r="L766" s="68"/>
      <c r="M766" s="68"/>
      <c r="N766" s="67">
        <f t="shared" si="255"/>
        <v>0</v>
      </c>
      <c r="O766" s="68"/>
      <c r="P766" s="68"/>
      <c r="Q766" s="68"/>
      <c r="R766" s="67">
        <f>O766+P766</f>
        <v>0</v>
      </c>
      <c r="S766" s="68"/>
      <c r="T766" s="68"/>
      <c r="U766" s="68"/>
      <c r="V766" s="68"/>
      <c r="W766" s="68"/>
      <c r="X766" s="67">
        <f t="shared" si="257"/>
        <v>0</v>
      </c>
      <c r="Y766" s="67">
        <f>R766+H766</f>
        <v>0</v>
      </c>
      <c r="Z766" s="67">
        <f>D766-Y766</f>
        <v>0</v>
      </c>
      <c r="AA766" s="67">
        <f>N766+X766</f>
        <v>0</v>
      </c>
      <c r="AB766" s="67">
        <f>+D766-N766-X766</f>
        <v>0</v>
      </c>
    </row>
    <row r="767" spans="1:29" x14ac:dyDescent="0.25">
      <c r="A767" s="46"/>
      <c r="B767" s="26"/>
      <c r="C767" s="4" t="s">
        <v>36</v>
      </c>
      <c r="D767" s="68">
        <v>2743490</v>
      </c>
      <c r="E767" s="68">
        <v>2743490</v>
      </c>
      <c r="F767" s="68"/>
      <c r="G767" s="68"/>
      <c r="H767" s="67">
        <f t="shared" si="256"/>
        <v>2743490</v>
      </c>
      <c r="I767" s="68"/>
      <c r="J767" s="68"/>
      <c r="K767" s="68"/>
      <c r="L767" s="68"/>
      <c r="M767" s="68"/>
      <c r="N767" s="67">
        <f t="shared" si="255"/>
        <v>2743490</v>
      </c>
      <c r="O767" s="68"/>
      <c r="P767" s="68"/>
      <c r="Q767" s="68"/>
      <c r="R767" s="67">
        <f>O767+P767</f>
        <v>0</v>
      </c>
      <c r="S767" s="68"/>
      <c r="T767" s="68"/>
      <c r="U767" s="68"/>
      <c r="V767" s="68"/>
      <c r="W767" s="68"/>
      <c r="X767" s="67">
        <f t="shared" si="257"/>
        <v>0</v>
      </c>
      <c r="Y767" s="67">
        <f>R767+H767</f>
        <v>2743490</v>
      </c>
      <c r="Z767" s="67">
        <f>D767-Y767</f>
        <v>0</v>
      </c>
      <c r="AA767" s="67">
        <f>N767+X767</f>
        <v>2743490</v>
      </c>
      <c r="AB767" s="67">
        <f>+D767-N767-X767</f>
        <v>0</v>
      </c>
    </row>
    <row r="768" spans="1:29" x14ac:dyDescent="0.25">
      <c r="A768" s="46"/>
      <c r="B768" s="26"/>
      <c r="C768" s="4" t="s">
        <v>53</v>
      </c>
      <c r="D768" s="68">
        <f>176862.61+366273.19+4746291.1</f>
        <v>5289426.8999999994</v>
      </c>
      <c r="E768" s="68"/>
      <c r="F768" s="68"/>
      <c r="G768" s="68"/>
      <c r="H768" s="67">
        <f t="shared" si="256"/>
        <v>0</v>
      </c>
      <c r="I768" s="68"/>
      <c r="J768" s="68"/>
      <c r="K768" s="68"/>
      <c r="L768" s="68"/>
      <c r="M768" s="68"/>
      <c r="N768" s="67">
        <f t="shared" si="255"/>
        <v>0</v>
      </c>
      <c r="O768" s="68">
        <f>6127257.82+366273.19</f>
        <v>6493531.0100000007</v>
      </c>
      <c r="P768" s="68"/>
      <c r="Q768" s="68"/>
      <c r="R768" s="67">
        <f>O768+P768</f>
        <v>6493531.0100000007</v>
      </c>
      <c r="S768" s="68"/>
      <c r="T768" s="68"/>
      <c r="U768" s="68"/>
      <c r="V768" s="68"/>
      <c r="W768" s="68"/>
      <c r="X768" s="67">
        <f t="shared" si="257"/>
        <v>6493531.0100000007</v>
      </c>
      <c r="Y768" s="67">
        <f>R768+H768</f>
        <v>6493531.0100000007</v>
      </c>
      <c r="Z768" s="67">
        <f>D768-Y768</f>
        <v>-1204104.1100000013</v>
      </c>
      <c r="AA768" s="67">
        <f>N768+X768</f>
        <v>6493531.0100000007</v>
      </c>
      <c r="AB768" s="67">
        <f>+D768-N768-X768</f>
        <v>-1204104.1100000013</v>
      </c>
      <c r="AC768" t="s">
        <v>307</v>
      </c>
    </row>
    <row r="769" spans="1:28" x14ac:dyDescent="0.25">
      <c r="A769" s="46"/>
      <c r="B769" s="26"/>
      <c r="C769" s="4" t="s">
        <v>299</v>
      </c>
      <c r="D769" s="68">
        <v>177986.61</v>
      </c>
      <c r="E769" s="68"/>
      <c r="F769" s="68"/>
      <c r="G769" s="68"/>
      <c r="H769" s="67">
        <f t="shared" si="256"/>
        <v>0</v>
      </c>
      <c r="I769" s="68"/>
      <c r="J769" s="68"/>
      <c r="K769" s="68"/>
      <c r="L769" s="68"/>
      <c r="M769" s="68"/>
      <c r="N769" s="67">
        <f t="shared" si="255"/>
        <v>0</v>
      </c>
      <c r="O769" s="68"/>
      <c r="P769" s="68"/>
      <c r="Q769" s="68"/>
      <c r="R769" s="67">
        <f>O769+P769</f>
        <v>0</v>
      </c>
      <c r="S769" s="68"/>
      <c r="T769" s="68"/>
      <c r="U769" s="68"/>
      <c r="V769" s="68"/>
      <c r="W769" s="68"/>
      <c r="X769" s="67">
        <f t="shared" si="257"/>
        <v>0</v>
      </c>
      <c r="Y769" s="67">
        <f>R769+H769</f>
        <v>0</v>
      </c>
      <c r="Z769" s="67">
        <f>D769-Y769</f>
        <v>177986.61</v>
      </c>
      <c r="AA769" s="67">
        <f>N769+X769</f>
        <v>0</v>
      </c>
      <c r="AB769" s="67">
        <f>+D769-N769-X769</f>
        <v>177986.61</v>
      </c>
    </row>
    <row r="770" spans="1:28" x14ac:dyDescent="0.25">
      <c r="A770" s="46"/>
      <c r="B770" s="26"/>
      <c r="C770" s="4" t="s">
        <v>300</v>
      </c>
      <c r="D770" s="68">
        <f>7015256.41+8781373.39</f>
        <v>15796629.800000001</v>
      </c>
      <c r="E770" s="68"/>
      <c r="F770" s="68"/>
      <c r="G770" s="68"/>
      <c r="H770" s="67">
        <f t="shared" si="256"/>
        <v>0</v>
      </c>
      <c r="I770" s="68"/>
      <c r="J770" s="68"/>
      <c r="K770" s="68"/>
      <c r="L770" s="68"/>
      <c r="M770" s="68"/>
      <c r="N770" s="67">
        <f t="shared" si="255"/>
        <v>0</v>
      </c>
      <c r="O770" s="68">
        <v>15796629.800000001</v>
      </c>
      <c r="P770" s="68"/>
      <c r="Q770" s="68"/>
      <c r="R770" s="67">
        <f>O770+P770</f>
        <v>15796629.800000001</v>
      </c>
      <c r="S770" s="68"/>
      <c r="T770" s="68"/>
      <c r="U770" s="68"/>
      <c r="V770" s="68"/>
      <c r="W770" s="68"/>
      <c r="X770" s="67">
        <f t="shared" si="257"/>
        <v>15796629.800000001</v>
      </c>
      <c r="Y770" s="67">
        <f>R770+H770</f>
        <v>15796629.800000001</v>
      </c>
      <c r="Z770" s="67">
        <f>D770-Y770</f>
        <v>0</v>
      </c>
      <c r="AA770" s="67">
        <f>N770+X770</f>
        <v>15796629.800000001</v>
      </c>
      <c r="AB770" s="67">
        <f>+D770-N770-X770</f>
        <v>0</v>
      </c>
    </row>
    <row r="771" spans="1:28" x14ac:dyDescent="0.25">
      <c r="A771" s="46"/>
      <c r="B771" s="26"/>
      <c r="C771" s="4"/>
      <c r="D771" s="70" t="s">
        <v>40</v>
      </c>
      <c r="E771" s="70" t="s">
        <v>40</v>
      </c>
      <c r="F771" s="70" t="s">
        <v>40</v>
      </c>
      <c r="G771" s="70"/>
      <c r="H771" s="70" t="s">
        <v>40</v>
      </c>
      <c r="I771" s="70" t="s">
        <v>40</v>
      </c>
      <c r="J771" s="70" t="s">
        <v>40</v>
      </c>
      <c r="K771" s="70" t="s">
        <v>40</v>
      </c>
      <c r="L771" s="70" t="s">
        <v>40</v>
      </c>
      <c r="M771" s="70"/>
      <c r="N771" s="70" t="s">
        <v>40</v>
      </c>
      <c r="O771" s="70" t="s">
        <v>40</v>
      </c>
      <c r="P771" s="70" t="s">
        <v>40</v>
      </c>
      <c r="Q771" s="70"/>
      <c r="R771" s="70" t="s">
        <v>40</v>
      </c>
      <c r="S771" s="70" t="s">
        <v>40</v>
      </c>
      <c r="T771" s="70" t="s">
        <v>40</v>
      </c>
      <c r="U771" s="70" t="s">
        <v>40</v>
      </c>
      <c r="V771" s="70" t="s">
        <v>40</v>
      </c>
      <c r="W771" s="70"/>
      <c r="X771" s="70" t="s">
        <v>40</v>
      </c>
      <c r="Y771" s="70" t="s">
        <v>40</v>
      </c>
      <c r="Z771" s="70" t="s">
        <v>40</v>
      </c>
      <c r="AA771" s="70" t="s">
        <v>40</v>
      </c>
      <c r="AB771" s="70" t="s">
        <v>40</v>
      </c>
    </row>
    <row r="772" spans="1:28" x14ac:dyDescent="0.25">
      <c r="A772" s="46"/>
      <c r="B772" s="26"/>
      <c r="C772" s="4"/>
      <c r="D772" s="68">
        <f>SUM(D766:D770)</f>
        <v>24007533.310000002</v>
      </c>
      <c r="E772" s="68">
        <f t="shared" ref="E772:AB772" si="264">SUM(E766:E770)</f>
        <v>2743490</v>
      </c>
      <c r="F772" s="68">
        <f t="shared" si="264"/>
        <v>0</v>
      </c>
      <c r="G772" s="68"/>
      <c r="H772" s="68">
        <f t="shared" si="264"/>
        <v>2743490</v>
      </c>
      <c r="I772" s="68">
        <f t="shared" si="264"/>
        <v>0</v>
      </c>
      <c r="J772" s="68">
        <f t="shared" si="264"/>
        <v>0</v>
      </c>
      <c r="K772" s="68">
        <f t="shared" si="264"/>
        <v>0</v>
      </c>
      <c r="L772" s="68">
        <f t="shared" si="264"/>
        <v>0</v>
      </c>
      <c r="M772" s="68"/>
      <c r="N772" s="68">
        <f t="shared" si="264"/>
        <v>2743490</v>
      </c>
      <c r="O772" s="68">
        <f t="shared" si="264"/>
        <v>22290160.810000002</v>
      </c>
      <c r="P772" s="68">
        <f t="shared" si="264"/>
        <v>0</v>
      </c>
      <c r="Q772" s="68"/>
      <c r="R772" s="68">
        <f t="shared" si="264"/>
        <v>22290160.810000002</v>
      </c>
      <c r="S772" s="68">
        <f t="shared" si="264"/>
        <v>0</v>
      </c>
      <c r="T772" s="68">
        <f t="shared" si="264"/>
        <v>0</v>
      </c>
      <c r="U772" s="68">
        <f t="shared" si="264"/>
        <v>0</v>
      </c>
      <c r="V772" s="68">
        <f t="shared" si="264"/>
        <v>0</v>
      </c>
      <c r="W772" s="68"/>
      <c r="X772" s="68">
        <f t="shared" si="264"/>
        <v>22290160.810000002</v>
      </c>
      <c r="Y772" s="68">
        <f t="shared" si="264"/>
        <v>25033650.810000002</v>
      </c>
      <c r="Z772" s="68">
        <f t="shared" si="264"/>
        <v>-1026117.5000000013</v>
      </c>
      <c r="AA772" s="68">
        <f t="shared" si="264"/>
        <v>25033650.810000002</v>
      </c>
      <c r="AB772" s="68">
        <f t="shared" si="264"/>
        <v>-1026117.5000000013</v>
      </c>
    </row>
    <row r="773" spans="1:28" x14ac:dyDescent="0.25">
      <c r="A773" s="46"/>
      <c r="B773" s="26"/>
      <c r="C773" s="4"/>
      <c r="D773" s="70" t="s">
        <v>40</v>
      </c>
      <c r="E773" s="70" t="s">
        <v>40</v>
      </c>
      <c r="F773" s="70" t="s">
        <v>40</v>
      </c>
      <c r="G773" s="70"/>
      <c r="H773" s="70" t="s">
        <v>40</v>
      </c>
      <c r="I773" s="70" t="s">
        <v>40</v>
      </c>
      <c r="J773" s="70" t="s">
        <v>40</v>
      </c>
      <c r="K773" s="70" t="s">
        <v>40</v>
      </c>
      <c r="L773" s="70" t="s">
        <v>40</v>
      </c>
      <c r="M773" s="70"/>
      <c r="N773" s="70" t="s">
        <v>40</v>
      </c>
      <c r="O773" s="70" t="s">
        <v>40</v>
      </c>
      <c r="P773" s="70" t="s">
        <v>40</v>
      </c>
      <c r="Q773" s="70"/>
      <c r="R773" s="70" t="s">
        <v>40</v>
      </c>
      <c r="S773" s="70" t="s">
        <v>40</v>
      </c>
      <c r="T773" s="70" t="s">
        <v>40</v>
      </c>
      <c r="U773" s="70" t="s">
        <v>40</v>
      </c>
      <c r="V773" s="70" t="s">
        <v>40</v>
      </c>
      <c r="W773" s="70"/>
      <c r="X773" s="70" t="s">
        <v>40</v>
      </c>
      <c r="Y773" s="70" t="s">
        <v>40</v>
      </c>
      <c r="Z773" s="70" t="s">
        <v>40</v>
      </c>
      <c r="AA773" s="70" t="s">
        <v>40</v>
      </c>
      <c r="AB773" s="70" t="s">
        <v>40</v>
      </c>
    </row>
    <row r="774" spans="1:28" x14ac:dyDescent="0.25">
      <c r="A774" s="46"/>
      <c r="B774" s="82"/>
      <c r="C774" s="44"/>
      <c r="D774" s="70"/>
      <c r="E774" s="79"/>
      <c r="F774" s="79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</row>
    <row r="775" spans="1:28" x14ac:dyDescent="0.25">
      <c r="A775" s="46"/>
      <c r="B775" s="26"/>
      <c r="C775" s="79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</row>
    <row r="776" spans="1:28" x14ac:dyDescent="0.25">
      <c r="A776" s="46">
        <v>85</v>
      </c>
      <c r="B776" s="26" t="s">
        <v>218</v>
      </c>
      <c r="C776" s="2" t="s">
        <v>35</v>
      </c>
      <c r="D776" s="68">
        <v>0</v>
      </c>
      <c r="E776" s="68"/>
      <c r="F776" s="68"/>
      <c r="G776" s="68"/>
      <c r="H776" s="67">
        <f t="shared" si="256"/>
        <v>0</v>
      </c>
      <c r="I776" s="68"/>
      <c r="J776" s="68"/>
      <c r="K776" s="68"/>
      <c r="L776" s="68"/>
      <c r="M776" s="68"/>
      <c r="N776" s="67">
        <f t="shared" si="255"/>
        <v>0</v>
      </c>
      <c r="O776" s="68"/>
      <c r="P776" s="68"/>
      <c r="Q776" s="68"/>
      <c r="R776" s="67">
        <f>O776+P776</f>
        <v>0</v>
      </c>
      <c r="S776" s="68"/>
      <c r="T776" s="68"/>
      <c r="U776" s="68"/>
      <c r="V776" s="68"/>
      <c r="W776" s="68"/>
      <c r="X776" s="67">
        <f t="shared" si="257"/>
        <v>0</v>
      </c>
      <c r="Y776" s="67">
        <f>R776+H776</f>
        <v>0</v>
      </c>
      <c r="Z776" s="67">
        <f>D776-Y776</f>
        <v>0</v>
      </c>
      <c r="AA776" s="67">
        <f>N776+X776</f>
        <v>0</v>
      </c>
      <c r="AB776" s="67">
        <f>+D776-N776-X776</f>
        <v>0</v>
      </c>
    </row>
    <row r="777" spans="1:28" x14ac:dyDescent="0.25">
      <c r="A777" s="46"/>
      <c r="B777" s="26"/>
      <c r="C777" s="4" t="s">
        <v>36</v>
      </c>
      <c r="D777" s="68">
        <v>1760413</v>
      </c>
      <c r="E777" s="68">
        <v>1760413</v>
      </c>
      <c r="F777" s="68"/>
      <c r="G777" s="68"/>
      <c r="H777" s="67">
        <f t="shared" si="256"/>
        <v>1760413</v>
      </c>
      <c r="I777" s="68"/>
      <c r="J777" s="68"/>
      <c r="K777" s="68"/>
      <c r="L777" s="68"/>
      <c r="M777" s="68"/>
      <c r="N777" s="67">
        <f t="shared" si="255"/>
        <v>1760413</v>
      </c>
      <c r="O777" s="68"/>
      <c r="P777" s="68"/>
      <c r="Q777" s="68"/>
      <c r="R777" s="67">
        <f>O777+P777</f>
        <v>0</v>
      </c>
      <c r="S777" s="68"/>
      <c r="T777" s="68"/>
      <c r="U777" s="68"/>
      <c r="V777" s="68"/>
      <c r="W777" s="68"/>
      <c r="X777" s="67">
        <f t="shared" si="257"/>
        <v>0</v>
      </c>
      <c r="Y777" s="67">
        <f>R777+H777</f>
        <v>1760413</v>
      </c>
      <c r="Z777" s="67">
        <f>D777-Y777</f>
        <v>0</v>
      </c>
      <c r="AA777" s="67">
        <f>N777+X777</f>
        <v>1760413</v>
      </c>
      <c r="AB777" s="67">
        <f>+D777-N777-X777</f>
        <v>0</v>
      </c>
    </row>
    <row r="778" spans="1:28" x14ac:dyDescent="0.25">
      <c r="A778" s="46"/>
      <c r="B778" s="26"/>
      <c r="C778" s="4" t="s">
        <v>208</v>
      </c>
      <c r="D778" s="68">
        <v>240154.84</v>
      </c>
      <c r="E778" s="68"/>
      <c r="F778" s="68"/>
      <c r="G778" s="68"/>
      <c r="H778" s="67">
        <f t="shared" si="256"/>
        <v>0</v>
      </c>
      <c r="I778" s="68"/>
      <c r="J778" s="68"/>
      <c r="K778" s="68"/>
      <c r="L778" s="68"/>
      <c r="M778" s="68"/>
      <c r="N778" s="67">
        <f t="shared" si="255"/>
        <v>0</v>
      </c>
      <c r="O778" s="68"/>
      <c r="P778" s="68"/>
      <c r="Q778" s="68"/>
      <c r="R778" s="67">
        <f>O778+P778</f>
        <v>0</v>
      </c>
      <c r="S778" s="68"/>
      <c r="T778" s="68"/>
      <c r="U778" s="68"/>
      <c r="V778" s="68"/>
      <c r="W778" s="68"/>
      <c r="X778" s="67">
        <f t="shared" si="257"/>
        <v>0</v>
      </c>
      <c r="Y778" s="67">
        <f>R778+H778</f>
        <v>0</v>
      </c>
      <c r="Z778" s="67">
        <f>D778-Y778</f>
        <v>240154.84</v>
      </c>
      <c r="AA778" s="67">
        <f>N778+X778</f>
        <v>0</v>
      </c>
      <c r="AB778" s="67">
        <f>+D778-N778-X778</f>
        <v>240154.84</v>
      </c>
    </row>
    <row r="779" spans="1:28" x14ac:dyDescent="0.25">
      <c r="A779" s="46"/>
      <c r="B779" s="26"/>
      <c r="C779" s="4" t="s">
        <v>38</v>
      </c>
      <c r="D779" s="68">
        <v>76850</v>
      </c>
      <c r="E779" s="68"/>
      <c r="F779" s="68"/>
      <c r="G779" s="68"/>
      <c r="H779" s="67">
        <f t="shared" si="256"/>
        <v>0</v>
      </c>
      <c r="I779" s="68"/>
      <c r="J779" s="68"/>
      <c r="K779" s="68"/>
      <c r="L779" s="68"/>
      <c r="M779" s="68"/>
      <c r="N779" s="67">
        <f t="shared" si="255"/>
        <v>0</v>
      </c>
      <c r="O779" s="68"/>
      <c r="P779" s="68"/>
      <c r="Q779" s="68"/>
      <c r="R779" s="67">
        <f>O779+P779</f>
        <v>0</v>
      </c>
      <c r="S779" s="68"/>
      <c r="T779" s="68"/>
      <c r="U779" s="68"/>
      <c r="V779" s="68"/>
      <c r="W779" s="68"/>
      <c r="X779" s="67">
        <f t="shared" si="257"/>
        <v>0</v>
      </c>
      <c r="Y779" s="67">
        <f>R779+H779</f>
        <v>0</v>
      </c>
      <c r="Z779" s="67">
        <f>D779-Y779</f>
        <v>76850</v>
      </c>
      <c r="AA779" s="67">
        <f>N779+X779</f>
        <v>0</v>
      </c>
      <c r="AB779" s="67">
        <f>+D779-N779-X779</f>
        <v>76850</v>
      </c>
    </row>
    <row r="780" spans="1:28" x14ac:dyDescent="0.25">
      <c r="A780" s="46"/>
      <c r="B780" s="26"/>
      <c r="C780" s="4"/>
      <c r="D780" s="70" t="s">
        <v>40</v>
      </c>
      <c r="E780" s="70" t="s">
        <v>40</v>
      </c>
      <c r="F780" s="70" t="s">
        <v>40</v>
      </c>
      <c r="G780" s="70"/>
      <c r="H780" s="70" t="s">
        <v>40</v>
      </c>
      <c r="I780" s="70" t="s">
        <v>40</v>
      </c>
      <c r="J780" s="70" t="s">
        <v>40</v>
      </c>
      <c r="K780" s="70" t="s">
        <v>40</v>
      </c>
      <c r="L780" s="70" t="s">
        <v>40</v>
      </c>
      <c r="M780" s="70"/>
      <c r="N780" s="70" t="s">
        <v>40</v>
      </c>
      <c r="O780" s="70" t="s">
        <v>40</v>
      </c>
      <c r="P780" s="70" t="s">
        <v>40</v>
      </c>
      <c r="Q780" s="70"/>
      <c r="R780" s="70" t="s">
        <v>40</v>
      </c>
      <c r="S780" s="70" t="s">
        <v>40</v>
      </c>
      <c r="T780" s="70" t="s">
        <v>40</v>
      </c>
      <c r="U780" s="70" t="s">
        <v>40</v>
      </c>
      <c r="V780" s="70" t="s">
        <v>40</v>
      </c>
      <c r="W780" s="70"/>
      <c r="X780" s="70" t="s">
        <v>40</v>
      </c>
      <c r="Y780" s="70" t="s">
        <v>40</v>
      </c>
      <c r="Z780" s="70" t="s">
        <v>40</v>
      </c>
      <c r="AA780" s="70" t="s">
        <v>40</v>
      </c>
      <c r="AB780" s="70" t="s">
        <v>40</v>
      </c>
    </row>
    <row r="781" spans="1:28" x14ac:dyDescent="0.25">
      <c r="A781" s="46"/>
      <c r="B781" s="26"/>
      <c r="C781" s="4"/>
      <c r="D781" s="68">
        <f>SUM(D776:D779)</f>
        <v>2077417.84</v>
      </c>
      <c r="E781" s="68">
        <f t="shared" ref="E781:AB781" si="265">SUM(E776:E779)</f>
        <v>1760413</v>
      </c>
      <c r="F781" s="68">
        <f t="shared" si="265"/>
        <v>0</v>
      </c>
      <c r="G781" s="68"/>
      <c r="H781" s="68">
        <f t="shared" si="265"/>
        <v>1760413</v>
      </c>
      <c r="I781" s="68">
        <f t="shared" si="265"/>
        <v>0</v>
      </c>
      <c r="J781" s="68">
        <f t="shared" si="265"/>
        <v>0</v>
      </c>
      <c r="K781" s="68">
        <f t="shared" si="265"/>
        <v>0</v>
      </c>
      <c r="L781" s="68">
        <f t="shared" si="265"/>
        <v>0</v>
      </c>
      <c r="M781" s="68"/>
      <c r="N781" s="68">
        <f t="shared" si="265"/>
        <v>1760413</v>
      </c>
      <c r="O781" s="68">
        <f t="shared" si="265"/>
        <v>0</v>
      </c>
      <c r="P781" s="68">
        <f t="shared" si="265"/>
        <v>0</v>
      </c>
      <c r="Q781" s="68"/>
      <c r="R781" s="68">
        <f t="shared" si="265"/>
        <v>0</v>
      </c>
      <c r="S781" s="68">
        <f t="shared" si="265"/>
        <v>0</v>
      </c>
      <c r="T781" s="68">
        <f t="shared" si="265"/>
        <v>0</v>
      </c>
      <c r="U781" s="68">
        <f t="shared" si="265"/>
        <v>0</v>
      </c>
      <c r="V781" s="68">
        <f t="shared" si="265"/>
        <v>0</v>
      </c>
      <c r="W781" s="68"/>
      <c r="X781" s="68">
        <f t="shared" si="265"/>
        <v>0</v>
      </c>
      <c r="Y781" s="68">
        <f t="shared" si="265"/>
        <v>1760413</v>
      </c>
      <c r="Z781" s="68">
        <f t="shared" si="265"/>
        <v>317004.83999999997</v>
      </c>
      <c r="AA781" s="68">
        <f t="shared" si="265"/>
        <v>1760413</v>
      </c>
      <c r="AB781" s="68">
        <f t="shared" si="265"/>
        <v>317004.83999999997</v>
      </c>
    </row>
    <row r="782" spans="1:28" x14ac:dyDescent="0.25">
      <c r="A782" s="46"/>
      <c r="B782" s="26"/>
      <c r="C782" s="4"/>
      <c r="D782" s="70" t="s">
        <v>40</v>
      </c>
      <c r="E782" s="70" t="s">
        <v>40</v>
      </c>
      <c r="F782" s="70" t="s">
        <v>40</v>
      </c>
      <c r="G782" s="70"/>
      <c r="H782" s="70" t="s">
        <v>40</v>
      </c>
      <c r="I782" s="70" t="s">
        <v>40</v>
      </c>
      <c r="J782" s="70" t="s">
        <v>40</v>
      </c>
      <c r="K782" s="70" t="s">
        <v>40</v>
      </c>
      <c r="L782" s="70" t="s">
        <v>40</v>
      </c>
      <c r="M782" s="70"/>
      <c r="N782" s="70" t="s">
        <v>40</v>
      </c>
      <c r="O782" s="70" t="s">
        <v>40</v>
      </c>
      <c r="P782" s="70" t="s">
        <v>40</v>
      </c>
      <c r="Q782" s="70"/>
      <c r="R782" s="70" t="s">
        <v>40</v>
      </c>
      <c r="S782" s="70" t="s">
        <v>40</v>
      </c>
      <c r="T782" s="70" t="s">
        <v>40</v>
      </c>
      <c r="U782" s="70" t="s">
        <v>40</v>
      </c>
      <c r="V782" s="70" t="s">
        <v>40</v>
      </c>
      <c r="W782" s="70"/>
      <c r="X782" s="70" t="s">
        <v>40</v>
      </c>
      <c r="Y782" s="70" t="s">
        <v>40</v>
      </c>
      <c r="Z782" s="70" t="s">
        <v>40</v>
      </c>
      <c r="AA782" s="70" t="s">
        <v>40</v>
      </c>
      <c r="AB782" s="70" t="s">
        <v>40</v>
      </c>
    </row>
    <row r="783" spans="1:28" x14ac:dyDescent="0.25">
      <c r="A783" s="46">
        <v>86</v>
      </c>
      <c r="B783" s="26" t="s">
        <v>219</v>
      </c>
      <c r="C783" s="2" t="s">
        <v>35</v>
      </c>
      <c r="D783" s="68">
        <v>0</v>
      </c>
      <c r="E783" s="68"/>
      <c r="F783" s="68"/>
      <c r="G783" s="68"/>
      <c r="H783" s="67">
        <f t="shared" si="256"/>
        <v>0</v>
      </c>
      <c r="I783" s="68"/>
      <c r="J783" s="68"/>
      <c r="K783" s="68"/>
      <c r="L783" s="68"/>
      <c r="M783" s="68"/>
      <c r="N783" s="67">
        <f t="shared" si="255"/>
        <v>0</v>
      </c>
      <c r="O783" s="68"/>
      <c r="P783" s="68"/>
      <c r="Q783" s="68"/>
      <c r="R783" s="67">
        <f>O783+P783</f>
        <v>0</v>
      </c>
      <c r="S783" s="68"/>
      <c r="T783" s="68"/>
      <c r="U783" s="68"/>
      <c r="V783" s="68"/>
      <c r="W783" s="68"/>
      <c r="X783" s="67">
        <f t="shared" si="257"/>
        <v>0</v>
      </c>
      <c r="Y783" s="67">
        <f>R783+H783</f>
        <v>0</v>
      </c>
      <c r="Z783" s="67">
        <f>D783-Y783</f>
        <v>0</v>
      </c>
      <c r="AA783" s="67">
        <f>N783+X783</f>
        <v>0</v>
      </c>
      <c r="AB783" s="67">
        <f>+D783-N783-X783</f>
        <v>0</v>
      </c>
    </row>
    <row r="784" spans="1:28" x14ac:dyDescent="0.25">
      <c r="A784" s="46"/>
      <c r="B784" s="26"/>
      <c r="C784" s="4" t="s">
        <v>36</v>
      </c>
      <c r="D784" s="68">
        <v>4070993</v>
      </c>
      <c r="E784" s="68">
        <v>4070993</v>
      </c>
      <c r="F784" s="68"/>
      <c r="G784" s="68"/>
      <c r="H784" s="67">
        <f t="shared" si="256"/>
        <v>4070993</v>
      </c>
      <c r="I784" s="68"/>
      <c r="J784" s="68"/>
      <c r="K784" s="68"/>
      <c r="L784" s="68"/>
      <c r="M784" s="68"/>
      <c r="N784" s="67">
        <f t="shared" si="255"/>
        <v>4070993</v>
      </c>
      <c r="O784" s="68"/>
      <c r="P784" s="68"/>
      <c r="Q784" s="68"/>
      <c r="R784" s="67">
        <f>O784+P784</f>
        <v>0</v>
      </c>
      <c r="S784" s="68"/>
      <c r="T784" s="68"/>
      <c r="U784" s="68"/>
      <c r="V784" s="68"/>
      <c r="W784" s="68"/>
      <c r="X784" s="67">
        <f t="shared" si="257"/>
        <v>0</v>
      </c>
      <c r="Y784" s="67">
        <f>R784+H784</f>
        <v>4070993</v>
      </c>
      <c r="Z784" s="67">
        <f>D784-Y784</f>
        <v>0</v>
      </c>
      <c r="AA784" s="67">
        <f>N784+X784</f>
        <v>4070993</v>
      </c>
      <c r="AB784" s="67">
        <f>+D784-N784-X784</f>
        <v>0</v>
      </c>
    </row>
    <row r="785" spans="1:43" x14ac:dyDescent="0.25">
      <c r="A785" s="46"/>
      <c r="B785" s="29" t="s">
        <v>273</v>
      </c>
      <c r="D785" s="68">
        <v>1300000</v>
      </c>
      <c r="E785" s="68">
        <v>1300000</v>
      </c>
      <c r="F785" s="68"/>
      <c r="G785" s="68"/>
      <c r="H785" s="67">
        <f t="shared" si="256"/>
        <v>1300000</v>
      </c>
      <c r="I785" s="68"/>
      <c r="J785" s="68"/>
      <c r="K785" s="68"/>
      <c r="L785" s="68"/>
      <c r="M785" s="68"/>
      <c r="N785" s="67">
        <f t="shared" si="255"/>
        <v>1300000</v>
      </c>
      <c r="O785" s="68"/>
      <c r="P785" s="68"/>
      <c r="Q785" s="68"/>
      <c r="R785" s="67">
        <f>O785+P785</f>
        <v>0</v>
      </c>
      <c r="S785" s="68"/>
      <c r="T785" s="68"/>
      <c r="U785" s="68"/>
      <c r="V785" s="68"/>
      <c r="W785" s="68"/>
      <c r="X785" s="67">
        <f t="shared" si="257"/>
        <v>0</v>
      </c>
      <c r="Y785" s="67">
        <f>R785+H785</f>
        <v>1300000</v>
      </c>
      <c r="Z785" s="67">
        <f>D785-Y785</f>
        <v>0</v>
      </c>
      <c r="AA785" s="67">
        <f>N785+X785</f>
        <v>1300000</v>
      </c>
      <c r="AB785" s="67">
        <f>+D785-N785-X785</f>
        <v>0</v>
      </c>
    </row>
    <row r="786" spans="1:43" x14ac:dyDescent="0.25">
      <c r="A786" s="46"/>
      <c r="B786" s="26"/>
      <c r="C786" s="4"/>
      <c r="D786" s="70" t="s">
        <v>40</v>
      </c>
      <c r="E786" s="70" t="s">
        <v>40</v>
      </c>
      <c r="F786" s="70" t="s">
        <v>40</v>
      </c>
      <c r="G786" s="70"/>
      <c r="H786" s="70" t="s">
        <v>40</v>
      </c>
      <c r="I786" s="70" t="s">
        <v>40</v>
      </c>
      <c r="J786" s="70" t="s">
        <v>40</v>
      </c>
      <c r="K786" s="70" t="s">
        <v>40</v>
      </c>
      <c r="L786" s="70" t="s">
        <v>40</v>
      </c>
      <c r="M786" s="70"/>
      <c r="N786" s="70" t="s">
        <v>40</v>
      </c>
      <c r="O786" s="70" t="s">
        <v>40</v>
      </c>
      <c r="P786" s="70" t="s">
        <v>40</v>
      </c>
      <c r="Q786" s="70"/>
      <c r="R786" s="70" t="s">
        <v>40</v>
      </c>
      <c r="S786" s="70" t="s">
        <v>40</v>
      </c>
      <c r="T786" s="70" t="s">
        <v>40</v>
      </c>
      <c r="U786" s="70" t="s">
        <v>40</v>
      </c>
      <c r="V786" s="70" t="s">
        <v>40</v>
      </c>
      <c r="W786" s="70"/>
      <c r="X786" s="70" t="s">
        <v>40</v>
      </c>
      <c r="Y786" s="70" t="s">
        <v>40</v>
      </c>
      <c r="Z786" s="70" t="s">
        <v>40</v>
      </c>
      <c r="AA786" s="70" t="s">
        <v>40</v>
      </c>
      <c r="AB786" s="70" t="s">
        <v>40</v>
      </c>
    </row>
    <row r="787" spans="1:43" x14ac:dyDescent="0.25">
      <c r="A787" s="46"/>
      <c r="B787" s="26"/>
      <c r="C787" s="4"/>
      <c r="D787" s="68">
        <f>SUM(D783:D785)</f>
        <v>5370993</v>
      </c>
      <c r="E787" s="68">
        <f t="shared" ref="E787:AB787" si="266">SUM(E783:E785)</f>
        <v>5370993</v>
      </c>
      <c r="F787" s="68">
        <f t="shared" si="266"/>
        <v>0</v>
      </c>
      <c r="G787" s="68"/>
      <c r="H787" s="68">
        <f t="shared" si="266"/>
        <v>5370993</v>
      </c>
      <c r="I787" s="68">
        <f t="shared" si="266"/>
        <v>0</v>
      </c>
      <c r="J787" s="68">
        <f t="shared" si="266"/>
        <v>0</v>
      </c>
      <c r="K787" s="68">
        <f t="shared" si="266"/>
        <v>0</v>
      </c>
      <c r="L787" s="68">
        <f t="shared" si="266"/>
        <v>0</v>
      </c>
      <c r="M787" s="68"/>
      <c r="N787" s="68">
        <f t="shared" si="266"/>
        <v>5370993</v>
      </c>
      <c r="O787" s="68">
        <f t="shared" si="266"/>
        <v>0</v>
      </c>
      <c r="P787" s="68">
        <f t="shared" si="266"/>
        <v>0</v>
      </c>
      <c r="Q787" s="68"/>
      <c r="R787" s="68">
        <f t="shared" si="266"/>
        <v>0</v>
      </c>
      <c r="S787" s="68">
        <f t="shared" si="266"/>
        <v>0</v>
      </c>
      <c r="T787" s="68">
        <f t="shared" si="266"/>
        <v>0</v>
      </c>
      <c r="U787" s="68">
        <f t="shared" si="266"/>
        <v>0</v>
      </c>
      <c r="V787" s="68">
        <f t="shared" si="266"/>
        <v>0</v>
      </c>
      <c r="W787" s="68"/>
      <c r="X787" s="68">
        <f t="shared" si="266"/>
        <v>0</v>
      </c>
      <c r="Y787" s="68">
        <f t="shared" si="266"/>
        <v>5370993</v>
      </c>
      <c r="Z787" s="68">
        <f t="shared" si="266"/>
        <v>0</v>
      </c>
      <c r="AA787" s="68">
        <f t="shared" si="266"/>
        <v>5370993</v>
      </c>
      <c r="AB787" s="68">
        <f t="shared" si="266"/>
        <v>0</v>
      </c>
    </row>
    <row r="788" spans="1:43" x14ac:dyDescent="0.25">
      <c r="A788" s="46"/>
      <c r="B788" s="26"/>
      <c r="C788" s="4"/>
      <c r="D788" s="70" t="s">
        <v>40</v>
      </c>
      <c r="E788" s="70" t="s">
        <v>40</v>
      </c>
      <c r="F788" s="70" t="s">
        <v>40</v>
      </c>
      <c r="G788" s="70"/>
      <c r="H788" s="70" t="s">
        <v>40</v>
      </c>
      <c r="I788" s="70" t="s">
        <v>40</v>
      </c>
      <c r="J788" s="70" t="s">
        <v>40</v>
      </c>
      <c r="K788" s="70" t="s">
        <v>40</v>
      </c>
      <c r="L788" s="70" t="s">
        <v>40</v>
      </c>
      <c r="M788" s="70"/>
      <c r="N788" s="70" t="s">
        <v>40</v>
      </c>
      <c r="O788" s="70" t="s">
        <v>40</v>
      </c>
      <c r="P788" s="70" t="s">
        <v>40</v>
      </c>
      <c r="Q788" s="70"/>
      <c r="R788" s="70" t="s">
        <v>40</v>
      </c>
      <c r="S788" s="70" t="s">
        <v>40</v>
      </c>
      <c r="T788" s="70" t="s">
        <v>40</v>
      </c>
      <c r="U788" s="70" t="s">
        <v>40</v>
      </c>
      <c r="V788" s="70" t="s">
        <v>40</v>
      </c>
      <c r="W788" s="70"/>
      <c r="X788" s="70" t="s">
        <v>40</v>
      </c>
      <c r="Y788" s="70" t="s">
        <v>40</v>
      </c>
      <c r="Z788" s="70" t="s">
        <v>40</v>
      </c>
      <c r="AA788" s="70" t="s">
        <v>40</v>
      </c>
      <c r="AB788" s="70" t="s">
        <v>40</v>
      </c>
    </row>
    <row r="789" spans="1:43" x14ac:dyDescent="0.25">
      <c r="A789" s="46">
        <v>87</v>
      </c>
      <c r="B789" s="26" t="s">
        <v>220</v>
      </c>
      <c r="C789" s="2" t="s">
        <v>35</v>
      </c>
      <c r="D789" s="68">
        <v>15203427.5</v>
      </c>
      <c r="E789" s="68"/>
      <c r="F789" s="68"/>
      <c r="G789" s="68"/>
      <c r="H789" s="67">
        <f>+E789+F789</f>
        <v>0</v>
      </c>
      <c r="I789" s="68"/>
      <c r="J789" s="68"/>
      <c r="K789" s="68"/>
      <c r="L789" s="68"/>
      <c r="M789" s="68"/>
      <c r="N789" s="67">
        <f>H789+L789</f>
        <v>0</v>
      </c>
      <c r="O789" s="68">
        <v>435375.2</v>
      </c>
      <c r="P789" s="68"/>
      <c r="Q789" s="68"/>
      <c r="R789" s="67">
        <f>O789+P789</f>
        <v>435375.2</v>
      </c>
      <c r="S789" s="68"/>
      <c r="T789" s="68"/>
      <c r="U789" s="68"/>
      <c r="V789" s="68"/>
      <c r="W789" s="78"/>
      <c r="X789" s="67">
        <f>R789+V789</f>
        <v>435375.2</v>
      </c>
      <c r="Y789" s="67">
        <f>R789+H789</f>
        <v>435375.2</v>
      </c>
      <c r="Z789" s="67">
        <f>D789-Y789</f>
        <v>14768052.300000001</v>
      </c>
      <c r="AA789" s="67">
        <f>N789+X789</f>
        <v>435375.2</v>
      </c>
      <c r="AB789" s="67">
        <f>+D789-N789-X789</f>
        <v>14768052.300000001</v>
      </c>
    </row>
    <row r="790" spans="1:43" x14ac:dyDescent="0.25">
      <c r="A790" s="46"/>
      <c r="B790" s="26"/>
      <c r="C790" s="4" t="s">
        <v>36</v>
      </c>
      <c r="D790" s="68">
        <v>3333153</v>
      </c>
      <c r="E790" s="68">
        <v>3333153</v>
      </c>
      <c r="F790" s="68"/>
      <c r="G790" s="68"/>
      <c r="H790" s="67">
        <f>+E790+F790</f>
        <v>3333153</v>
      </c>
      <c r="I790" s="68"/>
      <c r="J790" s="68"/>
      <c r="K790" s="68"/>
      <c r="L790" s="68"/>
      <c r="M790" s="68"/>
      <c r="N790" s="67">
        <f>H790+L790</f>
        <v>3333153</v>
      </c>
      <c r="O790" s="68"/>
      <c r="P790" s="68"/>
      <c r="Q790" s="68"/>
      <c r="R790" s="67">
        <f>O790+P790</f>
        <v>0</v>
      </c>
      <c r="S790" s="68"/>
      <c r="T790" s="68"/>
      <c r="U790" s="68"/>
      <c r="V790" s="68"/>
      <c r="W790" s="68"/>
      <c r="X790" s="67">
        <f>R790+V790</f>
        <v>0</v>
      </c>
      <c r="Y790" s="67">
        <f>R790+H790</f>
        <v>3333153</v>
      </c>
      <c r="Z790" s="67">
        <f>D790-Y790</f>
        <v>0</v>
      </c>
      <c r="AA790" s="67">
        <f>N790+X790</f>
        <v>3333153</v>
      </c>
      <c r="AB790" s="67">
        <f>+D790-N790-X790</f>
        <v>0</v>
      </c>
    </row>
    <row r="791" spans="1:43" x14ac:dyDescent="0.25">
      <c r="A791" s="4"/>
      <c r="B791" s="4"/>
      <c r="C791" s="4" t="s">
        <v>290</v>
      </c>
      <c r="D791" s="55">
        <v>7368000</v>
      </c>
      <c r="E791" s="55">
        <v>7368000</v>
      </c>
      <c r="F791" s="55"/>
      <c r="G791" s="55"/>
      <c r="H791" s="55">
        <f>+E791+F791</f>
        <v>7368000</v>
      </c>
      <c r="I791" s="55"/>
      <c r="J791" s="55"/>
      <c r="K791" s="55"/>
      <c r="L791" s="55"/>
      <c r="M791" s="55"/>
      <c r="N791" s="55">
        <f>+H791+L791</f>
        <v>7368000</v>
      </c>
      <c r="O791" s="55"/>
      <c r="P791" s="55"/>
      <c r="Q791" s="55"/>
      <c r="R791" s="55">
        <f>+O791+P791</f>
        <v>0</v>
      </c>
      <c r="S791" s="55"/>
      <c r="T791" s="55"/>
      <c r="U791" s="55"/>
      <c r="V791" s="55"/>
      <c r="W791" s="55"/>
      <c r="X791" s="55">
        <f>+R791+V791</f>
        <v>0</v>
      </c>
      <c r="Y791" s="67">
        <f>R791+H791</f>
        <v>7368000</v>
      </c>
      <c r="Z791" s="67">
        <f>D791-Y791</f>
        <v>0</v>
      </c>
      <c r="AA791" s="67">
        <f>N791+X791</f>
        <v>7368000</v>
      </c>
      <c r="AB791" s="67">
        <f>+D791-N791-X791</f>
        <v>0</v>
      </c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</row>
    <row r="792" spans="1:43" x14ac:dyDescent="0.25">
      <c r="A792" s="46"/>
      <c r="B792" s="26"/>
      <c r="C792" s="4" t="s">
        <v>53</v>
      </c>
      <c r="D792" s="68">
        <v>25517706.489999998</v>
      </c>
      <c r="E792" s="68"/>
      <c r="F792" s="68"/>
      <c r="G792" s="68"/>
      <c r="H792" s="68"/>
      <c r="I792" s="68"/>
      <c r="J792" s="68"/>
      <c r="K792" s="68"/>
      <c r="L792" s="68"/>
      <c r="M792" s="68"/>
      <c r="N792" s="67">
        <f>H792+L792</f>
        <v>0</v>
      </c>
      <c r="O792" s="68">
        <v>6699983.5499999998</v>
      </c>
      <c r="P792" s="68"/>
      <c r="Q792" s="68"/>
      <c r="R792" s="67">
        <f>O792+P792</f>
        <v>6699983.5499999998</v>
      </c>
      <c r="S792" s="68"/>
      <c r="T792" s="68"/>
      <c r="U792" s="68"/>
      <c r="V792" s="68"/>
      <c r="W792" s="68"/>
      <c r="X792" s="67">
        <f>R792+V792</f>
        <v>6699983.5499999998</v>
      </c>
      <c r="Y792" s="67">
        <f>R792+H792</f>
        <v>6699983.5499999998</v>
      </c>
      <c r="Z792" s="67">
        <f>D792-Y792</f>
        <v>18817722.939999998</v>
      </c>
      <c r="AA792" s="67">
        <f>N792+X792</f>
        <v>6699983.5499999998</v>
      </c>
      <c r="AB792" s="67">
        <f>+D792-N792-X792</f>
        <v>18817722.939999998</v>
      </c>
    </row>
    <row r="793" spans="1:43" x14ac:dyDescent="0.25">
      <c r="A793" s="46"/>
      <c r="B793" s="26"/>
      <c r="C793" s="4" t="s">
        <v>221</v>
      </c>
      <c r="D793" s="68">
        <v>5603896.2599999998</v>
      </c>
      <c r="E793" s="68"/>
      <c r="F793" s="68"/>
      <c r="G793" s="68"/>
      <c r="H793" s="68"/>
      <c r="I793" s="68"/>
      <c r="J793" s="68"/>
      <c r="K793" s="68"/>
      <c r="L793" s="68"/>
      <c r="M793" s="68"/>
      <c r="N793" s="67">
        <f>H793+L793</f>
        <v>0</v>
      </c>
      <c r="O793" s="68">
        <v>5603896.2599999998</v>
      </c>
      <c r="P793" s="68"/>
      <c r="Q793" s="68"/>
      <c r="R793" s="67">
        <f>O793+P793</f>
        <v>5603896.2599999998</v>
      </c>
      <c r="S793" s="68"/>
      <c r="T793" s="68"/>
      <c r="U793" s="68"/>
      <c r="V793" s="68"/>
      <c r="W793" s="68"/>
      <c r="X793" s="67">
        <f>R793+V793</f>
        <v>5603896.2599999998</v>
      </c>
      <c r="Y793" s="67">
        <f>R793+H793</f>
        <v>5603896.2599999998</v>
      </c>
      <c r="Z793" s="67">
        <f>D793-Y793</f>
        <v>0</v>
      </c>
      <c r="AA793" s="67">
        <f>N793+X793</f>
        <v>5603896.2599999998</v>
      </c>
      <c r="AB793" s="67">
        <f>+D793-N793-X793</f>
        <v>0</v>
      </c>
    </row>
    <row r="794" spans="1:43" x14ac:dyDescent="0.25">
      <c r="A794" s="46"/>
      <c r="B794" s="26"/>
      <c r="C794" s="4"/>
      <c r="D794" s="70" t="s">
        <v>40</v>
      </c>
      <c r="E794" s="70" t="s">
        <v>40</v>
      </c>
      <c r="F794" s="70" t="s">
        <v>40</v>
      </c>
      <c r="G794" s="70"/>
      <c r="H794" s="70" t="s">
        <v>40</v>
      </c>
      <c r="I794" s="70" t="s">
        <v>40</v>
      </c>
      <c r="J794" s="70" t="s">
        <v>40</v>
      </c>
      <c r="K794" s="70" t="s">
        <v>40</v>
      </c>
      <c r="L794" s="70" t="s">
        <v>40</v>
      </c>
      <c r="M794" s="70"/>
      <c r="N794" s="70" t="s">
        <v>40</v>
      </c>
      <c r="O794" s="70" t="s">
        <v>40</v>
      </c>
      <c r="P794" s="70" t="s">
        <v>40</v>
      </c>
      <c r="Q794" s="70"/>
      <c r="R794" s="70" t="s">
        <v>40</v>
      </c>
      <c r="S794" s="70" t="s">
        <v>40</v>
      </c>
      <c r="T794" s="70" t="s">
        <v>40</v>
      </c>
      <c r="U794" s="70" t="s">
        <v>40</v>
      </c>
      <c r="V794" s="70" t="s">
        <v>40</v>
      </c>
      <c r="W794" s="70"/>
      <c r="X794" s="70" t="s">
        <v>40</v>
      </c>
      <c r="Y794" s="70" t="s">
        <v>40</v>
      </c>
      <c r="Z794" s="70" t="s">
        <v>40</v>
      </c>
      <c r="AA794" s="70" t="s">
        <v>40</v>
      </c>
      <c r="AB794" s="70" t="s">
        <v>40</v>
      </c>
    </row>
    <row r="795" spans="1:43" x14ac:dyDescent="0.25">
      <c r="A795" s="46"/>
      <c r="B795" s="26"/>
      <c r="C795" s="4"/>
      <c r="D795" s="68">
        <f>SUM(D789:D793)</f>
        <v>57026183.249999993</v>
      </c>
      <c r="E795" s="68">
        <f>SUM(E789:E793)</f>
        <v>10701153</v>
      </c>
      <c r="F795" s="68">
        <f>SUM(F789:F793)</f>
        <v>0</v>
      </c>
      <c r="G795" s="68"/>
      <c r="H795" s="68">
        <f>SUM(H789:H793)</f>
        <v>10701153</v>
      </c>
      <c r="I795" s="68">
        <f>SUM(I789:I793)</f>
        <v>0</v>
      </c>
      <c r="J795" s="68">
        <f>SUM(J789:J793)</f>
        <v>0</v>
      </c>
      <c r="K795" s="68">
        <f>SUM(K789:K793)</f>
        <v>0</v>
      </c>
      <c r="L795" s="68">
        <f>SUM(L789:L793)</f>
        <v>0</v>
      </c>
      <c r="M795" s="68"/>
      <c r="N795" s="68">
        <f>SUM(N789:N793)</f>
        <v>10701153</v>
      </c>
      <c r="O795" s="68">
        <f>SUM(O789:O793)</f>
        <v>12739255.01</v>
      </c>
      <c r="P795" s="68">
        <f>SUM(P789:P793)</f>
        <v>0</v>
      </c>
      <c r="Q795" s="68"/>
      <c r="R795" s="68">
        <f>SUM(R789:R793)</f>
        <v>12739255.01</v>
      </c>
      <c r="S795" s="68">
        <f>SUM(S789:S793)</f>
        <v>0</v>
      </c>
      <c r="T795" s="68">
        <f>SUM(T789:T793)</f>
        <v>0</v>
      </c>
      <c r="U795" s="68">
        <f>SUM(U789:U793)</f>
        <v>0</v>
      </c>
      <c r="V795" s="68">
        <f>SUM(V789:V793)</f>
        <v>0</v>
      </c>
      <c r="W795" s="68"/>
      <c r="X795" s="68">
        <f>SUM(X789:X793)</f>
        <v>12739255.01</v>
      </c>
      <c r="Y795" s="68">
        <f>SUM(Y789:Y793)</f>
        <v>23440408.009999998</v>
      </c>
      <c r="Z795" s="68">
        <f>SUM(Z789:Z793)</f>
        <v>33585775.239999995</v>
      </c>
      <c r="AA795" s="68">
        <f>SUM(AA789:AA793)</f>
        <v>23440408.009999998</v>
      </c>
      <c r="AB795" s="68">
        <f>SUM(AB789:AB793)</f>
        <v>33585775.239999995</v>
      </c>
    </row>
    <row r="796" spans="1:43" x14ac:dyDescent="0.25">
      <c r="A796" s="46"/>
      <c r="B796" s="26"/>
      <c r="C796" s="4"/>
      <c r="D796" s="70" t="s">
        <v>40</v>
      </c>
      <c r="E796" s="70" t="s">
        <v>40</v>
      </c>
      <c r="F796" s="70" t="s">
        <v>40</v>
      </c>
      <c r="G796" s="70"/>
      <c r="H796" s="70" t="s">
        <v>40</v>
      </c>
      <c r="I796" s="70" t="s">
        <v>40</v>
      </c>
      <c r="J796" s="70" t="s">
        <v>40</v>
      </c>
      <c r="K796" s="70" t="s">
        <v>40</v>
      </c>
      <c r="L796" s="70" t="s">
        <v>40</v>
      </c>
      <c r="M796" s="70"/>
      <c r="N796" s="70" t="s">
        <v>40</v>
      </c>
      <c r="O796" s="70" t="s">
        <v>40</v>
      </c>
      <c r="P796" s="70" t="s">
        <v>40</v>
      </c>
      <c r="Q796" s="70"/>
      <c r="R796" s="70" t="s">
        <v>40</v>
      </c>
      <c r="S796" s="70" t="s">
        <v>40</v>
      </c>
      <c r="T796" s="70" t="s">
        <v>40</v>
      </c>
      <c r="U796" s="70" t="s">
        <v>40</v>
      </c>
      <c r="V796" s="70" t="s">
        <v>40</v>
      </c>
      <c r="W796" s="70"/>
      <c r="X796" s="70" t="s">
        <v>40</v>
      </c>
      <c r="Y796" s="70" t="s">
        <v>40</v>
      </c>
      <c r="Z796" s="70" t="s">
        <v>40</v>
      </c>
      <c r="AA796" s="70" t="s">
        <v>40</v>
      </c>
      <c r="AB796" s="70" t="s">
        <v>40</v>
      </c>
      <c r="AC796" s="124" t="s">
        <v>303</v>
      </c>
      <c r="AD796" s="97">
        <f>+D791</f>
        <v>7368000</v>
      </c>
      <c r="AE796" s="97">
        <f>+E791</f>
        <v>7368000</v>
      </c>
      <c r="AF796" s="97">
        <f>+F791</f>
        <v>0</v>
      </c>
      <c r="AG796" s="97">
        <f>+AE796+AF796</f>
        <v>7368000</v>
      </c>
      <c r="AH796" s="97">
        <f>+L791</f>
        <v>0</v>
      </c>
      <c r="AI796" s="97">
        <f>+AG796+AH796</f>
        <v>7368000</v>
      </c>
      <c r="AJ796" s="97">
        <f>+O791</f>
        <v>0</v>
      </c>
      <c r="AK796" s="97">
        <f>+O791</f>
        <v>0</v>
      </c>
      <c r="AL796" s="97">
        <f>+AJ796+AK796</f>
        <v>0</v>
      </c>
      <c r="AM796" s="97">
        <f>+V791</f>
        <v>0</v>
      </c>
      <c r="AN796" s="97">
        <f>+AL796+AM796</f>
        <v>0</v>
      </c>
      <c r="AO796" s="94">
        <f>+AG796+AL796</f>
        <v>7368000</v>
      </c>
      <c r="AP796" s="94">
        <f>+AD796-AO796</f>
        <v>0</v>
      </c>
      <c r="AQ796" s="94">
        <f>+AD796-AI796-AN796</f>
        <v>0</v>
      </c>
    </row>
    <row r="797" spans="1:43" x14ac:dyDescent="0.25">
      <c r="A797" s="46"/>
      <c r="B797" s="26"/>
      <c r="C797" s="4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93"/>
      <c r="S797" s="70"/>
      <c r="T797" s="70"/>
      <c r="U797" s="70"/>
      <c r="W797" s="70"/>
      <c r="X797" s="70"/>
      <c r="Y797" s="70"/>
      <c r="Z797" s="70"/>
      <c r="AA797" s="70"/>
      <c r="AB797" s="70"/>
      <c r="AC797" s="49" t="s">
        <v>47</v>
      </c>
      <c r="AD797" s="94">
        <f t="shared" ref="AD797:AF798" si="267">D722+D729+D736+D743+D751+D759+D766+D776+D783+D789+D799</f>
        <v>123064527.62</v>
      </c>
      <c r="AE797" s="94">
        <f t="shared" si="267"/>
        <v>0</v>
      </c>
      <c r="AF797" s="94">
        <f t="shared" si="267"/>
        <v>0</v>
      </c>
      <c r="AG797" s="94">
        <f>+AE797+AF797</f>
        <v>0</v>
      </c>
      <c r="AH797" s="94">
        <f>L722+L729+L736+L743+L751+L759+L766+L776+L783+L789+L799</f>
        <v>0</v>
      </c>
      <c r="AI797" s="94">
        <f>+AG797+AH797</f>
        <v>0</v>
      </c>
      <c r="AJ797" s="94">
        <f>O722+O729+O736+O743+O751+O759+O766+O776+O783+O789+O799</f>
        <v>435375.2</v>
      </c>
      <c r="AK797" s="94">
        <f>P722+P729+P736+P743+P751+P759+P766+P776+P783+P789+P799</f>
        <v>0</v>
      </c>
      <c r="AL797" s="94">
        <f>+AJ797+AK797</f>
        <v>435375.2</v>
      </c>
      <c r="AM797" s="94">
        <f>V722+V729+V736+V743+V751+V759+V766+V776+V783+V789+V799</f>
        <v>0</v>
      </c>
      <c r="AN797" s="94">
        <f>+AL797+AM797</f>
        <v>435375.2</v>
      </c>
      <c r="AO797" s="94">
        <f>+AG797+AL797</f>
        <v>435375.2</v>
      </c>
      <c r="AP797" s="94">
        <f>+AD797-AO797</f>
        <v>122629152.42</v>
      </c>
      <c r="AQ797" s="94">
        <f>+AD797-AI797-AN797</f>
        <v>122629152.42</v>
      </c>
    </row>
    <row r="798" spans="1:43" x14ac:dyDescent="0.25">
      <c r="A798" s="46"/>
      <c r="B798" s="26"/>
      <c r="C798" s="4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49" t="s">
        <v>36</v>
      </c>
      <c r="AD798" s="94">
        <f t="shared" si="267"/>
        <v>18595144</v>
      </c>
      <c r="AE798" s="94">
        <f t="shared" si="267"/>
        <v>18595144</v>
      </c>
      <c r="AF798" s="94">
        <f t="shared" si="267"/>
        <v>0</v>
      </c>
      <c r="AG798" s="94">
        <f t="shared" ref="AG798:AG804" si="268">+AE798+AF798</f>
        <v>18595144</v>
      </c>
      <c r="AH798" s="94">
        <f>L723+L730+L737+L744+L752+L760+L767+L777+L784+L790+L800</f>
        <v>0</v>
      </c>
      <c r="AI798" s="94">
        <f t="shared" ref="AI798:AI804" si="269">+AG798+AH798</f>
        <v>18595144</v>
      </c>
      <c r="AJ798" s="94">
        <f>O723+O730+O737+O744+O752+O760+O767+O777+O784+O790+O800</f>
        <v>0</v>
      </c>
      <c r="AK798" s="94">
        <f>P723+P730+P737+P744+P752+P760+P767+P777+P784+P790+P800</f>
        <v>0</v>
      </c>
      <c r="AL798" s="94">
        <f t="shared" ref="AL798:AL804" si="270">+AJ798+AK798</f>
        <v>0</v>
      </c>
      <c r="AM798" s="94">
        <f>V723+V730+V737+V744+V752+V760+V767+V777+V784+V790+V800</f>
        <v>0</v>
      </c>
      <c r="AN798" s="94">
        <f t="shared" ref="AN798:AN804" si="271">+AL798+AM798</f>
        <v>0</v>
      </c>
      <c r="AO798" s="94">
        <f t="shared" ref="AO798:AO804" si="272">+AG798+AL798</f>
        <v>18595144</v>
      </c>
      <c r="AP798" s="94">
        <f t="shared" ref="AP798:AP804" si="273">+AD798-AO798</f>
        <v>0</v>
      </c>
      <c r="AQ798" s="94">
        <f t="shared" ref="AQ798:AQ804" si="274">+AD798-AI798-AN798</f>
        <v>0</v>
      </c>
    </row>
    <row r="799" spans="1:43" x14ac:dyDescent="0.25">
      <c r="A799" s="46">
        <v>88</v>
      </c>
      <c r="B799" s="26" t="s">
        <v>222</v>
      </c>
      <c r="C799" s="2" t="s">
        <v>35</v>
      </c>
      <c r="D799" s="68">
        <v>23411354.460000001</v>
      </c>
      <c r="E799" s="68"/>
      <c r="F799" s="68"/>
      <c r="G799" s="68"/>
      <c r="H799" s="67">
        <f>+E799+F799</f>
        <v>0</v>
      </c>
      <c r="I799" s="68"/>
      <c r="J799" s="68"/>
      <c r="K799" s="68"/>
      <c r="L799" s="68"/>
      <c r="M799" s="68"/>
      <c r="N799" s="67">
        <f>H799+L799</f>
        <v>0</v>
      </c>
      <c r="O799" s="68"/>
      <c r="P799" s="68"/>
      <c r="Q799" s="68"/>
      <c r="R799" s="67">
        <f>O799+P799</f>
        <v>0</v>
      </c>
      <c r="S799" s="68"/>
      <c r="T799" s="68"/>
      <c r="U799" s="68"/>
      <c r="V799" s="68"/>
      <c r="W799" s="68"/>
      <c r="X799" s="67">
        <f>R799+V799</f>
        <v>0</v>
      </c>
      <c r="Y799" s="67">
        <f>R799+H799</f>
        <v>0</v>
      </c>
      <c r="Z799" s="67">
        <f>D799-Y799</f>
        <v>23411354.460000001</v>
      </c>
      <c r="AA799" s="67">
        <f>N799+X799</f>
        <v>0</v>
      </c>
      <c r="AB799" s="67">
        <f>+D799-N799-X799</f>
        <v>23411354.460000001</v>
      </c>
      <c r="AC799" s="49" t="s">
        <v>53</v>
      </c>
      <c r="AD799" s="94">
        <f>D724+D731+D745+D753+D761+D768+D792</f>
        <v>74002950.75999999</v>
      </c>
      <c r="AE799" s="94">
        <f>E724+E731+E745+E753+E761+E768+E792</f>
        <v>0</v>
      </c>
      <c r="AF799" s="94">
        <f>F724+F731+F745+F753+F761+F768+F792</f>
        <v>0</v>
      </c>
      <c r="AG799" s="94">
        <f t="shared" si="268"/>
        <v>0</v>
      </c>
      <c r="AH799" s="94">
        <f>L724+L731+L745+L753+L761+L768+L792</f>
        <v>0</v>
      </c>
      <c r="AI799" s="94">
        <f t="shared" si="269"/>
        <v>0</v>
      </c>
      <c r="AJ799" s="94">
        <f>O724+O731+O745+O753+O761+O768+O792</f>
        <v>47380407.769999996</v>
      </c>
      <c r="AK799" s="94">
        <f>P724+P731+P745+P753+P761+P768+P792</f>
        <v>0</v>
      </c>
      <c r="AL799" s="94">
        <f t="shared" si="270"/>
        <v>47380407.769999996</v>
      </c>
      <c r="AM799" s="94">
        <f>V724+V731+V745+V753+V761+V768+V792</f>
        <v>0</v>
      </c>
      <c r="AN799" s="94">
        <f t="shared" si="271"/>
        <v>47380407.769999996</v>
      </c>
      <c r="AO799" s="94">
        <f t="shared" si="272"/>
        <v>47380407.769999996</v>
      </c>
      <c r="AP799" s="94">
        <f t="shared" si="273"/>
        <v>26622542.989999995</v>
      </c>
      <c r="AQ799" s="94">
        <f t="shared" si="274"/>
        <v>26622542.989999995</v>
      </c>
    </row>
    <row r="800" spans="1:43" x14ac:dyDescent="0.25">
      <c r="A800" s="46"/>
      <c r="B800" s="26"/>
      <c r="C800" s="4" t="s">
        <v>36</v>
      </c>
      <c r="D800" s="68">
        <v>53104</v>
      </c>
      <c r="E800" s="68">
        <v>53104</v>
      </c>
      <c r="F800" s="68"/>
      <c r="G800" s="68"/>
      <c r="H800" s="67">
        <f>+E800+F800</f>
        <v>53104</v>
      </c>
      <c r="I800" s="68"/>
      <c r="J800" s="68"/>
      <c r="K800" s="68"/>
      <c r="L800" s="68"/>
      <c r="M800" s="68"/>
      <c r="N800" s="67">
        <f>H800+L800</f>
        <v>53104</v>
      </c>
      <c r="O800" s="68"/>
      <c r="P800" s="68"/>
      <c r="Q800" s="68"/>
      <c r="R800" s="67">
        <f>O800+P800</f>
        <v>0</v>
      </c>
      <c r="S800" s="68"/>
      <c r="T800" s="68"/>
      <c r="U800" s="68"/>
      <c r="V800" s="68"/>
      <c r="W800" s="68"/>
      <c r="X800" s="67">
        <f>R800+V800</f>
        <v>0</v>
      </c>
      <c r="Y800" s="67">
        <f>R800+H800</f>
        <v>53104</v>
      </c>
      <c r="Z800" s="67">
        <f>D800-Y800</f>
        <v>0</v>
      </c>
      <c r="AA800" s="67">
        <f>N800+X800</f>
        <v>53104</v>
      </c>
      <c r="AB800" s="67">
        <f>+D800-N800-X800</f>
        <v>0</v>
      </c>
      <c r="AC800" s="49" t="s">
        <v>54</v>
      </c>
      <c r="AD800" s="94">
        <f>D725+D732+D747+D754+D762+D770+D793</f>
        <v>59629873.470000006</v>
      </c>
      <c r="AE800" s="94">
        <f>E725+E732+E747+E754+E762+E770+E793</f>
        <v>0</v>
      </c>
      <c r="AF800" s="94">
        <f>F725+F732+F747+F754+F762+F770+F793</f>
        <v>0</v>
      </c>
      <c r="AG800" s="94">
        <f t="shared" si="268"/>
        <v>0</v>
      </c>
      <c r="AH800" s="94">
        <f>L725+L732+L747+L754+L762+L770+L793</f>
        <v>0</v>
      </c>
      <c r="AI800" s="94">
        <f t="shared" si="269"/>
        <v>0</v>
      </c>
      <c r="AJ800" s="94">
        <f>O725+O732+O747+O754+O762+O770+O793</f>
        <v>70476834.370000005</v>
      </c>
      <c r="AK800" s="94">
        <f>P725+P732+P747+P754+P762+P770+P793</f>
        <v>0</v>
      </c>
      <c r="AL800" s="94">
        <f t="shared" si="270"/>
        <v>70476834.370000005</v>
      </c>
      <c r="AM800" s="94">
        <f>V725+V732+V747+V754+V762+V770+V793</f>
        <v>0</v>
      </c>
      <c r="AN800" s="94">
        <f t="shared" si="271"/>
        <v>70476834.370000005</v>
      </c>
      <c r="AO800" s="94">
        <f t="shared" si="272"/>
        <v>70476834.370000005</v>
      </c>
      <c r="AP800" s="94">
        <f t="shared" si="273"/>
        <v>-10846960.899999999</v>
      </c>
      <c r="AQ800" s="94">
        <f t="shared" si="274"/>
        <v>-10846960.899999999</v>
      </c>
    </row>
    <row r="801" spans="1:43" x14ac:dyDescent="0.25">
      <c r="A801" s="46"/>
      <c r="B801" s="26"/>
      <c r="C801" s="4" t="s">
        <v>38</v>
      </c>
      <c r="D801" s="68">
        <v>6124700</v>
      </c>
      <c r="E801" s="68"/>
      <c r="F801" s="68"/>
      <c r="G801" s="68"/>
      <c r="H801" s="67">
        <f>+E801+F801</f>
        <v>0</v>
      </c>
      <c r="I801" s="68"/>
      <c r="J801" s="68"/>
      <c r="K801" s="68"/>
      <c r="L801" s="68"/>
      <c r="M801" s="68"/>
      <c r="N801" s="67">
        <f>H801+L801</f>
        <v>0</v>
      </c>
      <c r="O801" s="68"/>
      <c r="P801" s="68"/>
      <c r="Q801" s="68"/>
      <c r="R801" s="67">
        <f>O801+P801</f>
        <v>0</v>
      </c>
      <c r="S801" s="68"/>
      <c r="T801" s="68"/>
      <c r="U801" s="68"/>
      <c r="V801" s="68"/>
      <c r="W801" s="68"/>
      <c r="X801" s="67">
        <f>R801+V801</f>
        <v>0</v>
      </c>
      <c r="Y801" s="67">
        <f>R801+H801</f>
        <v>0</v>
      </c>
      <c r="Z801" s="67">
        <f>D801-Y801</f>
        <v>6124700</v>
      </c>
      <c r="AA801" s="67">
        <f>N801+X801</f>
        <v>0</v>
      </c>
      <c r="AB801" s="67">
        <f>+D801-N801-X801</f>
        <v>6124700</v>
      </c>
      <c r="AC801" s="49" t="s">
        <v>38</v>
      </c>
      <c r="AD801" s="94">
        <f>D738+D746+D769+D779+D801</f>
        <v>13875036.609999999</v>
      </c>
      <c r="AE801" s="94">
        <f>E738+E746+E769+E779+E801</f>
        <v>0</v>
      </c>
      <c r="AF801" s="94">
        <f>F738+F746+F769+F779+F801</f>
        <v>0</v>
      </c>
      <c r="AG801" s="94">
        <f t="shared" si="268"/>
        <v>0</v>
      </c>
      <c r="AH801" s="94">
        <f>L738+L746+L769+L779+L801</f>
        <v>0</v>
      </c>
      <c r="AI801" s="94">
        <f t="shared" si="269"/>
        <v>0</v>
      </c>
      <c r="AJ801" s="94">
        <f>O738+O746+O769+O779+O801</f>
        <v>0</v>
      </c>
      <c r="AK801" s="94">
        <f>P738+P746+P769+P779+P801</f>
        <v>0</v>
      </c>
      <c r="AL801" s="94">
        <f t="shared" si="270"/>
        <v>0</v>
      </c>
      <c r="AM801" s="94">
        <f>V738+V746+V769+V779+V801</f>
        <v>0</v>
      </c>
      <c r="AN801" s="94">
        <f t="shared" si="271"/>
        <v>0</v>
      </c>
      <c r="AO801" s="94">
        <f t="shared" si="272"/>
        <v>0</v>
      </c>
      <c r="AP801" s="94">
        <f t="shared" si="273"/>
        <v>13875036.609999999</v>
      </c>
      <c r="AQ801" s="94">
        <f t="shared" si="274"/>
        <v>13875036.609999999</v>
      </c>
    </row>
    <row r="802" spans="1:43" x14ac:dyDescent="0.25">
      <c r="A802" s="46"/>
      <c r="B802" s="26"/>
      <c r="C802" s="4"/>
      <c r="D802" s="70" t="s">
        <v>40</v>
      </c>
      <c r="E802" s="70" t="s">
        <v>40</v>
      </c>
      <c r="F802" s="70" t="s">
        <v>40</v>
      </c>
      <c r="G802" s="70"/>
      <c r="H802" s="70" t="s">
        <v>40</v>
      </c>
      <c r="I802" s="70" t="s">
        <v>40</v>
      </c>
      <c r="J802" s="70" t="s">
        <v>40</v>
      </c>
      <c r="K802" s="70" t="s">
        <v>40</v>
      </c>
      <c r="L802" s="70" t="s">
        <v>40</v>
      </c>
      <c r="M802" s="70"/>
      <c r="N802" s="70" t="s">
        <v>40</v>
      </c>
      <c r="O802" s="70" t="s">
        <v>40</v>
      </c>
      <c r="P802" s="70" t="s">
        <v>40</v>
      </c>
      <c r="Q802" s="70"/>
      <c r="R802" s="70" t="s">
        <v>40</v>
      </c>
      <c r="S802" s="70" t="s">
        <v>40</v>
      </c>
      <c r="T802" s="70" t="s">
        <v>40</v>
      </c>
      <c r="U802" s="70" t="s">
        <v>40</v>
      </c>
      <c r="V802" s="70" t="s">
        <v>40</v>
      </c>
      <c r="W802" s="70"/>
      <c r="X802" s="70" t="s">
        <v>40</v>
      </c>
      <c r="Y802" s="70" t="s">
        <v>40</v>
      </c>
      <c r="Z802" s="70" t="s">
        <v>40</v>
      </c>
      <c r="AA802" s="70" t="s">
        <v>40</v>
      </c>
      <c r="AB802" s="70" t="s">
        <v>40</v>
      </c>
      <c r="AC802" s="49" t="s">
        <v>261</v>
      </c>
      <c r="AD802" s="94">
        <f>D739+D755</f>
        <v>2038170.86</v>
      </c>
      <c r="AE802" s="94">
        <f>E739+E755</f>
        <v>0</v>
      </c>
      <c r="AF802" s="94">
        <f>F739+F755</f>
        <v>0</v>
      </c>
      <c r="AG802" s="94">
        <f t="shared" si="268"/>
        <v>0</v>
      </c>
      <c r="AH802" s="94">
        <f>L739+L755</f>
        <v>0</v>
      </c>
      <c r="AI802" s="94">
        <f t="shared" si="269"/>
        <v>0</v>
      </c>
      <c r="AJ802" s="94">
        <f>O739+O755</f>
        <v>0</v>
      </c>
      <c r="AK802" s="94">
        <f>P739+P755</f>
        <v>0</v>
      </c>
      <c r="AL802" s="94">
        <f t="shared" si="270"/>
        <v>0</v>
      </c>
      <c r="AM802" s="94">
        <f>V739+V755</f>
        <v>0</v>
      </c>
      <c r="AN802" s="94">
        <f t="shared" si="271"/>
        <v>0</v>
      </c>
      <c r="AO802" s="94">
        <f t="shared" si="272"/>
        <v>0</v>
      </c>
      <c r="AP802" s="94">
        <f t="shared" si="273"/>
        <v>2038170.86</v>
      </c>
      <c r="AQ802" s="94">
        <f t="shared" si="274"/>
        <v>2038170.86</v>
      </c>
    </row>
    <row r="803" spans="1:43" x14ac:dyDescent="0.25">
      <c r="A803" s="46"/>
      <c r="B803" s="26"/>
      <c r="C803" s="4"/>
      <c r="D803" s="68">
        <f>SUM(D799:D801)</f>
        <v>29589158.460000001</v>
      </c>
      <c r="E803" s="68">
        <f t="shared" ref="E803:AB803" si="275">SUM(E799:E801)</f>
        <v>53104</v>
      </c>
      <c r="F803" s="68">
        <f t="shared" si="275"/>
        <v>0</v>
      </c>
      <c r="G803" s="68"/>
      <c r="H803" s="68">
        <f t="shared" si="275"/>
        <v>53104</v>
      </c>
      <c r="I803" s="68">
        <f t="shared" si="275"/>
        <v>0</v>
      </c>
      <c r="J803" s="68">
        <f t="shared" si="275"/>
        <v>0</v>
      </c>
      <c r="K803" s="68">
        <f t="shared" si="275"/>
        <v>0</v>
      </c>
      <c r="L803" s="68">
        <f t="shared" si="275"/>
        <v>0</v>
      </c>
      <c r="M803" s="68"/>
      <c r="N803" s="68">
        <f t="shared" si="275"/>
        <v>53104</v>
      </c>
      <c r="O803" s="68">
        <f t="shared" si="275"/>
        <v>0</v>
      </c>
      <c r="P803" s="68">
        <f t="shared" si="275"/>
        <v>0</v>
      </c>
      <c r="Q803" s="68"/>
      <c r="R803" s="68">
        <f t="shared" si="275"/>
        <v>0</v>
      </c>
      <c r="S803" s="68">
        <f t="shared" si="275"/>
        <v>0</v>
      </c>
      <c r="T803" s="68">
        <f t="shared" si="275"/>
        <v>0</v>
      </c>
      <c r="U803" s="68">
        <f t="shared" si="275"/>
        <v>0</v>
      </c>
      <c r="V803" s="68">
        <f t="shared" si="275"/>
        <v>0</v>
      </c>
      <c r="W803" s="68"/>
      <c r="X803" s="68">
        <f t="shared" si="275"/>
        <v>0</v>
      </c>
      <c r="Y803" s="68">
        <f t="shared" si="275"/>
        <v>53104</v>
      </c>
      <c r="Z803" s="68">
        <f t="shared" si="275"/>
        <v>29536054.460000001</v>
      </c>
      <c r="AA803" s="68">
        <f t="shared" si="275"/>
        <v>53104</v>
      </c>
      <c r="AB803" s="68">
        <f t="shared" si="275"/>
        <v>29536054.460000001</v>
      </c>
      <c r="AC803" s="49" t="s">
        <v>208</v>
      </c>
      <c r="AD803" s="94">
        <f>+D778</f>
        <v>240154.84</v>
      </c>
      <c r="AE803" s="94">
        <f>+E778</f>
        <v>0</v>
      </c>
      <c r="AF803" s="94">
        <f>+F778</f>
        <v>0</v>
      </c>
      <c r="AG803" s="94">
        <f t="shared" si="268"/>
        <v>0</v>
      </c>
      <c r="AH803" s="94">
        <f>+L778</f>
        <v>0</v>
      </c>
      <c r="AI803" s="94">
        <f t="shared" si="269"/>
        <v>0</v>
      </c>
      <c r="AJ803" s="94">
        <f>+O778</f>
        <v>0</v>
      </c>
      <c r="AK803" s="94">
        <f>+P778</f>
        <v>0</v>
      </c>
      <c r="AL803" s="94">
        <f t="shared" si="270"/>
        <v>0</v>
      </c>
      <c r="AM803" s="94">
        <f>+V778</f>
        <v>0</v>
      </c>
      <c r="AN803" s="94">
        <f t="shared" si="271"/>
        <v>0</v>
      </c>
      <c r="AO803" s="94">
        <f t="shared" si="272"/>
        <v>0</v>
      </c>
      <c r="AP803" s="94">
        <f t="shared" si="273"/>
        <v>240154.84</v>
      </c>
      <c r="AQ803" s="94">
        <f t="shared" si="274"/>
        <v>240154.84</v>
      </c>
    </row>
    <row r="804" spans="1:43" x14ac:dyDescent="0.25">
      <c r="A804" s="46"/>
      <c r="B804" s="36" t="s">
        <v>3</v>
      </c>
      <c r="C804" s="4"/>
      <c r="D804" s="70" t="s">
        <v>40</v>
      </c>
      <c r="E804" s="70" t="s">
        <v>40</v>
      </c>
      <c r="F804" s="70" t="s">
        <v>40</v>
      </c>
      <c r="G804" s="70"/>
      <c r="H804" s="70" t="s">
        <v>40</v>
      </c>
      <c r="I804" s="70" t="s">
        <v>40</v>
      </c>
      <c r="J804" s="70" t="s">
        <v>40</v>
      </c>
      <c r="K804" s="70" t="s">
        <v>40</v>
      </c>
      <c r="L804" s="70" t="s">
        <v>40</v>
      </c>
      <c r="M804" s="70"/>
      <c r="N804" s="70" t="s">
        <v>40</v>
      </c>
      <c r="O804" s="70" t="s">
        <v>40</v>
      </c>
      <c r="P804" s="70" t="s">
        <v>40</v>
      </c>
      <c r="Q804" s="70"/>
      <c r="R804" s="70" t="s">
        <v>40</v>
      </c>
      <c r="S804" s="70" t="s">
        <v>40</v>
      </c>
      <c r="T804" s="70" t="s">
        <v>40</v>
      </c>
      <c r="U804" s="70" t="s">
        <v>40</v>
      </c>
      <c r="V804" s="70" t="s">
        <v>40</v>
      </c>
      <c r="W804" s="70"/>
      <c r="X804" s="70" t="s">
        <v>40</v>
      </c>
      <c r="Y804" s="70" t="s">
        <v>40</v>
      </c>
      <c r="Z804" s="70" t="s">
        <v>40</v>
      </c>
      <c r="AA804" s="70" t="s">
        <v>40</v>
      </c>
      <c r="AB804" s="70" t="s">
        <v>40</v>
      </c>
      <c r="AC804" s="53" t="s">
        <v>274</v>
      </c>
      <c r="AD804" s="94">
        <f>+D785</f>
        <v>1300000</v>
      </c>
      <c r="AE804" s="94">
        <f>+E785</f>
        <v>1300000</v>
      </c>
      <c r="AF804" s="94">
        <f>+F785</f>
        <v>0</v>
      </c>
      <c r="AG804" s="94">
        <f t="shared" si="268"/>
        <v>1300000</v>
      </c>
      <c r="AH804" s="94">
        <f>+L785</f>
        <v>0</v>
      </c>
      <c r="AI804" s="94">
        <f t="shared" si="269"/>
        <v>1300000</v>
      </c>
      <c r="AJ804" s="94">
        <f>+O785</f>
        <v>0</v>
      </c>
      <c r="AK804" s="94">
        <f>+P785</f>
        <v>0</v>
      </c>
      <c r="AL804" s="94">
        <f t="shared" si="270"/>
        <v>0</v>
      </c>
      <c r="AM804" s="94">
        <f>+V785</f>
        <v>0</v>
      </c>
      <c r="AN804" s="94">
        <f t="shared" si="271"/>
        <v>0</v>
      </c>
      <c r="AO804" s="94">
        <f t="shared" si="272"/>
        <v>1300000</v>
      </c>
      <c r="AP804" s="94">
        <f t="shared" si="273"/>
        <v>0</v>
      </c>
      <c r="AQ804" s="94">
        <f t="shared" si="274"/>
        <v>0</v>
      </c>
    </row>
    <row r="805" spans="1:43" x14ac:dyDescent="0.25">
      <c r="A805" s="46"/>
      <c r="B805" s="26"/>
      <c r="C805" s="21" t="s">
        <v>210</v>
      </c>
      <c r="D805" s="68">
        <f>D727+D734+D741+D749+D757+D764+D772+D781+D787+D795+D803</f>
        <v>300113858.15999997</v>
      </c>
      <c r="E805" s="68">
        <f>E727+E734+E741+E749+E757+E764+E772+E781+E787+E795+E803</f>
        <v>27263144</v>
      </c>
      <c r="F805" s="68">
        <f>F727+F734+F741+F749+F757+F764+F772+F781+F787+F795+F803</f>
        <v>0</v>
      </c>
      <c r="G805" s="68"/>
      <c r="H805" s="68">
        <f>H727+H734+H741+H749+H757+H764+H772+H781+H787+H795+H803</f>
        <v>27263144</v>
      </c>
      <c r="I805" s="68">
        <f>I727+I734+I741+I749+I757+I764+I772+I781+I787+I795+I803</f>
        <v>0</v>
      </c>
      <c r="J805" s="68">
        <f>J727+J734+J741+J749+J757+J764+J772+J781+J787+J795+J803</f>
        <v>0</v>
      </c>
      <c r="K805" s="68">
        <f>K727+K734+K741+K749+K757+K764+K772+K781+K787+K795+K803</f>
        <v>0</v>
      </c>
      <c r="L805" s="68">
        <f>L727+L734+L741+L749+L757+L764+L772+L781+L787+L795+L803</f>
        <v>0</v>
      </c>
      <c r="M805" s="68"/>
      <c r="N805" s="68">
        <f>N727+N734+N741+N749+N757+N764+N772+N781+N787+N795+N803</f>
        <v>27263144</v>
      </c>
      <c r="O805" s="68">
        <f>O727+O734+O741+O749+O757+O764+O772+O781+O787+O795+O803</f>
        <v>118292617.34</v>
      </c>
      <c r="P805" s="68">
        <f>P727+P734+P741+P749+P757+P764+P772+P781+P787+P795+P803</f>
        <v>0</v>
      </c>
      <c r="Q805" s="68"/>
      <c r="R805" s="68">
        <f>R727+R734+R741+R749+R757+R764+R772+R781+R787+R795+R803</f>
        <v>118292617.34</v>
      </c>
      <c r="S805" s="68">
        <f>S727+S734+S741+S749+S757+S764+S772+S781+S787+S795+S803</f>
        <v>0</v>
      </c>
      <c r="T805" s="68">
        <f>T727+T734+T741+T749+T757+T764+T772+T781+T787+T795+T803</f>
        <v>0</v>
      </c>
      <c r="U805" s="68">
        <f>U727+U734+U741+U749+U757+U764+U772+U781+U787+U795+U803</f>
        <v>0</v>
      </c>
      <c r="V805" s="68">
        <f>V727+V734+V741+V749+V757+V764+V772+V781+V787+V795+V803</f>
        <v>0</v>
      </c>
      <c r="W805" s="68"/>
      <c r="X805" s="68">
        <f>X727+X734+X741+X749+X757+X764+X772+X781+X787+X795+X803</f>
        <v>118292617.34</v>
      </c>
      <c r="Y805" s="68">
        <f>Y727+Y734+Y741+Y749+Y757+Y764+Y772+Y781+Y787+Y795+Y803</f>
        <v>145555761.34</v>
      </c>
      <c r="Z805" s="68">
        <f>Z727+Z734+Z741+Z749+Z757+Z764+Z772+Z781+Z787+Z795+Z803</f>
        <v>154558096.81999999</v>
      </c>
      <c r="AA805" s="68">
        <f>AA727+AA734+AA741+AA749+AA757+AA764+AA772+AA781+AA787+AA795+AA803</f>
        <v>145555761.34</v>
      </c>
      <c r="AB805" s="68">
        <f>AB727+AB734+AB741+AB749+AB757+AB764+AB772+AB781+AB787+AB795+AB803</f>
        <v>154558096.81999999</v>
      </c>
      <c r="AD805" s="95">
        <f>SUM(AD796:AD804)</f>
        <v>300113858.16000003</v>
      </c>
      <c r="AE805" s="95">
        <f t="shared" ref="AE805:AQ805" si="276">SUM(AE796:AE804)</f>
        <v>27263144</v>
      </c>
      <c r="AF805" s="95">
        <f t="shared" si="276"/>
        <v>0</v>
      </c>
      <c r="AG805" s="95">
        <f t="shared" si="276"/>
        <v>27263144</v>
      </c>
      <c r="AH805" s="95">
        <f t="shared" si="276"/>
        <v>0</v>
      </c>
      <c r="AI805" s="95">
        <f t="shared" si="276"/>
        <v>27263144</v>
      </c>
      <c r="AJ805" s="95">
        <f t="shared" si="276"/>
        <v>118292617.34</v>
      </c>
      <c r="AK805" s="95">
        <f t="shared" si="276"/>
        <v>0</v>
      </c>
      <c r="AL805" s="95">
        <f t="shared" si="276"/>
        <v>118292617.34</v>
      </c>
      <c r="AM805" s="95">
        <f t="shared" si="276"/>
        <v>0</v>
      </c>
      <c r="AN805" s="95">
        <f t="shared" si="276"/>
        <v>118292617.34</v>
      </c>
      <c r="AO805" s="95">
        <f t="shared" si="276"/>
        <v>145555761.34</v>
      </c>
      <c r="AP805" s="95">
        <f t="shared" si="276"/>
        <v>154558096.82000002</v>
      </c>
      <c r="AQ805" s="95">
        <f t="shared" si="276"/>
        <v>154558096.82000002</v>
      </c>
    </row>
    <row r="806" spans="1:43" x14ac:dyDescent="0.25">
      <c r="A806" s="46"/>
      <c r="B806" s="26"/>
      <c r="C806" s="4"/>
      <c r="D806" s="70" t="s">
        <v>50</v>
      </c>
      <c r="E806" s="70" t="s">
        <v>50</v>
      </c>
      <c r="F806" s="70" t="s">
        <v>50</v>
      </c>
      <c r="G806" s="70"/>
      <c r="H806" s="70" t="s">
        <v>50</v>
      </c>
      <c r="I806" s="70" t="s">
        <v>50</v>
      </c>
      <c r="J806" s="70" t="s">
        <v>50</v>
      </c>
      <c r="K806" s="70" t="s">
        <v>50</v>
      </c>
      <c r="L806" s="70" t="s">
        <v>50</v>
      </c>
      <c r="M806" s="70"/>
      <c r="N806" s="70" t="s">
        <v>50</v>
      </c>
      <c r="O806" s="70" t="s">
        <v>50</v>
      </c>
      <c r="P806" s="70" t="s">
        <v>50</v>
      </c>
      <c r="Q806" s="70"/>
      <c r="R806" s="70" t="s">
        <v>50</v>
      </c>
      <c r="S806" s="70" t="s">
        <v>50</v>
      </c>
      <c r="T806" s="70" t="s">
        <v>50</v>
      </c>
      <c r="U806" s="70" t="s">
        <v>50</v>
      </c>
      <c r="V806" s="70" t="s">
        <v>50</v>
      </c>
      <c r="W806" s="70"/>
      <c r="X806" s="70" t="s">
        <v>50</v>
      </c>
      <c r="Y806" s="70" t="s">
        <v>50</v>
      </c>
      <c r="Z806" s="70" t="s">
        <v>50</v>
      </c>
      <c r="AA806" s="70" t="s">
        <v>50</v>
      </c>
      <c r="AB806" s="70" t="s">
        <v>50</v>
      </c>
    </row>
    <row r="807" spans="1:43" x14ac:dyDescent="0.25">
      <c r="A807" s="46"/>
      <c r="B807" s="26"/>
      <c r="C807" s="20"/>
      <c r="D807" s="75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</row>
    <row r="808" spans="1:43" x14ac:dyDescent="0.25">
      <c r="C808" s="4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</row>
    <row r="809" spans="1:43" ht="19.5" x14ac:dyDescent="0.35">
      <c r="A809" s="46"/>
      <c r="B809" s="47" t="s">
        <v>105</v>
      </c>
      <c r="C809" s="4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</row>
    <row r="810" spans="1:43" x14ac:dyDescent="0.25">
      <c r="A810" s="46"/>
      <c r="B810" s="23"/>
      <c r="C810" s="4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</row>
    <row r="811" spans="1:43" x14ac:dyDescent="0.25">
      <c r="A811" s="46">
        <v>89</v>
      </c>
      <c r="B811" s="23" t="s">
        <v>106</v>
      </c>
      <c r="C811" s="2" t="s">
        <v>35</v>
      </c>
      <c r="D811" s="67">
        <v>54026747.210000001</v>
      </c>
      <c r="E811" s="67">
        <v>0</v>
      </c>
      <c r="F811" s="68"/>
      <c r="G811" s="68"/>
      <c r="H811" s="67">
        <f>E811+F811</f>
        <v>0</v>
      </c>
      <c r="I811" s="68"/>
      <c r="J811" s="68"/>
      <c r="K811" s="68"/>
      <c r="L811" s="67"/>
      <c r="M811" s="67"/>
      <c r="N811" s="67">
        <f>H811+L811</f>
        <v>0</v>
      </c>
      <c r="O811" s="67">
        <f>5603896.26-5603896.26</f>
        <v>0</v>
      </c>
      <c r="P811" s="68"/>
      <c r="Q811" s="68"/>
      <c r="R811" s="67">
        <f>O811+P811</f>
        <v>0</v>
      </c>
      <c r="S811" s="67"/>
      <c r="T811" s="68"/>
      <c r="U811" s="68"/>
      <c r="V811" s="67"/>
      <c r="W811" s="67"/>
      <c r="X811" s="67">
        <f>R811+V811</f>
        <v>0</v>
      </c>
      <c r="Y811" s="67">
        <f>R811+H811</f>
        <v>0</v>
      </c>
      <c r="Z811" s="67">
        <f>D811-Y811</f>
        <v>54026747.210000001</v>
      </c>
      <c r="AA811" s="67">
        <f>N811+X811</f>
        <v>0</v>
      </c>
      <c r="AB811" s="67">
        <f>+D811-N811-X811</f>
        <v>54026747.210000001</v>
      </c>
    </row>
    <row r="812" spans="1:43" x14ac:dyDescent="0.25">
      <c r="A812" s="46"/>
      <c r="B812" s="26"/>
      <c r="C812" s="3" t="s">
        <v>36</v>
      </c>
      <c r="D812" s="67">
        <f>514010.67+1980429.02+300000</f>
        <v>2794439.69</v>
      </c>
      <c r="E812" s="67">
        <f>514010.67+1980429.02+300000</f>
        <v>2794439.69</v>
      </c>
      <c r="F812" s="68"/>
      <c r="G812" s="68"/>
      <c r="H812" s="67">
        <f>E812+F812</f>
        <v>2794439.69</v>
      </c>
      <c r="I812" s="68"/>
      <c r="J812" s="68"/>
      <c r="K812" s="68"/>
      <c r="L812" s="67"/>
      <c r="M812" s="67"/>
      <c r="N812" s="67">
        <f>H812+L812</f>
        <v>2794439.69</v>
      </c>
      <c r="O812" s="67">
        <v>0</v>
      </c>
      <c r="P812" s="68"/>
      <c r="Q812" s="68"/>
      <c r="R812" s="67">
        <f>O812+P812</f>
        <v>0</v>
      </c>
      <c r="S812" s="67"/>
      <c r="T812" s="68"/>
      <c r="U812" s="68"/>
      <c r="V812" s="67"/>
      <c r="W812" s="67"/>
      <c r="X812" s="67">
        <f>R812+V812</f>
        <v>0</v>
      </c>
      <c r="Y812" s="67">
        <f>R812+H812</f>
        <v>2794439.69</v>
      </c>
      <c r="Z812" s="67">
        <f>D812-Y812</f>
        <v>0</v>
      </c>
      <c r="AA812" s="67">
        <f>N812+X812</f>
        <v>2794439.69</v>
      </c>
      <c r="AB812" s="67">
        <f>+D812-N812-X812</f>
        <v>0</v>
      </c>
    </row>
    <row r="813" spans="1:43" x14ac:dyDescent="0.25">
      <c r="A813" s="46"/>
      <c r="B813" s="26"/>
      <c r="C813" s="3" t="s">
        <v>137</v>
      </c>
      <c r="D813" s="67">
        <v>0</v>
      </c>
      <c r="E813" s="67">
        <v>0</v>
      </c>
      <c r="F813" s="68"/>
      <c r="G813" s="68"/>
      <c r="H813" s="67">
        <f>E813+F813</f>
        <v>0</v>
      </c>
      <c r="I813" s="68"/>
      <c r="J813" s="68"/>
      <c r="K813" s="68"/>
      <c r="L813" s="67"/>
      <c r="M813" s="67"/>
      <c r="N813" s="67">
        <f>H813+L813</f>
        <v>0</v>
      </c>
      <c r="O813" s="67">
        <v>0</v>
      </c>
      <c r="P813" s="68"/>
      <c r="Q813" s="68"/>
      <c r="R813" s="67">
        <f>O813+P813</f>
        <v>0</v>
      </c>
      <c r="S813" s="67"/>
      <c r="T813" s="68"/>
      <c r="U813" s="68"/>
      <c r="V813" s="67"/>
      <c r="W813" s="67"/>
      <c r="X813" s="67">
        <f>R813+V813</f>
        <v>0</v>
      </c>
      <c r="Y813" s="67">
        <f>R813+H813</f>
        <v>0</v>
      </c>
      <c r="Z813" s="67">
        <f>D813-Y813</f>
        <v>0</v>
      </c>
      <c r="AA813" s="67">
        <f>N813+X813</f>
        <v>0</v>
      </c>
      <c r="AB813" s="67">
        <f>+D813-N813-X813</f>
        <v>0</v>
      </c>
    </row>
    <row r="814" spans="1:43" x14ac:dyDescent="0.25">
      <c r="A814" s="46"/>
      <c r="B814" s="26"/>
      <c r="C814" s="2" t="s">
        <v>37</v>
      </c>
      <c r="D814" s="67">
        <v>27370539.489999998</v>
      </c>
      <c r="E814" s="67">
        <v>0</v>
      </c>
      <c r="F814" s="68"/>
      <c r="G814" s="68"/>
      <c r="H814" s="67">
        <f>E814+F814</f>
        <v>0</v>
      </c>
      <c r="I814" s="68"/>
      <c r="J814" s="68"/>
      <c r="K814" s="68"/>
      <c r="L814" s="67"/>
      <c r="M814" s="98"/>
      <c r="N814" s="67">
        <f>H814+L814</f>
        <v>0</v>
      </c>
      <c r="O814" s="67">
        <v>107039.55</v>
      </c>
      <c r="P814" s="68"/>
      <c r="Q814" s="68"/>
      <c r="R814" s="67">
        <f>O814+P814</f>
        <v>107039.55</v>
      </c>
      <c r="S814" s="67"/>
      <c r="T814" s="68"/>
      <c r="U814" s="68"/>
      <c r="V814" s="67"/>
      <c r="W814" s="98"/>
      <c r="X814" s="67">
        <f>R814+V814</f>
        <v>107039.55</v>
      </c>
      <c r="Y814" s="67">
        <f>R814+H814</f>
        <v>107039.55</v>
      </c>
      <c r="Z814" s="67">
        <f>D814-Y814</f>
        <v>27263499.939999998</v>
      </c>
      <c r="AA814" s="67">
        <f>N814+X814</f>
        <v>107039.55</v>
      </c>
      <c r="AB814" s="67">
        <f>+D814-N814-X814</f>
        <v>27263499.939999998</v>
      </c>
    </row>
    <row r="815" spans="1:43" x14ac:dyDescent="0.25">
      <c r="A815" s="46"/>
      <c r="B815" s="26"/>
      <c r="C815" s="8" t="s">
        <v>39</v>
      </c>
      <c r="D815" s="67">
        <v>481192.75</v>
      </c>
      <c r="E815" s="67">
        <v>0</v>
      </c>
      <c r="F815" s="68"/>
      <c r="G815" s="68"/>
      <c r="H815" s="67">
        <f>E815+F815</f>
        <v>0</v>
      </c>
      <c r="I815" s="68"/>
      <c r="J815" s="68"/>
      <c r="K815" s="68"/>
      <c r="L815" s="67"/>
      <c r="M815" s="67"/>
      <c r="N815" s="67">
        <f>H815+L815</f>
        <v>0</v>
      </c>
      <c r="O815" s="67">
        <v>0</v>
      </c>
      <c r="P815" s="68"/>
      <c r="Q815" s="68"/>
      <c r="R815" s="67">
        <f>O815+P815</f>
        <v>0</v>
      </c>
      <c r="S815" s="68"/>
      <c r="T815" s="68"/>
      <c r="U815" s="68"/>
      <c r="V815" s="67"/>
      <c r="W815" s="67"/>
      <c r="X815" s="67">
        <f>R815+V815</f>
        <v>0</v>
      </c>
      <c r="Y815" s="67">
        <f>R815+H815</f>
        <v>0</v>
      </c>
      <c r="Z815" s="67">
        <f>D815-Y815</f>
        <v>481192.75</v>
      </c>
      <c r="AA815" s="67">
        <f>N815+X815</f>
        <v>0</v>
      </c>
      <c r="AB815" s="67">
        <f>+D815-N815-X815</f>
        <v>481192.75</v>
      </c>
    </row>
    <row r="816" spans="1:43" x14ac:dyDescent="0.25">
      <c r="A816" s="46"/>
      <c r="B816" s="26"/>
      <c r="C816" s="4"/>
      <c r="D816" s="70" t="s">
        <v>40</v>
      </c>
      <c r="E816" s="70" t="s">
        <v>40</v>
      </c>
      <c r="F816" s="70" t="s">
        <v>40</v>
      </c>
      <c r="G816" s="70"/>
      <c r="H816" s="70" t="s">
        <v>40</v>
      </c>
      <c r="I816" s="70" t="s">
        <v>40</v>
      </c>
      <c r="J816" s="70" t="s">
        <v>40</v>
      </c>
      <c r="K816" s="70" t="s">
        <v>40</v>
      </c>
      <c r="L816" s="70" t="s">
        <v>40</v>
      </c>
      <c r="M816" s="70"/>
      <c r="N816" s="70" t="s">
        <v>40</v>
      </c>
      <c r="O816" s="70" t="s">
        <v>40</v>
      </c>
      <c r="P816" s="70" t="s">
        <v>40</v>
      </c>
      <c r="Q816" s="70"/>
      <c r="R816" s="70" t="s">
        <v>40</v>
      </c>
      <c r="S816" s="70" t="s">
        <v>40</v>
      </c>
      <c r="T816" s="70" t="s">
        <v>40</v>
      </c>
      <c r="U816" s="70" t="s">
        <v>40</v>
      </c>
      <c r="V816" s="70" t="s">
        <v>40</v>
      </c>
      <c r="W816" s="70"/>
      <c r="X816" s="70" t="s">
        <v>40</v>
      </c>
      <c r="Y816" s="70" t="s">
        <v>40</v>
      </c>
      <c r="Z816" s="70" t="s">
        <v>40</v>
      </c>
      <c r="AA816" s="70" t="s">
        <v>40</v>
      </c>
      <c r="AB816" s="70" t="s">
        <v>40</v>
      </c>
    </row>
    <row r="817" spans="1:28" x14ac:dyDescent="0.25">
      <c r="A817" s="46"/>
      <c r="B817" s="30"/>
      <c r="C817" s="4"/>
      <c r="D817" s="67">
        <f t="shared" ref="D817:AB817" si="277">SUM(D811:D815)</f>
        <v>84672919.140000001</v>
      </c>
      <c r="E817" s="67">
        <f t="shared" si="277"/>
        <v>2794439.69</v>
      </c>
      <c r="F817" s="67">
        <f t="shared" si="277"/>
        <v>0</v>
      </c>
      <c r="G817" s="67"/>
      <c r="H817" s="67">
        <f t="shared" si="277"/>
        <v>2794439.69</v>
      </c>
      <c r="I817" s="67">
        <f t="shared" si="277"/>
        <v>0</v>
      </c>
      <c r="J817" s="67">
        <f t="shared" si="277"/>
        <v>0</v>
      </c>
      <c r="K817" s="67">
        <f t="shared" si="277"/>
        <v>0</v>
      </c>
      <c r="L817" s="67">
        <f t="shared" si="277"/>
        <v>0</v>
      </c>
      <c r="M817" s="67"/>
      <c r="N817" s="67">
        <f t="shared" si="277"/>
        <v>2794439.69</v>
      </c>
      <c r="O817" s="67">
        <f t="shared" si="277"/>
        <v>107039.55</v>
      </c>
      <c r="P817" s="67">
        <f t="shared" si="277"/>
        <v>0</v>
      </c>
      <c r="Q817" s="67"/>
      <c r="R817" s="67">
        <f t="shared" si="277"/>
        <v>107039.55</v>
      </c>
      <c r="S817" s="67">
        <f t="shared" si="277"/>
        <v>0</v>
      </c>
      <c r="T817" s="67">
        <f t="shared" si="277"/>
        <v>0</v>
      </c>
      <c r="U817" s="67">
        <f t="shared" si="277"/>
        <v>0</v>
      </c>
      <c r="V817" s="67">
        <f t="shared" si="277"/>
        <v>0</v>
      </c>
      <c r="W817" s="67"/>
      <c r="X817" s="67">
        <f t="shared" si="277"/>
        <v>107039.55</v>
      </c>
      <c r="Y817" s="67">
        <f t="shared" si="277"/>
        <v>2901479.2399999998</v>
      </c>
      <c r="Z817" s="67">
        <f t="shared" si="277"/>
        <v>81771439.900000006</v>
      </c>
      <c r="AA817" s="67">
        <f t="shared" si="277"/>
        <v>2901479.2399999998</v>
      </c>
      <c r="AB817" s="67">
        <f t="shared" si="277"/>
        <v>81771439.900000006</v>
      </c>
    </row>
    <row r="818" spans="1:28" x14ac:dyDescent="0.25">
      <c r="A818" s="46"/>
      <c r="B818" s="4" t="s">
        <v>312</v>
      </c>
      <c r="C818" s="4"/>
      <c r="D818" s="70" t="s">
        <v>40</v>
      </c>
      <c r="E818" s="70" t="s">
        <v>40</v>
      </c>
      <c r="F818" s="70" t="s">
        <v>40</v>
      </c>
      <c r="G818" s="70"/>
      <c r="H818" s="70" t="s">
        <v>40</v>
      </c>
      <c r="I818" s="70" t="s">
        <v>40</v>
      </c>
      <c r="J818" s="70" t="s">
        <v>40</v>
      </c>
      <c r="K818" s="70" t="s">
        <v>40</v>
      </c>
      <c r="L818" s="70" t="s">
        <v>40</v>
      </c>
      <c r="M818" s="70"/>
      <c r="N818" s="70" t="s">
        <v>40</v>
      </c>
      <c r="O818" s="70" t="s">
        <v>40</v>
      </c>
      <c r="P818" s="70" t="s">
        <v>40</v>
      </c>
      <c r="Q818" s="70"/>
      <c r="R818" s="70" t="s">
        <v>40</v>
      </c>
      <c r="S818" s="70" t="s">
        <v>40</v>
      </c>
      <c r="T818" s="70" t="s">
        <v>40</v>
      </c>
      <c r="U818" s="70" t="s">
        <v>40</v>
      </c>
      <c r="V818" s="70" t="s">
        <v>40</v>
      </c>
      <c r="W818" s="70"/>
      <c r="X818" s="70" t="s">
        <v>40</v>
      </c>
      <c r="Y818" s="70" t="s">
        <v>40</v>
      </c>
      <c r="Z818" s="70" t="s">
        <v>40</v>
      </c>
      <c r="AA818" s="70" t="s">
        <v>40</v>
      </c>
      <c r="AB818" s="70" t="s">
        <v>40</v>
      </c>
    </row>
    <row r="819" spans="1:28" ht="20.25" thickBot="1" x14ac:dyDescent="0.4">
      <c r="A819" s="46"/>
      <c r="B819" s="112" t="s">
        <v>292</v>
      </c>
      <c r="C819" s="4"/>
      <c r="D819" s="113">
        <f>2771064.24+273005.45+1096300.49</f>
        <v>4140370.1800000006</v>
      </c>
      <c r="E819" s="70"/>
      <c r="F819" s="70"/>
      <c r="G819" s="70"/>
      <c r="H819" s="70"/>
      <c r="I819" s="70"/>
      <c r="J819" s="70"/>
      <c r="K819" s="70"/>
      <c r="L819" s="70"/>
      <c r="N819" s="70"/>
      <c r="O819" s="113">
        <f>2771064.24+273005.45+1096300.49</f>
        <v>4140370.1800000006</v>
      </c>
      <c r="P819" s="104"/>
      <c r="Q819" s="76"/>
      <c r="R819" s="113">
        <f>+O819+P819</f>
        <v>4140370.1800000006</v>
      </c>
      <c r="S819" s="70"/>
      <c r="T819" s="70"/>
      <c r="U819" s="70"/>
      <c r="V819" s="141">
        <v>196565.44</v>
      </c>
      <c r="X819" s="70"/>
      <c r="Y819" s="104"/>
      <c r="Z819" s="70"/>
      <c r="AA819" s="70"/>
      <c r="AB819" s="70"/>
    </row>
    <row r="820" spans="1:28" ht="16.5" thickTop="1" x14ac:dyDescent="0.25">
      <c r="A820" s="46">
        <v>90</v>
      </c>
      <c r="B820" s="23" t="s">
        <v>107</v>
      </c>
      <c r="C820" s="2" t="s">
        <v>35</v>
      </c>
      <c r="D820" s="67">
        <v>23713938.620000001</v>
      </c>
      <c r="E820" s="67">
        <v>0</v>
      </c>
      <c r="F820" s="68"/>
      <c r="G820" s="68"/>
      <c r="H820" s="67">
        <f>E820+F820</f>
        <v>0</v>
      </c>
      <c r="I820" s="67"/>
      <c r="J820" s="68"/>
      <c r="K820" s="67"/>
      <c r="L820" s="67"/>
      <c r="M820" s="67"/>
      <c r="N820" s="67">
        <f>H820+L820</f>
        <v>0</v>
      </c>
      <c r="O820" s="67">
        <v>0</v>
      </c>
      <c r="P820" s="68"/>
      <c r="Q820" s="68"/>
      <c r="R820" s="67">
        <f>O820+P820</f>
        <v>0</v>
      </c>
      <c r="S820" s="68"/>
      <c r="T820" s="68"/>
      <c r="U820" s="68"/>
      <c r="V820" s="67"/>
      <c r="W820" s="67"/>
      <c r="X820" s="67">
        <f>R820+V820</f>
        <v>0</v>
      </c>
      <c r="Y820" s="67">
        <f>R820+H820</f>
        <v>0</v>
      </c>
      <c r="Z820" s="67">
        <f>D820-Y820</f>
        <v>23713938.620000001</v>
      </c>
      <c r="AA820" s="67">
        <f>N820+X820</f>
        <v>0</v>
      </c>
      <c r="AB820" s="67">
        <f>+D820-N820-X820</f>
        <v>23713938.620000001</v>
      </c>
    </row>
    <row r="821" spans="1:28" x14ac:dyDescent="0.25">
      <c r="A821" s="46"/>
      <c r="B821" s="26"/>
      <c r="C821" s="3" t="s">
        <v>36</v>
      </c>
      <c r="D821" s="67">
        <v>1371066.55</v>
      </c>
      <c r="E821" s="67">
        <v>1371066.55</v>
      </c>
      <c r="F821" s="68"/>
      <c r="G821" s="68"/>
      <c r="H821" s="67">
        <f>E821+F821</f>
        <v>1371066.55</v>
      </c>
      <c r="I821" s="67"/>
      <c r="J821" s="68"/>
      <c r="K821" s="67"/>
      <c r="L821" s="67"/>
      <c r="M821" s="67"/>
      <c r="N821" s="67">
        <f>H821+L821</f>
        <v>1371066.55</v>
      </c>
      <c r="O821" s="67">
        <v>0</v>
      </c>
      <c r="P821" s="68"/>
      <c r="Q821" s="68"/>
      <c r="R821" s="67">
        <f>O821+P821</f>
        <v>0</v>
      </c>
      <c r="S821" s="68"/>
      <c r="T821" s="68"/>
      <c r="U821" s="68"/>
      <c r="V821" s="67"/>
      <c r="W821" s="67"/>
      <c r="X821" s="67">
        <f>R821+V821</f>
        <v>0</v>
      </c>
      <c r="Y821" s="67">
        <f>R821+H821</f>
        <v>1371066.55</v>
      </c>
      <c r="Z821" s="67">
        <f>D821-Y821</f>
        <v>0</v>
      </c>
      <c r="AA821" s="67">
        <f>N821+X821</f>
        <v>1371066.55</v>
      </c>
      <c r="AB821" s="67">
        <f>+D821-N821-X821</f>
        <v>0</v>
      </c>
    </row>
    <row r="822" spans="1:28" x14ac:dyDescent="0.25">
      <c r="A822" s="46"/>
      <c r="B822" s="26"/>
      <c r="C822" s="2" t="s">
        <v>37</v>
      </c>
      <c r="D822" s="67">
        <f>30637229.17-4800537.95</f>
        <v>25836691.220000003</v>
      </c>
      <c r="E822" s="67">
        <v>0</v>
      </c>
      <c r="F822" s="68"/>
      <c r="G822" s="68"/>
      <c r="H822" s="67">
        <f>E822+F822</f>
        <v>0</v>
      </c>
      <c r="I822" s="68"/>
      <c r="J822" s="68"/>
      <c r="K822" s="68"/>
      <c r="L822" s="67"/>
      <c r="M822" s="67"/>
      <c r="N822" s="67">
        <f>H822+L822</f>
        <v>0</v>
      </c>
      <c r="O822" s="67">
        <v>0</v>
      </c>
      <c r="P822" s="68"/>
      <c r="Q822" s="68"/>
      <c r="R822" s="67">
        <f>O822+P822</f>
        <v>0</v>
      </c>
      <c r="S822" s="68"/>
      <c r="T822" s="68"/>
      <c r="U822" s="68"/>
      <c r="V822" s="67"/>
      <c r="W822" s="67"/>
      <c r="X822" s="67">
        <f>R822+V822</f>
        <v>0</v>
      </c>
      <c r="Y822" s="67">
        <f>R822+H822</f>
        <v>0</v>
      </c>
      <c r="Z822" s="67">
        <f>D822-Y822</f>
        <v>25836691.220000003</v>
      </c>
      <c r="AA822" s="67">
        <f>N822+X822</f>
        <v>0</v>
      </c>
      <c r="AB822" s="67">
        <f>+D822-N822-X822</f>
        <v>25836691.220000003</v>
      </c>
    </row>
    <row r="823" spans="1:28" x14ac:dyDescent="0.25">
      <c r="A823" s="46"/>
      <c r="B823" s="26"/>
      <c r="C823" s="8" t="s">
        <v>39</v>
      </c>
      <c r="D823" s="67">
        <v>3458093.42</v>
      </c>
      <c r="E823" s="67">
        <v>0</v>
      </c>
      <c r="F823" s="68"/>
      <c r="G823" s="68"/>
      <c r="H823" s="67">
        <f>E823+F823</f>
        <v>0</v>
      </c>
      <c r="I823" s="68"/>
      <c r="J823" s="68"/>
      <c r="K823" s="68"/>
      <c r="L823" s="67"/>
      <c r="M823" s="67"/>
      <c r="N823" s="67">
        <f>H823+L823</f>
        <v>0</v>
      </c>
      <c r="O823" s="67">
        <v>0</v>
      </c>
      <c r="P823" s="68">
        <v>2341088.2599999998</v>
      </c>
      <c r="Q823" s="68"/>
      <c r="R823" s="67">
        <f>O823+P823</f>
        <v>2341088.2599999998</v>
      </c>
      <c r="S823" s="68"/>
      <c r="T823" s="68"/>
      <c r="U823" s="68"/>
      <c r="V823" s="67"/>
      <c r="W823" s="67"/>
      <c r="X823" s="67">
        <f>R823+V823</f>
        <v>2341088.2599999998</v>
      </c>
      <c r="Y823" s="67">
        <f>R823+H823</f>
        <v>2341088.2599999998</v>
      </c>
      <c r="Z823" s="67">
        <f>D823-Y823</f>
        <v>1117005.1600000001</v>
      </c>
      <c r="AA823" s="67">
        <f>N823+X823</f>
        <v>2341088.2599999998</v>
      </c>
      <c r="AB823" s="67">
        <f>+D823-N823-X823</f>
        <v>1117005.1600000001</v>
      </c>
    </row>
    <row r="824" spans="1:28" x14ac:dyDescent="0.25">
      <c r="A824" s="46"/>
      <c r="B824" s="26"/>
      <c r="C824" s="4"/>
      <c r="D824" s="70" t="s">
        <v>40</v>
      </c>
      <c r="E824" s="70" t="s">
        <v>40</v>
      </c>
      <c r="F824" s="70" t="s">
        <v>40</v>
      </c>
      <c r="G824" s="70"/>
      <c r="H824" s="70" t="s">
        <v>40</v>
      </c>
      <c r="I824" s="70" t="s">
        <v>40</v>
      </c>
      <c r="J824" s="70" t="s">
        <v>40</v>
      </c>
      <c r="K824" s="70" t="s">
        <v>40</v>
      </c>
      <c r="L824" s="70" t="s">
        <v>40</v>
      </c>
      <c r="M824" s="70"/>
      <c r="N824" s="70" t="s">
        <v>40</v>
      </c>
      <c r="O824" s="70" t="s">
        <v>40</v>
      </c>
      <c r="P824" s="70" t="s">
        <v>40</v>
      </c>
      <c r="Q824" s="70"/>
      <c r="R824" s="70" t="s">
        <v>40</v>
      </c>
      <c r="S824" s="70" t="s">
        <v>40</v>
      </c>
      <c r="T824" s="70" t="s">
        <v>40</v>
      </c>
      <c r="U824" s="70" t="s">
        <v>40</v>
      </c>
      <c r="V824" s="70" t="s">
        <v>40</v>
      </c>
      <c r="W824" s="70"/>
      <c r="X824" s="70" t="s">
        <v>40</v>
      </c>
      <c r="Y824" s="70" t="s">
        <v>40</v>
      </c>
      <c r="Z824" s="70" t="s">
        <v>40</v>
      </c>
      <c r="AA824" s="70" t="s">
        <v>40</v>
      </c>
      <c r="AB824" s="70" t="s">
        <v>40</v>
      </c>
    </row>
    <row r="825" spans="1:28" x14ac:dyDescent="0.25">
      <c r="A825" s="46"/>
      <c r="B825" s="26"/>
      <c r="C825" s="4"/>
      <c r="D825" s="67">
        <f t="shared" ref="D825:AB825" si="278">SUM(D820:D823)</f>
        <v>54379789.810000002</v>
      </c>
      <c r="E825" s="67">
        <f t="shared" si="278"/>
        <v>1371066.55</v>
      </c>
      <c r="F825" s="67">
        <f t="shared" si="278"/>
        <v>0</v>
      </c>
      <c r="G825" s="67"/>
      <c r="H825" s="67">
        <f t="shared" si="278"/>
        <v>1371066.55</v>
      </c>
      <c r="I825" s="67">
        <f t="shared" si="278"/>
        <v>0</v>
      </c>
      <c r="J825" s="67">
        <f t="shared" si="278"/>
        <v>0</v>
      </c>
      <c r="K825" s="67">
        <f t="shared" si="278"/>
        <v>0</v>
      </c>
      <c r="L825" s="67">
        <f t="shared" si="278"/>
        <v>0</v>
      </c>
      <c r="M825" s="67"/>
      <c r="N825" s="67">
        <f t="shared" si="278"/>
        <v>1371066.55</v>
      </c>
      <c r="O825" s="67">
        <f t="shared" si="278"/>
        <v>0</v>
      </c>
      <c r="P825" s="67">
        <f t="shared" si="278"/>
        <v>2341088.2599999998</v>
      </c>
      <c r="Q825" s="67"/>
      <c r="R825" s="67">
        <f t="shared" si="278"/>
        <v>2341088.2599999998</v>
      </c>
      <c r="S825" s="67">
        <f t="shared" si="278"/>
        <v>0</v>
      </c>
      <c r="T825" s="67">
        <f t="shared" si="278"/>
        <v>0</v>
      </c>
      <c r="U825" s="67">
        <f t="shared" si="278"/>
        <v>0</v>
      </c>
      <c r="V825" s="67">
        <f t="shared" si="278"/>
        <v>0</v>
      </c>
      <c r="W825" s="67"/>
      <c r="X825" s="67">
        <f t="shared" si="278"/>
        <v>2341088.2599999998</v>
      </c>
      <c r="Y825" s="67">
        <f t="shared" si="278"/>
        <v>3712154.8099999996</v>
      </c>
      <c r="Z825" s="67">
        <f t="shared" si="278"/>
        <v>50667635</v>
      </c>
      <c r="AA825" s="67">
        <f t="shared" si="278"/>
        <v>3712154.8099999996</v>
      </c>
      <c r="AB825" s="67">
        <f t="shared" si="278"/>
        <v>50667635</v>
      </c>
    </row>
    <row r="826" spans="1:28" x14ac:dyDescent="0.25">
      <c r="A826" s="46"/>
      <c r="B826" s="4" t="str">
        <f>+B820</f>
        <v>ZAMB. NORTE</v>
      </c>
      <c r="C826" s="4"/>
      <c r="D826" s="70" t="s">
        <v>40</v>
      </c>
      <c r="E826" s="70" t="s">
        <v>40</v>
      </c>
      <c r="F826" s="70" t="s">
        <v>40</v>
      </c>
      <c r="G826" s="70"/>
      <c r="H826" s="70" t="s">
        <v>40</v>
      </c>
      <c r="I826" s="70" t="s">
        <v>40</v>
      </c>
      <c r="J826" s="70" t="s">
        <v>40</v>
      </c>
      <c r="K826" s="70" t="s">
        <v>40</v>
      </c>
      <c r="L826" s="70" t="s">
        <v>40</v>
      </c>
      <c r="M826" s="70"/>
      <c r="N826" s="70" t="s">
        <v>40</v>
      </c>
      <c r="O826" s="70" t="s">
        <v>40</v>
      </c>
      <c r="P826" s="70" t="s">
        <v>40</v>
      </c>
      <c r="Q826" s="70"/>
      <c r="R826" s="70" t="s">
        <v>40</v>
      </c>
      <c r="S826" s="70" t="s">
        <v>40</v>
      </c>
      <c r="T826" s="70" t="s">
        <v>40</v>
      </c>
      <c r="U826" s="70" t="s">
        <v>40</v>
      </c>
      <c r="V826" s="70" t="s">
        <v>40</v>
      </c>
      <c r="W826" s="70"/>
      <c r="X826" s="70" t="s">
        <v>40</v>
      </c>
      <c r="Y826" s="70" t="s">
        <v>40</v>
      </c>
      <c r="Z826" s="70" t="s">
        <v>40</v>
      </c>
      <c r="AA826" s="70" t="s">
        <v>40</v>
      </c>
      <c r="AB826" s="70" t="s">
        <v>40</v>
      </c>
    </row>
    <row r="827" spans="1:28" ht="16.5" thickBot="1" x14ac:dyDescent="0.3">
      <c r="B827" s="112" t="s">
        <v>292</v>
      </c>
      <c r="C827" s="4"/>
      <c r="D827" s="113">
        <v>3262808</v>
      </c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113">
        <v>3262808</v>
      </c>
      <c r="Q827" s="70"/>
      <c r="R827" s="113">
        <f>+O827+P827</f>
        <v>3262808</v>
      </c>
      <c r="S827" s="70"/>
      <c r="T827" s="70"/>
      <c r="U827" s="70"/>
      <c r="V827" s="70"/>
      <c r="W827" s="70"/>
      <c r="X827" s="70"/>
      <c r="Y827" s="70"/>
      <c r="Z827" s="70"/>
      <c r="AA827" s="70"/>
      <c r="AB827" s="70"/>
    </row>
    <row r="828" spans="1:28" ht="16.5" thickTop="1" x14ac:dyDescent="0.25">
      <c r="A828" s="46">
        <v>91</v>
      </c>
      <c r="B828" s="23" t="s">
        <v>108</v>
      </c>
      <c r="C828" s="2" t="s">
        <v>35</v>
      </c>
      <c r="D828" s="67">
        <v>42417732.109999999</v>
      </c>
      <c r="E828" s="67">
        <v>0</v>
      </c>
      <c r="F828" s="68"/>
      <c r="G828" s="68"/>
      <c r="H828" s="67">
        <f>E828+F828</f>
        <v>0</v>
      </c>
      <c r="I828" s="68"/>
      <c r="J828" s="68"/>
      <c r="K828" s="68"/>
      <c r="L828" s="67"/>
      <c r="M828" s="67"/>
      <c r="N828" s="67">
        <f>H828+L828</f>
        <v>0</v>
      </c>
      <c r="O828" s="67">
        <v>0</v>
      </c>
      <c r="P828" s="68"/>
      <c r="Q828" s="68"/>
      <c r="R828" s="67">
        <f>O828+P828</f>
        <v>0</v>
      </c>
      <c r="S828" s="68"/>
      <c r="T828" s="68"/>
      <c r="U828" s="68"/>
      <c r="V828" s="67"/>
      <c r="W828" s="67"/>
      <c r="X828" s="67">
        <f>R828+V828</f>
        <v>0</v>
      </c>
      <c r="Y828" s="67">
        <f>R828+H828</f>
        <v>0</v>
      </c>
      <c r="Z828" s="67">
        <f>D828-Y828</f>
        <v>42417732.109999999</v>
      </c>
      <c r="AA828" s="67">
        <f>N828+X828</f>
        <v>0</v>
      </c>
      <c r="AB828" s="67">
        <f>+D828-N828-X828</f>
        <v>42417732.109999999</v>
      </c>
    </row>
    <row r="829" spans="1:28" x14ac:dyDescent="0.25">
      <c r="A829" s="46"/>
      <c r="B829" s="26"/>
      <c r="C829" s="3" t="s">
        <v>36</v>
      </c>
      <c r="D829" s="67">
        <v>2071774.83</v>
      </c>
      <c r="E829" s="67">
        <v>2071774.83</v>
      </c>
      <c r="F829" s="68"/>
      <c r="G829" s="68"/>
      <c r="H829" s="67">
        <f>E829+F829</f>
        <v>2071774.83</v>
      </c>
      <c r="I829" s="68"/>
      <c r="J829" s="68"/>
      <c r="K829" s="68"/>
      <c r="L829" s="67"/>
      <c r="M829" s="67"/>
      <c r="N829" s="67">
        <f>H829+L829</f>
        <v>2071774.83</v>
      </c>
      <c r="O829" s="67">
        <v>0</v>
      </c>
      <c r="P829" s="68"/>
      <c r="Q829" s="68"/>
      <c r="R829" s="67">
        <f>O829+P829</f>
        <v>0</v>
      </c>
      <c r="S829" s="68"/>
      <c r="T829" s="68"/>
      <c r="U829" s="68"/>
      <c r="V829" s="67"/>
      <c r="W829" s="67"/>
      <c r="X829" s="67">
        <f>R829+V829</f>
        <v>0</v>
      </c>
      <c r="Y829" s="67">
        <f>R829+H829</f>
        <v>2071774.83</v>
      </c>
      <c r="Z829" s="67">
        <f>D829-Y829</f>
        <v>0</v>
      </c>
      <c r="AA829" s="67">
        <f>N829+X829</f>
        <v>2071774.83</v>
      </c>
      <c r="AB829" s="67">
        <f>+D829-N829-X829</f>
        <v>0</v>
      </c>
    </row>
    <row r="830" spans="1:28" x14ac:dyDescent="0.25">
      <c r="A830" s="46"/>
      <c r="B830" s="26"/>
      <c r="C830" s="2" t="s">
        <v>37</v>
      </c>
      <c r="D830" s="67">
        <v>48918542.439999998</v>
      </c>
      <c r="E830" s="67">
        <v>0</v>
      </c>
      <c r="F830" s="68"/>
      <c r="G830" s="68"/>
      <c r="H830" s="67">
        <f>E830+F830</f>
        <v>0</v>
      </c>
      <c r="I830" s="68"/>
      <c r="J830" s="68"/>
      <c r="K830" s="68"/>
      <c r="L830" s="67"/>
      <c r="M830" s="67"/>
      <c r="N830" s="67">
        <f>H830+L830</f>
        <v>0</v>
      </c>
      <c r="O830" s="67">
        <v>0</v>
      </c>
      <c r="P830" s="68"/>
      <c r="Q830" s="68"/>
      <c r="R830" s="67">
        <f>O830+P830</f>
        <v>0</v>
      </c>
      <c r="S830" s="68"/>
      <c r="T830" s="68"/>
      <c r="U830" s="68"/>
      <c r="V830" s="67"/>
      <c r="W830" s="67"/>
      <c r="X830" s="67">
        <f>R830+V830</f>
        <v>0</v>
      </c>
      <c r="Y830" s="67">
        <f>R830+H830</f>
        <v>0</v>
      </c>
      <c r="Z830" s="67">
        <f>D830-Y830</f>
        <v>48918542.439999998</v>
      </c>
      <c r="AA830" s="67">
        <f>N830+X830</f>
        <v>0</v>
      </c>
      <c r="AB830" s="67">
        <f>+D830-N830-X830</f>
        <v>48918542.439999998</v>
      </c>
    </row>
    <row r="831" spans="1:28" x14ac:dyDescent="0.25">
      <c r="A831" s="46"/>
      <c r="B831" s="26"/>
      <c r="C831" s="2" t="s">
        <v>38</v>
      </c>
      <c r="D831" s="67">
        <v>3688000</v>
      </c>
      <c r="E831" s="67">
        <v>0</v>
      </c>
      <c r="F831" s="68"/>
      <c r="G831" s="68"/>
      <c r="H831" s="67">
        <f>E831+F831</f>
        <v>0</v>
      </c>
      <c r="I831" s="68"/>
      <c r="J831" s="68"/>
      <c r="K831" s="68"/>
      <c r="L831" s="67"/>
      <c r="M831" s="67"/>
      <c r="N831" s="67">
        <f>H831+L831</f>
        <v>0</v>
      </c>
      <c r="O831" s="67">
        <v>0</v>
      </c>
      <c r="P831" s="68"/>
      <c r="Q831" s="68"/>
      <c r="R831" s="67">
        <f>O831+P831</f>
        <v>0</v>
      </c>
      <c r="S831" s="68"/>
      <c r="T831" s="68"/>
      <c r="U831" s="68"/>
      <c r="V831" s="67"/>
      <c r="W831" s="67"/>
      <c r="X831" s="67">
        <f>R831+V831</f>
        <v>0</v>
      </c>
      <c r="Y831" s="67">
        <f>R831+H831</f>
        <v>0</v>
      </c>
      <c r="Z831" s="67">
        <f>D831-Y831</f>
        <v>3688000</v>
      </c>
      <c r="AA831" s="67">
        <f>N831+X831</f>
        <v>0</v>
      </c>
      <c r="AB831" s="67">
        <f>+D831-N831-X831</f>
        <v>3688000</v>
      </c>
    </row>
    <row r="832" spans="1:28" x14ac:dyDescent="0.25">
      <c r="A832" s="46"/>
      <c r="B832" s="26"/>
      <c r="C832" s="8" t="s">
        <v>39</v>
      </c>
      <c r="D832" s="67">
        <v>4532202.26</v>
      </c>
      <c r="E832" s="67">
        <v>0</v>
      </c>
      <c r="F832" s="68"/>
      <c r="G832" s="68"/>
      <c r="H832" s="67">
        <f>E832+F832</f>
        <v>0</v>
      </c>
      <c r="I832" s="68"/>
      <c r="J832" s="68"/>
      <c r="K832" s="68"/>
      <c r="L832" s="67"/>
      <c r="M832" s="67"/>
      <c r="N832" s="67">
        <f>H832+L832</f>
        <v>0</v>
      </c>
      <c r="O832" s="67">
        <v>0</v>
      </c>
      <c r="P832" s="68"/>
      <c r="Q832" s="68"/>
      <c r="R832" s="67">
        <f>O832+P832</f>
        <v>0</v>
      </c>
      <c r="S832" s="68"/>
      <c r="T832" s="68"/>
      <c r="U832" s="68"/>
      <c r="V832" s="67"/>
      <c r="W832" s="67"/>
      <c r="X832" s="67">
        <f>R832+V832</f>
        <v>0</v>
      </c>
      <c r="Y832" s="67">
        <f>R832+H832</f>
        <v>0</v>
      </c>
      <c r="Z832" s="67">
        <f>D832-Y832</f>
        <v>4532202.26</v>
      </c>
      <c r="AA832" s="67">
        <f>N832+X832</f>
        <v>0</v>
      </c>
      <c r="AB832" s="67">
        <f>+D832-N832-X832</f>
        <v>4532202.26</v>
      </c>
    </row>
    <row r="833" spans="1:43" x14ac:dyDescent="0.25">
      <c r="A833" s="46"/>
      <c r="B833" s="26"/>
      <c r="C833" s="4"/>
      <c r="D833" s="70" t="s">
        <v>40</v>
      </c>
      <c r="E833" s="70" t="s">
        <v>40</v>
      </c>
      <c r="F833" s="70" t="s">
        <v>40</v>
      </c>
      <c r="G833" s="70"/>
      <c r="H833" s="70" t="s">
        <v>40</v>
      </c>
      <c r="I833" s="70" t="s">
        <v>40</v>
      </c>
      <c r="J833" s="70" t="s">
        <v>40</v>
      </c>
      <c r="K833" s="70" t="s">
        <v>40</v>
      </c>
      <c r="L833" s="70" t="s">
        <v>40</v>
      </c>
      <c r="M833" s="70"/>
      <c r="N833" s="70" t="s">
        <v>40</v>
      </c>
      <c r="O833" s="70" t="s">
        <v>40</v>
      </c>
      <c r="P833" s="70" t="s">
        <v>40</v>
      </c>
      <c r="Q833" s="70"/>
      <c r="R833" s="70" t="s">
        <v>40</v>
      </c>
      <c r="S833" s="70" t="s">
        <v>40</v>
      </c>
      <c r="T833" s="70" t="s">
        <v>40</v>
      </c>
      <c r="U833" s="70" t="s">
        <v>40</v>
      </c>
      <c r="V833" s="70" t="s">
        <v>40</v>
      </c>
      <c r="W833" s="70"/>
      <c r="X833" s="70" t="s">
        <v>40</v>
      </c>
      <c r="Y833" s="70" t="s">
        <v>40</v>
      </c>
      <c r="Z833" s="70" t="s">
        <v>40</v>
      </c>
      <c r="AA833" s="70" t="s">
        <v>40</v>
      </c>
      <c r="AB833" s="70" t="s">
        <v>40</v>
      </c>
    </row>
    <row r="834" spans="1:43" x14ac:dyDescent="0.25">
      <c r="A834" s="46"/>
      <c r="B834" s="26"/>
      <c r="C834" s="4"/>
      <c r="D834" s="67">
        <f t="shared" ref="D834:AB834" si="279">SUM(D828:D832)</f>
        <v>101628251.64</v>
      </c>
      <c r="E834" s="67">
        <f t="shared" si="279"/>
        <v>2071774.83</v>
      </c>
      <c r="F834" s="67">
        <f t="shared" si="279"/>
        <v>0</v>
      </c>
      <c r="G834" s="67"/>
      <c r="H834" s="67">
        <f t="shared" si="279"/>
        <v>2071774.83</v>
      </c>
      <c r="I834" s="67">
        <f t="shared" si="279"/>
        <v>0</v>
      </c>
      <c r="J834" s="67">
        <f t="shared" si="279"/>
        <v>0</v>
      </c>
      <c r="K834" s="67">
        <f t="shared" si="279"/>
        <v>0</v>
      </c>
      <c r="L834" s="67">
        <f t="shared" si="279"/>
        <v>0</v>
      </c>
      <c r="M834" s="67"/>
      <c r="N834" s="67">
        <f t="shared" si="279"/>
        <v>2071774.83</v>
      </c>
      <c r="O834" s="67">
        <f t="shared" si="279"/>
        <v>0</v>
      </c>
      <c r="P834" s="67">
        <f t="shared" si="279"/>
        <v>0</v>
      </c>
      <c r="Q834" s="67"/>
      <c r="R834" s="67">
        <f t="shared" si="279"/>
        <v>0</v>
      </c>
      <c r="S834" s="67">
        <f t="shared" si="279"/>
        <v>0</v>
      </c>
      <c r="T834" s="67">
        <f t="shared" si="279"/>
        <v>0</v>
      </c>
      <c r="U834" s="67">
        <f t="shared" si="279"/>
        <v>0</v>
      </c>
      <c r="V834" s="67">
        <f t="shared" si="279"/>
        <v>0</v>
      </c>
      <c r="W834" s="67"/>
      <c r="X834" s="67">
        <f t="shared" si="279"/>
        <v>0</v>
      </c>
      <c r="Y834" s="67">
        <f t="shared" si="279"/>
        <v>2071774.83</v>
      </c>
      <c r="Z834" s="67">
        <f t="shared" si="279"/>
        <v>99556476.810000002</v>
      </c>
      <c r="AA834" s="67">
        <f t="shared" si="279"/>
        <v>2071774.83</v>
      </c>
      <c r="AB834" s="67">
        <f t="shared" si="279"/>
        <v>99556476.810000002</v>
      </c>
    </row>
    <row r="835" spans="1:43" x14ac:dyDescent="0.25">
      <c r="A835" s="46"/>
      <c r="B835" s="4" t="s">
        <v>108</v>
      </c>
      <c r="C835" s="4"/>
      <c r="D835" s="70" t="s">
        <v>40</v>
      </c>
      <c r="E835" s="70" t="s">
        <v>40</v>
      </c>
      <c r="F835" s="70" t="s">
        <v>40</v>
      </c>
      <c r="G835" s="70"/>
      <c r="H835" s="70" t="s">
        <v>40</v>
      </c>
      <c r="I835" s="70" t="s">
        <v>40</v>
      </c>
      <c r="J835" s="70" t="s">
        <v>40</v>
      </c>
      <c r="K835" s="70" t="s">
        <v>40</v>
      </c>
      <c r="L835" s="70" t="s">
        <v>40</v>
      </c>
      <c r="M835" s="70"/>
      <c r="N835" s="70" t="s">
        <v>40</v>
      </c>
      <c r="O835" s="70" t="s">
        <v>40</v>
      </c>
      <c r="P835" s="70" t="s">
        <v>40</v>
      </c>
      <c r="Q835" s="70"/>
      <c r="R835" s="70" t="s">
        <v>40</v>
      </c>
      <c r="S835" s="70" t="s">
        <v>40</v>
      </c>
      <c r="T835" s="70" t="s">
        <v>40</v>
      </c>
      <c r="U835" s="70" t="s">
        <v>40</v>
      </c>
      <c r="V835" s="70" t="s">
        <v>40</v>
      </c>
      <c r="W835" s="70"/>
      <c r="X835" s="70" t="s">
        <v>40</v>
      </c>
      <c r="Y835" s="70" t="s">
        <v>40</v>
      </c>
      <c r="Z835" s="70" t="s">
        <v>40</v>
      </c>
      <c r="AA835" s="70" t="s">
        <v>40</v>
      </c>
      <c r="AB835" s="70" t="s">
        <v>40</v>
      </c>
    </row>
    <row r="836" spans="1:43" ht="16.5" thickBot="1" x14ac:dyDescent="0.3">
      <c r="A836" s="4"/>
      <c r="B836" s="112" t="s">
        <v>292</v>
      </c>
      <c r="C836" s="4"/>
      <c r="D836" s="87">
        <v>181752.55</v>
      </c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87">
        <v>181752.55</v>
      </c>
      <c r="P836" s="63"/>
      <c r="Q836" s="55"/>
      <c r="R836" s="87">
        <f>+O836+P836</f>
        <v>181752.55</v>
      </c>
      <c r="S836" s="55"/>
      <c r="T836" s="55"/>
      <c r="U836" s="55"/>
      <c r="V836" s="55"/>
      <c r="W836" s="55"/>
      <c r="X836" s="55"/>
      <c r="Y836" s="63"/>
      <c r="Z836" s="63"/>
      <c r="AA836" s="55"/>
      <c r="AB836" s="55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</row>
    <row r="837" spans="1:43" ht="16.5" thickTop="1" x14ac:dyDescent="0.25">
      <c r="P837" s="117"/>
      <c r="Y837" s="117"/>
      <c r="Z837" s="117"/>
    </row>
    <row r="838" spans="1:43" x14ac:dyDescent="0.25">
      <c r="C838" s="4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</row>
    <row r="839" spans="1:43" x14ac:dyDescent="0.25">
      <c r="A839" s="46">
        <v>92</v>
      </c>
      <c r="B839" s="23" t="s">
        <v>109</v>
      </c>
      <c r="C839" s="2" t="s">
        <v>74</v>
      </c>
      <c r="D839" s="67">
        <f>7717406.48+8603000</f>
        <v>16320406.48</v>
      </c>
      <c r="E839" s="68">
        <v>8603000</v>
      </c>
      <c r="F839" s="68"/>
      <c r="G839" s="68"/>
      <c r="H839" s="67">
        <f>E839+F839</f>
        <v>8603000</v>
      </c>
      <c r="I839" s="67">
        <v>0</v>
      </c>
      <c r="J839" s="68">
        <v>0</v>
      </c>
      <c r="K839" s="67"/>
      <c r="L839" s="67"/>
      <c r="M839" s="67"/>
      <c r="N839" s="67">
        <f>H839+L839</f>
        <v>8603000</v>
      </c>
      <c r="O839" s="67">
        <v>0</v>
      </c>
      <c r="P839" s="68"/>
      <c r="Q839" s="68"/>
      <c r="R839" s="67">
        <f>O839+P839</f>
        <v>0</v>
      </c>
      <c r="S839" s="68"/>
      <c r="T839" s="68"/>
      <c r="U839" s="68"/>
      <c r="V839" s="67"/>
      <c r="W839" s="67"/>
      <c r="X839" s="67">
        <f>R839+V839</f>
        <v>0</v>
      </c>
      <c r="Y839" s="67">
        <f>R839+H839</f>
        <v>8603000</v>
      </c>
      <c r="Z839" s="67">
        <f>D839-Y839</f>
        <v>7717406.4800000004</v>
      </c>
      <c r="AA839" s="67">
        <f>N839+X839</f>
        <v>8603000</v>
      </c>
      <c r="AB839" s="67">
        <f>+D839-N839-X839</f>
        <v>7717406.4800000004</v>
      </c>
    </row>
    <row r="840" spans="1:43" x14ac:dyDescent="0.25">
      <c r="A840" s="46"/>
      <c r="B840" s="26"/>
      <c r="C840" s="3" t="s">
        <v>36</v>
      </c>
      <c r="D840" s="67">
        <f>31000+98384</f>
        <v>129384</v>
      </c>
      <c r="E840" s="67">
        <f>31000+98384</f>
        <v>129384</v>
      </c>
      <c r="F840" s="68"/>
      <c r="G840" s="68"/>
      <c r="H840" s="67">
        <f>E840+F840</f>
        <v>129384</v>
      </c>
      <c r="I840" s="68"/>
      <c r="J840" s="68"/>
      <c r="K840" s="68"/>
      <c r="L840" s="67"/>
      <c r="M840" s="67"/>
      <c r="N840" s="67">
        <f>H840+L840</f>
        <v>129384</v>
      </c>
      <c r="O840" s="67">
        <v>0</v>
      </c>
      <c r="P840" s="68"/>
      <c r="Q840" s="68"/>
      <c r="R840" s="67">
        <f>O840+P840</f>
        <v>0</v>
      </c>
      <c r="S840" s="68"/>
      <c r="T840" s="68"/>
      <c r="U840" s="68"/>
      <c r="V840" s="67"/>
      <c r="W840" s="67"/>
      <c r="X840" s="67">
        <f>R840+V840</f>
        <v>0</v>
      </c>
      <c r="Y840" s="67">
        <f>R840+H840</f>
        <v>129384</v>
      </c>
      <c r="Z840" s="67">
        <f>D840-Y840</f>
        <v>0</v>
      </c>
      <c r="AA840" s="67">
        <f>N840+X840</f>
        <v>129384</v>
      </c>
      <c r="AB840" s="67">
        <f>+D840-N840-X840</f>
        <v>0</v>
      </c>
    </row>
    <row r="841" spans="1:43" x14ac:dyDescent="0.25">
      <c r="A841" s="46"/>
      <c r="B841" s="26"/>
      <c r="C841" s="2" t="s">
        <v>37</v>
      </c>
      <c r="D841" s="67">
        <f>27691113.94-2063590.49</f>
        <v>25627523.450000003</v>
      </c>
      <c r="E841" s="67">
        <v>0</v>
      </c>
      <c r="F841" s="68"/>
      <c r="G841" s="68"/>
      <c r="H841" s="67">
        <f>E841+F841</f>
        <v>0</v>
      </c>
      <c r="I841" s="68"/>
      <c r="J841" s="68"/>
      <c r="K841" s="68"/>
      <c r="L841" s="67"/>
      <c r="M841" s="67"/>
      <c r="N841" s="67">
        <f>H841+L841</f>
        <v>0</v>
      </c>
      <c r="O841" s="67">
        <v>0</v>
      </c>
      <c r="P841" s="68"/>
      <c r="Q841" s="68"/>
      <c r="R841" s="67">
        <f>O841+P841</f>
        <v>0</v>
      </c>
      <c r="S841" s="68"/>
      <c r="T841" s="68"/>
      <c r="U841" s="68"/>
      <c r="V841" s="67"/>
      <c r="W841" s="67"/>
      <c r="X841" s="67">
        <f>R841+V841</f>
        <v>0</v>
      </c>
      <c r="Y841" s="67">
        <f>R841+H841</f>
        <v>0</v>
      </c>
      <c r="Z841" s="67">
        <f>D841-Y841</f>
        <v>25627523.450000003</v>
      </c>
      <c r="AA841" s="67">
        <f>N841+X841</f>
        <v>0</v>
      </c>
      <c r="AB841" s="67">
        <f>+D841-N841-X841</f>
        <v>25627523.450000003</v>
      </c>
    </row>
    <row r="842" spans="1:43" x14ac:dyDescent="0.25">
      <c r="A842" s="46"/>
      <c r="B842" s="26"/>
      <c r="C842" s="2" t="s">
        <v>38</v>
      </c>
      <c r="D842" s="67">
        <v>5877030.0700000003</v>
      </c>
      <c r="E842" s="67">
        <v>0</v>
      </c>
      <c r="F842" s="68"/>
      <c r="G842" s="68"/>
      <c r="H842" s="67">
        <f>E842+F842</f>
        <v>0</v>
      </c>
      <c r="I842" s="68"/>
      <c r="J842" s="68"/>
      <c r="K842" s="68"/>
      <c r="L842" s="67"/>
      <c r="M842" s="67"/>
      <c r="N842" s="67">
        <f>H842+L842</f>
        <v>0</v>
      </c>
      <c r="O842" s="67">
        <v>0</v>
      </c>
      <c r="P842" s="68"/>
      <c r="Q842" s="68"/>
      <c r="R842" s="67">
        <f>O842+P842</f>
        <v>0</v>
      </c>
      <c r="S842" s="68"/>
      <c r="T842" s="68"/>
      <c r="U842" s="68"/>
      <c r="V842" s="67"/>
      <c r="W842" s="67"/>
      <c r="X842" s="67">
        <f>R842+V842</f>
        <v>0</v>
      </c>
      <c r="Y842" s="67">
        <f>R842+H842</f>
        <v>0</v>
      </c>
      <c r="Z842" s="67">
        <f>D842-Y842</f>
        <v>5877030.0700000003</v>
      </c>
      <c r="AA842" s="67">
        <f>N842+X842</f>
        <v>0</v>
      </c>
      <c r="AB842" s="67">
        <f>+D842-N842-X842</f>
        <v>5877030.0700000003</v>
      </c>
    </row>
    <row r="843" spans="1:43" x14ac:dyDescent="0.25">
      <c r="A843" s="46"/>
      <c r="B843" s="26"/>
      <c r="C843" s="4"/>
      <c r="D843" s="70" t="s">
        <v>40</v>
      </c>
      <c r="E843" s="70" t="s">
        <v>40</v>
      </c>
      <c r="F843" s="70" t="s">
        <v>40</v>
      </c>
      <c r="G843" s="70"/>
      <c r="H843" s="70" t="s">
        <v>40</v>
      </c>
      <c r="I843" s="70" t="s">
        <v>40</v>
      </c>
      <c r="J843" s="70" t="s">
        <v>40</v>
      </c>
      <c r="K843" s="70" t="s">
        <v>40</v>
      </c>
      <c r="L843" s="70" t="s">
        <v>40</v>
      </c>
      <c r="M843" s="70"/>
      <c r="N843" s="70" t="s">
        <v>40</v>
      </c>
      <c r="O843" s="70" t="s">
        <v>40</v>
      </c>
      <c r="P843" s="70" t="s">
        <v>40</v>
      </c>
      <c r="Q843" s="70"/>
      <c r="R843" s="70" t="s">
        <v>40</v>
      </c>
      <c r="S843" s="70" t="s">
        <v>40</v>
      </c>
      <c r="T843" s="70" t="s">
        <v>40</v>
      </c>
      <c r="U843" s="70" t="s">
        <v>40</v>
      </c>
      <c r="V843" s="70" t="s">
        <v>40</v>
      </c>
      <c r="W843" s="70"/>
      <c r="X843" s="70" t="s">
        <v>40</v>
      </c>
      <c r="Y843" s="70" t="s">
        <v>40</v>
      </c>
      <c r="Z843" s="70" t="s">
        <v>40</v>
      </c>
      <c r="AA843" s="70" t="s">
        <v>40</v>
      </c>
      <c r="AB843" s="70" t="s">
        <v>40</v>
      </c>
    </row>
    <row r="844" spans="1:43" x14ac:dyDescent="0.25">
      <c r="A844" s="46"/>
      <c r="B844" s="26"/>
      <c r="C844" s="4"/>
      <c r="D844" s="67">
        <f t="shared" ref="D844:AB844" si="280">SUM(D839:D842)</f>
        <v>47954344.000000007</v>
      </c>
      <c r="E844" s="67">
        <f t="shared" si="280"/>
        <v>8732384</v>
      </c>
      <c r="F844" s="67">
        <f t="shared" si="280"/>
        <v>0</v>
      </c>
      <c r="G844" s="67"/>
      <c r="H844" s="67">
        <f t="shared" si="280"/>
        <v>8732384</v>
      </c>
      <c r="I844" s="67">
        <f t="shared" si="280"/>
        <v>0</v>
      </c>
      <c r="J844" s="67">
        <f t="shared" si="280"/>
        <v>0</v>
      </c>
      <c r="K844" s="67">
        <f t="shared" si="280"/>
        <v>0</v>
      </c>
      <c r="L844" s="67">
        <f t="shared" si="280"/>
        <v>0</v>
      </c>
      <c r="M844" s="67"/>
      <c r="N844" s="67">
        <f t="shared" si="280"/>
        <v>8732384</v>
      </c>
      <c r="O844" s="67">
        <f t="shared" si="280"/>
        <v>0</v>
      </c>
      <c r="P844" s="67">
        <f t="shared" si="280"/>
        <v>0</v>
      </c>
      <c r="Q844" s="67"/>
      <c r="R844" s="67">
        <f t="shared" si="280"/>
        <v>0</v>
      </c>
      <c r="S844" s="67">
        <f t="shared" si="280"/>
        <v>0</v>
      </c>
      <c r="T844" s="67">
        <f t="shared" si="280"/>
        <v>0</v>
      </c>
      <c r="U844" s="67">
        <f t="shared" si="280"/>
        <v>0</v>
      </c>
      <c r="V844" s="67">
        <f t="shared" si="280"/>
        <v>0</v>
      </c>
      <c r="W844" s="67"/>
      <c r="X844" s="67">
        <f t="shared" si="280"/>
        <v>0</v>
      </c>
      <c r="Y844" s="67">
        <f t="shared" si="280"/>
        <v>8732384</v>
      </c>
      <c r="Z844" s="67">
        <f t="shared" si="280"/>
        <v>39221960</v>
      </c>
      <c r="AA844" s="67">
        <f t="shared" si="280"/>
        <v>8732384</v>
      </c>
      <c r="AB844" s="67">
        <f t="shared" si="280"/>
        <v>39221960</v>
      </c>
    </row>
    <row r="845" spans="1:43" x14ac:dyDescent="0.25">
      <c r="A845" s="46"/>
      <c r="B845" s="4" t="s">
        <v>310</v>
      </c>
      <c r="C845" s="4"/>
      <c r="D845" s="70" t="s">
        <v>40</v>
      </c>
      <c r="E845" s="70" t="s">
        <v>40</v>
      </c>
      <c r="F845" s="70" t="s">
        <v>40</v>
      </c>
      <c r="G845" s="70"/>
      <c r="H845" s="70" t="s">
        <v>40</v>
      </c>
      <c r="I845" s="70" t="s">
        <v>40</v>
      </c>
      <c r="J845" s="70" t="s">
        <v>40</v>
      </c>
      <c r="K845" s="70" t="s">
        <v>40</v>
      </c>
      <c r="L845" s="70" t="s">
        <v>40</v>
      </c>
      <c r="M845" s="70"/>
      <c r="N845" s="70" t="s">
        <v>40</v>
      </c>
      <c r="O845" s="70" t="s">
        <v>40</v>
      </c>
      <c r="P845" s="70" t="s">
        <v>40</v>
      </c>
      <c r="Q845" s="70"/>
      <c r="R845" s="70" t="s">
        <v>40</v>
      </c>
      <c r="S845" s="70" t="s">
        <v>40</v>
      </c>
      <c r="T845" s="70" t="s">
        <v>40</v>
      </c>
      <c r="U845" s="70" t="s">
        <v>40</v>
      </c>
      <c r="V845" s="70" t="s">
        <v>40</v>
      </c>
      <c r="W845" s="70"/>
      <c r="X845" s="70" t="s">
        <v>40</v>
      </c>
      <c r="Y845" s="70" t="s">
        <v>40</v>
      </c>
      <c r="Z845" s="70" t="s">
        <v>40</v>
      </c>
      <c r="AA845" s="70" t="s">
        <v>40</v>
      </c>
      <c r="AB845" s="70" t="s">
        <v>40</v>
      </c>
    </row>
    <row r="846" spans="1:43" ht="16.5" thickBot="1" x14ac:dyDescent="0.3">
      <c r="A846" s="46"/>
      <c r="B846" s="112" t="s">
        <v>292</v>
      </c>
      <c r="C846" s="4"/>
      <c r="D846" s="113">
        <v>508176.64000000001</v>
      </c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113">
        <v>508176.64000000001</v>
      </c>
      <c r="P846" s="104"/>
      <c r="Q846" s="79"/>
      <c r="R846" s="113">
        <f>+O846+P846</f>
        <v>508176.64000000001</v>
      </c>
      <c r="S846" s="79"/>
      <c r="T846" s="79"/>
      <c r="U846" s="79"/>
      <c r="V846" s="79"/>
      <c r="W846" s="79"/>
      <c r="X846" s="79"/>
      <c r="Y846" s="79"/>
      <c r="Z846" s="79"/>
      <c r="AA846" s="79"/>
      <c r="AB846" s="79"/>
    </row>
    <row r="847" spans="1:43" ht="16.5" thickTop="1" x14ac:dyDescent="0.25">
      <c r="A847" s="46">
        <v>93</v>
      </c>
      <c r="B847" s="23" t="s">
        <v>110</v>
      </c>
      <c r="C847" s="2" t="s">
        <v>35</v>
      </c>
      <c r="D847" s="67">
        <f>1036268.61+238634.56</f>
        <v>1274903.17</v>
      </c>
      <c r="E847" s="67">
        <v>0</v>
      </c>
      <c r="F847" s="68"/>
      <c r="G847" s="68"/>
      <c r="H847" s="67">
        <f>E847+F847</f>
        <v>0</v>
      </c>
      <c r="I847" s="68"/>
      <c r="J847" s="68"/>
      <c r="K847" s="68"/>
      <c r="L847" s="67"/>
      <c r="M847" s="67"/>
      <c r="N847" s="67">
        <f>H847+L847</f>
        <v>0</v>
      </c>
      <c r="O847" s="67">
        <f>55500-500+1219903.17</f>
        <v>1274903.17</v>
      </c>
      <c r="P847" s="68"/>
      <c r="Q847" s="68"/>
      <c r="R847" s="67">
        <f>O847+P847</f>
        <v>1274903.17</v>
      </c>
      <c r="S847" s="68"/>
      <c r="T847" s="68"/>
      <c r="U847" s="68"/>
      <c r="V847" s="67"/>
      <c r="W847" s="67"/>
      <c r="X847" s="67">
        <f>R847+V847</f>
        <v>1274903.17</v>
      </c>
      <c r="Y847" s="67">
        <f>R847+H847</f>
        <v>1274903.17</v>
      </c>
      <c r="Z847" s="67">
        <f>D847-Y847</f>
        <v>0</v>
      </c>
      <c r="AA847" s="67">
        <f>N847+X847</f>
        <v>1274903.17</v>
      </c>
      <c r="AB847" s="67">
        <f>+D847-N847-X847</f>
        <v>0</v>
      </c>
    </row>
    <row r="848" spans="1:43" x14ac:dyDescent="0.25">
      <c r="A848" s="46"/>
      <c r="B848" s="26"/>
      <c r="C848" s="3" t="s">
        <v>36</v>
      </c>
      <c r="D848" s="67">
        <v>1521229.83</v>
      </c>
      <c r="E848" s="67">
        <v>1521229.83</v>
      </c>
      <c r="F848" s="68"/>
      <c r="G848" s="68"/>
      <c r="H848" s="67">
        <f>E848+F848</f>
        <v>1521229.83</v>
      </c>
      <c r="I848" s="68"/>
      <c r="J848" s="68"/>
      <c r="K848" s="68"/>
      <c r="L848" s="67"/>
      <c r="M848" s="67"/>
      <c r="N848" s="67">
        <f>H848+L848</f>
        <v>1521229.83</v>
      </c>
      <c r="O848" s="67">
        <v>0</v>
      </c>
      <c r="P848" s="68"/>
      <c r="Q848" s="68"/>
      <c r="R848" s="67">
        <f>O848+P848</f>
        <v>0</v>
      </c>
      <c r="S848" s="68"/>
      <c r="T848" s="68"/>
      <c r="U848" s="68"/>
      <c r="V848" s="67"/>
      <c r="W848" s="67"/>
      <c r="X848" s="67">
        <f>R848+V848</f>
        <v>0</v>
      </c>
      <c r="Y848" s="67">
        <f>R848+H848</f>
        <v>1521229.83</v>
      </c>
      <c r="Z848" s="67">
        <f>D848-Y848</f>
        <v>0</v>
      </c>
      <c r="AA848" s="67">
        <f>N848+X848</f>
        <v>1521229.83</v>
      </c>
      <c r="AB848" s="67">
        <f>+D848-N848-X848</f>
        <v>0</v>
      </c>
    </row>
    <row r="849" spans="1:43" x14ac:dyDescent="0.25">
      <c r="A849" s="46"/>
      <c r="B849" s="26"/>
      <c r="C849" s="2" t="s">
        <v>53</v>
      </c>
      <c r="D849" s="67">
        <f>3371557.61-238634.56</f>
        <v>3132923.05</v>
      </c>
      <c r="E849" s="67">
        <v>0</v>
      </c>
      <c r="F849" s="68"/>
      <c r="G849" s="68"/>
      <c r="H849" s="67">
        <f>E849+F849</f>
        <v>0</v>
      </c>
      <c r="I849" s="68"/>
      <c r="J849" s="68"/>
      <c r="K849" s="68"/>
      <c r="L849" s="67"/>
      <c r="M849" s="67"/>
      <c r="N849" s="67">
        <f>H849+L849</f>
        <v>0</v>
      </c>
      <c r="O849" s="68">
        <v>1472205.19</v>
      </c>
      <c r="P849" s="68"/>
      <c r="Q849" s="68"/>
      <c r="R849" s="67">
        <f>O849+P849</f>
        <v>1472205.19</v>
      </c>
      <c r="S849" s="68"/>
      <c r="T849" s="68"/>
      <c r="U849" s="68"/>
      <c r="V849" s="67"/>
      <c r="W849" s="67"/>
      <c r="X849" s="67">
        <f>R849+V849</f>
        <v>1472205.19</v>
      </c>
      <c r="Y849" s="67">
        <f>R849+H849</f>
        <v>1472205.19</v>
      </c>
      <c r="Z849" s="67">
        <f>D849-Y849</f>
        <v>1660717.8599999999</v>
      </c>
      <c r="AA849" s="67">
        <f>N849+X849</f>
        <v>1472205.19</v>
      </c>
      <c r="AB849" s="67">
        <f>+D849-N849-X849</f>
        <v>1660717.8599999999</v>
      </c>
      <c r="AC849" s="49" t="s">
        <v>47</v>
      </c>
      <c r="AD849" s="94">
        <f t="shared" ref="AD849:AF850" si="281">D811+D820+D828+D839+D847</f>
        <v>137753727.58999997</v>
      </c>
      <c r="AE849" s="94">
        <f t="shared" si="281"/>
        <v>8603000</v>
      </c>
      <c r="AF849" s="94">
        <f t="shared" si="281"/>
        <v>0</v>
      </c>
      <c r="AG849" s="94">
        <f>+AE849+AF849</f>
        <v>8603000</v>
      </c>
      <c r="AH849" s="94">
        <f>L811+L820+L828+L839+L847</f>
        <v>0</v>
      </c>
      <c r="AI849" s="94">
        <f>+AG849+AH849</f>
        <v>8603000</v>
      </c>
      <c r="AJ849" s="94">
        <f>O811+O820+O828+O839+O847</f>
        <v>1274903.17</v>
      </c>
      <c r="AK849" s="94">
        <f>P811+P820+P828+P839+P847</f>
        <v>0</v>
      </c>
      <c r="AL849" s="94">
        <f>+AJ849+AK849</f>
        <v>1274903.17</v>
      </c>
      <c r="AM849" s="94">
        <f>V811+V820+V828+V839+V847</f>
        <v>0</v>
      </c>
      <c r="AN849" s="94">
        <f>+AL849+AM849</f>
        <v>1274903.17</v>
      </c>
      <c r="AO849" s="94">
        <f>+AG849+AL849</f>
        <v>9877903.1699999999</v>
      </c>
      <c r="AP849" s="94">
        <f>+AD849-AO849</f>
        <v>127875824.41999997</v>
      </c>
      <c r="AQ849" s="94">
        <f>+AD849-AI849-AN849</f>
        <v>127875824.41999997</v>
      </c>
    </row>
    <row r="850" spans="1:43" x14ac:dyDescent="0.25">
      <c r="A850" s="46"/>
      <c r="B850" s="26"/>
      <c r="C850" s="2" t="s">
        <v>38</v>
      </c>
      <c r="D850" s="67">
        <v>3462217.1</v>
      </c>
      <c r="E850" s="67">
        <v>0</v>
      </c>
      <c r="F850" s="68"/>
      <c r="G850" s="68"/>
      <c r="H850" s="67">
        <f>E850+F850</f>
        <v>0</v>
      </c>
      <c r="I850" s="68"/>
      <c r="J850" s="68"/>
      <c r="K850" s="68"/>
      <c r="L850" s="67"/>
      <c r="M850" s="67"/>
      <c r="N850" s="67">
        <f>H850+L850</f>
        <v>0</v>
      </c>
      <c r="O850" s="67">
        <v>0</v>
      </c>
      <c r="P850" s="68">
        <v>94015</v>
      </c>
      <c r="Q850" s="68"/>
      <c r="R850" s="67">
        <f>O850+P850</f>
        <v>94015</v>
      </c>
      <c r="S850" s="67">
        <v>356118</v>
      </c>
      <c r="T850" s="68"/>
      <c r="U850" s="68"/>
      <c r="V850" s="67"/>
      <c r="W850" s="67"/>
      <c r="X850" s="67">
        <f>R850+V850</f>
        <v>94015</v>
      </c>
      <c r="Y850" s="67">
        <f>R850+H850</f>
        <v>94015</v>
      </c>
      <c r="Z850" s="67">
        <f>D850-Y850</f>
        <v>3368202.1</v>
      </c>
      <c r="AA850" s="67">
        <f>N850+X850</f>
        <v>94015</v>
      </c>
      <c r="AB850" s="67">
        <f>+D850-N850-X850</f>
        <v>3368202.1</v>
      </c>
      <c r="AC850" s="49" t="s">
        <v>36</v>
      </c>
      <c r="AD850" s="94">
        <f t="shared" si="281"/>
        <v>7887894.9000000004</v>
      </c>
      <c r="AE850" s="94">
        <f t="shared" si="281"/>
        <v>7887894.9000000004</v>
      </c>
      <c r="AF850" s="94">
        <f t="shared" si="281"/>
        <v>0</v>
      </c>
      <c r="AG850" s="94">
        <f t="shared" ref="AG850:AG856" si="282">+AE850+AF850</f>
        <v>7887894.9000000004</v>
      </c>
      <c r="AH850" s="94">
        <f>L812+L821+L829+L840+L848</f>
        <v>0</v>
      </c>
      <c r="AI850" s="94">
        <f t="shared" ref="AI850:AI856" si="283">+AG850+AH850</f>
        <v>7887894.9000000004</v>
      </c>
      <c r="AJ850" s="94">
        <f>O812+O821+O829+O840+O848</f>
        <v>0</v>
      </c>
      <c r="AK850" s="94">
        <f>P812+P821+P829+P840+P848</f>
        <v>0</v>
      </c>
      <c r="AL850" s="94">
        <f t="shared" ref="AL850:AL856" si="284">+AJ850+AK850</f>
        <v>0</v>
      </c>
      <c r="AM850" s="94">
        <f>V812+V821+V829+V840+V848</f>
        <v>0</v>
      </c>
      <c r="AN850" s="94">
        <f t="shared" ref="AN850:AN856" si="285">+AL850+AM850</f>
        <v>0</v>
      </c>
      <c r="AO850" s="94">
        <f t="shared" ref="AO850:AO856" si="286">+AG850+AL850</f>
        <v>7887894.9000000004</v>
      </c>
      <c r="AP850" s="94">
        <f t="shared" ref="AP850:AP856" si="287">+AD850-AO850</f>
        <v>0</v>
      </c>
      <c r="AQ850" s="94">
        <f t="shared" ref="AQ850:AQ856" si="288">+AD850-AI850-AN850</f>
        <v>0</v>
      </c>
    </row>
    <row r="851" spans="1:43" x14ac:dyDescent="0.25">
      <c r="A851" s="46"/>
      <c r="B851" s="26"/>
      <c r="C851" s="2" t="s">
        <v>54</v>
      </c>
      <c r="D851" s="67">
        <v>6875465.7800000003</v>
      </c>
      <c r="E851" s="67">
        <v>0</v>
      </c>
      <c r="F851" s="68"/>
      <c r="G851" s="68"/>
      <c r="H851" s="67">
        <f>E851+F851</f>
        <v>0</v>
      </c>
      <c r="I851" s="68"/>
      <c r="J851" s="68"/>
      <c r="K851" s="68"/>
      <c r="L851" s="67"/>
      <c r="M851" s="67"/>
      <c r="N851" s="67">
        <f>H851+L851</f>
        <v>0</v>
      </c>
      <c r="O851" s="67">
        <v>5603896.2599999998</v>
      </c>
      <c r="P851" s="68"/>
      <c r="Q851" s="68"/>
      <c r="R851" s="67">
        <f>O851+P851</f>
        <v>5603896.2599999998</v>
      </c>
      <c r="S851" s="68"/>
      <c r="T851" s="68"/>
      <c r="U851" s="68"/>
      <c r="V851" s="67"/>
      <c r="W851" s="67"/>
      <c r="X851" s="67">
        <f>R851+V851</f>
        <v>5603896.2599999998</v>
      </c>
      <c r="Y851" s="67">
        <f>R851+H851</f>
        <v>5603896.2599999998</v>
      </c>
      <c r="Z851" s="67">
        <f>D851-Y851</f>
        <v>1271569.5200000005</v>
      </c>
      <c r="AA851" s="67">
        <f>N851+X851</f>
        <v>5603896.2599999998</v>
      </c>
      <c r="AB851" s="67">
        <f>+D851-N851-X851</f>
        <v>1271569.5200000005</v>
      </c>
      <c r="AC851" s="49" t="s">
        <v>183</v>
      </c>
      <c r="AD851" s="94">
        <f>D814+D822+D830+D841</f>
        <v>127753296.60000001</v>
      </c>
      <c r="AE851" s="94">
        <f>E814+E822+E830+E841</f>
        <v>0</v>
      </c>
      <c r="AF851" s="94">
        <f>F814+F822+F830+F841</f>
        <v>0</v>
      </c>
      <c r="AG851" s="94">
        <f t="shared" si="282"/>
        <v>0</v>
      </c>
      <c r="AH851" s="94">
        <f>L814+L822+L830+L841</f>
        <v>0</v>
      </c>
      <c r="AI851" s="94">
        <f t="shared" si="283"/>
        <v>0</v>
      </c>
      <c r="AJ851" s="94">
        <f>O814+O822+O830+O841</f>
        <v>107039.55</v>
      </c>
      <c r="AK851" s="94">
        <f>P814+P822+P830+P841</f>
        <v>0</v>
      </c>
      <c r="AL851" s="94">
        <f t="shared" si="284"/>
        <v>107039.55</v>
      </c>
      <c r="AM851" s="94">
        <f>V814+V822+V830+V841</f>
        <v>0</v>
      </c>
      <c r="AN851" s="94">
        <f t="shared" si="285"/>
        <v>107039.55</v>
      </c>
      <c r="AO851" s="94">
        <f t="shared" si="286"/>
        <v>107039.55</v>
      </c>
      <c r="AP851" s="94">
        <f t="shared" si="287"/>
        <v>127646257.05000001</v>
      </c>
      <c r="AQ851" s="94">
        <f t="shared" si="288"/>
        <v>127646257.05000001</v>
      </c>
    </row>
    <row r="852" spans="1:43" x14ac:dyDescent="0.25">
      <c r="A852" s="46"/>
      <c r="B852" s="26"/>
      <c r="C852" s="4"/>
      <c r="D852" s="70" t="s">
        <v>40</v>
      </c>
      <c r="E852" s="70" t="s">
        <v>40</v>
      </c>
      <c r="F852" s="70" t="s">
        <v>40</v>
      </c>
      <c r="G852" s="70"/>
      <c r="H852" s="70" t="s">
        <v>40</v>
      </c>
      <c r="I852" s="70" t="s">
        <v>40</v>
      </c>
      <c r="J852" s="70" t="s">
        <v>40</v>
      </c>
      <c r="K852" s="70" t="s">
        <v>40</v>
      </c>
      <c r="L852" s="70" t="s">
        <v>40</v>
      </c>
      <c r="M852" s="70"/>
      <c r="N852" s="70" t="s">
        <v>40</v>
      </c>
      <c r="O852" s="70" t="s">
        <v>40</v>
      </c>
      <c r="P852" s="70" t="s">
        <v>40</v>
      </c>
      <c r="Q852" s="70"/>
      <c r="R852" s="70" t="s">
        <v>40</v>
      </c>
      <c r="S852" s="70" t="s">
        <v>40</v>
      </c>
      <c r="T852" s="70" t="s">
        <v>40</v>
      </c>
      <c r="U852" s="70" t="s">
        <v>40</v>
      </c>
      <c r="V852" s="70" t="s">
        <v>40</v>
      </c>
      <c r="W852" s="70"/>
      <c r="X852" s="70" t="s">
        <v>40</v>
      </c>
      <c r="Y852" s="70" t="s">
        <v>40</v>
      </c>
      <c r="Z852" s="70" t="s">
        <v>40</v>
      </c>
      <c r="AA852" s="70" t="s">
        <v>40</v>
      </c>
      <c r="AB852" s="70" t="s">
        <v>40</v>
      </c>
      <c r="AC852" s="49" t="s">
        <v>275</v>
      </c>
      <c r="AD852" s="94">
        <f>D815+D823+D832</f>
        <v>8471488.4299999997</v>
      </c>
      <c r="AE852" s="94">
        <f>E815+E823+E832</f>
        <v>0</v>
      </c>
      <c r="AF852" s="94">
        <f>F815+F823+F832</f>
        <v>0</v>
      </c>
      <c r="AG852" s="94">
        <f t="shared" si="282"/>
        <v>0</v>
      </c>
      <c r="AH852" s="94">
        <f>L815+L823+L832</f>
        <v>0</v>
      </c>
      <c r="AI852" s="94">
        <f t="shared" si="283"/>
        <v>0</v>
      </c>
      <c r="AJ852" s="94">
        <f>O815+O823+O832</f>
        <v>0</v>
      </c>
      <c r="AK852" s="94">
        <f>P815+P823+P832</f>
        <v>2341088.2599999998</v>
      </c>
      <c r="AL852" s="94">
        <f t="shared" si="284"/>
        <v>2341088.2599999998</v>
      </c>
      <c r="AM852" s="94">
        <f>V815+V823+V832</f>
        <v>0</v>
      </c>
      <c r="AN852" s="94">
        <f t="shared" si="285"/>
        <v>2341088.2599999998</v>
      </c>
      <c r="AO852" s="94">
        <f t="shared" si="286"/>
        <v>2341088.2599999998</v>
      </c>
      <c r="AP852" s="94">
        <f t="shared" si="287"/>
        <v>6130400.1699999999</v>
      </c>
      <c r="AQ852" s="94">
        <f t="shared" si="288"/>
        <v>6130400.1699999999</v>
      </c>
    </row>
    <row r="853" spans="1:43" x14ac:dyDescent="0.25">
      <c r="A853" s="46"/>
      <c r="B853" s="26"/>
      <c r="C853" s="4"/>
      <c r="D853" s="67">
        <f t="shared" ref="D853:AB853" si="289">SUM(D847:D851)</f>
        <v>16266738.93</v>
      </c>
      <c r="E853" s="67">
        <f t="shared" si="289"/>
        <v>1521229.83</v>
      </c>
      <c r="F853" s="67">
        <f t="shared" si="289"/>
        <v>0</v>
      </c>
      <c r="G853" s="67"/>
      <c r="H853" s="67">
        <f t="shared" si="289"/>
        <v>1521229.83</v>
      </c>
      <c r="I853" s="67">
        <f t="shared" si="289"/>
        <v>0</v>
      </c>
      <c r="J853" s="67">
        <f t="shared" si="289"/>
        <v>0</v>
      </c>
      <c r="K853" s="67">
        <f t="shared" si="289"/>
        <v>0</v>
      </c>
      <c r="L853" s="67">
        <f t="shared" si="289"/>
        <v>0</v>
      </c>
      <c r="M853" s="67"/>
      <c r="N853" s="67">
        <f t="shared" si="289"/>
        <v>1521229.83</v>
      </c>
      <c r="O853" s="67">
        <f t="shared" si="289"/>
        <v>8351004.6199999992</v>
      </c>
      <c r="P853" s="67">
        <f t="shared" si="289"/>
        <v>94015</v>
      </c>
      <c r="Q853" s="67"/>
      <c r="R853" s="67">
        <f t="shared" si="289"/>
        <v>8445019.6199999992</v>
      </c>
      <c r="S853" s="67">
        <f t="shared" si="289"/>
        <v>356118</v>
      </c>
      <c r="T853" s="67">
        <f t="shared" si="289"/>
        <v>0</v>
      </c>
      <c r="U853" s="67">
        <f t="shared" si="289"/>
        <v>0</v>
      </c>
      <c r="V853" s="67">
        <f t="shared" si="289"/>
        <v>0</v>
      </c>
      <c r="W853" s="67"/>
      <c r="X853" s="67">
        <f t="shared" si="289"/>
        <v>8445019.6199999992</v>
      </c>
      <c r="Y853" s="67">
        <f t="shared" si="289"/>
        <v>9966249.4499999993</v>
      </c>
      <c r="Z853" s="67">
        <f t="shared" si="289"/>
        <v>6300489.4800000004</v>
      </c>
      <c r="AA853" s="67">
        <f t="shared" si="289"/>
        <v>9966249.4499999993</v>
      </c>
      <c r="AB853" s="67">
        <f t="shared" si="289"/>
        <v>6300489.4800000004</v>
      </c>
      <c r="AC853" s="49" t="s">
        <v>38</v>
      </c>
      <c r="AD853" s="94">
        <f>D831+D842+D850</f>
        <v>13027247.17</v>
      </c>
      <c r="AE853" s="94">
        <f>E831+E842+E850</f>
        <v>0</v>
      </c>
      <c r="AF853" s="94">
        <f>F831+F842+F850</f>
        <v>0</v>
      </c>
      <c r="AG853" s="94">
        <f t="shared" si="282"/>
        <v>0</v>
      </c>
      <c r="AH853" s="94">
        <f>L831+L842+L850</f>
        <v>0</v>
      </c>
      <c r="AI853" s="94">
        <f t="shared" si="283"/>
        <v>0</v>
      </c>
      <c r="AJ853" s="94">
        <f>O831+O842+O850</f>
        <v>0</v>
      </c>
      <c r="AK853" s="94">
        <f>P831+P842+P850</f>
        <v>94015</v>
      </c>
      <c r="AL853" s="94">
        <f t="shared" si="284"/>
        <v>94015</v>
      </c>
      <c r="AM853" s="94">
        <f>V831+V842+V850</f>
        <v>0</v>
      </c>
      <c r="AN853" s="94">
        <f t="shared" si="285"/>
        <v>94015</v>
      </c>
      <c r="AO853" s="94">
        <f t="shared" si="286"/>
        <v>94015</v>
      </c>
      <c r="AP853" s="94">
        <f t="shared" si="287"/>
        <v>12933232.17</v>
      </c>
      <c r="AQ853" s="94">
        <f t="shared" si="288"/>
        <v>12933232.17</v>
      </c>
    </row>
    <row r="854" spans="1:43" x14ac:dyDescent="0.25">
      <c r="A854" s="46"/>
      <c r="B854" s="26"/>
      <c r="C854" s="4"/>
      <c r="D854" s="70" t="s">
        <v>40</v>
      </c>
      <c r="E854" s="70" t="s">
        <v>40</v>
      </c>
      <c r="F854" s="70" t="s">
        <v>40</v>
      </c>
      <c r="G854" s="70"/>
      <c r="H854" s="70" t="s">
        <v>40</v>
      </c>
      <c r="I854" s="70" t="s">
        <v>40</v>
      </c>
      <c r="J854" s="70" t="s">
        <v>40</v>
      </c>
      <c r="K854" s="70" t="s">
        <v>40</v>
      </c>
      <c r="L854" s="70" t="s">
        <v>40</v>
      </c>
      <c r="M854" s="70"/>
      <c r="N854" s="70" t="s">
        <v>40</v>
      </c>
      <c r="O854" s="70" t="s">
        <v>40</v>
      </c>
      <c r="P854" s="70" t="s">
        <v>40</v>
      </c>
      <c r="Q854" s="70"/>
      <c r="R854" s="70" t="s">
        <v>40</v>
      </c>
      <c r="S854" s="70" t="s">
        <v>40</v>
      </c>
      <c r="T854" s="70" t="s">
        <v>40</v>
      </c>
      <c r="U854" s="70" t="s">
        <v>40</v>
      </c>
      <c r="V854" s="70" t="s">
        <v>40</v>
      </c>
      <c r="W854" s="70"/>
      <c r="X854" s="70" t="s">
        <v>40</v>
      </c>
      <c r="Y854" s="70" t="s">
        <v>40</v>
      </c>
      <c r="Z854" s="70" t="s">
        <v>40</v>
      </c>
      <c r="AA854" s="70" t="s">
        <v>40</v>
      </c>
      <c r="AB854" s="70" t="s">
        <v>40</v>
      </c>
      <c r="AC854" s="49" t="s">
        <v>53</v>
      </c>
      <c r="AD854" s="94">
        <f>+D849</f>
        <v>3132923.05</v>
      </c>
      <c r="AE854" s="94">
        <f>+E849</f>
        <v>0</v>
      </c>
      <c r="AF854" s="94">
        <f>+F849</f>
        <v>0</v>
      </c>
      <c r="AG854" s="94">
        <f t="shared" si="282"/>
        <v>0</v>
      </c>
      <c r="AH854" s="94">
        <f>+L849</f>
        <v>0</v>
      </c>
      <c r="AI854" s="94">
        <f t="shared" si="283"/>
        <v>0</v>
      </c>
      <c r="AJ854" s="94">
        <f>+O849</f>
        <v>1472205.19</v>
      </c>
      <c r="AK854" s="94">
        <f>+P849</f>
        <v>0</v>
      </c>
      <c r="AL854" s="94">
        <f t="shared" si="284"/>
        <v>1472205.19</v>
      </c>
      <c r="AM854" s="94">
        <f>+V849</f>
        <v>0</v>
      </c>
      <c r="AN854" s="94">
        <f t="shared" si="285"/>
        <v>1472205.19</v>
      </c>
      <c r="AO854" s="94">
        <f t="shared" si="286"/>
        <v>1472205.19</v>
      </c>
      <c r="AP854" s="94">
        <f t="shared" si="287"/>
        <v>1660717.8599999999</v>
      </c>
      <c r="AQ854" s="94">
        <f t="shared" si="288"/>
        <v>1660717.8599999999</v>
      </c>
    </row>
    <row r="855" spans="1:43" x14ac:dyDescent="0.25">
      <c r="A855" s="46"/>
      <c r="B855" s="26"/>
      <c r="C855" s="4"/>
      <c r="D855" s="70"/>
      <c r="E855" s="75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49" t="s">
        <v>54</v>
      </c>
      <c r="AD855" s="94">
        <f>+D851+D813</f>
        <v>6875465.7800000003</v>
      </c>
      <c r="AE855" s="94">
        <f>+E851+E813</f>
        <v>0</v>
      </c>
      <c r="AF855" s="94">
        <f>+F851</f>
        <v>0</v>
      </c>
      <c r="AG855" s="94">
        <f t="shared" si="282"/>
        <v>0</v>
      </c>
      <c r="AH855" s="94">
        <f>+L851+L813</f>
        <v>0</v>
      </c>
      <c r="AI855" s="94">
        <f t="shared" si="283"/>
        <v>0</v>
      </c>
      <c r="AJ855" s="94">
        <f>+O851+O813</f>
        <v>5603896.2599999998</v>
      </c>
      <c r="AK855" s="94">
        <f>+P851+P813</f>
        <v>0</v>
      </c>
      <c r="AL855" s="94">
        <f t="shared" si="284"/>
        <v>5603896.2599999998</v>
      </c>
      <c r="AM855" s="94">
        <f>+V851</f>
        <v>0</v>
      </c>
      <c r="AN855" s="94">
        <f t="shared" si="285"/>
        <v>5603896.2599999998</v>
      </c>
      <c r="AO855" s="94">
        <f t="shared" si="286"/>
        <v>5603896.2599999998</v>
      </c>
      <c r="AP855" s="94">
        <f t="shared" si="287"/>
        <v>1271569.5200000005</v>
      </c>
      <c r="AQ855" s="94">
        <f t="shared" si="288"/>
        <v>1271569.5200000005</v>
      </c>
    </row>
    <row r="856" spans="1:43" x14ac:dyDescent="0.25">
      <c r="A856" s="46"/>
      <c r="B856" s="23" t="s">
        <v>26</v>
      </c>
      <c r="C856" s="2" t="s">
        <v>105</v>
      </c>
      <c r="D856" s="67">
        <f>D853+D844+D834+D825+D817</f>
        <v>304902043.51999998</v>
      </c>
      <c r="E856" s="67">
        <f>E853+E844+E834+E825+E817</f>
        <v>16490894.9</v>
      </c>
      <c r="F856" s="67">
        <f>F853+F844+F834+F825+F817</f>
        <v>0</v>
      </c>
      <c r="G856" s="67"/>
      <c r="H856" s="67">
        <f>H853+H844+H834+H825+H817</f>
        <v>16490894.9</v>
      </c>
      <c r="I856" s="67">
        <f>I853+I844+I834+I825+I817</f>
        <v>0</v>
      </c>
      <c r="J856" s="67">
        <f>J853+J844+J834+J825+J817</f>
        <v>0</v>
      </c>
      <c r="K856" s="67">
        <f>K853+K844+K834+K825+K817</f>
        <v>0</v>
      </c>
      <c r="L856" s="67">
        <f>L853+L844+L834+L825+L817</f>
        <v>0</v>
      </c>
      <c r="M856" s="67"/>
      <c r="N856" s="67">
        <f>N853+N844+N834+N825+N817</f>
        <v>16490894.9</v>
      </c>
      <c r="O856" s="67">
        <f>O853+O844+O834+O825+O817</f>
        <v>8458044.1699999999</v>
      </c>
      <c r="P856" s="67">
        <f>P853+P844+P834+P825+P817</f>
        <v>2435103.2599999998</v>
      </c>
      <c r="Q856" s="67"/>
      <c r="R856" s="67">
        <f>R853+R844+R834+R825+R817</f>
        <v>10893147.43</v>
      </c>
      <c r="S856" s="67">
        <f>S853+S844+S834+S825+S817</f>
        <v>356118</v>
      </c>
      <c r="T856" s="67">
        <f>T853+T844+T834+T825+T817</f>
        <v>0</v>
      </c>
      <c r="U856" s="67">
        <f>U853+U844+U834+U825+U817</f>
        <v>0</v>
      </c>
      <c r="V856" s="67">
        <f>V853+V844+V834+V825+V817</f>
        <v>0</v>
      </c>
      <c r="W856" s="67"/>
      <c r="X856" s="67">
        <f>X853+X844+X834+X825+X817</f>
        <v>10893147.43</v>
      </c>
      <c r="Y856" s="67">
        <f>Y853+Y844+Y834+Y825+Y817</f>
        <v>27384042.329999998</v>
      </c>
      <c r="Z856" s="67">
        <f>Z853+Z844+Z834+Z825+Z817</f>
        <v>277518001.19000006</v>
      </c>
      <c r="AA856" s="67">
        <f>AA853+AA844+AA834+AA825+AA817</f>
        <v>27384042.329999998</v>
      </c>
      <c r="AB856" s="67">
        <f>AB853+AB844+AB834+AB825+AB817</f>
        <v>277518001.19000006</v>
      </c>
      <c r="AD856" s="95">
        <f>SUM(AD849:AD855)</f>
        <v>304902043.51999998</v>
      </c>
      <c r="AE856" s="95">
        <f>SUM(AE849:AE855)</f>
        <v>16490894.9</v>
      </c>
      <c r="AF856" s="95">
        <f>SUM(AF849:AF855)</f>
        <v>0</v>
      </c>
      <c r="AG856" s="95">
        <f t="shared" si="282"/>
        <v>16490894.9</v>
      </c>
      <c r="AH856" s="95">
        <f>SUM(AH849:AH855)</f>
        <v>0</v>
      </c>
      <c r="AI856" s="95">
        <f t="shared" si="283"/>
        <v>16490894.9</v>
      </c>
      <c r="AJ856" s="95">
        <f>SUM(AJ849:AJ855)</f>
        <v>8458044.1699999999</v>
      </c>
      <c r="AK856" s="95">
        <f>SUM(AK849:AK855)</f>
        <v>2435103.2599999998</v>
      </c>
      <c r="AL856" s="95">
        <f t="shared" si="284"/>
        <v>10893147.43</v>
      </c>
      <c r="AM856" s="95">
        <f>SUM(AM849:AM855)</f>
        <v>0</v>
      </c>
      <c r="AN856" s="95">
        <f t="shared" si="285"/>
        <v>10893147.43</v>
      </c>
      <c r="AO856" s="95">
        <f t="shared" si="286"/>
        <v>27384042.329999998</v>
      </c>
      <c r="AP856" s="95">
        <f t="shared" si="287"/>
        <v>277518001.19</v>
      </c>
      <c r="AQ856" s="95">
        <f t="shared" si="288"/>
        <v>277518001.19</v>
      </c>
    </row>
    <row r="857" spans="1:43" x14ac:dyDescent="0.25">
      <c r="A857" s="46"/>
      <c r="B857" s="26"/>
      <c r="C857" s="4"/>
      <c r="D857" s="70" t="s">
        <v>50</v>
      </c>
      <c r="E857" s="70" t="s">
        <v>50</v>
      </c>
      <c r="F857" s="70" t="s">
        <v>50</v>
      </c>
      <c r="G857" s="70"/>
      <c r="H857" s="70" t="s">
        <v>50</v>
      </c>
      <c r="I857" s="70" t="s">
        <v>50</v>
      </c>
      <c r="J857" s="70" t="s">
        <v>50</v>
      </c>
      <c r="K857" s="70" t="s">
        <v>50</v>
      </c>
      <c r="L857" s="70" t="s">
        <v>50</v>
      </c>
      <c r="M857" s="70"/>
      <c r="N857" s="70" t="s">
        <v>50</v>
      </c>
      <c r="O857" s="70" t="s">
        <v>50</v>
      </c>
      <c r="P857" s="70" t="s">
        <v>50</v>
      </c>
      <c r="Q857" s="70"/>
      <c r="R857" s="70" t="s">
        <v>50</v>
      </c>
      <c r="S857" s="70" t="s">
        <v>50</v>
      </c>
      <c r="T857" s="70" t="s">
        <v>50</v>
      </c>
      <c r="U857" s="70" t="s">
        <v>50</v>
      </c>
      <c r="V857" s="70" t="s">
        <v>50</v>
      </c>
      <c r="W857" s="70"/>
      <c r="X857" s="70" t="s">
        <v>50</v>
      </c>
      <c r="Y857" s="70" t="s">
        <v>50</v>
      </c>
      <c r="Z857" s="70" t="s">
        <v>50</v>
      </c>
      <c r="AA857" s="70" t="s">
        <v>50</v>
      </c>
      <c r="AB857" s="70" t="s">
        <v>50</v>
      </c>
      <c r="AD857" s="94"/>
      <c r="AE857" s="94"/>
      <c r="AF857" s="94"/>
      <c r="AG857" s="94"/>
      <c r="AH857" s="94"/>
      <c r="AI857" s="94"/>
      <c r="AJ857" s="94"/>
      <c r="AK857" s="94"/>
      <c r="AL857" s="94"/>
      <c r="AM857" s="94"/>
      <c r="AN857" s="94"/>
      <c r="AO857" s="94"/>
      <c r="AP857" s="94"/>
      <c r="AQ857" s="94"/>
    </row>
    <row r="858" spans="1:43" x14ac:dyDescent="0.25">
      <c r="C858" s="20"/>
      <c r="D858" s="75"/>
      <c r="E858" s="72"/>
      <c r="F858" s="68"/>
      <c r="G858" s="68"/>
      <c r="H858" s="67"/>
      <c r="I858" s="68"/>
      <c r="J858" s="68"/>
      <c r="K858" s="68"/>
      <c r="L858" s="68"/>
      <c r="M858" s="68"/>
      <c r="N858" s="67"/>
      <c r="O858" s="68"/>
      <c r="P858" s="68"/>
      <c r="Q858" s="68"/>
      <c r="R858" s="67"/>
      <c r="S858" s="68"/>
      <c r="T858" s="68"/>
      <c r="U858" s="68"/>
      <c r="V858" s="68"/>
      <c r="W858" s="68"/>
      <c r="X858" s="67"/>
      <c r="Y858" s="67"/>
      <c r="Z858" s="67"/>
      <c r="AA858" s="67"/>
      <c r="AB858" s="67"/>
      <c r="AD858" s="94"/>
      <c r="AE858" s="94"/>
      <c r="AF858" s="94"/>
      <c r="AG858" s="94"/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</row>
    <row r="859" spans="1:43" ht="19.5" x14ac:dyDescent="0.35">
      <c r="A859" s="46"/>
      <c r="B859" s="48" t="s">
        <v>223</v>
      </c>
      <c r="C859" s="4"/>
      <c r="D859" s="68"/>
      <c r="E859" s="68"/>
      <c r="F859" s="68"/>
      <c r="G859" s="68"/>
      <c r="H859" s="67"/>
      <c r="I859" s="68"/>
      <c r="J859" s="68"/>
      <c r="K859" s="68"/>
      <c r="L859" s="68"/>
      <c r="M859" s="68"/>
      <c r="N859" s="67"/>
      <c r="O859" s="68"/>
      <c r="P859" s="68"/>
      <c r="Q859" s="68"/>
      <c r="R859" s="67"/>
      <c r="S859" s="68"/>
      <c r="T859" s="68"/>
      <c r="U859" s="68"/>
      <c r="V859" s="68"/>
      <c r="W859" s="68"/>
      <c r="X859" s="67"/>
      <c r="Y859" s="67"/>
      <c r="Z859" s="67"/>
      <c r="AA859" s="67"/>
      <c r="AB859" s="67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</row>
    <row r="860" spans="1:43" x14ac:dyDescent="0.25">
      <c r="A860" s="46"/>
      <c r="B860" s="26"/>
      <c r="C860" s="4"/>
      <c r="D860" s="68"/>
      <c r="E860" s="68"/>
      <c r="F860" s="68"/>
      <c r="G860" s="68"/>
      <c r="H860" s="67"/>
      <c r="I860" s="68"/>
      <c r="J860" s="68"/>
      <c r="K860" s="68"/>
      <c r="L860" s="68"/>
      <c r="M860" s="68"/>
      <c r="N860" s="67"/>
      <c r="O860" s="68"/>
      <c r="P860" s="68"/>
      <c r="Q860" s="68"/>
      <c r="R860" s="67"/>
      <c r="S860" s="68"/>
      <c r="T860" s="68"/>
      <c r="U860" s="68"/>
      <c r="V860" s="68"/>
      <c r="W860" s="68"/>
      <c r="X860" s="67"/>
      <c r="Y860" s="67"/>
      <c r="Z860" s="67"/>
      <c r="AA860" s="67"/>
      <c r="AB860" s="67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</row>
    <row r="861" spans="1:43" x14ac:dyDescent="0.25">
      <c r="A861" s="46">
        <v>94</v>
      </c>
      <c r="B861" s="26" t="s">
        <v>224</v>
      </c>
      <c r="C861" s="2" t="s">
        <v>35</v>
      </c>
      <c r="D861" s="68">
        <v>0</v>
      </c>
      <c r="E861" s="68"/>
      <c r="F861" s="68"/>
      <c r="G861" s="68"/>
      <c r="H861" s="67">
        <f>E861+F861</f>
        <v>0</v>
      </c>
      <c r="I861" s="68"/>
      <c r="J861" s="68"/>
      <c r="K861" s="68"/>
      <c r="L861" s="68"/>
      <c r="M861" s="68"/>
      <c r="N861" s="67">
        <f>H861+L861</f>
        <v>0</v>
      </c>
      <c r="O861" s="68"/>
      <c r="P861" s="68"/>
      <c r="Q861" s="68"/>
      <c r="R861" s="67">
        <f>O861+P861</f>
        <v>0</v>
      </c>
      <c r="S861" s="68"/>
      <c r="T861" s="68"/>
      <c r="U861" s="68"/>
      <c r="V861" s="68"/>
      <c r="W861" s="68"/>
      <c r="X861" s="67">
        <f>R861+V861</f>
        <v>0</v>
      </c>
      <c r="Y861" s="67">
        <f>R861+H861</f>
        <v>0</v>
      </c>
      <c r="Z861" s="67">
        <f>D861-Y861</f>
        <v>0</v>
      </c>
      <c r="AA861" s="67">
        <f>N861+X861</f>
        <v>0</v>
      </c>
      <c r="AB861" s="67">
        <f>+D861-N861-X861</f>
        <v>0</v>
      </c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</row>
    <row r="862" spans="1:43" x14ac:dyDescent="0.25">
      <c r="A862" s="46"/>
      <c r="B862" s="26"/>
      <c r="C862" s="4" t="s">
        <v>36</v>
      </c>
      <c r="D862" s="68">
        <v>58052</v>
      </c>
      <c r="E862" s="68">
        <v>58052</v>
      </c>
      <c r="F862" s="68"/>
      <c r="G862" s="68"/>
      <c r="H862" s="67">
        <f>E862+F862</f>
        <v>58052</v>
      </c>
      <c r="I862" s="68"/>
      <c r="J862" s="68"/>
      <c r="K862" s="68"/>
      <c r="L862" s="68"/>
      <c r="M862" s="68"/>
      <c r="N862" s="67">
        <f>H862+L862</f>
        <v>58052</v>
      </c>
      <c r="O862" s="68"/>
      <c r="P862" s="68"/>
      <c r="Q862" s="68"/>
      <c r="R862" s="67">
        <f>O862+P862</f>
        <v>0</v>
      </c>
      <c r="S862" s="68"/>
      <c r="T862" s="68"/>
      <c r="U862" s="68"/>
      <c r="V862" s="68"/>
      <c r="W862" s="68"/>
      <c r="X862" s="67">
        <f>R862+V862</f>
        <v>0</v>
      </c>
      <c r="Y862" s="67">
        <f>R862+H862</f>
        <v>58052</v>
      </c>
      <c r="Z862" s="67">
        <f>D862-Y862</f>
        <v>0</v>
      </c>
      <c r="AA862" s="67">
        <f>N862+X862</f>
        <v>58052</v>
      </c>
      <c r="AB862" s="67">
        <f>+D862-N862-X862</f>
        <v>0</v>
      </c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</row>
    <row r="863" spans="1:43" x14ac:dyDescent="0.25">
      <c r="A863" s="46"/>
      <c r="B863" s="26"/>
      <c r="C863" s="4" t="s">
        <v>183</v>
      </c>
      <c r="D863" s="68">
        <v>35111352.609999999</v>
      </c>
      <c r="E863" s="68"/>
      <c r="F863" s="68"/>
      <c r="G863" s="68"/>
      <c r="H863" s="67">
        <f>E863+F863</f>
        <v>0</v>
      </c>
      <c r="I863" s="68"/>
      <c r="J863" s="68"/>
      <c r="K863" s="68"/>
      <c r="L863" s="68"/>
      <c r="M863" s="68"/>
      <c r="N863" s="67">
        <f>H863+L863</f>
        <v>0</v>
      </c>
      <c r="O863" s="68"/>
      <c r="P863" s="68"/>
      <c r="Q863" s="68"/>
      <c r="R863" s="67">
        <f>O863+P863</f>
        <v>0</v>
      </c>
      <c r="S863" s="68"/>
      <c r="T863" s="68"/>
      <c r="U863" s="68"/>
      <c r="V863" s="68"/>
      <c r="W863" s="68"/>
      <c r="X863" s="67">
        <f>R863+V863</f>
        <v>0</v>
      </c>
      <c r="Y863" s="67">
        <f>R863+H863</f>
        <v>0</v>
      </c>
      <c r="Z863" s="67">
        <f>D863-Y863</f>
        <v>35111352.609999999</v>
      </c>
      <c r="AA863" s="67">
        <f>N863+X863</f>
        <v>0</v>
      </c>
      <c r="AB863" s="67">
        <f>+D863-N863-X863</f>
        <v>35111352.609999999</v>
      </c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</row>
    <row r="864" spans="1:43" x14ac:dyDescent="0.25">
      <c r="A864" s="46"/>
      <c r="B864" s="26"/>
      <c r="C864" s="4" t="s">
        <v>184</v>
      </c>
      <c r="D864" s="68">
        <v>48968.08</v>
      </c>
      <c r="E864" s="68"/>
      <c r="F864" s="68"/>
      <c r="G864" s="68"/>
      <c r="H864" s="67">
        <f>E864+F864</f>
        <v>0</v>
      </c>
      <c r="I864" s="68"/>
      <c r="J864" s="68"/>
      <c r="K864" s="68"/>
      <c r="L864" s="68"/>
      <c r="M864" s="68"/>
      <c r="N864" s="67">
        <f>H864+L864</f>
        <v>0</v>
      </c>
      <c r="O864" s="68"/>
      <c r="P864" s="68"/>
      <c r="Q864" s="68"/>
      <c r="R864" s="67">
        <f>O864+P864</f>
        <v>0</v>
      </c>
      <c r="S864" s="68"/>
      <c r="T864" s="68"/>
      <c r="U864" s="68"/>
      <c r="V864" s="68"/>
      <c r="W864" s="68"/>
      <c r="X864" s="67">
        <f>R864+V864</f>
        <v>0</v>
      </c>
      <c r="Y864" s="67">
        <f>R864+H864</f>
        <v>0</v>
      </c>
      <c r="Z864" s="67">
        <f>D864-Y864</f>
        <v>48968.08</v>
      </c>
      <c r="AA864" s="67">
        <f>N864+X864</f>
        <v>0</v>
      </c>
      <c r="AB864" s="67">
        <f>+D864-N864-X864</f>
        <v>48968.08</v>
      </c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</row>
    <row r="865" spans="1:43" x14ac:dyDescent="0.25">
      <c r="A865" s="46"/>
      <c r="B865" s="26"/>
      <c r="C865" s="4"/>
      <c r="D865" s="70" t="s">
        <v>40</v>
      </c>
      <c r="E865" s="70" t="s">
        <v>40</v>
      </c>
      <c r="F865" s="70" t="s">
        <v>40</v>
      </c>
      <c r="G865" s="70"/>
      <c r="H865" s="70" t="s">
        <v>40</v>
      </c>
      <c r="I865" s="70" t="s">
        <v>40</v>
      </c>
      <c r="J865" s="70" t="s">
        <v>40</v>
      </c>
      <c r="K865" s="70" t="s">
        <v>40</v>
      </c>
      <c r="L865" s="70" t="s">
        <v>40</v>
      </c>
      <c r="M865" s="70"/>
      <c r="N865" s="70" t="s">
        <v>40</v>
      </c>
      <c r="O865" s="70" t="s">
        <v>40</v>
      </c>
      <c r="P865" s="70" t="s">
        <v>40</v>
      </c>
      <c r="Q865" s="70"/>
      <c r="R865" s="70" t="s">
        <v>40</v>
      </c>
      <c r="S865" s="70" t="s">
        <v>40</v>
      </c>
      <c r="T865" s="70" t="s">
        <v>40</v>
      </c>
      <c r="U865" s="70" t="s">
        <v>40</v>
      </c>
      <c r="V865" s="70" t="s">
        <v>40</v>
      </c>
      <c r="W865" s="70"/>
      <c r="X865" s="70" t="s">
        <v>40</v>
      </c>
      <c r="Y865" s="70" t="s">
        <v>40</v>
      </c>
      <c r="Z865" s="70" t="s">
        <v>40</v>
      </c>
      <c r="AA865" s="70" t="s">
        <v>40</v>
      </c>
      <c r="AB865" s="70" t="s">
        <v>40</v>
      </c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</row>
    <row r="866" spans="1:43" x14ac:dyDescent="0.25">
      <c r="A866" s="46"/>
      <c r="B866" s="26"/>
      <c r="C866" s="4"/>
      <c r="D866" s="68">
        <f>SUM(D861:D864)</f>
        <v>35218372.689999998</v>
      </c>
      <c r="E866" s="68">
        <f t="shared" ref="E866:AB866" si="290">SUM(E861:E864)</f>
        <v>58052</v>
      </c>
      <c r="F866" s="68">
        <f t="shared" si="290"/>
        <v>0</v>
      </c>
      <c r="G866" s="68"/>
      <c r="H866" s="68">
        <f t="shared" si="290"/>
        <v>58052</v>
      </c>
      <c r="I866" s="68">
        <f t="shared" si="290"/>
        <v>0</v>
      </c>
      <c r="J866" s="68">
        <f t="shared" si="290"/>
        <v>0</v>
      </c>
      <c r="K866" s="68">
        <f t="shared" si="290"/>
        <v>0</v>
      </c>
      <c r="L866" s="68">
        <f t="shared" si="290"/>
        <v>0</v>
      </c>
      <c r="M866" s="68"/>
      <c r="N866" s="68">
        <f t="shared" si="290"/>
        <v>58052</v>
      </c>
      <c r="O866" s="68">
        <f t="shared" si="290"/>
        <v>0</v>
      </c>
      <c r="P866" s="68">
        <f t="shared" si="290"/>
        <v>0</v>
      </c>
      <c r="Q866" s="68"/>
      <c r="R866" s="68">
        <f t="shared" si="290"/>
        <v>0</v>
      </c>
      <c r="S866" s="68">
        <f t="shared" si="290"/>
        <v>0</v>
      </c>
      <c r="T866" s="68">
        <f t="shared" si="290"/>
        <v>0</v>
      </c>
      <c r="U866" s="68">
        <f t="shared" si="290"/>
        <v>0</v>
      </c>
      <c r="V866" s="68">
        <f t="shared" si="290"/>
        <v>0</v>
      </c>
      <c r="W866" s="68"/>
      <c r="X866" s="68">
        <f t="shared" si="290"/>
        <v>0</v>
      </c>
      <c r="Y866" s="68">
        <f t="shared" si="290"/>
        <v>58052</v>
      </c>
      <c r="Z866" s="68">
        <f t="shared" si="290"/>
        <v>35160320.689999998</v>
      </c>
      <c r="AA866" s="68">
        <f t="shared" si="290"/>
        <v>58052</v>
      </c>
      <c r="AB866" s="68">
        <f t="shared" si="290"/>
        <v>35160320.689999998</v>
      </c>
      <c r="AD866" s="94"/>
      <c r="AE866" s="94"/>
      <c r="AF866" s="94"/>
      <c r="AG866" s="94"/>
      <c r="AH866" s="94"/>
      <c r="AI866" s="94"/>
      <c r="AJ866" s="94"/>
      <c r="AK866" s="94"/>
      <c r="AL866" s="94"/>
      <c r="AM866" s="94"/>
      <c r="AN866" s="94"/>
      <c r="AO866" s="94"/>
      <c r="AP866" s="94"/>
      <c r="AQ866" s="94"/>
    </row>
    <row r="867" spans="1:43" x14ac:dyDescent="0.25">
      <c r="A867" s="46"/>
      <c r="B867" s="26"/>
      <c r="C867" s="4"/>
      <c r="D867" s="70" t="s">
        <v>40</v>
      </c>
      <c r="E867" s="70" t="s">
        <v>40</v>
      </c>
      <c r="F867" s="70" t="s">
        <v>40</v>
      </c>
      <c r="G867" s="70"/>
      <c r="H867" s="70" t="s">
        <v>40</v>
      </c>
      <c r="I867" s="70" t="s">
        <v>40</v>
      </c>
      <c r="J867" s="70" t="s">
        <v>40</v>
      </c>
      <c r="K867" s="70" t="s">
        <v>40</v>
      </c>
      <c r="L867" s="70" t="s">
        <v>40</v>
      </c>
      <c r="M867" s="70"/>
      <c r="N867" s="70" t="s">
        <v>40</v>
      </c>
      <c r="O867" s="70" t="s">
        <v>40</v>
      </c>
      <c r="P867" s="70" t="s">
        <v>40</v>
      </c>
      <c r="Q867" s="70"/>
      <c r="R867" s="70" t="s">
        <v>40</v>
      </c>
      <c r="S867" s="70" t="s">
        <v>40</v>
      </c>
      <c r="T867" s="70" t="s">
        <v>40</v>
      </c>
      <c r="U867" s="70" t="s">
        <v>40</v>
      </c>
      <c r="V867" s="70" t="s">
        <v>40</v>
      </c>
      <c r="W867" s="70"/>
      <c r="X867" s="70" t="s">
        <v>40</v>
      </c>
      <c r="Y867" s="70" t="s">
        <v>40</v>
      </c>
      <c r="Z867" s="70" t="s">
        <v>40</v>
      </c>
      <c r="AA867" s="70" t="s">
        <v>40</v>
      </c>
      <c r="AB867" s="70" t="s">
        <v>40</v>
      </c>
      <c r="AD867" s="94"/>
      <c r="AE867" s="94"/>
      <c r="AF867" s="94"/>
      <c r="AG867" s="94"/>
      <c r="AH867" s="94"/>
      <c r="AI867" s="94"/>
      <c r="AJ867" s="94"/>
      <c r="AK867" s="94"/>
      <c r="AL867" s="94"/>
      <c r="AM867" s="94"/>
      <c r="AN867" s="94"/>
      <c r="AO867" s="94"/>
      <c r="AP867" s="94"/>
      <c r="AQ867" s="94"/>
    </row>
    <row r="868" spans="1:43" ht="19.5" x14ac:dyDescent="0.35">
      <c r="A868" s="46">
        <v>95</v>
      </c>
      <c r="B868" s="26" t="s">
        <v>225</v>
      </c>
      <c r="C868" s="2" t="s">
        <v>35</v>
      </c>
      <c r="D868" s="68">
        <v>26087548.93</v>
      </c>
      <c r="E868" s="68"/>
      <c r="F868" s="68"/>
      <c r="G868" s="68"/>
      <c r="H868" s="67">
        <f>E868+F868</f>
        <v>0</v>
      </c>
      <c r="I868" s="68"/>
      <c r="J868" s="68"/>
      <c r="K868" s="68"/>
      <c r="L868" s="68"/>
      <c r="M868" s="68"/>
      <c r="N868" s="67">
        <f>H868+L868</f>
        <v>0</v>
      </c>
      <c r="O868" s="68">
        <v>46483.85</v>
      </c>
      <c r="P868" s="68"/>
      <c r="Q868" s="91"/>
      <c r="R868" s="67">
        <f>O868+P868</f>
        <v>46483.85</v>
      </c>
      <c r="S868" s="68"/>
      <c r="T868" s="68"/>
      <c r="U868" s="68"/>
      <c r="V868" s="68"/>
      <c r="W868" s="68"/>
      <c r="X868" s="67">
        <f>R868+V868</f>
        <v>46483.85</v>
      </c>
      <c r="Y868" s="67">
        <f>R868+H868</f>
        <v>46483.85</v>
      </c>
      <c r="Z868" s="67">
        <f>D868-Y868</f>
        <v>26041065.079999998</v>
      </c>
      <c r="AA868" s="67">
        <f>N868+X868</f>
        <v>46483.85</v>
      </c>
      <c r="AB868" s="67">
        <f>+D868-N868-X868</f>
        <v>26041065.079999998</v>
      </c>
      <c r="AD868" s="94"/>
      <c r="AE868" s="94"/>
      <c r="AF868" s="94"/>
      <c r="AG868" s="94"/>
      <c r="AH868" s="94"/>
      <c r="AI868" s="94"/>
      <c r="AJ868" s="94"/>
      <c r="AK868" s="94"/>
      <c r="AL868" s="94"/>
      <c r="AM868" s="94"/>
      <c r="AN868" s="94"/>
      <c r="AO868" s="94"/>
      <c r="AP868" s="94"/>
      <c r="AQ868" s="94"/>
    </row>
    <row r="869" spans="1:43" x14ac:dyDescent="0.25">
      <c r="A869" s="46"/>
      <c r="B869" s="26"/>
      <c r="C869" s="4" t="s">
        <v>53</v>
      </c>
      <c r="D869" s="68">
        <v>23876225.25</v>
      </c>
      <c r="E869" s="68"/>
      <c r="F869" s="68"/>
      <c r="G869" s="68"/>
      <c r="H869" s="67">
        <f>E869+F869</f>
        <v>0</v>
      </c>
      <c r="I869" s="68"/>
      <c r="J869" s="68"/>
      <c r="K869" s="68"/>
      <c r="L869" s="68"/>
      <c r="M869" s="68"/>
      <c r="N869" s="67">
        <f>H869+L869</f>
        <v>0</v>
      </c>
      <c r="O869" s="68">
        <f>4805608.41+24758.89</f>
        <v>4830367.3</v>
      </c>
      <c r="P869" s="68"/>
      <c r="Q869" s="68"/>
      <c r="R869" s="67">
        <f>O869+P869</f>
        <v>4830367.3</v>
      </c>
      <c r="S869" s="68"/>
      <c r="T869" s="68"/>
      <c r="U869" s="68"/>
      <c r="V869" s="68"/>
      <c r="W869" s="68"/>
      <c r="X869" s="67">
        <f>R869+V869</f>
        <v>4830367.3</v>
      </c>
      <c r="Y869" s="67">
        <f>R869+H869</f>
        <v>4830367.3</v>
      </c>
      <c r="Z869" s="67">
        <f>D869-Y869</f>
        <v>19045857.949999999</v>
      </c>
      <c r="AA869" s="67">
        <f>N869+X869</f>
        <v>4830367.3</v>
      </c>
      <c r="AB869" s="67">
        <f>+D869-N869-X869</f>
        <v>19045857.949999999</v>
      </c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</row>
    <row r="870" spans="1:43" x14ac:dyDescent="0.25">
      <c r="A870" s="46"/>
      <c r="B870" s="26"/>
      <c r="C870" s="4" t="s">
        <v>54</v>
      </c>
      <c r="D870" s="68">
        <f>3568451.72+7131811.31</f>
        <v>10700263.029999999</v>
      </c>
      <c r="E870" s="68"/>
      <c r="F870" s="68"/>
      <c r="G870" s="68"/>
      <c r="H870" s="67">
        <f>E870+F870</f>
        <v>0</v>
      </c>
      <c r="I870" s="68"/>
      <c r="J870" s="68"/>
      <c r="K870" s="68"/>
      <c r="L870" s="68"/>
      <c r="M870" s="68"/>
      <c r="N870" s="67">
        <f>H870+L870</f>
        <v>0</v>
      </c>
      <c r="O870" s="68">
        <v>10700263.029999999</v>
      </c>
      <c r="P870" s="68"/>
      <c r="Q870" s="68"/>
      <c r="R870" s="67">
        <f>O870+P870</f>
        <v>10700263.029999999</v>
      </c>
      <c r="S870" s="68"/>
      <c r="T870" s="68"/>
      <c r="U870" s="68"/>
      <c r="V870" s="68"/>
      <c r="W870" s="68"/>
      <c r="X870" s="67">
        <f>R870+V870</f>
        <v>10700263.029999999</v>
      </c>
      <c r="Y870" s="67">
        <f>R870+H870</f>
        <v>10700263.029999999</v>
      </c>
      <c r="Z870" s="67">
        <f>D870-Y870</f>
        <v>0</v>
      </c>
      <c r="AA870" s="67">
        <f>N870+X870</f>
        <v>10700263.029999999</v>
      </c>
      <c r="AB870" s="67">
        <f>+D870-N870-X870</f>
        <v>0</v>
      </c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</row>
    <row r="871" spans="1:43" x14ac:dyDescent="0.25">
      <c r="A871" s="46"/>
      <c r="B871" s="26"/>
      <c r="C871" s="4"/>
      <c r="D871" s="70" t="s">
        <v>40</v>
      </c>
      <c r="E871" s="70" t="s">
        <v>40</v>
      </c>
      <c r="F871" s="70" t="s">
        <v>40</v>
      </c>
      <c r="G871" s="70"/>
      <c r="H871" s="70" t="s">
        <v>40</v>
      </c>
      <c r="I871" s="70" t="s">
        <v>40</v>
      </c>
      <c r="J871" s="70" t="s">
        <v>40</v>
      </c>
      <c r="K871" s="70" t="s">
        <v>40</v>
      </c>
      <c r="L871" s="70" t="s">
        <v>40</v>
      </c>
      <c r="M871" s="70"/>
      <c r="N871" s="70" t="s">
        <v>40</v>
      </c>
      <c r="O871" s="70" t="s">
        <v>40</v>
      </c>
      <c r="P871" s="70" t="s">
        <v>40</v>
      </c>
      <c r="Q871" s="70"/>
      <c r="R871" s="70" t="s">
        <v>40</v>
      </c>
      <c r="S871" s="70" t="s">
        <v>40</v>
      </c>
      <c r="T871" s="70" t="s">
        <v>40</v>
      </c>
      <c r="U871" s="70" t="s">
        <v>40</v>
      </c>
      <c r="V871" s="70" t="s">
        <v>40</v>
      </c>
      <c r="W871" s="70"/>
      <c r="X871" s="70" t="s">
        <v>40</v>
      </c>
      <c r="Y871" s="70" t="s">
        <v>40</v>
      </c>
      <c r="Z871" s="70" t="s">
        <v>40</v>
      </c>
      <c r="AA871" s="70" t="s">
        <v>40</v>
      </c>
      <c r="AB871" s="70" t="s">
        <v>40</v>
      </c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</row>
    <row r="872" spans="1:43" x14ac:dyDescent="0.25">
      <c r="A872" s="46"/>
      <c r="B872" s="26"/>
      <c r="C872" s="4"/>
      <c r="D872" s="68">
        <f>SUM(D868:D870)</f>
        <v>60664037.210000001</v>
      </c>
      <c r="E872" s="68">
        <f t="shared" ref="E872:AB872" si="291">SUM(E868:E870)</f>
        <v>0</v>
      </c>
      <c r="F872" s="68">
        <f t="shared" si="291"/>
        <v>0</v>
      </c>
      <c r="G872" s="68"/>
      <c r="H872" s="68">
        <f t="shared" si="291"/>
        <v>0</v>
      </c>
      <c r="I872" s="68">
        <f t="shared" si="291"/>
        <v>0</v>
      </c>
      <c r="J872" s="68">
        <f t="shared" si="291"/>
        <v>0</v>
      </c>
      <c r="K872" s="68">
        <f t="shared" si="291"/>
        <v>0</v>
      </c>
      <c r="L872" s="68">
        <f t="shared" si="291"/>
        <v>0</v>
      </c>
      <c r="M872" s="68"/>
      <c r="N872" s="68">
        <f>SUM(N868:N870)</f>
        <v>0</v>
      </c>
      <c r="O872" s="68">
        <f>SUM(O868:O870)</f>
        <v>15577114.18</v>
      </c>
      <c r="P872" s="68">
        <f>SUM(P868:P870)</f>
        <v>0</v>
      </c>
      <c r="Q872" s="68"/>
      <c r="R872" s="68">
        <f t="shared" si="291"/>
        <v>15577114.18</v>
      </c>
      <c r="S872" s="68">
        <f t="shared" si="291"/>
        <v>0</v>
      </c>
      <c r="T872" s="68">
        <f t="shared" si="291"/>
        <v>0</v>
      </c>
      <c r="U872" s="68">
        <f t="shared" si="291"/>
        <v>0</v>
      </c>
      <c r="V872" s="68">
        <f t="shared" si="291"/>
        <v>0</v>
      </c>
      <c r="W872" s="68"/>
      <c r="X872" s="68">
        <f t="shared" si="291"/>
        <v>15577114.18</v>
      </c>
      <c r="Y872" s="68">
        <f t="shared" si="291"/>
        <v>15577114.18</v>
      </c>
      <c r="Z872" s="68">
        <f t="shared" si="291"/>
        <v>45086923.030000001</v>
      </c>
      <c r="AA872" s="68">
        <f t="shared" si="291"/>
        <v>15577114.18</v>
      </c>
      <c r="AB872" s="68">
        <f t="shared" si="291"/>
        <v>45086923.030000001</v>
      </c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</row>
    <row r="873" spans="1:43" x14ac:dyDescent="0.25">
      <c r="A873" s="46"/>
      <c r="B873" s="26"/>
      <c r="C873" s="4"/>
      <c r="D873" s="70" t="s">
        <v>40</v>
      </c>
      <c r="E873" s="70" t="s">
        <v>40</v>
      </c>
      <c r="F873" s="70" t="s">
        <v>40</v>
      </c>
      <c r="G873" s="70"/>
      <c r="H873" s="70" t="s">
        <v>40</v>
      </c>
      <c r="I873" s="70" t="s">
        <v>40</v>
      </c>
      <c r="J873" s="70" t="s">
        <v>40</v>
      </c>
      <c r="K873" s="70" t="s">
        <v>40</v>
      </c>
      <c r="L873" s="70" t="s">
        <v>40</v>
      </c>
      <c r="M873" s="70"/>
      <c r="N873" s="70" t="s">
        <v>40</v>
      </c>
      <c r="O873" s="70" t="s">
        <v>40</v>
      </c>
      <c r="P873" s="70" t="s">
        <v>40</v>
      </c>
      <c r="Q873" s="70"/>
      <c r="R873" s="70" t="s">
        <v>40</v>
      </c>
      <c r="S873" s="70" t="s">
        <v>40</v>
      </c>
      <c r="T873" s="70" t="s">
        <v>40</v>
      </c>
      <c r="U873" s="70" t="s">
        <v>40</v>
      </c>
      <c r="V873" s="70" t="s">
        <v>40</v>
      </c>
      <c r="W873" s="70"/>
      <c r="X873" s="70" t="s">
        <v>40</v>
      </c>
      <c r="Y873" s="70" t="s">
        <v>40</v>
      </c>
      <c r="Z873" s="70" t="s">
        <v>40</v>
      </c>
      <c r="AA873" s="70" t="s">
        <v>40</v>
      </c>
      <c r="AB873" s="70" t="s">
        <v>40</v>
      </c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</row>
    <row r="874" spans="1:43" ht="19.5" x14ac:dyDescent="0.35">
      <c r="A874" s="46"/>
      <c r="B874" s="26"/>
      <c r="C874" s="4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2"/>
      <c r="P874" s="92"/>
      <c r="Q874" s="100"/>
      <c r="R874" s="55"/>
      <c r="S874" s="89"/>
      <c r="T874" s="89"/>
      <c r="U874" s="89"/>
      <c r="V874" s="92"/>
      <c r="W874" s="89"/>
      <c r="X874" s="70"/>
      <c r="Y874" s="70"/>
      <c r="Z874" s="70"/>
      <c r="AA874" s="70"/>
      <c r="AB874" s="70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</row>
    <row r="875" spans="1:43" x14ac:dyDescent="0.25">
      <c r="A875" s="46">
        <v>96</v>
      </c>
      <c r="B875" s="26" t="s">
        <v>226</v>
      </c>
      <c r="C875" s="2" t="s">
        <v>35</v>
      </c>
      <c r="D875" s="68">
        <v>0</v>
      </c>
      <c r="E875" s="68"/>
      <c r="F875" s="68"/>
      <c r="G875" s="68"/>
      <c r="H875" s="67">
        <f t="shared" ref="H875:H880" si="292">E875+F875</f>
        <v>0</v>
      </c>
      <c r="I875" s="68"/>
      <c r="J875" s="68"/>
      <c r="K875" s="68"/>
      <c r="L875" s="68"/>
      <c r="M875" s="68"/>
      <c r="N875" s="67">
        <f t="shared" ref="N875:N880" si="293">H875+L875</f>
        <v>0</v>
      </c>
      <c r="O875" s="68"/>
      <c r="P875" s="68"/>
      <c r="Q875" s="68"/>
      <c r="R875" s="67">
        <f t="shared" ref="R875:R880" si="294">O875+P875</f>
        <v>0</v>
      </c>
      <c r="S875" s="68"/>
      <c r="T875" s="68"/>
      <c r="U875" s="68"/>
      <c r="V875" s="68"/>
      <c r="W875" s="68"/>
      <c r="X875" s="67">
        <f t="shared" ref="X875:X880" si="295">R875+V875</f>
        <v>0</v>
      </c>
      <c r="Y875" s="67">
        <f t="shared" ref="Y875:Y880" si="296">R875+H875</f>
        <v>0</v>
      </c>
      <c r="Z875" s="67">
        <f t="shared" ref="Z875:Z880" si="297">D875-Y875</f>
        <v>0</v>
      </c>
      <c r="AA875" s="67">
        <f t="shared" ref="AA875:AA880" si="298">N875+X875</f>
        <v>0</v>
      </c>
      <c r="AB875" s="67">
        <f t="shared" ref="AB875:AB880" si="299">+D875-N875-X875</f>
        <v>0</v>
      </c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</row>
    <row r="876" spans="1:43" x14ac:dyDescent="0.25">
      <c r="A876" s="46"/>
      <c r="B876" s="26"/>
      <c r="C876" s="4" t="s">
        <v>36</v>
      </c>
      <c r="D876" s="68">
        <v>1810031</v>
      </c>
      <c r="E876" s="68">
        <v>1810031</v>
      </c>
      <c r="F876" s="68"/>
      <c r="G876" s="68"/>
      <c r="H876" s="67">
        <f t="shared" si="292"/>
        <v>1810031</v>
      </c>
      <c r="I876" s="68"/>
      <c r="J876" s="68"/>
      <c r="K876" s="68"/>
      <c r="L876" s="68"/>
      <c r="M876" s="68"/>
      <c r="N876" s="67">
        <f t="shared" si="293"/>
        <v>1810031</v>
      </c>
      <c r="O876" s="68"/>
      <c r="P876" s="68"/>
      <c r="Q876" s="68"/>
      <c r="R876" s="67">
        <f t="shared" si="294"/>
        <v>0</v>
      </c>
      <c r="S876" s="68"/>
      <c r="T876" s="68"/>
      <c r="U876" s="68"/>
      <c r="V876" s="68"/>
      <c r="W876" s="68"/>
      <c r="X876" s="67">
        <f t="shared" si="295"/>
        <v>0</v>
      </c>
      <c r="Y876" s="67">
        <f t="shared" si="296"/>
        <v>1810031</v>
      </c>
      <c r="Z876" s="67">
        <f t="shared" si="297"/>
        <v>0</v>
      </c>
      <c r="AA876" s="67">
        <f t="shared" si="298"/>
        <v>1810031</v>
      </c>
      <c r="AB876" s="67">
        <f t="shared" si="299"/>
        <v>0</v>
      </c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</row>
    <row r="877" spans="1:43" x14ac:dyDescent="0.25">
      <c r="A877" s="46"/>
      <c r="B877" s="26"/>
      <c r="C877" s="4" t="s">
        <v>208</v>
      </c>
      <c r="D877" s="68">
        <v>507482.34</v>
      </c>
      <c r="E877" s="68"/>
      <c r="F877" s="68"/>
      <c r="G877" s="68"/>
      <c r="H877" s="67">
        <f t="shared" si="292"/>
        <v>0</v>
      </c>
      <c r="I877" s="68"/>
      <c r="J877" s="68"/>
      <c r="K877" s="68"/>
      <c r="L877" s="68"/>
      <c r="M877" s="68"/>
      <c r="N877" s="67">
        <f t="shared" si="293"/>
        <v>0</v>
      </c>
      <c r="O877" s="68"/>
      <c r="P877" s="68"/>
      <c r="Q877" s="68"/>
      <c r="R877" s="67">
        <f t="shared" si="294"/>
        <v>0</v>
      </c>
      <c r="S877" s="68"/>
      <c r="T877" s="68"/>
      <c r="U877" s="68"/>
      <c r="V877" s="68"/>
      <c r="W877" s="68"/>
      <c r="X877" s="67">
        <f t="shared" si="295"/>
        <v>0</v>
      </c>
      <c r="Y877" s="67">
        <f t="shared" si="296"/>
        <v>0</v>
      </c>
      <c r="Z877" s="67">
        <f t="shared" si="297"/>
        <v>507482.34</v>
      </c>
      <c r="AA877" s="67">
        <f t="shared" si="298"/>
        <v>0</v>
      </c>
      <c r="AB877" s="67">
        <f t="shared" si="299"/>
        <v>507482.34</v>
      </c>
      <c r="AD877" s="94"/>
      <c r="AE877" s="94"/>
      <c r="AF877" s="94"/>
      <c r="AG877" s="94"/>
      <c r="AH877" s="94"/>
      <c r="AI877" s="94"/>
      <c r="AJ877" s="94"/>
      <c r="AK877" s="94"/>
      <c r="AL877" s="94"/>
      <c r="AM877" s="94"/>
      <c r="AN877" s="94"/>
      <c r="AO877" s="94"/>
      <c r="AP877" s="94"/>
      <c r="AQ877" s="94"/>
    </row>
    <row r="878" spans="1:43" x14ac:dyDescent="0.25">
      <c r="A878" s="46"/>
      <c r="B878" s="26"/>
      <c r="C878" s="4" t="s">
        <v>183</v>
      </c>
      <c r="D878" s="68">
        <f>2611558.27+249850-181752.55</f>
        <v>2679655.7200000002</v>
      </c>
      <c r="E878" s="68"/>
      <c r="F878" s="68"/>
      <c r="G878" s="68"/>
      <c r="H878" s="67">
        <f t="shared" si="292"/>
        <v>0</v>
      </c>
      <c r="I878" s="68"/>
      <c r="J878" s="68"/>
      <c r="K878" s="68"/>
      <c r="L878" s="68"/>
      <c r="M878" s="68"/>
      <c r="N878" s="67">
        <f t="shared" si="293"/>
        <v>0</v>
      </c>
      <c r="O878" s="68">
        <f>249850+40778.5</f>
        <v>290628.5</v>
      </c>
      <c r="P878" s="68"/>
      <c r="Q878" s="68"/>
      <c r="R878" s="67">
        <f t="shared" si="294"/>
        <v>290628.5</v>
      </c>
      <c r="S878" s="68"/>
      <c r="T878" s="68"/>
      <c r="U878" s="68"/>
      <c r="V878" s="68"/>
      <c r="W878" s="68"/>
      <c r="X878" s="67">
        <f t="shared" si="295"/>
        <v>290628.5</v>
      </c>
      <c r="Y878" s="67">
        <f t="shared" si="296"/>
        <v>290628.5</v>
      </c>
      <c r="Z878" s="67">
        <f t="shared" si="297"/>
        <v>2389027.2200000002</v>
      </c>
      <c r="AA878" s="67">
        <f t="shared" si="298"/>
        <v>290628.5</v>
      </c>
      <c r="AB878" s="67">
        <f t="shared" si="299"/>
        <v>2389027.2200000002</v>
      </c>
      <c r="AD878" s="94"/>
      <c r="AE878" s="94"/>
      <c r="AF878" s="94"/>
      <c r="AG878" s="94"/>
      <c r="AH878" s="94"/>
      <c r="AI878" s="94"/>
      <c r="AJ878" s="94"/>
      <c r="AK878" s="94"/>
      <c r="AL878" s="94"/>
      <c r="AM878" s="94"/>
      <c r="AN878" s="94"/>
      <c r="AO878" s="94"/>
      <c r="AP878" s="94"/>
      <c r="AQ878" s="94"/>
    </row>
    <row r="879" spans="1:43" x14ac:dyDescent="0.25">
      <c r="A879" s="46"/>
      <c r="B879" s="26"/>
      <c r="C879" s="4" t="s">
        <v>38</v>
      </c>
      <c r="D879" s="68">
        <f>492517.66-374163.86</f>
        <v>118353.79999999999</v>
      </c>
      <c r="E879" s="68"/>
      <c r="F879" s="68"/>
      <c r="G879" s="68"/>
      <c r="H879" s="67">
        <f t="shared" si="292"/>
        <v>0</v>
      </c>
      <c r="I879" s="68"/>
      <c r="J879" s="68"/>
      <c r="K879" s="68"/>
      <c r="L879" s="68"/>
      <c r="M879" s="68"/>
      <c r="N879" s="67">
        <f t="shared" si="293"/>
        <v>0</v>
      </c>
      <c r="O879" s="68">
        <f>843176.8+608213.52</f>
        <v>1451390.32</v>
      </c>
      <c r="P879" s="68">
        <v>63015.040000000001</v>
      </c>
      <c r="Q879" s="68"/>
      <c r="R879" s="67">
        <f t="shared" si="294"/>
        <v>1514405.36</v>
      </c>
      <c r="S879" s="68"/>
      <c r="T879" s="68"/>
      <c r="U879" s="68"/>
      <c r="V879" s="68"/>
      <c r="W879" s="68"/>
      <c r="X879" s="67">
        <f t="shared" si="295"/>
        <v>1514405.36</v>
      </c>
      <c r="Y879" s="67">
        <f t="shared" si="296"/>
        <v>1514405.36</v>
      </c>
      <c r="Z879" s="67">
        <f t="shared" si="297"/>
        <v>-1396051.56</v>
      </c>
      <c r="AA879" s="67">
        <f t="shared" si="298"/>
        <v>1514405.36</v>
      </c>
      <c r="AB879" s="67">
        <f t="shared" si="299"/>
        <v>-1396051.56</v>
      </c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  <c r="AN879" s="94"/>
      <c r="AO879" s="94"/>
      <c r="AP879" s="94"/>
      <c r="AQ879" s="94"/>
    </row>
    <row r="880" spans="1:43" x14ac:dyDescent="0.25">
      <c r="A880" s="46"/>
      <c r="B880" s="26"/>
      <c r="C880" s="4" t="s">
        <v>184</v>
      </c>
      <c r="D880" s="68">
        <f>181752.55+374163.86</f>
        <v>555916.40999999992</v>
      </c>
      <c r="E880" s="68"/>
      <c r="F880" s="68"/>
      <c r="G880" s="68"/>
      <c r="H880" s="67">
        <f t="shared" si="292"/>
        <v>0</v>
      </c>
      <c r="I880" s="68"/>
      <c r="J880" s="68"/>
      <c r="K880" s="68"/>
      <c r="L880" s="68"/>
      <c r="M880" s="68"/>
      <c r="N880" s="67">
        <f t="shared" si="293"/>
        <v>0</v>
      </c>
      <c r="O880" s="68">
        <v>555916.41</v>
      </c>
      <c r="P880" s="68"/>
      <c r="Q880" s="68"/>
      <c r="R880" s="67">
        <f t="shared" si="294"/>
        <v>555916.41</v>
      </c>
      <c r="S880" s="68"/>
      <c r="T880" s="68"/>
      <c r="U880" s="68"/>
      <c r="V880" s="68"/>
      <c r="W880" s="68"/>
      <c r="X880" s="67">
        <f t="shared" si="295"/>
        <v>555916.41</v>
      </c>
      <c r="Y880" s="67">
        <f t="shared" si="296"/>
        <v>555916.41</v>
      </c>
      <c r="Z880" s="67">
        <f t="shared" si="297"/>
        <v>0</v>
      </c>
      <c r="AA880" s="67">
        <f t="shared" si="298"/>
        <v>555916.41</v>
      </c>
      <c r="AB880" s="67">
        <f t="shared" si="299"/>
        <v>0</v>
      </c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</row>
    <row r="881" spans="1:43" x14ac:dyDescent="0.25">
      <c r="A881" s="46"/>
      <c r="B881" s="26"/>
      <c r="C881" s="4"/>
      <c r="D881" s="70" t="s">
        <v>40</v>
      </c>
      <c r="E881" s="70" t="s">
        <v>40</v>
      </c>
      <c r="F881" s="70" t="s">
        <v>40</v>
      </c>
      <c r="G881" s="70"/>
      <c r="H881" s="70" t="s">
        <v>40</v>
      </c>
      <c r="I881" s="70" t="s">
        <v>40</v>
      </c>
      <c r="J881" s="70" t="s">
        <v>40</v>
      </c>
      <c r="K881" s="70" t="s">
        <v>40</v>
      </c>
      <c r="L881" s="70" t="s">
        <v>40</v>
      </c>
      <c r="M881" s="70"/>
      <c r="N881" s="70" t="s">
        <v>40</v>
      </c>
      <c r="O881" s="70" t="s">
        <v>40</v>
      </c>
      <c r="P881" s="70" t="s">
        <v>40</v>
      </c>
      <c r="Q881" s="70"/>
      <c r="R881" s="70" t="s">
        <v>40</v>
      </c>
      <c r="S881" s="70" t="s">
        <v>40</v>
      </c>
      <c r="T881" s="70" t="s">
        <v>40</v>
      </c>
      <c r="U881" s="70" t="s">
        <v>40</v>
      </c>
      <c r="V881" s="70" t="s">
        <v>40</v>
      </c>
      <c r="W881" s="70"/>
      <c r="X881" s="70" t="s">
        <v>40</v>
      </c>
      <c r="Y881" s="70" t="s">
        <v>40</v>
      </c>
      <c r="Z881" s="70" t="s">
        <v>40</v>
      </c>
      <c r="AA881" s="70" t="s">
        <v>40</v>
      </c>
      <c r="AB881" s="70" t="s">
        <v>40</v>
      </c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  <c r="AN881" s="94"/>
      <c r="AO881" s="94"/>
      <c r="AP881" s="94"/>
      <c r="AQ881" s="94"/>
    </row>
    <row r="882" spans="1:43" x14ac:dyDescent="0.25">
      <c r="A882" s="46"/>
      <c r="B882" s="26"/>
      <c r="C882" s="4"/>
      <c r="D882" s="68">
        <f>SUM(D875:D880)</f>
        <v>5671439.2700000005</v>
      </c>
      <c r="E882" s="68">
        <f t="shared" ref="E882:AB882" si="300">SUM(E875:E880)</f>
        <v>1810031</v>
      </c>
      <c r="F882" s="68">
        <f t="shared" si="300"/>
        <v>0</v>
      </c>
      <c r="G882" s="68"/>
      <c r="H882" s="68">
        <f t="shared" si="300"/>
        <v>1810031</v>
      </c>
      <c r="I882" s="68">
        <f t="shared" si="300"/>
        <v>0</v>
      </c>
      <c r="J882" s="68">
        <f t="shared" si="300"/>
        <v>0</v>
      </c>
      <c r="K882" s="68">
        <f t="shared" si="300"/>
        <v>0</v>
      </c>
      <c r="L882" s="68">
        <f t="shared" si="300"/>
        <v>0</v>
      </c>
      <c r="M882" s="68"/>
      <c r="N882" s="68">
        <f t="shared" si="300"/>
        <v>1810031</v>
      </c>
      <c r="O882" s="68">
        <f t="shared" si="300"/>
        <v>2297935.23</v>
      </c>
      <c r="P882" s="68">
        <f t="shared" si="300"/>
        <v>63015.040000000001</v>
      </c>
      <c r="Q882" s="68"/>
      <c r="R882" s="68">
        <f t="shared" si="300"/>
        <v>2360950.27</v>
      </c>
      <c r="S882" s="68">
        <f t="shared" si="300"/>
        <v>0</v>
      </c>
      <c r="T882" s="68">
        <f t="shared" si="300"/>
        <v>0</v>
      </c>
      <c r="U882" s="68">
        <f t="shared" si="300"/>
        <v>0</v>
      </c>
      <c r="V882" s="68">
        <f>SUM(V875:V880)</f>
        <v>0</v>
      </c>
      <c r="W882" s="68"/>
      <c r="X882" s="68">
        <f t="shared" si="300"/>
        <v>2360950.27</v>
      </c>
      <c r="Y882" s="68">
        <f t="shared" si="300"/>
        <v>4170981.2700000005</v>
      </c>
      <c r="Z882" s="68">
        <f t="shared" si="300"/>
        <v>1500458</v>
      </c>
      <c r="AA882" s="68">
        <f t="shared" si="300"/>
        <v>4170981.2700000005</v>
      </c>
      <c r="AB882" s="68">
        <f t="shared" si="300"/>
        <v>1500458</v>
      </c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  <c r="AN882" s="94"/>
      <c r="AO882" s="94"/>
      <c r="AP882" s="94"/>
      <c r="AQ882" s="94"/>
    </row>
    <row r="883" spans="1:43" x14ac:dyDescent="0.25">
      <c r="A883" s="46"/>
      <c r="B883" s="26"/>
      <c r="C883" s="4"/>
      <c r="D883" s="70" t="s">
        <v>40</v>
      </c>
      <c r="E883" s="70" t="s">
        <v>40</v>
      </c>
      <c r="F883" s="70" t="s">
        <v>40</v>
      </c>
      <c r="G883" s="70"/>
      <c r="H883" s="70" t="s">
        <v>40</v>
      </c>
      <c r="I883" s="70" t="s">
        <v>40</v>
      </c>
      <c r="J883" s="70" t="s">
        <v>40</v>
      </c>
      <c r="K883" s="70" t="s">
        <v>40</v>
      </c>
      <c r="L883" s="70" t="s">
        <v>40</v>
      </c>
      <c r="M883" s="70"/>
      <c r="N883" s="70" t="s">
        <v>40</v>
      </c>
      <c r="O883" s="70" t="s">
        <v>40</v>
      </c>
      <c r="P883" s="70" t="s">
        <v>40</v>
      </c>
      <c r="Q883" s="70"/>
      <c r="R883" s="70" t="s">
        <v>40</v>
      </c>
      <c r="S883" s="70" t="s">
        <v>40</v>
      </c>
      <c r="T883" s="70" t="s">
        <v>40</v>
      </c>
      <c r="U883" s="70" t="s">
        <v>40</v>
      </c>
      <c r="V883" s="70" t="s">
        <v>40</v>
      </c>
      <c r="W883" s="70"/>
      <c r="X883" s="70" t="s">
        <v>40</v>
      </c>
      <c r="Y883" s="70" t="s">
        <v>40</v>
      </c>
      <c r="Z883" s="70" t="s">
        <v>40</v>
      </c>
      <c r="AA883" s="70" t="s">
        <v>40</v>
      </c>
      <c r="AB883" s="70" t="s">
        <v>40</v>
      </c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  <c r="AN883" s="94"/>
      <c r="AO883" s="94"/>
      <c r="AP883" s="94"/>
      <c r="AQ883" s="94"/>
    </row>
    <row r="884" spans="1:43" x14ac:dyDescent="0.25">
      <c r="A884" s="46"/>
      <c r="B884" s="26"/>
      <c r="C884" s="4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61"/>
      <c r="R884" s="84"/>
      <c r="S884" s="61"/>
      <c r="T884" s="61"/>
      <c r="U884" s="61"/>
      <c r="V884" s="101"/>
      <c r="W884" s="61"/>
      <c r="X884" s="61"/>
      <c r="Y884" s="70"/>
      <c r="Z884" s="70"/>
      <c r="AA884" s="70"/>
      <c r="AB884" s="70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  <c r="AN884" s="94"/>
      <c r="AO884" s="94"/>
      <c r="AP884" s="94"/>
      <c r="AQ884" s="94"/>
    </row>
    <row r="885" spans="1:43" x14ac:dyDescent="0.25">
      <c r="A885" s="46"/>
      <c r="B885" s="26"/>
      <c r="C885" s="4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  <c r="AN885" s="94"/>
      <c r="AO885" s="94"/>
      <c r="AP885" s="94"/>
      <c r="AQ885" s="94"/>
    </row>
    <row r="886" spans="1:43" x14ac:dyDescent="0.25">
      <c r="A886" s="46">
        <v>97</v>
      </c>
      <c r="B886" s="26" t="s">
        <v>227</v>
      </c>
      <c r="C886" s="2" t="s">
        <v>35</v>
      </c>
      <c r="D886" s="68">
        <v>37561999.299999997</v>
      </c>
      <c r="E886" s="68"/>
      <c r="F886" s="68"/>
      <c r="G886" s="68"/>
      <c r="H886" s="67">
        <f>E886+F886</f>
        <v>0</v>
      </c>
      <c r="I886" s="68"/>
      <c r="J886" s="68"/>
      <c r="K886" s="68"/>
      <c r="L886" s="68"/>
      <c r="M886" s="68"/>
      <c r="N886" s="67">
        <f>H886+L886</f>
        <v>0</v>
      </c>
      <c r="O886" s="68"/>
      <c r="P886" s="68"/>
      <c r="Q886" s="68"/>
      <c r="R886" s="67">
        <f>O886+P886</f>
        <v>0</v>
      </c>
      <c r="S886" s="68"/>
      <c r="T886" s="68"/>
      <c r="U886" s="68"/>
      <c r="V886" s="68"/>
      <c r="W886" s="68"/>
      <c r="X886" s="67">
        <f>R886+V886</f>
        <v>0</v>
      </c>
      <c r="Y886" s="67">
        <f>R886+H886</f>
        <v>0</v>
      </c>
      <c r="Z886" s="67">
        <f>D886-Y886</f>
        <v>37561999.299999997</v>
      </c>
      <c r="AA886" s="67">
        <f>N886+X886</f>
        <v>0</v>
      </c>
      <c r="AB886" s="67">
        <f>+D886-N886-X886</f>
        <v>37561999.299999997</v>
      </c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94"/>
    </row>
    <row r="887" spans="1:43" x14ac:dyDescent="0.25">
      <c r="A887" s="46"/>
      <c r="B887" s="26"/>
      <c r="C887" s="4" t="s">
        <v>36</v>
      </c>
      <c r="D887" s="68">
        <v>21255</v>
      </c>
      <c r="E887" s="68">
        <v>21255</v>
      </c>
      <c r="F887" s="68"/>
      <c r="G887" s="68"/>
      <c r="H887" s="67">
        <f>E887+F887</f>
        <v>21255</v>
      </c>
      <c r="I887" s="68"/>
      <c r="J887" s="68"/>
      <c r="K887" s="68"/>
      <c r="L887" s="68"/>
      <c r="M887" s="68"/>
      <c r="N887" s="67">
        <f>H887+L887</f>
        <v>21255</v>
      </c>
      <c r="O887" s="68"/>
      <c r="P887" s="68"/>
      <c r="Q887" s="68"/>
      <c r="R887" s="67">
        <f>O887+P887</f>
        <v>0</v>
      </c>
      <c r="S887" s="68"/>
      <c r="T887" s="68"/>
      <c r="U887" s="68"/>
      <c r="V887" s="68"/>
      <c r="W887" s="68"/>
      <c r="X887" s="67">
        <f>R887+V887</f>
        <v>0</v>
      </c>
      <c r="Y887" s="67">
        <f>R887+H887</f>
        <v>21255</v>
      </c>
      <c r="Z887" s="67">
        <f>D887-Y887</f>
        <v>0</v>
      </c>
      <c r="AA887" s="67">
        <f>N887+X887</f>
        <v>21255</v>
      </c>
      <c r="AB887" s="67">
        <f>+D887-N887-X887</f>
        <v>0</v>
      </c>
      <c r="AD887" s="94"/>
      <c r="AE887" s="94"/>
      <c r="AF887" s="94"/>
      <c r="AG887" s="94"/>
      <c r="AH887" s="94"/>
      <c r="AI887" s="94"/>
      <c r="AJ887" s="94"/>
      <c r="AK887" s="94"/>
      <c r="AL887" s="94"/>
      <c r="AM887" s="94"/>
      <c r="AN887" s="94"/>
      <c r="AO887" s="94"/>
      <c r="AP887" s="94"/>
      <c r="AQ887" s="94"/>
    </row>
    <row r="888" spans="1:43" x14ac:dyDescent="0.25">
      <c r="A888" s="46"/>
      <c r="B888" s="26"/>
      <c r="C888" s="4" t="s">
        <v>53</v>
      </c>
      <c r="D888" s="68">
        <v>33904714.25</v>
      </c>
      <c r="E888" s="68"/>
      <c r="F888" s="68"/>
      <c r="G888" s="68"/>
      <c r="H888" s="67">
        <f>E888+F888</f>
        <v>0</v>
      </c>
      <c r="I888" s="68"/>
      <c r="J888" s="68"/>
      <c r="K888" s="68"/>
      <c r="L888" s="68"/>
      <c r="M888" s="68"/>
      <c r="N888" s="67">
        <f>H888+L888</f>
        <v>0</v>
      </c>
      <c r="O888" s="68">
        <v>5495751.5499999998</v>
      </c>
      <c r="P888" s="68"/>
      <c r="Q888" s="68"/>
      <c r="R888" s="67">
        <f>O888+P888</f>
        <v>5495751.5499999998</v>
      </c>
      <c r="S888" s="68"/>
      <c r="T888" s="68"/>
      <c r="U888" s="68"/>
      <c r="V888" s="68"/>
      <c r="W888" s="68"/>
      <c r="X888" s="67">
        <f>R888+V888</f>
        <v>5495751.5499999998</v>
      </c>
      <c r="Y888" s="67">
        <f>R888+H888</f>
        <v>5495751.5499999998</v>
      </c>
      <c r="Z888" s="67">
        <f>D888-Y888</f>
        <v>28408962.699999999</v>
      </c>
      <c r="AA888" s="67">
        <f>N888+X888</f>
        <v>5495751.5499999998</v>
      </c>
      <c r="AB888" s="67">
        <f>+D888-N888-X888</f>
        <v>28408962.699999999</v>
      </c>
      <c r="AD888" s="94"/>
      <c r="AE888" s="94"/>
      <c r="AF888" s="94"/>
      <c r="AG888" s="94"/>
      <c r="AH888" s="94"/>
      <c r="AI888" s="94"/>
      <c r="AJ888" s="94"/>
      <c r="AK888" s="94"/>
      <c r="AL888" s="94"/>
      <c r="AM888" s="94"/>
      <c r="AN888" s="94"/>
      <c r="AO888" s="94"/>
      <c r="AP888" s="94"/>
      <c r="AQ888" s="94"/>
    </row>
    <row r="889" spans="1:43" x14ac:dyDescent="0.25">
      <c r="A889" s="46"/>
      <c r="B889" s="26"/>
      <c r="C889" s="4" t="s">
        <v>54</v>
      </c>
      <c r="D889" s="68">
        <v>15796629.800000001</v>
      </c>
      <c r="E889" s="68"/>
      <c r="F889" s="68"/>
      <c r="G889" s="68"/>
      <c r="H889" s="67">
        <f>E889+F889</f>
        <v>0</v>
      </c>
      <c r="I889" s="68"/>
      <c r="J889" s="68"/>
      <c r="K889" s="68"/>
      <c r="L889" s="68"/>
      <c r="M889" s="68"/>
      <c r="N889" s="67">
        <f>H889+L889</f>
        <v>0</v>
      </c>
      <c r="O889" s="68">
        <v>15796629.800000001</v>
      </c>
      <c r="P889" s="68"/>
      <c r="Q889" s="68"/>
      <c r="R889" s="67">
        <f>O889+P889</f>
        <v>15796629.800000001</v>
      </c>
      <c r="S889" s="68"/>
      <c r="T889" s="68"/>
      <c r="U889" s="68"/>
      <c r="V889" s="68"/>
      <c r="W889" s="68"/>
      <c r="X889" s="67">
        <f>R889+V889</f>
        <v>15796629.800000001</v>
      </c>
      <c r="Y889" s="67">
        <f>R889+H889</f>
        <v>15796629.800000001</v>
      </c>
      <c r="Z889" s="67">
        <f>D889-Y889</f>
        <v>0</v>
      </c>
      <c r="AA889" s="67">
        <f>N889+X889</f>
        <v>15796629.800000001</v>
      </c>
      <c r="AB889" s="67">
        <f>+D889-N889-X889</f>
        <v>0</v>
      </c>
      <c r="AD889" s="94"/>
      <c r="AE889" s="94"/>
      <c r="AF889" s="94"/>
      <c r="AG889" s="94"/>
      <c r="AH889" s="94"/>
      <c r="AI889" s="94"/>
      <c r="AJ889" s="94"/>
      <c r="AK889" s="94"/>
      <c r="AL889" s="94"/>
      <c r="AM889" s="94"/>
      <c r="AN889" s="94"/>
      <c r="AO889" s="94"/>
      <c r="AP889" s="94"/>
      <c r="AQ889" s="94"/>
    </row>
    <row r="890" spans="1:43" x14ac:dyDescent="0.25">
      <c r="A890" s="46"/>
      <c r="B890" s="26"/>
      <c r="C890" s="4"/>
      <c r="D890" s="70" t="s">
        <v>40</v>
      </c>
      <c r="E890" s="70" t="s">
        <v>40</v>
      </c>
      <c r="F890" s="70" t="s">
        <v>40</v>
      </c>
      <c r="G890" s="70"/>
      <c r="H890" s="70" t="s">
        <v>40</v>
      </c>
      <c r="I890" s="70" t="s">
        <v>40</v>
      </c>
      <c r="J890" s="70" t="s">
        <v>40</v>
      </c>
      <c r="K890" s="70" t="s">
        <v>40</v>
      </c>
      <c r="L890" s="70" t="s">
        <v>40</v>
      </c>
      <c r="M890" s="70"/>
      <c r="N890" s="70" t="s">
        <v>40</v>
      </c>
      <c r="O890" s="70" t="s">
        <v>40</v>
      </c>
      <c r="P890" s="70" t="s">
        <v>40</v>
      </c>
      <c r="Q890" s="70"/>
      <c r="R890" s="70" t="s">
        <v>40</v>
      </c>
      <c r="S890" s="70" t="s">
        <v>40</v>
      </c>
      <c r="T890" s="70" t="s">
        <v>40</v>
      </c>
      <c r="U890" s="70" t="s">
        <v>40</v>
      </c>
      <c r="V890" s="70" t="s">
        <v>40</v>
      </c>
      <c r="W890" s="70"/>
      <c r="X890" s="70" t="s">
        <v>40</v>
      </c>
      <c r="Y890" s="70" t="s">
        <v>40</v>
      </c>
      <c r="Z890" s="70" t="s">
        <v>40</v>
      </c>
      <c r="AA890" s="70" t="s">
        <v>40</v>
      </c>
      <c r="AB890" s="70" t="s">
        <v>40</v>
      </c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  <c r="AN890" s="94"/>
      <c r="AO890" s="94"/>
      <c r="AP890" s="94"/>
      <c r="AQ890" s="94"/>
    </row>
    <row r="891" spans="1:43" x14ac:dyDescent="0.25">
      <c r="A891" s="46"/>
      <c r="B891" s="26"/>
      <c r="C891" s="4"/>
      <c r="D891" s="68">
        <f>SUM(D886:D889)</f>
        <v>87284598.349999994</v>
      </c>
      <c r="E891" s="68">
        <f t="shared" ref="E891:AB891" si="301">SUM(E886:E889)</f>
        <v>21255</v>
      </c>
      <c r="F891" s="68">
        <f t="shared" si="301"/>
        <v>0</v>
      </c>
      <c r="G891" s="68"/>
      <c r="H891" s="68">
        <f t="shared" si="301"/>
        <v>21255</v>
      </c>
      <c r="I891" s="68">
        <f t="shared" si="301"/>
        <v>0</v>
      </c>
      <c r="J891" s="68">
        <f t="shared" si="301"/>
        <v>0</v>
      </c>
      <c r="K891" s="68">
        <f t="shared" si="301"/>
        <v>0</v>
      </c>
      <c r="L891" s="68">
        <f t="shared" si="301"/>
        <v>0</v>
      </c>
      <c r="M891" s="68"/>
      <c r="N891" s="68">
        <f t="shared" si="301"/>
        <v>21255</v>
      </c>
      <c r="O891" s="68">
        <f t="shared" si="301"/>
        <v>21292381.350000001</v>
      </c>
      <c r="P891" s="68">
        <f t="shared" si="301"/>
        <v>0</v>
      </c>
      <c r="Q891" s="68"/>
      <c r="R891" s="68">
        <f t="shared" si="301"/>
        <v>21292381.350000001</v>
      </c>
      <c r="S891" s="68">
        <f t="shared" si="301"/>
        <v>0</v>
      </c>
      <c r="T891" s="68">
        <f t="shared" si="301"/>
        <v>0</v>
      </c>
      <c r="U891" s="68">
        <f t="shared" si="301"/>
        <v>0</v>
      </c>
      <c r="V891" s="68">
        <f t="shared" si="301"/>
        <v>0</v>
      </c>
      <c r="W891" s="68"/>
      <c r="X891" s="68">
        <f t="shared" si="301"/>
        <v>21292381.350000001</v>
      </c>
      <c r="Y891" s="68">
        <f t="shared" si="301"/>
        <v>21313636.350000001</v>
      </c>
      <c r="Z891" s="68">
        <f t="shared" si="301"/>
        <v>65970962</v>
      </c>
      <c r="AA891" s="68">
        <f t="shared" si="301"/>
        <v>21313636.350000001</v>
      </c>
      <c r="AB891" s="68">
        <f t="shared" si="301"/>
        <v>65970962</v>
      </c>
      <c r="AD891" s="94"/>
      <c r="AE891" s="94"/>
      <c r="AF891" s="94"/>
      <c r="AG891" s="94"/>
      <c r="AH891" s="94"/>
      <c r="AI891" s="94"/>
      <c r="AJ891" s="94"/>
      <c r="AK891" s="94"/>
      <c r="AL891" s="94"/>
      <c r="AM891" s="94"/>
      <c r="AN891" s="94"/>
      <c r="AO891" s="94"/>
      <c r="AP891" s="94"/>
      <c r="AQ891" s="94"/>
    </row>
    <row r="892" spans="1:43" x14ac:dyDescent="0.25">
      <c r="A892" s="46"/>
      <c r="B892" s="26"/>
      <c r="C892" s="4"/>
      <c r="D892" s="70" t="s">
        <v>40</v>
      </c>
      <c r="E892" s="70" t="s">
        <v>40</v>
      </c>
      <c r="F892" s="70" t="s">
        <v>40</v>
      </c>
      <c r="G892" s="70"/>
      <c r="H892" s="70" t="s">
        <v>40</v>
      </c>
      <c r="I892" s="70" t="s">
        <v>40</v>
      </c>
      <c r="J892" s="70" t="s">
        <v>40</v>
      </c>
      <c r="K892" s="70" t="s">
        <v>40</v>
      </c>
      <c r="L892" s="70" t="s">
        <v>40</v>
      </c>
      <c r="M892" s="70"/>
      <c r="N892" s="70" t="s">
        <v>40</v>
      </c>
      <c r="O892" s="70" t="s">
        <v>40</v>
      </c>
      <c r="P892" s="70" t="s">
        <v>40</v>
      </c>
      <c r="Q892" s="70"/>
      <c r="R892" s="70" t="s">
        <v>40</v>
      </c>
      <c r="S892" s="70" t="s">
        <v>40</v>
      </c>
      <c r="T892" s="70" t="s">
        <v>40</v>
      </c>
      <c r="U892" s="70" t="s">
        <v>40</v>
      </c>
      <c r="V892" s="70" t="s">
        <v>40</v>
      </c>
      <c r="W892" s="70"/>
      <c r="X892" s="70" t="s">
        <v>40</v>
      </c>
      <c r="Y892" s="70" t="s">
        <v>40</v>
      </c>
      <c r="Z892" s="70" t="s">
        <v>40</v>
      </c>
      <c r="AA892" s="70" t="s">
        <v>40</v>
      </c>
      <c r="AB892" s="70" t="s">
        <v>40</v>
      </c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  <c r="AN892" s="94"/>
      <c r="AO892" s="94"/>
      <c r="AP892" s="94"/>
      <c r="AQ892" s="94"/>
    </row>
    <row r="893" spans="1:43" ht="19.5" x14ac:dyDescent="0.35">
      <c r="A893" s="46">
        <v>98</v>
      </c>
      <c r="B893" s="26" t="s">
        <v>228</v>
      </c>
      <c r="C893" s="2" t="s">
        <v>35</v>
      </c>
      <c r="D893" s="68">
        <v>1003801.83</v>
      </c>
      <c r="E893" s="68"/>
      <c r="F893" s="68"/>
      <c r="G893" s="68"/>
      <c r="H893" s="67">
        <f>E893+F893</f>
        <v>0</v>
      </c>
      <c r="I893" s="68"/>
      <c r="J893" s="68"/>
      <c r="K893" s="68"/>
      <c r="L893" s="68"/>
      <c r="M893" s="68"/>
      <c r="N893" s="67">
        <f>H893+L893</f>
        <v>0</v>
      </c>
      <c r="O893" s="68">
        <f>323959.05+791785.95+22506.32</f>
        <v>1138251.32</v>
      </c>
      <c r="P893" s="68"/>
      <c r="Q893" s="91"/>
      <c r="R893" s="67">
        <f>O893+P893</f>
        <v>1138251.32</v>
      </c>
      <c r="S893" s="68"/>
      <c r="T893" s="68"/>
      <c r="U893" s="68"/>
      <c r="V893" s="68">
        <v>1018444.61</v>
      </c>
      <c r="W893" s="68"/>
      <c r="X893" s="67">
        <f>R893+V893</f>
        <v>2156695.9300000002</v>
      </c>
      <c r="Y893" s="67">
        <f t="shared" ref="Y893:Y898" si="302">R893+H893</f>
        <v>1138251.32</v>
      </c>
      <c r="Z893" s="67">
        <f t="shared" ref="Z893:Z898" si="303">D893-Y893</f>
        <v>-134449.49000000011</v>
      </c>
      <c r="AA893" s="67">
        <f t="shared" ref="AA893:AA898" si="304">N893+X893</f>
        <v>2156695.9300000002</v>
      </c>
      <c r="AB893" s="67">
        <f t="shared" ref="AB893:AB898" si="305">+D893-N893-X893</f>
        <v>-1152894.1000000001</v>
      </c>
      <c r="AC893" t="s">
        <v>307</v>
      </c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</row>
    <row r="894" spans="1:43" x14ac:dyDescent="0.25">
      <c r="A894" s="46"/>
      <c r="B894" s="26"/>
      <c r="C894" s="4" t="s">
        <v>183</v>
      </c>
      <c r="D894" s="68">
        <v>171125</v>
      </c>
      <c r="E894" s="68"/>
      <c r="F894" s="68"/>
      <c r="G894" s="68"/>
      <c r="H894" s="67">
        <f>E894+F894</f>
        <v>0</v>
      </c>
      <c r="I894" s="68"/>
      <c r="J894" s="68"/>
      <c r="K894" s="68"/>
      <c r="L894" s="68"/>
      <c r="M894" s="68"/>
      <c r="N894" s="67">
        <f>H894+L894</f>
        <v>0</v>
      </c>
      <c r="O894" s="68">
        <f>265435.11+289335.99+8602375.47</f>
        <v>9157146.5700000003</v>
      </c>
      <c r="P894" s="68"/>
      <c r="Q894" s="68"/>
      <c r="R894" s="67">
        <f>O894+P894</f>
        <v>9157146.5700000003</v>
      </c>
      <c r="S894" s="68"/>
      <c r="T894" s="68"/>
      <c r="U894" s="68"/>
      <c r="V894" s="68"/>
      <c r="W894" s="68"/>
      <c r="X894" s="67">
        <f>R894+V894</f>
        <v>9157146.5700000003</v>
      </c>
      <c r="Y894" s="67">
        <f t="shared" si="302"/>
        <v>9157146.5700000003</v>
      </c>
      <c r="Z894" s="67">
        <f t="shared" si="303"/>
        <v>-8986021.5700000003</v>
      </c>
      <c r="AA894" s="67">
        <f t="shared" si="304"/>
        <v>9157146.5700000003</v>
      </c>
      <c r="AB894" s="67">
        <f t="shared" si="305"/>
        <v>-8986021.5700000003</v>
      </c>
      <c r="AC894" t="s">
        <v>307</v>
      </c>
      <c r="AD894" s="94"/>
      <c r="AE894" s="94"/>
      <c r="AF894" s="94"/>
      <c r="AG894" s="94"/>
      <c r="AH894" s="94"/>
      <c r="AI894" s="94"/>
      <c r="AJ894" s="94"/>
      <c r="AK894" s="94"/>
      <c r="AL894" s="94"/>
      <c r="AM894" s="94"/>
      <c r="AN894" s="94"/>
      <c r="AO894" s="94"/>
      <c r="AP894" s="94"/>
      <c r="AQ894" s="94"/>
    </row>
    <row r="895" spans="1:43" x14ac:dyDescent="0.25">
      <c r="A895" s="4"/>
      <c r="B895" s="4"/>
      <c r="C895" s="4" t="s">
        <v>302</v>
      </c>
      <c r="D895" s="55">
        <v>13901000</v>
      </c>
      <c r="E895" s="55"/>
      <c r="F895" s="55"/>
      <c r="G895" s="55"/>
      <c r="H895" s="55">
        <f>+E895+F895</f>
        <v>0</v>
      </c>
      <c r="I895" s="55"/>
      <c r="J895" s="55"/>
      <c r="K895" s="55"/>
      <c r="L895" s="55"/>
      <c r="M895" s="55"/>
      <c r="N895" s="55">
        <f>+H895+L895</f>
        <v>0</v>
      </c>
      <c r="O895" s="55"/>
      <c r="P895" s="55"/>
      <c r="Q895" s="55"/>
      <c r="R895" s="55">
        <f>+O895+P895</f>
        <v>0</v>
      </c>
      <c r="S895" s="55"/>
      <c r="T895" s="55"/>
      <c r="U895" s="55"/>
      <c r="V895" s="55"/>
      <c r="W895" s="55"/>
      <c r="X895" s="55">
        <f>+R895+V895</f>
        <v>0</v>
      </c>
      <c r="Y895" s="67">
        <f t="shared" si="302"/>
        <v>0</v>
      </c>
      <c r="Z895" s="67">
        <f t="shared" si="303"/>
        <v>13901000</v>
      </c>
      <c r="AA895" s="67">
        <f t="shared" si="304"/>
        <v>0</v>
      </c>
      <c r="AB895" s="67">
        <f t="shared" si="305"/>
        <v>13901000</v>
      </c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</row>
    <row r="896" spans="1:43" x14ac:dyDescent="0.25">
      <c r="C896" s="4" t="s">
        <v>334</v>
      </c>
      <c r="D896" s="55">
        <v>0</v>
      </c>
      <c r="E896" s="55"/>
      <c r="F896" s="55"/>
      <c r="G896" s="55"/>
      <c r="H896" s="55">
        <f>+E896+F896</f>
        <v>0</v>
      </c>
      <c r="I896" s="55"/>
      <c r="J896" s="55"/>
      <c r="K896" s="55"/>
      <c r="L896" s="55"/>
      <c r="M896" s="55"/>
      <c r="N896" s="55">
        <f>+H896+L896</f>
        <v>0</v>
      </c>
      <c r="O896" s="55"/>
      <c r="P896" s="55">
        <v>843176.8</v>
      </c>
      <c r="Q896" s="55"/>
      <c r="R896" s="55">
        <f>+O896+P896</f>
        <v>843176.8</v>
      </c>
      <c r="S896" s="55"/>
      <c r="T896" s="55"/>
      <c r="U896" s="55"/>
      <c r="V896" s="55"/>
      <c r="W896" s="55"/>
      <c r="X896" s="55">
        <f>+R896+V896</f>
        <v>843176.8</v>
      </c>
      <c r="Y896" s="67">
        <f t="shared" si="302"/>
        <v>843176.8</v>
      </c>
      <c r="Z896" s="67">
        <f t="shared" si="303"/>
        <v>-843176.8</v>
      </c>
      <c r="AA896" s="67">
        <f t="shared" si="304"/>
        <v>843176.8</v>
      </c>
      <c r="AB896" s="67">
        <f t="shared" si="305"/>
        <v>-843176.8</v>
      </c>
    </row>
    <row r="897" spans="1:43" x14ac:dyDescent="0.25">
      <c r="A897" s="46"/>
      <c r="B897" s="29"/>
      <c r="C897" s="54" t="s">
        <v>266</v>
      </c>
      <c r="D897" s="68">
        <v>10000000</v>
      </c>
      <c r="E897" s="68">
        <v>8339997.9199999999</v>
      </c>
      <c r="F897" s="68"/>
      <c r="G897" s="68"/>
      <c r="H897" s="67">
        <f>E897+F897</f>
        <v>8339997.9199999999</v>
      </c>
      <c r="I897" s="68"/>
      <c r="J897" s="68"/>
      <c r="K897" s="68"/>
      <c r="L897" s="68"/>
      <c r="M897" s="68"/>
      <c r="N897" s="67">
        <f>H897+L897</f>
        <v>8339997.9199999999</v>
      </c>
      <c r="O897" s="68"/>
      <c r="P897" s="68"/>
      <c r="Q897" s="68"/>
      <c r="R897" s="67">
        <f>O897+P897</f>
        <v>0</v>
      </c>
      <c r="S897" s="68"/>
      <c r="T897" s="68"/>
      <c r="U897" s="68"/>
      <c r="V897" s="68"/>
      <c r="W897" s="68"/>
      <c r="X897" s="67">
        <f>R897+V897</f>
        <v>0</v>
      </c>
      <c r="Y897" s="67">
        <f t="shared" si="302"/>
        <v>8339997.9199999999</v>
      </c>
      <c r="Z897" s="67">
        <f t="shared" si="303"/>
        <v>1660002.08</v>
      </c>
      <c r="AA897" s="67">
        <f t="shared" si="304"/>
        <v>8339997.9199999999</v>
      </c>
      <c r="AB897" s="67">
        <f t="shared" si="305"/>
        <v>1660002.08</v>
      </c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  <c r="AN897" s="94"/>
      <c r="AO897" s="94"/>
      <c r="AP897" s="94"/>
      <c r="AQ897" s="94"/>
    </row>
    <row r="898" spans="1:43" x14ac:dyDescent="0.25">
      <c r="A898" s="46"/>
      <c r="B898" s="26"/>
      <c r="C898" s="4" t="s">
        <v>242</v>
      </c>
      <c r="D898" s="68">
        <v>2165213.2400000002</v>
      </c>
      <c r="E898" s="68"/>
      <c r="F898" s="68"/>
      <c r="G898" s="68"/>
      <c r="H898" s="67">
        <f>E898+F898</f>
        <v>0</v>
      </c>
      <c r="I898" s="68"/>
      <c r="J898" s="68"/>
      <c r="K898" s="68"/>
      <c r="L898" s="68"/>
      <c r="M898" s="68"/>
      <c r="N898" s="67">
        <f>H898+L898</f>
        <v>0</v>
      </c>
      <c r="O898" s="68">
        <v>2165213.2400000002</v>
      </c>
      <c r="P898" s="68"/>
      <c r="Q898" s="68"/>
      <c r="R898" s="67">
        <f>O898+P898</f>
        <v>2165213.2400000002</v>
      </c>
      <c r="S898" s="68"/>
      <c r="T898" s="68"/>
      <c r="U898" s="68"/>
      <c r="V898" s="68"/>
      <c r="W898" s="68"/>
      <c r="X898" s="67">
        <f>R898+V898</f>
        <v>2165213.2400000002</v>
      </c>
      <c r="Y898" s="67">
        <f t="shared" si="302"/>
        <v>2165213.2400000002</v>
      </c>
      <c r="Z898" s="67">
        <f t="shared" si="303"/>
        <v>0</v>
      </c>
      <c r="AA898" s="67">
        <f t="shared" si="304"/>
        <v>2165213.2400000002</v>
      </c>
      <c r="AB898" s="67">
        <f t="shared" si="305"/>
        <v>0</v>
      </c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  <c r="AN898" s="94"/>
      <c r="AO898" s="94"/>
      <c r="AP898" s="94"/>
      <c r="AQ898" s="94"/>
    </row>
    <row r="899" spans="1:43" x14ac:dyDescent="0.25">
      <c r="A899" s="46"/>
      <c r="B899" s="26"/>
      <c r="C899" s="4"/>
      <c r="D899" s="70" t="s">
        <v>40</v>
      </c>
      <c r="E899" s="70" t="s">
        <v>40</v>
      </c>
      <c r="F899" s="70" t="s">
        <v>40</v>
      </c>
      <c r="G899" s="70"/>
      <c r="H899" s="70" t="s">
        <v>40</v>
      </c>
      <c r="I899" s="70" t="s">
        <v>40</v>
      </c>
      <c r="J899" s="70" t="s">
        <v>40</v>
      </c>
      <c r="K899" s="70" t="s">
        <v>40</v>
      </c>
      <c r="L899" s="70" t="s">
        <v>40</v>
      </c>
      <c r="M899" s="70"/>
      <c r="N899" s="70" t="s">
        <v>40</v>
      </c>
      <c r="O899" s="70" t="s">
        <v>40</v>
      </c>
      <c r="P899" s="70" t="s">
        <v>40</v>
      </c>
      <c r="Q899" s="70"/>
      <c r="R899" s="70" t="s">
        <v>40</v>
      </c>
      <c r="S899" s="70" t="s">
        <v>40</v>
      </c>
      <c r="T899" s="70" t="s">
        <v>40</v>
      </c>
      <c r="U899" s="70" t="s">
        <v>40</v>
      </c>
      <c r="V899" s="70" t="s">
        <v>40</v>
      </c>
      <c r="W899" s="70"/>
      <c r="X899" s="70" t="s">
        <v>40</v>
      </c>
      <c r="Y899" s="70" t="s">
        <v>40</v>
      </c>
      <c r="Z899" s="70" t="s">
        <v>40</v>
      </c>
      <c r="AA899" s="70" t="s">
        <v>40</v>
      </c>
      <c r="AB899" s="70" t="s">
        <v>40</v>
      </c>
      <c r="AD899" s="94"/>
      <c r="AE899" s="94"/>
      <c r="AF899" s="94"/>
      <c r="AG899" s="94"/>
      <c r="AH899" s="94"/>
      <c r="AI899" s="94"/>
      <c r="AJ899" s="94"/>
      <c r="AK899" s="94"/>
      <c r="AL899" s="94"/>
      <c r="AM899" s="94"/>
      <c r="AN899" s="94"/>
      <c r="AO899" s="94"/>
      <c r="AP899" s="94"/>
      <c r="AQ899" s="94"/>
    </row>
    <row r="900" spans="1:43" x14ac:dyDescent="0.25">
      <c r="A900" s="46"/>
      <c r="B900" s="26"/>
      <c r="C900" s="4"/>
      <c r="D900" s="68">
        <f>SUM(D893:D898)</f>
        <v>27241140.07</v>
      </c>
      <c r="E900" s="68">
        <f>SUM(E893:E898)</f>
        <v>8339997.9199999999</v>
      </c>
      <c r="F900" s="68">
        <f>SUM(F893:F898)</f>
        <v>0</v>
      </c>
      <c r="G900" s="68"/>
      <c r="H900" s="68">
        <f>SUM(H893:H898)</f>
        <v>8339997.9199999999</v>
      </c>
      <c r="I900" s="68">
        <f>SUM(I893:I898)</f>
        <v>0</v>
      </c>
      <c r="J900" s="68">
        <f>SUM(J893:J898)</f>
        <v>0</v>
      </c>
      <c r="K900" s="68">
        <f>SUM(K893:K898)</f>
        <v>0</v>
      </c>
      <c r="L900" s="68">
        <f>SUM(L893:L898)</f>
        <v>0</v>
      </c>
      <c r="M900" s="68"/>
      <c r="N900" s="68">
        <f>SUM(N893:N898)</f>
        <v>8339997.9199999999</v>
      </c>
      <c r="O900" s="68">
        <f>SUM(O893:O898)</f>
        <v>12460611.130000001</v>
      </c>
      <c r="P900" s="68">
        <f>SUM(P893:P898)</f>
        <v>843176.8</v>
      </c>
      <c r="Q900" s="68"/>
      <c r="R900" s="68">
        <f>SUM(R893:R898)</f>
        <v>13303787.930000002</v>
      </c>
      <c r="S900" s="68">
        <f>SUM(S893:S898)</f>
        <v>0</v>
      </c>
      <c r="T900" s="68">
        <f>SUM(T893:T898)</f>
        <v>0</v>
      </c>
      <c r="U900" s="68">
        <f>SUM(U893:U898)</f>
        <v>0</v>
      </c>
      <c r="V900" s="68">
        <f>SUM(V893:V898)</f>
        <v>1018444.61</v>
      </c>
      <c r="W900" s="68"/>
      <c r="X900" s="68">
        <f>SUM(X893:X898)</f>
        <v>14322232.540000001</v>
      </c>
      <c r="Y900" s="68">
        <f>SUM(Y893:Y898)</f>
        <v>21643785.850000001</v>
      </c>
      <c r="Z900" s="68">
        <f>SUM(Z893:Z898)</f>
        <v>5597354.2199999997</v>
      </c>
      <c r="AA900" s="68">
        <f>SUM(AA893:AA898)</f>
        <v>22662230.460000001</v>
      </c>
      <c r="AB900" s="68">
        <f>SUM(AB893:AB898)</f>
        <v>4578909.6100000003</v>
      </c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</row>
    <row r="901" spans="1:43" x14ac:dyDescent="0.25">
      <c r="A901" s="46"/>
      <c r="B901" s="26"/>
      <c r="C901" s="4"/>
      <c r="D901" s="70" t="s">
        <v>40</v>
      </c>
      <c r="E901" s="70" t="s">
        <v>40</v>
      </c>
      <c r="F901" s="70" t="s">
        <v>40</v>
      </c>
      <c r="G901" s="70"/>
      <c r="H901" s="70" t="s">
        <v>40</v>
      </c>
      <c r="I901" s="70" t="s">
        <v>40</v>
      </c>
      <c r="J901" s="70" t="s">
        <v>40</v>
      </c>
      <c r="K901" s="70" t="s">
        <v>40</v>
      </c>
      <c r="L901" s="70" t="s">
        <v>40</v>
      </c>
      <c r="M901" s="70"/>
      <c r="N901" s="70" t="s">
        <v>40</v>
      </c>
      <c r="O901" s="70" t="s">
        <v>40</v>
      </c>
      <c r="P901" s="70" t="s">
        <v>40</v>
      </c>
      <c r="Q901" s="70"/>
      <c r="R901" s="70" t="s">
        <v>40</v>
      </c>
      <c r="S901" s="70" t="s">
        <v>40</v>
      </c>
      <c r="T901" s="70" t="s">
        <v>40</v>
      </c>
      <c r="U901" s="70" t="s">
        <v>40</v>
      </c>
      <c r="V901" s="70" t="s">
        <v>40</v>
      </c>
      <c r="W901" s="70"/>
      <c r="X901" s="70" t="s">
        <v>40</v>
      </c>
      <c r="Y901" s="70" t="s">
        <v>40</v>
      </c>
      <c r="Z901" s="70" t="s">
        <v>40</v>
      </c>
      <c r="AA901" s="70" t="s">
        <v>40</v>
      </c>
      <c r="AB901" s="70" t="s">
        <v>40</v>
      </c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</row>
    <row r="902" spans="1:43" x14ac:dyDescent="0.25">
      <c r="A902" s="46"/>
      <c r="B902" s="26"/>
      <c r="C902" s="4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P902" s="104"/>
      <c r="Q902" s="55"/>
      <c r="R902" s="84"/>
      <c r="S902" s="61"/>
      <c r="T902" s="61"/>
      <c r="U902" s="61"/>
      <c r="V902" s="101"/>
      <c r="W902" s="61"/>
      <c r="X902" s="70"/>
      <c r="Y902" s="70"/>
      <c r="Z902" s="70"/>
      <c r="AA902" s="70"/>
      <c r="AB902" s="70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</row>
    <row r="903" spans="1:43" x14ac:dyDescent="0.25">
      <c r="A903" s="46"/>
      <c r="B903" s="26"/>
      <c r="C903" s="4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105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</row>
    <row r="904" spans="1:43" ht="19.5" x14ac:dyDescent="0.35">
      <c r="A904" s="46">
        <v>99</v>
      </c>
      <c r="B904" s="26" t="s">
        <v>231</v>
      </c>
      <c r="C904" s="2" t="s">
        <v>35</v>
      </c>
      <c r="D904" s="68">
        <v>28153776.539999999</v>
      </c>
      <c r="E904" s="68"/>
      <c r="F904" s="68"/>
      <c r="G904" s="68"/>
      <c r="H904" s="67">
        <f>E904+F904</f>
        <v>0</v>
      </c>
      <c r="I904" s="68"/>
      <c r="J904" s="68"/>
      <c r="K904" s="68"/>
      <c r="L904" s="68"/>
      <c r="M904" s="68"/>
      <c r="N904" s="67">
        <f>H904+L904</f>
        <v>0</v>
      </c>
      <c r="O904" s="68"/>
      <c r="P904" s="68"/>
      <c r="Q904" s="68"/>
      <c r="R904" s="67">
        <f>O904+P904</f>
        <v>0</v>
      </c>
      <c r="S904" s="68"/>
      <c r="T904" s="68"/>
      <c r="U904" s="68"/>
      <c r="V904" s="68"/>
      <c r="W904" s="91"/>
      <c r="X904" s="67">
        <f>R904+V904</f>
        <v>0</v>
      </c>
      <c r="Y904" s="67">
        <f>R904+H904</f>
        <v>0</v>
      </c>
      <c r="Z904" s="67">
        <f>D904-Y904</f>
        <v>28153776.539999999</v>
      </c>
      <c r="AA904" s="67">
        <f>N904+X904</f>
        <v>0</v>
      </c>
      <c r="AB904" s="67">
        <f>+D904-N904-X904</f>
        <v>28153776.539999999</v>
      </c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</row>
    <row r="905" spans="1:43" x14ac:dyDescent="0.25">
      <c r="A905" s="46"/>
      <c r="B905" s="26"/>
      <c r="C905" s="4" t="s">
        <v>36</v>
      </c>
      <c r="D905" s="68">
        <v>1523974</v>
      </c>
      <c r="E905" s="68">
        <v>1523974</v>
      </c>
      <c r="F905" s="68"/>
      <c r="G905" s="68"/>
      <c r="H905" s="67">
        <f>E905+F905</f>
        <v>1523974</v>
      </c>
      <c r="I905" s="68"/>
      <c r="J905" s="68"/>
      <c r="K905" s="68"/>
      <c r="L905" s="68"/>
      <c r="M905" s="68"/>
      <c r="N905" s="67">
        <f>H905+L905</f>
        <v>1523974</v>
      </c>
      <c r="O905" s="68"/>
      <c r="P905" s="68"/>
      <c r="Q905" s="68"/>
      <c r="R905" s="67">
        <f>O905+P905</f>
        <v>0</v>
      </c>
      <c r="S905" s="68"/>
      <c r="T905" s="68"/>
      <c r="U905" s="68"/>
      <c r="V905" s="68"/>
      <c r="W905" s="68"/>
      <c r="X905" s="67">
        <f>R905+V905</f>
        <v>0</v>
      </c>
      <c r="Y905" s="67">
        <f>R905+H905</f>
        <v>1523974</v>
      </c>
      <c r="Z905" s="67">
        <f>D905-Y905</f>
        <v>0</v>
      </c>
      <c r="AA905" s="67">
        <f>N905+X905</f>
        <v>1523974</v>
      </c>
      <c r="AB905" s="67">
        <f>+D905-N905-X905</f>
        <v>0</v>
      </c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</row>
    <row r="906" spans="1:43" x14ac:dyDescent="0.25">
      <c r="A906" s="46"/>
      <c r="B906" s="26"/>
      <c r="C906" s="4" t="s">
        <v>183</v>
      </c>
      <c r="D906" s="68">
        <v>13463938.210000001</v>
      </c>
      <c r="E906" s="68"/>
      <c r="F906" s="68"/>
      <c r="G906" s="68"/>
      <c r="H906" s="67">
        <f>E906+F906</f>
        <v>0</v>
      </c>
      <c r="I906" s="68"/>
      <c r="J906" s="68"/>
      <c r="K906" s="68"/>
      <c r="L906" s="68"/>
      <c r="M906" s="68"/>
      <c r="N906" s="67">
        <f>H906+L906</f>
        <v>0</v>
      </c>
      <c r="O906" s="68"/>
      <c r="P906" s="68"/>
      <c r="Q906" s="68"/>
      <c r="R906" s="67">
        <f>O906+P906</f>
        <v>0</v>
      </c>
      <c r="S906" s="68"/>
      <c r="T906" s="68"/>
      <c r="U906" s="68"/>
      <c r="V906" s="68"/>
      <c r="W906" s="68"/>
      <c r="X906" s="67">
        <f>R906+V906</f>
        <v>0</v>
      </c>
      <c r="Y906" s="67">
        <f>R906+H906</f>
        <v>0</v>
      </c>
      <c r="Z906" s="67">
        <f>D906-Y906</f>
        <v>13463938.210000001</v>
      </c>
      <c r="AA906" s="67">
        <f>N906+X906</f>
        <v>0</v>
      </c>
      <c r="AB906" s="67">
        <f>+D906-N906-X906</f>
        <v>13463938.210000001</v>
      </c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</row>
    <row r="907" spans="1:43" x14ac:dyDescent="0.25">
      <c r="A907" s="46"/>
      <c r="B907" s="26"/>
      <c r="C907" s="4" t="s">
        <v>38</v>
      </c>
      <c r="D907" s="68">
        <v>16202500</v>
      </c>
      <c r="E907" s="68"/>
      <c r="F907" s="68"/>
      <c r="G907" s="68"/>
      <c r="H907" s="67">
        <f>E907+F907</f>
        <v>0</v>
      </c>
      <c r="I907" s="68"/>
      <c r="J907" s="68"/>
      <c r="K907" s="68"/>
      <c r="L907" s="68"/>
      <c r="M907" s="68"/>
      <c r="N907" s="67">
        <f>H907+L907</f>
        <v>0</v>
      </c>
      <c r="O907" s="68"/>
      <c r="P907" s="68"/>
      <c r="Q907" s="68"/>
      <c r="R907" s="67">
        <f>O907+P907</f>
        <v>0</v>
      </c>
      <c r="S907" s="68"/>
      <c r="T907" s="68"/>
      <c r="U907" s="68"/>
      <c r="V907" s="68"/>
      <c r="W907" s="68"/>
      <c r="X907" s="67">
        <f>R907+V907</f>
        <v>0</v>
      </c>
      <c r="Y907" s="67">
        <f>R907+H907</f>
        <v>0</v>
      </c>
      <c r="Z907" s="67">
        <f>D907-Y907</f>
        <v>16202500</v>
      </c>
      <c r="AA907" s="67">
        <f>N907+X907</f>
        <v>0</v>
      </c>
      <c r="AB907" s="67">
        <f>+D907-N907-X907</f>
        <v>16202500</v>
      </c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</row>
    <row r="908" spans="1:43" x14ac:dyDescent="0.25">
      <c r="A908" s="46"/>
      <c r="B908" s="26"/>
      <c r="C908" s="4" t="s">
        <v>184</v>
      </c>
      <c r="D908" s="68">
        <v>1775602.58</v>
      </c>
      <c r="E908" s="68"/>
      <c r="F908" s="68"/>
      <c r="G908" s="68"/>
      <c r="H908" s="67">
        <f>E908+F908</f>
        <v>0</v>
      </c>
      <c r="I908" s="68"/>
      <c r="J908" s="68"/>
      <c r="K908" s="68"/>
      <c r="L908" s="68"/>
      <c r="M908" s="68"/>
      <c r="N908" s="67">
        <f>H908+L908</f>
        <v>0</v>
      </c>
      <c r="O908" s="68"/>
      <c r="P908" s="68"/>
      <c r="Q908" s="68"/>
      <c r="R908" s="67">
        <f>O908+P908</f>
        <v>0</v>
      </c>
      <c r="S908" s="68"/>
      <c r="T908" s="68"/>
      <c r="U908" s="68"/>
      <c r="V908" s="68"/>
      <c r="W908" s="68"/>
      <c r="X908" s="67">
        <f>R908+V908</f>
        <v>0</v>
      </c>
      <c r="Y908" s="67">
        <f>R908+H908</f>
        <v>0</v>
      </c>
      <c r="Z908" s="67">
        <f>D908-Y908</f>
        <v>1775602.58</v>
      </c>
      <c r="AA908" s="67">
        <f>N908+X908</f>
        <v>0</v>
      </c>
      <c r="AB908" s="67">
        <f>+D908-N908-X908</f>
        <v>1775602.58</v>
      </c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</row>
    <row r="909" spans="1:43" x14ac:dyDescent="0.25">
      <c r="A909" s="46"/>
      <c r="B909" s="26"/>
      <c r="C909" s="4"/>
      <c r="D909" s="70" t="s">
        <v>40</v>
      </c>
      <c r="E909" s="70" t="s">
        <v>40</v>
      </c>
      <c r="F909" s="70" t="s">
        <v>40</v>
      </c>
      <c r="G909" s="70"/>
      <c r="H909" s="70" t="s">
        <v>40</v>
      </c>
      <c r="I909" s="70" t="s">
        <v>40</v>
      </c>
      <c r="J909" s="70" t="s">
        <v>40</v>
      </c>
      <c r="K909" s="70" t="s">
        <v>40</v>
      </c>
      <c r="L909" s="70" t="s">
        <v>40</v>
      </c>
      <c r="M909" s="70"/>
      <c r="N909" s="70" t="s">
        <v>40</v>
      </c>
      <c r="O909" s="70" t="s">
        <v>40</v>
      </c>
      <c r="P909" s="70" t="s">
        <v>40</v>
      </c>
      <c r="Q909" s="70"/>
      <c r="R909" s="70" t="s">
        <v>40</v>
      </c>
      <c r="S909" s="70" t="s">
        <v>40</v>
      </c>
      <c r="T909" s="70" t="s">
        <v>40</v>
      </c>
      <c r="U909" s="70" t="s">
        <v>40</v>
      </c>
      <c r="V909" s="70" t="s">
        <v>40</v>
      </c>
      <c r="W909" s="70"/>
      <c r="X909" s="70" t="s">
        <v>40</v>
      </c>
      <c r="Y909" s="70" t="s">
        <v>40</v>
      </c>
      <c r="Z909" s="70" t="s">
        <v>40</v>
      </c>
      <c r="AA909" s="70" t="s">
        <v>40</v>
      </c>
      <c r="AB909" s="70" t="s">
        <v>40</v>
      </c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</row>
    <row r="910" spans="1:43" x14ac:dyDescent="0.25">
      <c r="A910" s="46"/>
      <c r="B910" s="26"/>
      <c r="C910" s="4"/>
      <c r="D910" s="68">
        <f>SUM(D904:D908)</f>
        <v>61119791.329999998</v>
      </c>
      <c r="E910" s="68">
        <f t="shared" ref="E910:AB910" si="306">SUM(E904:E908)</f>
        <v>1523974</v>
      </c>
      <c r="F910" s="68">
        <f t="shared" si="306"/>
        <v>0</v>
      </c>
      <c r="G910" s="68"/>
      <c r="H910" s="68">
        <f t="shared" si="306"/>
        <v>1523974</v>
      </c>
      <c r="I910" s="68">
        <f t="shared" si="306"/>
        <v>0</v>
      </c>
      <c r="J910" s="68">
        <f t="shared" si="306"/>
        <v>0</v>
      </c>
      <c r="K910" s="68">
        <f t="shared" si="306"/>
        <v>0</v>
      </c>
      <c r="L910" s="68">
        <f t="shared" si="306"/>
        <v>0</v>
      </c>
      <c r="M910" s="68"/>
      <c r="N910" s="68">
        <f t="shared" si="306"/>
        <v>1523974</v>
      </c>
      <c r="O910" s="68">
        <f t="shared" si="306"/>
        <v>0</v>
      </c>
      <c r="P910" s="68">
        <f t="shared" si="306"/>
        <v>0</v>
      </c>
      <c r="Q910" s="68"/>
      <c r="R910" s="68">
        <f t="shared" si="306"/>
        <v>0</v>
      </c>
      <c r="S910" s="68">
        <f t="shared" si="306"/>
        <v>0</v>
      </c>
      <c r="T910" s="68">
        <f t="shared" si="306"/>
        <v>0</v>
      </c>
      <c r="U910" s="68">
        <f t="shared" si="306"/>
        <v>0</v>
      </c>
      <c r="V910" s="68">
        <f t="shared" si="306"/>
        <v>0</v>
      </c>
      <c r="W910" s="68"/>
      <c r="X910" s="68">
        <f t="shared" si="306"/>
        <v>0</v>
      </c>
      <c r="Y910" s="68">
        <f t="shared" si="306"/>
        <v>1523974</v>
      </c>
      <c r="Z910" s="68">
        <f t="shared" si="306"/>
        <v>59595817.329999998</v>
      </c>
      <c r="AA910" s="68">
        <f t="shared" si="306"/>
        <v>1523974</v>
      </c>
      <c r="AB910" s="68">
        <f t="shared" si="306"/>
        <v>59595817.329999998</v>
      </c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</row>
    <row r="911" spans="1:43" x14ac:dyDescent="0.25">
      <c r="A911" s="46"/>
      <c r="B911" s="4" t="s">
        <v>231</v>
      </c>
      <c r="C911" s="4"/>
      <c r="D911" s="70" t="s">
        <v>40</v>
      </c>
      <c r="E911" s="70" t="s">
        <v>40</v>
      </c>
      <c r="F911" s="70" t="s">
        <v>40</v>
      </c>
      <c r="G911" s="70"/>
      <c r="H911" s="70" t="s">
        <v>40</v>
      </c>
      <c r="I911" s="70" t="s">
        <v>40</v>
      </c>
      <c r="J911" s="70" t="s">
        <v>40</v>
      </c>
      <c r="K911" s="70" t="s">
        <v>40</v>
      </c>
      <c r="L911" s="70" t="s">
        <v>40</v>
      </c>
      <c r="M911" s="70"/>
      <c r="N911" s="70" t="s">
        <v>40</v>
      </c>
      <c r="O911" s="70" t="s">
        <v>40</v>
      </c>
      <c r="P911" s="70" t="s">
        <v>40</v>
      </c>
      <c r="Q911" s="70"/>
      <c r="R911" s="70" t="s">
        <v>40</v>
      </c>
      <c r="S911" s="70" t="s">
        <v>40</v>
      </c>
      <c r="T911" s="70" t="s">
        <v>40</v>
      </c>
      <c r="U911" s="70" t="s">
        <v>40</v>
      </c>
      <c r="V911" s="70" t="s">
        <v>40</v>
      </c>
      <c r="W911" s="70"/>
      <c r="X911" s="70" t="s">
        <v>40</v>
      </c>
      <c r="Y911" s="70" t="s">
        <v>40</v>
      </c>
      <c r="Z911" s="70" t="s">
        <v>40</v>
      </c>
      <c r="AA911" s="70" t="s">
        <v>40</v>
      </c>
      <c r="AB911" s="70" t="s">
        <v>40</v>
      </c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</row>
    <row r="912" spans="1:43" ht="20.25" thickBot="1" x14ac:dyDescent="0.4">
      <c r="A912" s="46"/>
      <c r="B912" s="112" t="s">
        <v>292</v>
      </c>
      <c r="C912" s="4"/>
      <c r="D912" s="113">
        <v>254832.25</v>
      </c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113">
        <v>254832.25</v>
      </c>
      <c r="P912" s="70"/>
      <c r="Q912" s="99"/>
      <c r="R912" s="113">
        <f>+O912+P912</f>
        <v>254832.25</v>
      </c>
      <c r="S912" s="70"/>
      <c r="T912" s="70"/>
      <c r="U912" s="70"/>
      <c r="W912" s="89"/>
      <c r="X912" s="89"/>
      <c r="Y912" s="113">
        <f>+O912</f>
        <v>254832.25</v>
      </c>
      <c r="Z912" s="104"/>
      <c r="AA912" s="70"/>
      <c r="AB912" s="70"/>
      <c r="AC912" s="49"/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</row>
    <row r="913" spans="1:43" ht="16.5" thickTop="1" x14ac:dyDescent="0.25">
      <c r="C913" s="4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6"/>
      <c r="W913" s="70"/>
      <c r="X913" s="70"/>
      <c r="Y913" s="70"/>
      <c r="Z913" s="70"/>
      <c r="AA913" s="70"/>
      <c r="AB913" s="70"/>
      <c r="AC913" s="49" t="s">
        <v>303</v>
      </c>
      <c r="AD913" s="94">
        <f>+D895</f>
        <v>13901000</v>
      </c>
      <c r="AE913" s="94">
        <f>+E895</f>
        <v>0</v>
      </c>
      <c r="AF913" s="94">
        <f>+F895</f>
        <v>0</v>
      </c>
      <c r="AG913" s="94">
        <f>+AE913+AF913</f>
        <v>0</v>
      </c>
      <c r="AH913" s="94">
        <f>+L895</f>
        <v>0</v>
      </c>
      <c r="AI913" s="94">
        <f>+AG913+AH913</f>
        <v>0</v>
      </c>
      <c r="AJ913" s="94">
        <f>+O895</f>
        <v>0</v>
      </c>
      <c r="AK913" s="94">
        <f>+P895</f>
        <v>0</v>
      </c>
      <c r="AL913" s="94">
        <f>+AJ913+AK913</f>
        <v>0</v>
      </c>
      <c r="AM913" s="94">
        <f>+V895</f>
        <v>0</v>
      </c>
      <c r="AN913" s="94">
        <f>+AL913+AM913</f>
        <v>0</v>
      </c>
      <c r="AO913" s="94">
        <f>+AG913+AL913</f>
        <v>0</v>
      </c>
      <c r="AP913" s="94">
        <f>+AD913-AO913</f>
        <v>13901000</v>
      </c>
      <c r="AQ913" s="94">
        <f>+AD913-AI913-AN913</f>
        <v>13901000</v>
      </c>
    </row>
    <row r="914" spans="1:43" x14ac:dyDescent="0.25">
      <c r="A914" s="46">
        <v>100</v>
      </c>
      <c r="B914" s="26" t="s">
        <v>229</v>
      </c>
      <c r="C914" s="2" t="s">
        <v>35</v>
      </c>
      <c r="D914" s="68">
        <v>2651876.09</v>
      </c>
      <c r="E914" s="68"/>
      <c r="F914" s="68"/>
      <c r="G914" s="68"/>
      <c r="H914" s="67">
        <f>E914+F914</f>
        <v>0</v>
      </c>
      <c r="I914" s="68"/>
      <c r="J914" s="68"/>
      <c r="K914" s="68"/>
      <c r="L914" s="68"/>
      <c r="M914" s="68"/>
      <c r="N914" s="67">
        <f>H914+L914</f>
        <v>0</v>
      </c>
      <c r="O914" s="68">
        <v>197445.2</v>
      </c>
      <c r="P914" s="68"/>
      <c r="Q914" s="68"/>
      <c r="R914" s="67">
        <f>O914+P914</f>
        <v>197445.2</v>
      </c>
      <c r="S914" s="68"/>
      <c r="T914" s="68"/>
      <c r="U914" s="68"/>
      <c r="V914" s="68"/>
      <c r="W914" s="68"/>
      <c r="X914" s="67">
        <f>R914+V914</f>
        <v>197445.2</v>
      </c>
      <c r="Y914" s="67">
        <f>R914+H914</f>
        <v>197445.2</v>
      </c>
      <c r="Z914" s="67">
        <f>D914-Y914</f>
        <v>2454430.8899999997</v>
      </c>
      <c r="AA914" s="67">
        <f>N914+X914</f>
        <v>197445.2</v>
      </c>
      <c r="AB914" s="67">
        <f>+D914-N914-X914</f>
        <v>2454430.8899999997</v>
      </c>
      <c r="AC914" s="49" t="s">
        <v>47</v>
      </c>
      <c r="AD914" s="94">
        <f>D861+D868+D875+D886+D893+D904+D914+D920</f>
        <v>152511386.40000001</v>
      </c>
      <c r="AE914" s="94">
        <f>E861+E868+E875+E886+E893+E904+E914+E920</f>
        <v>0</v>
      </c>
      <c r="AF914" s="94">
        <f>F861+F868+F875+F886+F893+F904+F914+F920</f>
        <v>0</v>
      </c>
      <c r="AG914" s="94">
        <f>+AE914+AF914</f>
        <v>0</v>
      </c>
      <c r="AH914" s="94">
        <f>L861+L868+L875+L886+L893+L904+L914+L920</f>
        <v>0</v>
      </c>
      <c r="AI914" s="94">
        <f>+AG914+AH914</f>
        <v>0</v>
      </c>
      <c r="AJ914" s="94">
        <f>O861+O868+O875+O886+O893+O904+O914+O920</f>
        <v>1653191.27</v>
      </c>
      <c r="AK914" s="94">
        <f>P861+P868+P875+P886+P893+P904+P914+P920</f>
        <v>0</v>
      </c>
      <c r="AL914" s="94">
        <f>+AJ914+AK914</f>
        <v>1653191.27</v>
      </c>
      <c r="AM914" s="94">
        <f>V861+V868+V875+V886+V893+V904+V914+V920</f>
        <v>1018444.61</v>
      </c>
      <c r="AN914" s="94">
        <f>+AL914+AM914</f>
        <v>2671635.88</v>
      </c>
      <c r="AO914" s="94">
        <f>+AG914+AL914</f>
        <v>1653191.27</v>
      </c>
      <c r="AP914" s="94">
        <f>+AD914-AO914</f>
        <v>150858195.13</v>
      </c>
      <c r="AQ914" s="94">
        <f>+AD914-AI914-AN914</f>
        <v>149839750.52000001</v>
      </c>
    </row>
    <row r="915" spans="1:43" x14ac:dyDescent="0.25">
      <c r="A915" s="46"/>
      <c r="B915" s="26"/>
      <c r="C915" s="4" t="s">
        <v>36</v>
      </c>
      <c r="D915" s="68">
        <v>147111</v>
      </c>
      <c r="E915" s="68">
        <v>147111</v>
      </c>
      <c r="F915" s="68"/>
      <c r="G915" s="68"/>
      <c r="H915" s="67">
        <f>E915+F915</f>
        <v>147111</v>
      </c>
      <c r="I915" s="68"/>
      <c r="J915" s="68"/>
      <c r="K915" s="68"/>
      <c r="L915" s="68"/>
      <c r="M915" s="68"/>
      <c r="N915" s="67">
        <f>H915+L915</f>
        <v>147111</v>
      </c>
      <c r="O915" s="68"/>
      <c r="P915" s="68"/>
      <c r="Q915" s="68"/>
      <c r="R915" s="67">
        <f>O915+P915</f>
        <v>0</v>
      </c>
      <c r="S915" s="68"/>
      <c r="T915" s="68"/>
      <c r="U915" s="68"/>
      <c r="V915" s="68"/>
      <c r="W915" s="68"/>
      <c r="X915" s="67">
        <f>R915+V915</f>
        <v>0</v>
      </c>
      <c r="Y915" s="67">
        <f>R915+H915</f>
        <v>147111</v>
      </c>
      <c r="Z915" s="67">
        <f>D915-Y915</f>
        <v>0</v>
      </c>
      <c r="AA915" s="67">
        <f>N915+X915</f>
        <v>147111</v>
      </c>
      <c r="AB915" s="67">
        <f>+D915-N915-X915</f>
        <v>0</v>
      </c>
      <c r="AC915" s="49" t="s">
        <v>36</v>
      </c>
      <c r="AD915" s="94">
        <f>D862+D876+D887+D905+D915+D921</f>
        <v>5354016</v>
      </c>
      <c r="AE915" s="94">
        <f>E862+E876+E887+E905+E915+E921</f>
        <v>5354016</v>
      </c>
      <c r="AF915" s="94">
        <f>F862+F876+F887+F905+F915+F921</f>
        <v>0</v>
      </c>
      <c r="AG915" s="94">
        <f t="shared" ref="AG915:AG924" si="307">+AE915+AF915</f>
        <v>5354016</v>
      </c>
      <c r="AH915" s="94">
        <f>L862+L876+L887+L905+L915+L921</f>
        <v>0</v>
      </c>
      <c r="AI915" s="94">
        <f t="shared" ref="AI915:AI924" si="308">+AG915+AH915</f>
        <v>5354016</v>
      </c>
      <c r="AJ915" s="94">
        <f>O862+O876+O887+O905+O915+O921</f>
        <v>0</v>
      </c>
      <c r="AK915" s="94">
        <f>P862+P876+P887+P905+P915+P921</f>
        <v>0</v>
      </c>
      <c r="AL915" s="94">
        <f t="shared" ref="AL915:AL924" si="309">+AJ915+AK915</f>
        <v>0</v>
      </c>
      <c r="AM915" s="94">
        <f>V862+V876+V887+V905+V915+V921</f>
        <v>0</v>
      </c>
      <c r="AN915" s="94">
        <f t="shared" ref="AN915:AN924" si="310">+AL915+AM915</f>
        <v>0</v>
      </c>
      <c r="AO915" s="94">
        <f t="shared" ref="AO915:AO924" si="311">+AG915+AL915</f>
        <v>5354016</v>
      </c>
      <c r="AP915" s="94">
        <f t="shared" ref="AP915:AP924" si="312">+AD915-AO915</f>
        <v>0</v>
      </c>
      <c r="AQ915" s="94">
        <f t="shared" ref="AQ915:AQ924" si="313">+AD915-AI915-AN915</f>
        <v>0</v>
      </c>
    </row>
    <row r="916" spans="1:43" x14ac:dyDescent="0.25">
      <c r="A916" s="46"/>
      <c r="B916" s="29" t="s">
        <v>269</v>
      </c>
      <c r="D916" s="68">
        <v>2360000</v>
      </c>
      <c r="E916" s="68">
        <v>2359759.62</v>
      </c>
      <c r="F916" s="68"/>
      <c r="G916" s="68"/>
      <c r="H916" s="67">
        <f>E916+F916</f>
        <v>2359759.62</v>
      </c>
      <c r="I916" s="68"/>
      <c r="J916" s="68"/>
      <c r="K916" s="68"/>
      <c r="L916" s="68"/>
      <c r="M916" s="68"/>
      <c r="N916" s="67">
        <f>H916+L916</f>
        <v>2359759.62</v>
      </c>
      <c r="O916" s="68"/>
      <c r="P916" s="68"/>
      <c r="Q916" s="68"/>
      <c r="R916" s="67">
        <f>O916+P916</f>
        <v>0</v>
      </c>
      <c r="S916" s="68"/>
      <c r="T916" s="68"/>
      <c r="U916" s="68"/>
      <c r="V916" s="68"/>
      <c r="W916" s="68"/>
      <c r="X916" s="67">
        <f>R916+V916</f>
        <v>0</v>
      </c>
      <c r="Y916" s="67">
        <f>R916+H916</f>
        <v>2359759.62</v>
      </c>
      <c r="Z916" s="67">
        <f>D916-Y916</f>
        <v>240.37999999988824</v>
      </c>
      <c r="AA916" s="67">
        <f>N916+X916</f>
        <v>2359759.62</v>
      </c>
      <c r="AB916" s="67">
        <f>+D916-N916-X916</f>
        <v>240.37999999988824</v>
      </c>
      <c r="AC916" s="49" t="s">
        <v>183</v>
      </c>
      <c r="AD916" s="94">
        <f>D863+D878+D894+D906</f>
        <v>51426071.539999999</v>
      </c>
      <c r="AE916" s="94">
        <f>E863+E878+E894+E906</f>
        <v>0</v>
      </c>
      <c r="AF916" s="94">
        <f>F863+F878+F894+F906</f>
        <v>0</v>
      </c>
      <c r="AG916" s="94">
        <f t="shared" si="307"/>
        <v>0</v>
      </c>
      <c r="AH916" s="94">
        <f>L863+L878+L894+L906</f>
        <v>0</v>
      </c>
      <c r="AI916" s="94">
        <f t="shared" si="308"/>
        <v>0</v>
      </c>
      <c r="AJ916" s="94">
        <f>O863+O878+O894+O906</f>
        <v>9447775.0700000003</v>
      </c>
      <c r="AK916" s="94">
        <f>P863+P878+P894+P906</f>
        <v>0</v>
      </c>
      <c r="AL916" s="94">
        <f t="shared" si="309"/>
        <v>9447775.0700000003</v>
      </c>
      <c r="AM916" s="94">
        <f>V863+V878+V894+V906</f>
        <v>0</v>
      </c>
      <c r="AN916" s="94">
        <f t="shared" si="310"/>
        <v>9447775.0700000003</v>
      </c>
      <c r="AO916" s="94">
        <f t="shared" si="311"/>
        <v>9447775.0700000003</v>
      </c>
      <c r="AP916" s="94">
        <f t="shared" si="312"/>
        <v>41978296.469999999</v>
      </c>
      <c r="AQ916" s="94">
        <f t="shared" si="313"/>
        <v>41978296.469999999</v>
      </c>
    </row>
    <row r="917" spans="1:43" x14ac:dyDescent="0.25">
      <c r="A917" s="46"/>
      <c r="B917" s="26"/>
      <c r="C917" s="4"/>
      <c r="D917" s="70" t="s">
        <v>40</v>
      </c>
      <c r="E917" s="70" t="s">
        <v>40</v>
      </c>
      <c r="F917" s="70" t="s">
        <v>40</v>
      </c>
      <c r="G917" s="70"/>
      <c r="H917" s="70" t="s">
        <v>40</v>
      </c>
      <c r="I917" s="70" t="s">
        <v>40</v>
      </c>
      <c r="J917" s="70" t="s">
        <v>40</v>
      </c>
      <c r="K917" s="70" t="s">
        <v>40</v>
      </c>
      <c r="L917" s="70" t="s">
        <v>40</v>
      </c>
      <c r="M917" s="70"/>
      <c r="N917" s="70" t="s">
        <v>40</v>
      </c>
      <c r="O917" s="70" t="s">
        <v>40</v>
      </c>
      <c r="P917" s="70" t="s">
        <v>40</v>
      </c>
      <c r="Q917" s="70"/>
      <c r="R917" s="70" t="s">
        <v>40</v>
      </c>
      <c r="S917" s="70" t="s">
        <v>40</v>
      </c>
      <c r="T917" s="70" t="s">
        <v>40</v>
      </c>
      <c r="U917" s="70" t="s">
        <v>40</v>
      </c>
      <c r="V917" s="70" t="s">
        <v>40</v>
      </c>
      <c r="W917" s="70"/>
      <c r="X917" s="70" t="s">
        <v>40</v>
      </c>
      <c r="Y917" s="70" t="s">
        <v>40</v>
      </c>
      <c r="Z917" s="70" t="s">
        <v>40</v>
      </c>
      <c r="AA917" s="70" t="s">
        <v>40</v>
      </c>
      <c r="AB917" s="70" t="s">
        <v>40</v>
      </c>
      <c r="AC917" s="49" t="s">
        <v>184</v>
      </c>
      <c r="AD917" s="94">
        <f>D864+D880+D908</f>
        <v>2380487.0699999998</v>
      </c>
      <c r="AE917" s="94">
        <f>E864+E880+E908</f>
        <v>0</v>
      </c>
      <c r="AF917" s="94">
        <f>F864+F880+F908</f>
        <v>0</v>
      </c>
      <c r="AG917" s="94">
        <f t="shared" si="307"/>
        <v>0</v>
      </c>
      <c r="AH917" s="94">
        <f>L864+L880+L908</f>
        <v>0</v>
      </c>
      <c r="AI917" s="94">
        <f t="shared" si="308"/>
        <v>0</v>
      </c>
      <c r="AJ917" s="94">
        <f>O864+O880+O908</f>
        <v>555916.41</v>
      </c>
      <c r="AK917" s="94">
        <f>P864+P880+P908</f>
        <v>0</v>
      </c>
      <c r="AL917" s="94">
        <f t="shared" si="309"/>
        <v>555916.41</v>
      </c>
      <c r="AM917" s="94">
        <f>V864+V880+V908</f>
        <v>0</v>
      </c>
      <c r="AN917" s="94">
        <f t="shared" si="310"/>
        <v>555916.41</v>
      </c>
      <c r="AO917" s="94">
        <f t="shared" si="311"/>
        <v>555916.41</v>
      </c>
      <c r="AP917" s="94">
        <f t="shared" si="312"/>
        <v>1824570.6599999997</v>
      </c>
      <c r="AQ917" s="94">
        <f t="shared" si="313"/>
        <v>1824570.6599999997</v>
      </c>
    </row>
    <row r="918" spans="1:43" x14ac:dyDescent="0.25">
      <c r="A918" s="46"/>
      <c r="B918" s="26"/>
      <c r="C918" s="4"/>
      <c r="D918" s="68">
        <f>SUM(D914:D916)</f>
        <v>5158987.09</v>
      </c>
      <c r="E918" s="68">
        <f t="shared" ref="E918:AB918" si="314">SUM(E914:E916)</f>
        <v>2506870.62</v>
      </c>
      <c r="F918" s="68">
        <f t="shared" si="314"/>
        <v>0</v>
      </c>
      <c r="G918" s="68"/>
      <c r="H918" s="68">
        <f t="shared" si="314"/>
        <v>2506870.62</v>
      </c>
      <c r="I918" s="68">
        <f t="shared" si="314"/>
        <v>0</v>
      </c>
      <c r="J918" s="68">
        <f t="shared" si="314"/>
        <v>0</v>
      </c>
      <c r="K918" s="68">
        <f t="shared" si="314"/>
        <v>0</v>
      </c>
      <c r="L918" s="68">
        <f t="shared" si="314"/>
        <v>0</v>
      </c>
      <c r="M918" s="68"/>
      <c r="N918" s="68">
        <f t="shared" si="314"/>
        <v>2506870.62</v>
      </c>
      <c r="O918" s="68">
        <f t="shared" si="314"/>
        <v>197445.2</v>
      </c>
      <c r="P918" s="68">
        <f t="shared" si="314"/>
        <v>0</v>
      </c>
      <c r="Q918" s="68"/>
      <c r="R918" s="68">
        <f t="shared" si="314"/>
        <v>197445.2</v>
      </c>
      <c r="S918" s="68">
        <f t="shared" si="314"/>
        <v>0</v>
      </c>
      <c r="T918" s="68">
        <f t="shared" si="314"/>
        <v>0</v>
      </c>
      <c r="U918" s="68">
        <f t="shared" si="314"/>
        <v>0</v>
      </c>
      <c r="V918" s="68">
        <f t="shared" si="314"/>
        <v>0</v>
      </c>
      <c r="W918" s="68"/>
      <c r="X918" s="68">
        <f t="shared" si="314"/>
        <v>197445.2</v>
      </c>
      <c r="Y918" s="68">
        <f t="shared" si="314"/>
        <v>2704315.8200000003</v>
      </c>
      <c r="Z918" s="68">
        <f t="shared" si="314"/>
        <v>2454671.2699999996</v>
      </c>
      <c r="AA918" s="68">
        <f t="shared" si="314"/>
        <v>2704315.8200000003</v>
      </c>
      <c r="AB918" s="68">
        <f t="shared" si="314"/>
        <v>2454671.2699999996</v>
      </c>
      <c r="AC918" s="49" t="s">
        <v>53</v>
      </c>
      <c r="AD918" s="94">
        <f t="shared" ref="AD918:AF919" si="315">D869+D888</f>
        <v>57780939.5</v>
      </c>
      <c r="AE918" s="94">
        <f t="shared" si="315"/>
        <v>0</v>
      </c>
      <c r="AF918" s="94">
        <f t="shared" si="315"/>
        <v>0</v>
      </c>
      <c r="AG918" s="94">
        <f t="shared" si="307"/>
        <v>0</v>
      </c>
      <c r="AH918" s="94">
        <f>L869+L888</f>
        <v>0</v>
      </c>
      <c r="AI918" s="94">
        <f t="shared" si="308"/>
        <v>0</v>
      </c>
      <c r="AJ918" s="94">
        <f>O869+O888</f>
        <v>10326118.85</v>
      </c>
      <c r="AK918" s="94">
        <f>P869+P888</f>
        <v>0</v>
      </c>
      <c r="AL918" s="94">
        <f t="shared" si="309"/>
        <v>10326118.85</v>
      </c>
      <c r="AM918" s="94">
        <f>V869+V888</f>
        <v>0</v>
      </c>
      <c r="AN918" s="94">
        <f t="shared" si="310"/>
        <v>10326118.85</v>
      </c>
      <c r="AO918" s="94">
        <f t="shared" si="311"/>
        <v>10326118.85</v>
      </c>
      <c r="AP918" s="94">
        <f t="shared" si="312"/>
        <v>47454820.649999999</v>
      </c>
      <c r="AQ918" s="94">
        <f t="shared" si="313"/>
        <v>47454820.649999999</v>
      </c>
    </row>
    <row r="919" spans="1:43" x14ac:dyDescent="0.25">
      <c r="A919" s="46"/>
      <c r="B919" s="26"/>
      <c r="C919" s="4"/>
      <c r="D919" s="70" t="s">
        <v>40</v>
      </c>
      <c r="E919" s="70" t="s">
        <v>40</v>
      </c>
      <c r="F919" s="70" t="s">
        <v>40</v>
      </c>
      <c r="G919" s="70"/>
      <c r="H919" s="70" t="s">
        <v>40</v>
      </c>
      <c r="I919" s="70" t="s">
        <v>40</v>
      </c>
      <c r="J919" s="70" t="s">
        <v>40</v>
      </c>
      <c r="K919" s="70" t="s">
        <v>40</v>
      </c>
      <c r="L919" s="70" t="s">
        <v>40</v>
      </c>
      <c r="M919" s="70"/>
      <c r="N919" s="70" t="s">
        <v>40</v>
      </c>
      <c r="O919" s="70" t="s">
        <v>40</v>
      </c>
      <c r="P919" s="70" t="s">
        <v>40</v>
      </c>
      <c r="Q919" s="70"/>
      <c r="R919" s="70" t="s">
        <v>40</v>
      </c>
      <c r="S919" s="70" t="s">
        <v>40</v>
      </c>
      <c r="T919" s="70" t="s">
        <v>40</v>
      </c>
      <c r="U919" s="70" t="s">
        <v>40</v>
      </c>
      <c r="V919" s="70" t="s">
        <v>40</v>
      </c>
      <c r="W919" s="70"/>
      <c r="X919" s="70" t="s">
        <v>40</v>
      </c>
      <c r="Y919" s="70" t="s">
        <v>40</v>
      </c>
      <c r="Z919" s="70" t="s">
        <v>40</v>
      </c>
      <c r="AA919" s="70" t="s">
        <v>40</v>
      </c>
      <c r="AB919" s="70" t="s">
        <v>40</v>
      </c>
      <c r="AC919" s="49" t="s">
        <v>54</v>
      </c>
      <c r="AD919" s="94">
        <f t="shared" si="315"/>
        <v>26496892.829999998</v>
      </c>
      <c r="AE919" s="94">
        <f t="shared" si="315"/>
        <v>0</v>
      </c>
      <c r="AF919" s="94">
        <f t="shared" si="315"/>
        <v>0</v>
      </c>
      <c r="AG919" s="94">
        <f t="shared" si="307"/>
        <v>0</v>
      </c>
      <c r="AH919" s="94">
        <f>L870+L889</f>
        <v>0</v>
      </c>
      <c r="AI919" s="94">
        <f t="shared" si="308"/>
        <v>0</v>
      </c>
      <c r="AJ919" s="94">
        <f>O870+O889</f>
        <v>26496892.829999998</v>
      </c>
      <c r="AK919" s="94">
        <f>P870+P889</f>
        <v>0</v>
      </c>
      <c r="AL919" s="94">
        <f t="shared" si="309"/>
        <v>26496892.829999998</v>
      </c>
      <c r="AM919" s="94">
        <f>V870+V889</f>
        <v>0</v>
      </c>
      <c r="AN919" s="94">
        <f t="shared" si="310"/>
        <v>26496892.829999998</v>
      </c>
      <c r="AO919" s="94">
        <f t="shared" si="311"/>
        <v>26496892.829999998</v>
      </c>
      <c r="AP919" s="94">
        <f t="shared" si="312"/>
        <v>0</v>
      </c>
      <c r="AQ919" s="94">
        <f t="shared" si="313"/>
        <v>0</v>
      </c>
    </row>
    <row r="920" spans="1:43" x14ac:dyDescent="0.25">
      <c r="A920" s="46">
        <v>101</v>
      </c>
      <c r="B920" s="26" t="s">
        <v>230</v>
      </c>
      <c r="C920" s="2" t="s">
        <v>35</v>
      </c>
      <c r="D920" s="68">
        <v>57052383.710000001</v>
      </c>
      <c r="E920" s="68"/>
      <c r="F920" s="68"/>
      <c r="G920" s="68"/>
      <c r="H920" s="67">
        <f>E920+F920</f>
        <v>0</v>
      </c>
      <c r="I920" s="68"/>
      <c r="J920" s="68"/>
      <c r="K920" s="68"/>
      <c r="L920" s="68"/>
      <c r="M920" s="68"/>
      <c r="N920" s="67">
        <f>H920+L920</f>
        <v>0</v>
      </c>
      <c r="O920" s="68">
        <v>271010.90000000002</v>
      </c>
      <c r="P920" s="68"/>
      <c r="Q920" s="68"/>
      <c r="R920" s="67">
        <f>O920+P920</f>
        <v>271010.90000000002</v>
      </c>
      <c r="S920" s="68"/>
      <c r="T920" s="68"/>
      <c r="U920" s="68"/>
      <c r="V920" s="68"/>
      <c r="W920" s="68"/>
      <c r="X920" s="67">
        <f>R920+V920</f>
        <v>271010.90000000002</v>
      </c>
      <c r="Y920" s="67">
        <f>R920+H920</f>
        <v>271010.90000000002</v>
      </c>
      <c r="Z920" s="67">
        <f>D920-Y920</f>
        <v>56781372.810000002</v>
      </c>
      <c r="AA920" s="67">
        <f>N920+X920</f>
        <v>271010.90000000002</v>
      </c>
      <c r="AB920" s="67">
        <f>+D920-N920-X920</f>
        <v>56781372.810000002</v>
      </c>
      <c r="AC920" s="49" t="s">
        <v>264</v>
      </c>
      <c r="AD920" s="94">
        <f>+D877</f>
        <v>507482.34</v>
      </c>
      <c r="AE920" s="94">
        <f>+E877</f>
        <v>0</v>
      </c>
      <c r="AF920" s="94">
        <f>+F877</f>
        <v>0</v>
      </c>
      <c r="AG920" s="94">
        <f t="shared" si="307"/>
        <v>0</v>
      </c>
      <c r="AH920" s="94">
        <f>+L877</f>
        <v>0</v>
      </c>
      <c r="AI920" s="94">
        <f t="shared" si="308"/>
        <v>0</v>
      </c>
      <c r="AJ920" s="94">
        <f>+O877</f>
        <v>0</v>
      </c>
      <c r="AK920" s="94">
        <f>+P877</f>
        <v>0</v>
      </c>
      <c r="AL920" s="94">
        <f t="shared" si="309"/>
        <v>0</v>
      </c>
      <c r="AM920" s="94">
        <f>+V877</f>
        <v>0</v>
      </c>
      <c r="AN920" s="94">
        <f t="shared" si="310"/>
        <v>0</v>
      </c>
      <c r="AO920" s="94">
        <f t="shared" si="311"/>
        <v>0</v>
      </c>
      <c r="AP920" s="94">
        <f t="shared" si="312"/>
        <v>507482.34</v>
      </c>
      <c r="AQ920" s="94">
        <f t="shared" si="313"/>
        <v>507482.34</v>
      </c>
    </row>
    <row r="921" spans="1:43" x14ac:dyDescent="0.25">
      <c r="A921" s="46"/>
      <c r="B921" s="26"/>
      <c r="C921" s="4" t="s">
        <v>36</v>
      </c>
      <c r="D921" s="68">
        <v>1793593</v>
      </c>
      <c r="E921" s="68">
        <v>1793593</v>
      </c>
      <c r="F921" s="68"/>
      <c r="G921" s="68"/>
      <c r="H921" s="67">
        <f>E921+F921</f>
        <v>1793593</v>
      </c>
      <c r="I921" s="68"/>
      <c r="J921" s="68"/>
      <c r="K921" s="68"/>
      <c r="L921" s="68"/>
      <c r="M921" s="68"/>
      <c r="N921" s="67">
        <f>H921+L921</f>
        <v>1793593</v>
      </c>
      <c r="O921" s="68"/>
      <c r="P921" s="68"/>
      <c r="Q921" s="68"/>
      <c r="R921" s="67">
        <f>O921+P921</f>
        <v>0</v>
      </c>
      <c r="S921" s="68"/>
      <c r="T921" s="68"/>
      <c r="U921" s="68"/>
      <c r="V921" s="68"/>
      <c r="W921" s="68"/>
      <c r="X921" s="67">
        <f>R921+V921</f>
        <v>0</v>
      </c>
      <c r="Y921" s="67">
        <f>R921+H921</f>
        <v>1793593</v>
      </c>
      <c r="Z921" s="67">
        <f>D921-Y921</f>
        <v>0</v>
      </c>
      <c r="AA921" s="67">
        <f>N921+X921</f>
        <v>1793593</v>
      </c>
      <c r="AB921" s="67">
        <f>+D921-N921-X921</f>
        <v>0</v>
      </c>
      <c r="AC921" s="49" t="s">
        <v>38</v>
      </c>
      <c r="AD921" s="94">
        <f>D879+D907+D896</f>
        <v>16320853.800000001</v>
      </c>
      <c r="AE921" s="94">
        <f>E879+E907+E896</f>
        <v>0</v>
      </c>
      <c r="AF921" s="94">
        <f>F879+F907+F896</f>
        <v>0</v>
      </c>
      <c r="AG921" s="94">
        <f t="shared" si="307"/>
        <v>0</v>
      </c>
      <c r="AH921" s="94">
        <f>L879+L907+L896</f>
        <v>0</v>
      </c>
      <c r="AI921" s="94">
        <f t="shared" si="308"/>
        <v>0</v>
      </c>
      <c r="AJ921" s="94">
        <f>O879+O907</f>
        <v>1451390.32</v>
      </c>
      <c r="AK921" s="94">
        <f>P879+P907+P896</f>
        <v>906191.84000000008</v>
      </c>
      <c r="AL921" s="94">
        <f t="shared" si="309"/>
        <v>2357582.16</v>
      </c>
      <c r="AM921" s="94">
        <f>V879+V907+V896</f>
        <v>0</v>
      </c>
      <c r="AN921" s="94">
        <f t="shared" si="310"/>
        <v>2357582.16</v>
      </c>
      <c r="AO921" s="94">
        <f t="shared" si="311"/>
        <v>2357582.16</v>
      </c>
      <c r="AP921" s="94">
        <f t="shared" si="312"/>
        <v>13963271.640000001</v>
      </c>
      <c r="AQ921" s="94">
        <f t="shared" si="313"/>
        <v>13963271.640000001</v>
      </c>
    </row>
    <row r="922" spans="1:43" x14ac:dyDescent="0.25">
      <c r="A922" s="46"/>
      <c r="B922" s="26"/>
      <c r="C922" s="4"/>
      <c r="D922" s="70" t="s">
        <v>40</v>
      </c>
      <c r="E922" s="70" t="s">
        <v>40</v>
      </c>
      <c r="F922" s="70" t="s">
        <v>40</v>
      </c>
      <c r="G922" s="70"/>
      <c r="H922" s="70" t="s">
        <v>40</v>
      </c>
      <c r="I922" s="70" t="s">
        <v>40</v>
      </c>
      <c r="J922" s="70" t="s">
        <v>40</v>
      </c>
      <c r="K922" s="70" t="s">
        <v>40</v>
      </c>
      <c r="L922" s="70" t="s">
        <v>40</v>
      </c>
      <c r="M922" s="70"/>
      <c r="N922" s="70" t="s">
        <v>40</v>
      </c>
      <c r="O922" s="70" t="s">
        <v>40</v>
      </c>
      <c r="P922" s="70" t="s">
        <v>40</v>
      </c>
      <c r="Q922" s="70"/>
      <c r="R922" s="70" t="s">
        <v>40</v>
      </c>
      <c r="S922" s="70" t="s">
        <v>40</v>
      </c>
      <c r="T922" s="70" t="s">
        <v>40</v>
      </c>
      <c r="U922" s="70" t="s">
        <v>40</v>
      </c>
      <c r="V922" s="70" t="s">
        <v>40</v>
      </c>
      <c r="W922" s="70"/>
      <c r="X922" s="70" t="s">
        <v>40</v>
      </c>
      <c r="Y922" s="70" t="s">
        <v>40</v>
      </c>
      <c r="Z922" s="70" t="s">
        <v>40</v>
      </c>
      <c r="AA922" s="70" t="s">
        <v>40</v>
      </c>
      <c r="AB922" s="70" t="s">
        <v>40</v>
      </c>
      <c r="AC922" s="49" t="s">
        <v>267</v>
      </c>
      <c r="AD922" s="94">
        <f t="shared" ref="AD922:AF923" si="316">+D897</f>
        <v>10000000</v>
      </c>
      <c r="AE922" s="94">
        <f t="shared" si="316"/>
        <v>8339997.9199999999</v>
      </c>
      <c r="AF922" s="94">
        <f t="shared" si="316"/>
        <v>0</v>
      </c>
      <c r="AG922" s="94">
        <f t="shared" si="307"/>
        <v>8339997.9199999999</v>
      </c>
      <c r="AH922" s="94">
        <f>+L897</f>
        <v>0</v>
      </c>
      <c r="AI922" s="94">
        <f t="shared" si="308"/>
        <v>8339997.9199999999</v>
      </c>
      <c r="AJ922" s="94">
        <f>+O897</f>
        <v>0</v>
      </c>
      <c r="AK922" s="94">
        <f>+P897</f>
        <v>0</v>
      </c>
      <c r="AL922" s="94">
        <f t="shared" si="309"/>
        <v>0</v>
      </c>
      <c r="AM922" s="94">
        <f>+V897</f>
        <v>0</v>
      </c>
      <c r="AN922" s="94">
        <f t="shared" si="310"/>
        <v>0</v>
      </c>
      <c r="AO922" s="94">
        <f t="shared" si="311"/>
        <v>8339997.9199999999</v>
      </c>
      <c r="AP922" s="94">
        <f t="shared" si="312"/>
        <v>1660002.08</v>
      </c>
      <c r="AQ922" s="94">
        <f t="shared" si="313"/>
        <v>1660002.08</v>
      </c>
    </row>
    <row r="923" spans="1:43" x14ac:dyDescent="0.25">
      <c r="A923" s="46"/>
      <c r="B923" s="26"/>
      <c r="C923" s="4"/>
      <c r="D923" s="68">
        <f>SUM(D920:D921)</f>
        <v>58845976.710000001</v>
      </c>
      <c r="E923" s="68">
        <f t="shared" ref="E923:AB923" si="317">SUM(E920:E921)</f>
        <v>1793593</v>
      </c>
      <c r="F923" s="68">
        <f t="shared" si="317"/>
        <v>0</v>
      </c>
      <c r="G923" s="68"/>
      <c r="H923" s="68">
        <f t="shared" si="317"/>
        <v>1793593</v>
      </c>
      <c r="I923" s="68">
        <f t="shared" si="317"/>
        <v>0</v>
      </c>
      <c r="J923" s="68">
        <f t="shared" si="317"/>
        <v>0</v>
      </c>
      <c r="K923" s="68">
        <f t="shared" si="317"/>
        <v>0</v>
      </c>
      <c r="L923" s="68">
        <f t="shared" si="317"/>
        <v>0</v>
      </c>
      <c r="M923" s="68"/>
      <c r="N923" s="68">
        <f t="shared" si="317"/>
        <v>1793593</v>
      </c>
      <c r="O923" s="68">
        <f t="shared" si="317"/>
        <v>271010.90000000002</v>
      </c>
      <c r="P923" s="68">
        <f t="shared" si="317"/>
        <v>0</v>
      </c>
      <c r="Q923" s="68"/>
      <c r="R923" s="68">
        <f t="shared" si="317"/>
        <v>271010.90000000002</v>
      </c>
      <c r="S923" s="68">
        <f t="shared" si="317"/>
        <v>0</v>
      </c>
      <c r="T923" s="68">
        <f t="shared" si="317"/>
        <v>0</v>
      </c>
      <c r="U923" s="68">
        <f t="shared" si="317"/>
        <v>0</v>
      </c>
      <c r="V923" s="68">
        <f t="shared" si="317"/>
        <v>0</v>
      </c>
      <c r="W923" s="68"/>
      <c r="X923" s="68">
        <f t="shared" si="317"/>
        <v>271010.90000000002</v>
      </c>
      <c r="Y923" s="68">
        <f t="shared" si="317"/>
        <v>2064603.9</v>
      </c>
      <c r="Z923" s="68">
        <f t="shared" si="317"/>
        <v>56781372.810000002</v>
      </c>
      <c r="AA923" s="68">
        <f t="shared" si="317"/>
        <v>2064603.9</v>
      </c>
      <c r="AB923" s="68">
        <f t="shared" si="317"/>
        <v>56781372.810000002</v>
      </c>
      <c r="AC923" s="49" t="s">
        <v>276</v>
      </c>
      <c r="AD923" s="94">
        <f t="shared" si="316"/>
        <v>2165213.2400000002</v>
      </c>
      <c r="AE923" s="94">
        <f t="shared" si="316"/>
        <v>0</v>
      </c>
      <c r="AF923" s="94">
        <f t="shared" si="316"/>
        <v>0</v>
      </c>
      <c r="AG923" s="94">
        <f t="shared" si="307"/>
        <v>0</v>
      </c>
      <c r="AH923" s="94">
        <f>+L898</f>
        <v>0</v>
      </c>
      <c r="AI923" s="94">
        <f t="shared" si="308"/>
        <v>0</v>
      </c>
      <c r="AJ923" s="94">
        <f>+O898</f>
        <v>2165213.2400000002</v>
      </c>
      <c r="AK923" s="94">
        <f>+P898</f>
        <v>0</v>
      </c>
      <c r="AL923" s="94">
        <f t="shared" si="309"/>
        <v>2165213.2400000002</v>
      </c>
      <c r="AM923" s="94">
        <f>+V898</f>
        <v>0</v>
      </c>
      <c r="AN923" s="94">
        <f t="shared" si="310"/>
        <v>2165213.2400000002</v>
      </c>
      <c r="AO923" s="94">
        <f t="shared" si="311"/>
        <v>2165213.2400000002</v>
      </c>
      <c r="AP923" s="94">
        <f t="shared" si="312"/>
        <v>0</v>
      </c>
      <c r="AQ923" s="94">
        <f t="shared" si="313"/>
        <v>0</v>
      </c>
    </row>
    <row r="924" spans="1:43" x14ac:dyDescent="0.25">
      <c r="A924" s="46"/>
      <c r="B924" s="26"/>
      <c r="C924" s="4"/>
      <c r="D924" s="70" t="s">
        <v>40</v>
      </c>
      <c r="E924" s="70" t="s">
        <v>40</v>
      </c>
      <c r="F924" s="70" t="s">
        <v>40</v>
      </c>
      <c r="G924" s="70"/>
      <c r="H924" s="70" t="s">
        <v>40</v>
      </c>
      <c r="I924" s="70" t="s">
        <v>40</v>
      </c>
      <c r="J924" s="70" t="s">
        <v>40</v>
      </c>
      <c r="K924" s="70" t="s">
        <v>40</v>
      </c>
      <c r="L924" s="70" t="s">
        <v>40</v>
      </c>
      <c r="M924" s="70"/>
      <c r="N924" s="70" t="s">
        <v>40</v>
      </c>
      <c r="O924" s="70" t="s">
        <v>40</v>
      </c>
      <c r="P924" s="70" t="s">
        <v>40</v>
      </c>
      <c r="Q924" s="70"/>
      <c r="R924" s="70" t="s">
        <v>40</v>
      </c>
      <c r="S924" s="70" t="s">
        <v>40</v>
      </c>
      <c r="T924" s="70" t="s">
        <v>40</v>
      </c>
      <c r="U924" s="70" t="s">
        <v>40</v>
      </c>
      <c r="V924" s="70" t="s">
        <v>40</v>
      </c>
      <c r="W924" s="70"/>
      <c r="X924" s="70" t="s">
        <v>40</v>
      </c>
      <c r="Y924" s="70" t="s">
        <v>40</v>
      </c>
      <c r="Z924" s="70" t="s">
        <v>40</v>
      </c>
      <c r="AA924" s="70" t="s">
        <v>40</v>
      </c>
      <c r="AB924" s="70" t="s">
        <v>40</v>
      </c>
      <c r="AC924" s="49" t="s">
        <v>271</v>
      </c>
      <c r="AD924" s="94">
        <f>+D916</f>
        <v>2360000</v>
      </c>
      <c r="AE924" s="94">
        <f>+E916</f>
        <v>2359759.62</v>
      </c>
      <c r="AF924" s="94">
        <f>+F916</f>
        <v>0</v>
      </c>
      <c r="AG924" s="94">
        <f t="shared" si="307"/>
        <v>2359759.62</v>
      </c>
      <c r="AH924" s="94">
        <f>+L916</f>
        <v>0</v>
      </c>
      <c r="AI924" s="94">
        <f t="shared" si="308"/>
        <v>2359759.62</v>
      </c>
      <c r="AJ924" s="94">
        <f>+O916</f>
        <v>0</v>
      </c>
      <c r="AK924" s="94">
        <f>+P916</f>
        <v>0</v>
      </c>
      <c r="AL924" s="94">
        <f t="shared" si="309"/>
        <v>0</v>
      </c>
      <c r="AM924" s="94">
        <f>+V916</f>
        <v>0</v>
      </c>
      <c r="AN924" s="94">
        <f t="shared" si="310"/>
        <v>0</v>
      </c>
      <c r="AO924" s="94">
        <f t="shared" si="311"/>
        <v>2359759.62</v>
      </c>
      <c r="AP924" s="94">
        <f t="shared" si="312"/>
        <v>240.37999999988824</v>
      </c>
      <c r="AQ924" s="94">
        <f t="shared" si="313"/>
        <v>240.37999999988824</v>
      </c>
    </row>
    <row r="925" spans="1:43" x14ac:dyDescent="0.25">
      <c r="A925" s="46"/>
      <c r="B925" s="36" t="s">
        <v>3</v>
      </c>
      <c r="C925" s="21" t="s">
        <v>223</v>
      </c>
      <c r="D925" s="72">
        <f>D866+D872+D882+D891+D900+D910+D918+D923</f>
        <v>341204342.71999991</v>
      </c>
      <c r="E925" s="72">
        <f>E866+E872+E882+E891+E900+E910+E918+E923</f>
        <v>16053773.539999999</v>
      </c>
      <c r="F925" s="72">
        <f>F866+F872+F882+F891+F900+F910+F918+F923</f>
        <v>0</v>
      </c>
      <c r="G925" s="72"/>
      <c r="H925" s="72">
        <f>H866+H872+H882+H891+H900+H910+H918+H923</f>
        <v>16053773.539999999</v>
      </c>
      <c r="I925" s="72">
        <f>I866+I872+I882+I891+I900+I910+I918+I923</f>
        <v>0</v>
      </c>
      <c r="J925" s="72">
        <f>J866+J872+J882+J891+J900+J910+J918+J923</f>
        <v>0</v>
      </c>
      <c r="K925" s="72">
        <f>K866+K872+K882+K891+K900+K910+K918+K923</f>
        <v>0</v>
      </c>
      <c r="L925" s="72">
        <f>L866+L872+L882+L891+L900+L910+L918+L923</f>
        <v>0</v>
      </c>
      <c r="M925" s="72"/>
      <c r="N925" s="72">
        <f>N866+N872+N882+N891+N900+N910+N918+N923</f>
        <v>16053773.539999999</v>
      </c>
      <c r="O925" s="72">
        <f>O866+O872+O882+O891+O900+O910+O918+O923</f>
        <v>52096497.99000001</v>
      </c>
      <c r="P925" s="72">
        <f>P866+P872+P882+P891+P900+P910+P918+P923</f>
        <v>906191.84000000008</v>
      </c>
      <c r="Q925" s="72"/>
      <c r="R925" s="72">
        <f>R866+R872+R882+R891+R900+R910+R918+R923</f>
        <v>53002689.829999998</v>
      </c>
      <c r="S925" s="72">
        <f>S866+S872+S882+S891+S900+S910+S918+S923</f>
        <v>0</v>
      </c>
      <c r="T925" s="72">
        <f>T866+T872+T882+T891+T900+T910+T918+T923</f>
        <v>0</v>
      </c>
      <c r="U925" s="72">
        <f>U866+U872+U882+U891+U900+U910+U918+U923</f>
        <v>0</v>
      </c>
      <c r="V925" s="72">
        <f>V866+V872+V882+V891+V900+V910+V918+V923</f>
        <v>1018444.61</v>
      </c>
      <c r="W925" s="72"/>
      <c r="X925" s="72">
        <f>X866+X872+X882+X891+X900+X910+X918+X923</f>
        <v>54021134.439999998</v>
      </c>
      <c r="Y925" s="72">
        <f>Y866+Y872+Y882+Y891+Y900+Y910+Y918+Y923</f>
        <v>69056463.370000005</v>
      </c>
      <c r="Z925" s="72">
        <f>Z866+Z872+Z882+Z891+Z900+Z910+Z918+Z923</f>
        <v>272147879.35000002</v>
      </c>
      <c r="AA925" s="72">
        <f>AA866+AA872+AA882+AA891+AA900+AA910+AA918+AA923</f>
        <v>70074907.980000004</v>
      </c>
      <c r="AB925" s="72">
        <f>AB866+AB872+AB882+AB891+AB900+AB910+AB918+AB923</f>
        <v>271129434.74000001</v>
      </c>
      <c r="AD925" s="95">
        <f>SUM(AD913:AD924)</f>
        <v>341204342.71999997</v>
      </c>
      <c r="AE925" s="95">
        <f t="shared" ref="AE925:AQ925" si="318">SUM(AE913:AE924)</f>
        <v>16053773.539999999</v>
      </c>
      <c r="AF925" s="95">
        <f t="shared" si="318"/>
        <v>0</v>
      </c>
      <c r="AG925" s="95">
        <f t="shared" si="318"/>
        <v>16053773.539999999</v>
      </c>
      <c r="AH925" s="95">
        <f t="shared" si="318"/>
        <v>0</v>
      </c>
      <c r="AI925" s="95">
        <f t="shared" si="318"/>
        <v>16053773.539999999</v>
      </c>
      <c r="AJ925" s="95">
        <f t="shared" si="318"/>
        <v>52096497.990000002</v>
      </c>
      <c r="AK925" s="95">
        <f t="shared" si="318"/>
        <v>906191.84000000008</v>
      </c>
      <c r="AL925" s="95">
        <f t="shared" si="318"/>
        <v>53002689.830000006</v>
      </c>
      <c r="AM925" s="95">
        <f t="shared" si="318"/>
        <v>1018444.61</v>
      </c>
      <c r="AN925" s="95">
        <f t="shared" si="318"/>
        <v>54021134.440000005</v>
      </c>
      <c r="AO925" s="95">
        <f t="shared" si="318"/>
        <v>69056463.370000005</v>
      </c>
      <c r="AP925" s="95">
        <f t="shared" si="318"/>
        <v>272147879.34999996</v>
      </c>
      <c r="AQ925" s="95">
        <f t="shared" si="318"/>
        <v>271129434.74000001</v>
      </c>
    </row>
    <row r="926" spans="1:43" x14ac:dyDescent="0.25">
      <c r="A926" s="46"/>
      <c r="B926" s="26"/>
      <c r="C926" s="4"/>
      <c r="D926" s="70" t="s">
        <v>50</v>
      </c>
      <c r="E926" s="70" t="s">
        <v>50</v>
      </c>
      <c r="F926" s="70" t="s">
        <v>50</v>
      </c>
      <c r="G926" s="70"/>
      <c r="H926" s="70" t="s">
        <v>50</v>
      </c>
      <c r="I926" s="70" t="s">
        <v>50</v>
      </c>
      <c r="J926" s="70" t="s">
        <v>50</v>
      </c>
      <c r="K926" s="70" t="s">
        <v>50</v>
      </c>
      <c r="L926" s="70" t="s">
        <v>50</v>
      </c>
      <c r="M926" s="70"/>
      <c r="N926" s="70" t="s">
        <v>50</v>
      </c>
      <c r="O926" s="70" t="s">
        <v>50</v>
      </c>
      <c r="P926" s="70" t="s">
        <v>50</v>
      </c>
      <c r="Q926" s="70"/>
      <c r="R926" s="70" t="s">
        <v>50</v>
      </c>
      <c r="S926" s="70" t="s">
        <v>50</v>
      </c>
      <c r="T926" s="70" t="s">
        <v>50</v>
      </c>
      <c r="U926" s="70" t="s">
        <v>50</v>
      </c>
      <c r="V926" s="70" t="s">
        <v>50</v>
      </c>
      <c r="W926" s="70"/>
      <c r="X926" s="70" t="s">
        <v>50</v>
      </c>
      <c r="Y926" s="70" t="s">
        <v>50</v>
      </c>
      <c r="Z926" s="70" t="s">
        <v>50</v>
      </c>
      <c r="AA926" s="70" t="s">
        <v>50</v>
      </c>
      <c r="AB926" s="70" t="s">
        <v>50</v>
      </c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</row>
    <row r="927" spans="1:43" x14ac:dyDescent="0.25">
      <c r="A927" s="46"/>
      <c r="B927" s="26"/>
      <c r="C927" s="20"/>
      <c r="D927" s="75"/>
      <c r="E927" s="72"/>
      <c r="F927" s="70"/>
      <c r="G927" s="70"/>
      <c r="H927" s="70"/>
      <c r="I927" s="70"/>
      <c r="J927" s="70"/>
      <c r="K927" s="70"/>
      <c r="L927" s="70"/>
      <c r="M927" s="70"/>
      <c r="N927" s="70"/>
      <c r="O927" s="72"/>
      <c r="P927" s="70"/>
      <c r="Q927" s="70"/>
      <c r="R927" s="70"/>
      <c r="S927" s="70"/>
      <c r="T927" s="70"/>
      <c r="U927" s="70"/>
      <c r="V927" s="70"/>
      <c r="W927" s="70"/>
      <c r="X927" s="72"/>
      <c r="Y927" s="70"/>
      <c r="Z927" s="70"/>
      <c r="AA927" s="70"/>
      <c r="AB927" s="70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</row>
    <row r="928" spans="1:43" ht="19.5" x14ac:dyDescent="0.35">
      <c r="A928" s="46"/>
      <c r="B928" s="48" t="s">
        <v>232</v>
      </c>
      <c r="C928" s="4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</row>
    <row r="929" spans="1:43" x14ac:dyDescent="0.25">
      <c r="A929" s="46"/>
      <c r="B929" s="26"/>
      <c r="C929" s="4"/>
      <c r="D929" s="70"/>
      <c r="E929" s="70"/>
      <c r="F929" s="70"/>
      <c r="G929" s="70"/>
      <c r="H929" s="67"/>
      <c r="I929" s="70"/>
      <c r="J929" s="70"/>
      <c r="K929" s="70"/>
      <c r="L929" s="70"/>
      <c r="M929" s="70"/>
      <c r="N929" s="67"/>
      <c r="O929" s="70"/>
      <c r="P929" s="70"/>
      <c r="Q929" s="70"/>
      <c r="R929" s="67"/>
      <c r="S929" s="70"/>
      <c r="T929" s="70"/>
      <c r="U929" s="70"/>
      <c r="V929" s="70"/>
      <c r="W929" s="70"/>
      <c r="X929" s="67"/>
      <c r="Y929" s="67"/>
      <c r="Z929" s="67"/>
      <c r="AA929" s="67"/>
      <c r="AB929" s="67"/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</row>
    <row r="930" spans="1:43" x14ac:dyDescent="0.25">
      <c r="A930" s="46">
        <v>102</v>
      </c>
      <c r="B930" s="26" t="s">
        <v>233</v>
      </c>
      <c r="C930" s="2" t="s">
        <v>35</v>
      </c>
      <c r="D930" s="72">
        <v>36888563.280000001</v>
      </c>
      <c r="E930" s="70"/>
      <c r="F930" s="70"/>
      <c r="G930" s="70"/>
      <c r="H930" s="67">
        <f>E930+F930</f>
        <v>0</v>
      </c>
      <c r="I930" s="70"/>
      <c r="J930" s="70"/>
      <c r="K930" s="70"/>
      <c r="L930" s="70"/>
      <c r="M930" s="70"/>
      <c r="N930" s="67">
        <f>H930+L930</f>
        <v>0</v>
      </c>
      <c r="O930" s="70"/>
      <c r="P930" s="70"/>
      <c r="Q930" s="70"/>
      <c r="R930" s="67">
        <f>O930+P930</f>
        <v>0</v>
      </c>
      <c r="S930" s="70"/>
      <c r="T930" s="70"/>
      <c r="U930" s="70"/>
      <c r="V930" s="70"/>
      <c r="W930" s="70"/>
      <c r="X930" s="67">
        <f>R930+V930</f>
        <v>0</v>
      </c>
      <c r="Y930" s="67">
        <f>R930+H930</f>
        <v>0</v>
      </c>
      <c r="Z930" s="67">
        <f>D930-Y930</f>
        <v>36888563.280000001</v>
      </c>
      <c r="AA930" s="67">
        <f>N930+X930</f>
        <v>0</v>
      </c>
      <c r="AB930" s="67">
        <f>+D930-N930-X930</f>
        <v>36888563.280000001</v>
      </c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</row>
    <row r="931" spans="1:43" x14ac:dyDescent="0.25">
      <c r="A931" s="46"/>
      <c r="B931" s="26"/>
      <c r="C931" s="4" t="s">
        <v>183</v>
      </c>
      <c r="D931" s="72">
        <v>35419325.289999999</v>
      </c>
      <c r="E931" s="70"/>
      <c r="F931" s="70"/>
      <c r="G931" s="70"/>
      <c r="H931" s="67">
        <f>E931+F931</f>
        <v>0</v>
      </c>
      <c r="I931" s="70"/>
      <c r="J931" s="70"/>
      <c r="K931" s="70"/>
      <c r="L931" s="70"/>
      <c r="M931" s="70"/>
      <c r="N931" s="67">
        <f>H931+L931</f>
        <v>0</v>
      </c>
      <c r="O931" s="70"/>
      <c r="P931" s="70"/>
      <c r="Q931" s="70"/>
      <c r="R931" s="67">
        <f>O931+P931</f>
        <v>0</v>
      </c>
      <c r="S931" s="70"/>
      <c r="T931" s="70"/>
      <c r="U931" s="70"/>
      <c r="V931" s="70"/>
      <c r="W931" s="70"/>
      <c r="X931" s="67">
        <f>R931+V931</f>
        <v>0</v>
      </c>
      <c r="Y931" s="67">
        <f>R931+H931</f>
        <v>0</v>
      </c>
      <c r="Z931" s="67">
        <f>D931-Y931</f>
        <v>35419325.289999999</v>
      </c>
      <c r="AA931" s="67">
        <f>N931+X931</f>
        <v>0</v>
      </c>
      <c r="AB931" s="67">
        <f>+D931-N931-X931</f>
        <v>35419325.289999999</v>
      </c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</row>
    <row r="932" spans="1:43" x14ac:dyDescent="0.25">
      <c r="A932" s="46"/>
      <c r="B932" s="26"/>
      <c r="C932" s="4" t="s">
        <v>184</v>
      </c>
      <c r="D932" s="72">
        <v>0</v>
      </c>
      <c r="E932" s="70"/>
      <c r="F932" s="70"/>
      <c r="G932" s="70"/>
      <c r="H932" s="67">
        <f>E932+F932</f>
        <v>0</v>
      </c>
      <c r="I932" s="70"/>
      <c r="J932" s="70"/>
      <c r="K932" s="70"/>
      <c r="L932" s="70"/>
      <c r="M932" s="70"/>
      <c r="N932" s="67">
        <f>H932+L932</f>
        <v>0</v>
      </c>
      <c r="O932" s="70"/>
      <c r="P932" s="70"/>
      <c r="Q932" s="70"/>
      <c r="R932" s="67">
        <f>O932+P932</f>
        <v>0</v>
      </c>
      <c r="S932" s="70"/>
      <c r="T932" s="70"/>
      <c r="U932" s="70"/>
      <c r="V932" s="70"/>
      <c r="W932" s="70"/>
      <c r="X932" s="67">
        <f>R932+V932</f>
        <v>0</v>
      </c>
      <c r="Y932" s="67">
        <f>R932+H932</f>
        <v>0</v>
      </c>
      <c r="Z932" s="67">
        <f>D932-Y932</f>
        <v>0</v>
      </c>
      <c r="AA932" s="67">
        <f>N932+X932</f>
        <v>0</v>
      </c>
      <c r="AB932" s="67">
        <f>+D932-N932-X932</f>
        <v>0</v>
      </c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</row>
    <row r="933" spans="1:43" x14ac:dyDescent="0.25">
      <c r="A933" s="46"/>
      <c r="B933" s="26"/>
      <c r="C933" s="4"/>
      <c r="D933" s="70" t="s">
        <v>40</v>
      </c>
      <c r="E933" s="70" t="s">
        <v>40</v>
      </c>
      <c r="F933" s="70" t="s">
        <v>40</v>
      </c>
      <c r="G933" s="70"/>
      <c r="H933" s="70" t="s">
        <v>40</v>
      </c>
      <c r="I933" s="70" t="s">
        <v>40</v>
      </c>
      <c r="J933" s="70" t="s">
        <v>40</v>
      </c>
      <c r="K933" s="70" t="s">
        <v>40</v>
      </c>
      <c r="L933" s="70" t="s">
        <v>40</v>
      </c>
      <c r="M933" s="70"/>
      <c r="N933" s="70" t="s">
        <v>40</v>
      </c>
      <c r="O933" s="70" t="s">
        <v>40</v>
      </c>
      <c r="P933" s="70" t="s">
        <v>40</v>
      </c>
      <c r="Q933" s="70"/>
      <c r="R933" s="70" t="s">
        <v>40</v>
      </c>
      <c r="S933" s="70" t="s">
        <v>40</v>
      </c>
      <c r="T933" s="70" t="s">
        <v>40</v>
      </c>
      <c r="U933" s="70" t="s">
        <v>40</v>
      </c>
      <c r="V933" s="70" t="s">
        <v>40</v>
      </c>
      <c r="W933" s="70"/>
      <c r="X933" s="70" t="s">
        <v>40</v>
      </c>
      <c r="Y933" s="70" t="s">
        <v>40</v>
      </c>
      <c r="Z933" s="70" t="s">
        <v>40</v>
      </c>
      <c r="AA933" s="70" t="s">
        <v>40</v>
      </c>
      <c r="AB933" s="70" t="s">
        <v>40</v>
      </c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</row>
    <row r="934" spans="1:43" x14ac:dyDescent="0.25">
      <c r="A934" s="46"/>
      <c r="B934" s="26"/>
      <c r="C934" s="4"/>
      <c r="D934" s="72">
        <f>SUM(D930:D932)</f>
        <v>72307888.569999993</v>
      </c>
      <c r="E934" s="72">
        <f t="shared" ref="E934:AB934" si="319">SUM(E930:E932)</f>
        <v>0</v>
      </c>
      <c r="F934" s="72">
        <f t="shared" si="319"/>
        <v>0</v>
      </c>
      <c r="G934" s="72"/>
      <c r="H934" s="72">
        <f t="shared" si="319"/>
        <v>0</v>
      </c>
      <c r="I934" s="72">
        <f t="shared" si="319"/>
        <v>0</v>
      </c>
      <c r="J934" s="72">
        <f t="shared" si="319"/>
        <v>0</v>
      </c>
      <c r="K934" s="72">
        <f t="shared" si="319"/>
        <v>0</v>
      </c>
      <c r="L934" s="72">
        <f t="shared" si="319"/>
        <v>0</v>
      </c>
      <c r="M934" s="72"/>
      <c r="N934" s="72">
        <f t="shared" si="319"/>
        <v>0</v>
      </c>
      <c r="O934" s="72">
        <f t="shared" si="319"/>
        <v>0</v>
      </c>
      <c r="P934" s="72">
        <f t="shared" si="319"/>
        <v>0</v>
      </c>
      <c r="Q934" s="72"/>
      <c r="R934" s="72">
        <f t="shared" si="319"/>
        <v>0</v>
      </c>
      <c r="S934" s="72">
        <f t="shared" si="319"/>
        <v>0</v>
      </c>
      <c r="T934" s="72">
        <f t="shared" si="319"/>
        <v>0</v>
      </c>
      <c r="U934" s="72">
        <f t="shared" si="319"/>
        <v>0</v>
      </c>
      <c r="V934" s="72">
        <f t="shared" si="319"/>
        <v>0</v>
      </c>
      <c r="W934" s="72"/>
      <c r="X934" s="72">
        <f t="shared" si="319"/>
        <v>0</v>
      </c>
      <c r="Y934" s="72">
        <f t="shared" si="319"/>
        <v>0</v>
      </c>
      <c r="Z934" s="72">
        <f t="shared" si="319"/>
        <v>72307888.569999993</v>
      </c>
      <c r="AA934" s="72">
        <f t="shared" si="319"/>
        <v>0</v>
      </c>
      <c r="AB934" s="72">
        <f t="shared" si="319"/>
        <v>72307888.569999993</v>
      </c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</row>
    <row r="935" spans="1:43" x14ac:dyDescent="0.25">
      <c r="A935" s="46"/>
      <c r="B935" s="26"/>
      <c r="C935" s="4"/>
      <c r="D935" s="70" t="s">
        <v>40</v>
      </c>
      <c r="E935" s="70" t="s">
        <v>40</v>
      </c>
      <c r="F935" s="70" t="s">
        <v>40</v>
      </c>
      <c r="G935" s="70"/>
      <c r="H935" s="70" t="s">
        <v>40</v>
      </c>
      <c r="I935" s="70" t="s">
        <v>40</v>
      </c>
      <c r="J935" s="70" t="s">
        <v>40</v>
      </c>
      <c r="K935" s="70" t="s">
        <v>40</v>
      </c>
      <c r="L935" s="70" t="s">
        <v>40</v>
      </c>
      <c r="M935" s="70"/>
      <c r="N935" s="70" t="s">
        <v>40</v>
      </c>
      <c r="O935" s="70" t="s">
        <v>40</v>
      </c>
      <c r="P935" s="70" t="s">
        <v>40</v>
      </c>
      <c r="Q935" s="70"/>
      <c r="R935" s="70" t="s">
        <v>40</v>
      </c>
      <c r="S935" s="70" t="s">
        <v>40</v>
      </c>
      <c r="T935" s="70" t="s">
        <v>40</v>
      </c>
      <c r="U935" s="70" t="s">
        <v>40</v>
      </c>
      <c r="V935" s="70" t="s">
        <v>40</v>
      </c>
      <c r="W935" s="70"/>
      <c r="X935" s="70" t="s">
        <v>40</v>
      </c>
      <c r="Y935" s="70" t="s">
        <v>40</v>
      </c>
      <c r="Z935" s="70" t="s">
        <v>40</v>
      </c>
      <c r="AA935" s="70" t="s">
        <v>40</v>
      </c>
      <c r="AB935" s="70" t="s">
        <v>40</v>
      </c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</row>
    <row r="936" spans="1:43" x14ac:dyDescent="0.25">
      <c r="A936" s="46">
        <v>103</v>
      </c>
      <c r="B936" s="26" t="s">
        <v>234</v>
      </c>
      <c r="C936" s="2" t="s">
        <v>35</v>
      </c>
      <c r="D936" s="72">
        <v>38624903.159999996</v>
      </c>
      <c r="E936" s="70"/>
      <c r="F936" s="70"/>
      <c r="G936" s="70"/>
      <c r="H936" s="67">
        <f>E936+F936</f>
        <v>0</v>
      </c>
      <c r="I936" s="70"/>
      <c r="J936" s="70"/>
      <c r="K936" s="70"/>
      <c r="L936" s="70"/>
      <c r="M936" s="70"/>
      <c r="N936" s="67">
        <f>H936+L936</f>
        <v>0</v>
      </c>
      <c r="O936" s="70"/>
      <c r="P936" s="70"/>
      <c r="Q936" s="70"/>
      <c r="R936" s="67">
        <f>O936+P936</f>
        <v>0</v>
      </c>
      <c r="S936" s="70"/>
      <c r="T936" s="70"/>
      <c r="U936" s="70"/>
      <c r="V936" s="70"/>
      <c r="W936" s="70"/>
      <c r="X936" s="67">
        <f>R936+V936</f>
        <v>0</v>
      </c>
      <c r="Y936" s="67">
        <f>R936+H936</f>
        <v>0</v>
      </c>
      <c r="Z936" s="67">
        <f>D936-Y936</f>
        <v>38624903.159999996</v>
      </c>
      <c r="AA936" s="67">
        <f>N936+X936</f>
        <v>0</v>
      </c>
      <c r="AB936" s="67">
        <f>+D936-N936-X936</f>
        <v>38624903.159999996</v>
      </c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</row>
    <row r="937" spans="1:43" x14ac:dyDescent="0.25">
      <c r="A937" s="46"/>
      <c r="B937" s="26"/>
      <c r="C937" s="4" t="s">
        <v>36</v>
      </c>
      <c r="D937" s="72">
        <v>257193</v>
      </c>
      <c r="E937" s="72">
        <v>257193</v>
      </c>
      <c r="F937" s="70"/>
      <c r="G937" s="70"/>
      <c r="H937" s="67">
        <f>E937+F937</f>
        <v>257193</v>
      </c>
      <c r="I937" s="70"/>
      <c r="J937" s="70"/>
      <c r="K937" s="70"/>
      <c r="L937" s="70"/>
      <c r="M937" s="70"/>
      <c r="N937" s="67">
        <f>H937+L937</f>
        <v>257193</v>
      </c>
      <c r="O937" s="70"/>
      <c r="P937" s="70"/>
      <c r="Q937" s="70"/>
      <c r="R937" s="67">
        <f>O937+P937</f>
        <v>0</v>
      </c>
      <c r="S937" s="70"/>
      <c r="T937" s="70"/>
      <c r="U937" s="70"/>
      <c r="V937" s="70"/>
      <c r="W937" s="70"/>
      <c r="X937" s="67">
        <f>R937+V937</f>
        <v>0</v>
      </c>
      <c r="Y937" s="67">
        <f>R937+H937</f>
        <v>257193</v>
      </c>
      <c r="Z937" s="67">
        <f>D937-Y937</f>
        <v>0</v>
      </c>
      <c r="AA937" s="67">
        <f>N937+X937</f>
        <v>257193</v>
      </c>
      <c r="AB937" s="67">
        <f>+D937-N937-X937</f>
        <v>0</v>
      </c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</row>
    <row r="938" spans="1:43" x14ac:dyDescent="0.25">
      <c r="A938" s="46"/>
      <c r="B938" s="26"/>
      <c r="C938" s="4" t="s">
        <v>183</v>
      </c>
      <c r="D938" s="72">
        <v>18626426.620000001</v>
      </c>
      <c r="E938" s="70"/>
      <c r="F938" s="70"/>
      <c r="G938" s="70"/>
      <c r="H938" s="67">
        <f>E938+F938</f>
        <v>0</v>
      </c>
      <c r="I938" s="70"/>
      <c r="J938" s="70"/>
      <c r="K938" s="70"/>
      <c r="L938" s="70"/>
      <c r="M938" s="70"/>
      <c r="N938" s="67">
        <f>H938+L938</f>
        <v>0</v>
      </c>
      <c r="O938" s="70"/>
      <c r="P938" s="70"/>
      <c r="Q938" s="70"/>
      <c r="R938" s="67">
        <f>O938+P938</f>
        <v>0</v>
      </c>
      <c r="S938" s="70"/>
      <c r="T938" s="70"/>
      <c r="U938" s="70"/>
      <c r="V938" s="70"/>
      <c r="W938" s="70"/>
      <c r="X938" s="67">
        <f>R938+V938</f>
        <v>0</v>
      </c>
      <c r="Y938" s="67">
        <f>R938+H938</f>
        <v>0</v>
      </c>
      <c r="Z938" s="67">
        <f>D938-Y938</f>
        <v>18626426.620000001</v>
      </c>
      <c r="AA938" s="67">
        <f>N938+X938</f>
        <v>0</v>
      </c>
      <c r="AB938" s="67">
        <f>+D938-N938-X938</f>
        <v>18626426.620000001</v>
      </c>
      <c r="AD938" s="94"/>
      <c r="AE938" s="94"/>
      <c r="AF938" s="94"/>
      <c r="AG938" s="94"/>
      <c r="AH938" s="94"/>
      <c r="AI938" s="94"/>
      <c r="AJ938" s="94"/>
      <c r="AK938" s="94"/>
      <c r="AL938" s="94"/>
      <c r="AM938" s="94"/>
      <c r="AN938" s="94"/>
      <c r="AO938" s="94"/>
      <c r="AP938" s="94"/>
      <c r="AQ938" s="94"/>
    </row>
    <row r="939" spans="1:43" x14ac:dyDescent="0.25">
      <c r="A939" s="46"/>
      <c r="B939" s="26"/>
      <c r="C939" s="4" t="s">
        <v>38</v>
      </c>
      <c r="D939" s="72">
        <v>7242000</v>
      </c>
      <c r="E939" s="70"/>
      <c r="F939" s="70"/>
      <c r="G939" s="70"/>
      <c r="H939" s="67">
        <f>E939+F939</f>
        <v>0</v>
      </c>
      <c r="I939" s="70"/>
      <c r="J939" s="70"/>
      <c r="K939" s="70"/>
      <c r="L939" s="70"/>
      <c r="M939" s="70"/>
      <c r="N939" s="67">
        <f>H939+L939</f>
        <v>0</v>
      </c>
      <c r="O939" s="70"/>
      <c r="P939" s="70"/>
      <c r="Q939" s="70"/>
      <c r="R939" s="67">
        <f>O939+P939</f>
        <v>0</v>
      </c>
      <c r="S939" s="70"/>
      <c r="T939" s="70"/>
      <c r="U939" s="70"/>
      <c r="V939" s="70"/>
      <c r="W939" s="70"/>
      <c r="X939" s="67">
        <f>R939+V939</f>
        <v>0</v>
      </c>
      <c r="Y939" s="67">
        <f>R939+H939</f>
        <v>0</v>
      </c>
      <c r="Z939" s="67">
        <f>D939-Y939</f>
        <v>7242000</v>
      </c>
      <c r="AA939" s="67">
        <f>N939+X939</f>
        <v>0</v>
      </c>
      <c r="AB939" s="67">
        <f>+D939-N939-X939</f>
        <v>7242000</v>
      </c>
      <c r="AD939" s="94"/>
      <c r="AE939" s="94"/>
      <c r="AF939" s="94"/>
      <c r="AG939" s="94"/>
      <c r="AH939" s="94"/>
      <c r="AI939" s="94"/>
      <c r="AJ939" s="94"/>
      <c r="AK939" s="94"/>
      <c r="AL939" s="94"/>
      <c r="AM939" s="94"/>
      <c r="AN939" s="94"/>
      <c r="AO939" s="94"/>
      <c r="AP939" s="94"/>
      <c r="AQ939" s="94"/>
    </row>
    <row r="940" spans="1:43" x14ac:dyDescent="0.25">
      <c r="A940" s="46"/>
      <c r="B940" s="26"/>
      <c r="C940" s="4" t="s">
        <v>184</v>
      </c>
      <c r="D940" s="72">
        <v>709704.47</v>
      </c>
      <c r="E940" s="70"/>
      <c r="F940" s="70"/>
      <c r="G940" s="70"/>
      <c r="H940" s="67">
        <f>E940+F940</f>
        <v>0</v>
      </c>
      <c r="I940" s="70"/>
      <c r="J940" s="70"/>
      <c r="K940" s="70"/>
      <c r="L940" s="70"/>
      <c r="M940" s="70"/>
      <c r="N940" s="67">
        <f>H940+L940</f>
        <v>0</v>
      </c>
      <c r="O940" s="70"/>
      <c r="P940" s="70"/>
      <c r="Q940" s="70"/>
      <c r="R940" s="67">
        <f>O940+P940</f>
        <v>0</v>
      </c>
      <c r="S940" s="70"/>
      <c r="T940" s="70"/>
      <c r="U940" s="70"/>
      <c r="V940" s="70"/>
      <c r="W940" s="70"/>
      <c r="X940" s="67">
        <f>R940+V940</f>
        <v>0</v>
      </c>
      <c r="Y940" s="67">
        <f>R940+H940</f>
        <v>0</v>
      </c>
      <c r="Z940" s="67">
        <f>D940-Y940</f>
        <v>709704.47</v>
      </c>
      <c r="AA940" s="67">
        <f>N940+X940</f>
        <v>0</v>
      </c>
      <c r="AB940" s="67">
        <f>+D940-N940-X940</f>
        <v>709704.47</v>
      </c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</row>
    <row r="941" spans="1:43" x14ac:dyDescent="0.25">
      <c r="A941" s="46"/>
      <c r="B941" s="26"/>
      <c r="C941" s="4"/>
      <c r="D941" s="70" t="s">
        <v>40</v>
      </c>
      <c r="E941" s="70" t="s">
        <v>40</v>
      </c>
      <c r="F941" s="70" t="s">
        <v>40</v>
      </c>
      <c r="G941" s="70"/>
      <c r="H941" s="70" t="s">
        <v>40</v>
      </c>
      <c r="I941" s="70" t="s">
        <v>40</v>
      </c>
      <c r="J941" s="70" t="s">
        <v>40</v>
      </c>
      <c r="K941" s="70" t="s">
        <v>40</v>
      </c>
      <c r="L941" s="70" t="s">
        <v>40</v>
      </c>
      <c r="M941" s="70"/>
      <c r="N941" s="70" t="s">
        <v>40</v>
      </c>
      <c r="O941" s="70" t="s">
        <v>40</v>
      </c>
      <c r="P941" s="70" t="s">
        <v>40</v>
      </c>
      <c r="Q941" s="70"/>
      <c r="R941" s="70" t="s">
        <v>40</v>
      </c>
      <c r="S941" s="70" t="s">
        <v>40</v>
      </c>
      <c r="T941" s="70" t="s">
        <v>40</v>
      </c>
      <c r="U941" s="70" t="s">
        <v>40</v>
      </c>
      <c r="V941" s="70" t="s">
        <v>40</v>
      </c>
      <c r="W941" s="70"/>
      <c r="X941" s="70" t="s">
        <v>40</v>
      </c>
      <c r="Y941" s="70" t="s">
        <v>40</v>
      </c>
      <c r="Z941" s="70" t="s">
        <v>40</v>
      </c>
      <c r="AA941" s="70" t="s">
        <v>40</v>
      </c>
      <c r="AB941" s="70" t="s">
        <v>40</v>
      </c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</row>
    <row r="942" spans="1:43" x14ac:dyDescent="0.25">
      <c r="A942" s="46"/>
      <c r="B942" s="26"/>
      <c r="C942" s="4"/>
      <c r="D942" s="72">
        <f>SUM(D936:D940)</f>
        <v>65460227.25</v>
      </c>
      <c r="E942" s="72">
        <f t="shared" ref="E942:AB942" si="320">SUM(E936:E940)</f>
        <v>257193</v>
      </c>
      <c r="F942" s="72">
        <f t="shared" si="320"/>
        <v>0</v>
      </c>
      <c r="G942" s="72"/>
      <c r="H942" s="72">
        <f t="shared" si="320"/>
        <v>257193</v>
      </c>
      <c r="I942" s="72">
        <f t="shared" si="320"/>
        <v>0</v>
      </c>
      <c r="J942" s="72">
        <f t="shared" si="320"/>
        <v>0</v>
      </c>
      <c r="K942" s="72">
        <f t="shared" si="320"/>
        <v>0</v>
      </c>
      <c r="L942" s="72">
        <f t="shared" si="320"/>
        <v>0</v>
      </c>
      <c r="M942" s="72"/>
      <c r="N942" s="72">
        <f t="shared" si="320"/>
        <v>257193</v>
      </c>
      <c r="O942" s="72">
        <f t="shared" si="320"/>
        <v>0</v>
      </c>
      <c r="P942" s="72">
        <f t="shared" si="320"/>
        <v>0</v>
      </c>
      <c r="Q942" s="72"/>
      <c r="R942" s="72">
        <f t="shared" si="320"/>
        <v>0</v>
      </c>
      <c r="S942" s="72">
        <f t="shared" si="320"/>
        <v>0</v>
      </c>
      <c r="T942" s="72">
        <f t="shared" si="320"/>
        <v>0</v>
      </c>
      <c r="U942" s="72">
        <f t="shared" si="320"/>
        <v>0</v>
      </c>
      <c r="V942" s="72">
        <f t="shared" si="320"/>
        <v>0</v>
      </c>
      <c r="W942" s="72"/>
      <c r="X942" s="72">
        <f t="shared" si="320"/>
        <v>0</v>
      </c>
      <c r="Y942" s="72">
        <f t="shared" si="320"/>
        <v>257193</v>
      </c>
      <c r="Z942" s="72">
        <f t="shared" si="320"/>
        <v>65203034.25</v>
      </c>
      <c r="AA942" s="72">
        <f t="shared" si="320"/>
        <v>257193</v>
      </c>
      <c r="AB942" s="72">
        <f t="shared" si="320"/>
        <v>65203034.25</v>
      </c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</row>
    <row r="943" spans="1:43" x14ac:dyDescent="0.25">
      <c r="A943" s="46"/>
      <c r="B943" s="26"/>
      <c r="C943" s="4"/>
      <c r="D943" s="70" t="s">
        <v>40</v>
      </c>
      <c r="E943" s="70" t="s">
        <v>40</v>
      </c>
      <c r="F943" s="70" t="s">
        <v>40</v>
      </c>
      <c r="G943" s="70"/>
      <c r="H943" s="70" t="s">
        <v>40</v>
      </c>
      <c r="I943" s="70" t="s">
        <v>40</v>
      </c>
      <c r="J943" s="70" t="s">
        <v>40</v>
      </c>
      <c r="K943" s="70" t="s">
        <v>40</v>
      </c>
      <c r="L943" s="70" t="s">
        <v>40</v>
      </c>
      <c r="M943" s="70"/>
      <c r="N943" s="70" t="s">
        <v>40</v>
      </c>
      <c r="O943" s="70" t="s">
        <v>40</v>
      </c>
      <c r="P943" s="70" t="s">
        <v>40</v>
      </c>
      <c r="Q943" s="70"/>
      <c r="R943" s="70" t="s">
        <v>40</v>
      </c>
      <c r="S943" s="70" t="s">
        <v>40</v>
      </c>
      <c r="T943" s="70" t="s">
        <v>40</v>
      </c>
      <c r="U943" s="70" t="s">
        <v>40</v>
      </c>
      <c r="V943" s="70" t="s">
        <v>40</v>
      </c>
      <c r="W943" s="70"/>
      <c r="X943" s="70" t="s">
        <v>40</v>
      </c>
      <c r="Y943" s="70" t="s">
        <v>40</v>
      </c>
      <c r="Z943" s="70" t="s">
        <v>40</v>
      </c>
      <c r="AA943" s="70" t="s">
        <v>40</v>
      </c>
      <c r="AB943" s="70" t="s">
        <v>40</v>
      </c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</row>
    <row r="944" spans="1:43" x14ac:dyDescent="0.25">
      <c r="A944" s="46">
        <v>104</v>
      </c>
      <c r="B944" s="26" t="s">
        <v>235</v>
      </c>
      <c r="C944" s="2" t="s">
        <v>35</v>
      </c>
      <c r="D944" s="72">
        <v>0</v>
      </c>
      <c r="E944" s="72"/>
      <c r="F944" s="72"/>
      <c r="G944" s="72"/>
      <c r="H944" s="72">
        <f>E944+F944</f>
        <v>0</v>
      </c>
      <c r="I944" s="72"/>
      <c r="J944" s="72"/>
      <c r="K944" s="72"/>
      <c r="L944" s="72"/>
      <c r="M944" s="72"/>
      <c r="N944" s="72">
        <f>H944+L944</f>
        <v>0</v>
      </c>
      <c r="O944" s="72"/>
      <c r="P944" s="72"/>
      <c r="Q944" s="72"/>
      <c r="R944" s="72">
        <f>O944+P944</f>
        <v>0</v>
      </c>
      <c r="S944" s="72"/>
      <c r="T944" s="72"/>
      <c r="U944" s="72"/>
      <c r="V944" s="72"/>
      <c r="W944" s="72"/>
      <c r="X944" s="72">
        <f>R944+V944</f>
        <v>0</v>
      </c>
      <c r="Y944" s="72">
        <f t="shared" ref="Y944:Y949" si="321">R944+H944</f>
        <v>0</v>
      </c>
      <c r="Z944" s="72">
        <f t="shared" ref="Z944:Z949" si="322">D944-Y944</f>
        <v>0</v>
      </c>
      <c r="AA944" s="72">
        <f t="shared" ref="AA944:AA949" si="323">N944+X944</f>
        <v>0</v>
      </c>
      <c r="AB944" s="67">
        <f t="shared" ref="AB944:AB949" si="324">+D944-N944-X944</f>
        <v>0</v>
      </c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</row>
    <row r="945" spans="1:43" x14ac:dyDescent="0.25">
      <c r="A945" s="46"/>
      <c r="B945" s="26"/>
      <c r="C945" s="4" t="s">
        <v>36</v>
      </c>
      <c r="D945" s="72">
        <v>2580531</v>
      </c>
      <c r="E945" s="72">
        <v>2580531</v>
      </c>
      <c r="F945" s="72"/>
      <c r="G945" s="72"/>
      <c r="H945" s="72">
        <f>E945+F945</f>
        <v>2580531</v>
      </c>
      <c r="I945" s="72"/>
      <c r="J945" s="72"/>
      <c r="K945" s="72"/>
      <c r="L945" s="72"/>
      <c r="M945" s="72"/>
      <c r="N945" s="72">
        <f>H945+L945</f>
        <v>2580531</v>
      </c>
      <c r="O945" s="72"/>
      <c r="P945" s="72"/>
      <c r="Q945" s="72"/>
      <c r="R945" s="72">
        <f>O945+P945</f>
        <v>0</v>
      </c>
      <c r="S945" s="72"/>
      <c r="T945" s="72"/>
      <c r="U945" s="72"/>
      <c r="V945" s="72"/>
      <c r="W945" s="72"/>
      <c r="X945" s="72">
        <f>R945+V945</f>
        <v>0</v>
      </c>
      <c r="Y945" s="72">
        <f t="shared" si="321"/>
        <v>2580531</v>
      </c>
      <c r="Z945" s="72">
        <f t="shared" si="322"/>
        <v>0</v>
      </c>
      <c r="AA945" s="72">
        <f t="shared" si="323"/>
        <v>2580531</v>
      </c>
      <c r="AB945" s="67">
        <f t="shared" si="324"/>
        <v>0</v>
      </c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</row>
    <row r="946" spans="1:43" x14ac:dyDescent="0.25">
      <c r="C946" s="4" t="s">
        <v>305</v>
      </c>
      <c r="D946" s="55">
        <v>8725120.4399999995</v>
      </c>
      <c r="E946" s="55">
        <v>8725120.4399999995</v>
      </c>
      <c r="F946" s="55"/>
      <c r="G946" s="55"/>
      <c r="H946" s="55">
        <f>+E946+F946</f>
        <v>8725120.4399999995</v>
      </c>
      <c r="I946" s="55"/>
      <c r="J946" s="55"/>
      <c r="K946" s="55"/>
      <c r="L946" s="55"/>
      <c r="M946" s="55"/>
      <c r="N946" s="55">
        <f>+H946+L946</f>
        <v>8725120.4399999995</v>
      </c>
      <c r="O946" s="55"/>
      <c r="P946" s="55"/>
      <c r="Q946" s="55"/>
      <c r="R946" s="55">
        <f>+O946+P946</f>
        <v>0</v>
      </c>
      <c r="S946" s="55"/>
      <c r="T946" s="55"/>
      <c r="U946" s="55"/>
      <c r="V946" s="55"/>
      <c r="W946" s="55"/>
      <c r="X946" s="55">
        <f>+R946+V946</f>
        <v>0</v>
      </c>
      <c r="Y946" s="72">
        <f t="shared" si="321"/>
        <v>8725120.4399999995</v>
      </c>
      <c r="Z946" s="72">
        <f t="shared" si="322"/>
        <v>0</v>
      </c>
      <c r="AA946" s="72">
        <f t="shared" si="323"/>
        <v>8725120.4399999995</v>
      </c>
      <c r="AB946" s="67">
        <f t="shared" si="324"/>
        <v>0</v>
      </c>
    </row>
    <row r="947" spans="1:43" x14ac:dyDescent="0.25">
      <c r="C947" s="4" t="s">
        <v>290</v>
      </c>
      <c r="D947" s="55">
        <f>5391717.7+4920816.75</f>
        <v>10312534.449999999</v>
      </c>
      <c r="E947" s="55">
        <f>5391717.7+4920816.75</f>
        <v>10312534.449999999</v>
      </c>
      <c r="F947" s="55"/>
      <c r="G947" s="55"/>
      <c r="H947" s="55">
        <f>+E947+F947</f>
        <v>10312534.449999999</v>
      </c>
      <c r="I947" s="55"/>
      <c r="J947" s="55"/>
      <c r="K947" s="55"/>
      <c r="L947" s="55"/>
      <c r="M947" s="55"/>
      <c r="N947" s="55">
        <f>+H947+L947</f>
        <v>10312534.449999999</v>
      </c>
      <c r="O947" s="55"/>
      <c r="P947" s="55"/>
      <c r="Q947" s="55"/>
      <c r="R947" s="55">
        <f>+O947+P947</f>
        <v>0</v>
      </c>
      <c r="S947" s="55"/>
      <c r="T947" s="55"/>
      <c r="U947" s="55"/>
      <c r="V947" s="55"/>
      <c r="W947" s="55"/>
      <c r="X947" s="55">
        <f>+R947+V947</f>
        <v>0</v>
      </c>
      <c r="Y947" s="72">
        <f t="shared" si="321"/>
        <v>10312534.449999999</v>
      </c>
      <c r="Z947" s="72">
        <f t="shared" si="322"/>
        <v>0</v>
      </c>
      <c r="AA947" s="72">
        <f t="shared" si="323"/>
        <v>10312534.449999999</v>
      </c>
      <c r="AB947" s="67">
        <f t="shared" si="324"/>
        <v>0</v>
      </c>
    </row>
    <row r="948" spans="1:43" x14ac:dyDescent="0.25">
      <c r="A948" s="46"/>
      <c r="B948" s="26"/>
      <c r="C948" s="4" t="s">
        <v>53</v>
      </c>
      <c r="D948" s="72">
        <v>230473.52</v>
      </c>
      <c r="E948" s="72"/>
      <c r="F948" s="72"/>
      <c r="G948" s="72"/>
      <c r="H948" s="72">
        <f>E948+F948</f>
        <v>0</v>
      </c>
      <c r="I948" s="72"/>
      <c r="J948" s="72"/>
      <c r="K948" s="72"/>
      <c r="L948" s="72"/>
      <c r="M948" s="72"/>
      <c r="N948" s="72">
        <f>H948+L948</f>
        <v>0</v>
      </c>
      <c r="O948" s="72"/>
      <c r="P948" s="72"/>
      <c r="Q948" s="72"/>
      <c r="R948" s="72">
        <f>O948+P948</f>
        <v>0</v>
      </c>
      <c r="S948" s="72"/>
      <c r="T948" s="72"/>
      <c r="U948" s="72"/>
      <c r="V948" s="72"/>
      <c r="W948" s="72"/>
      <c r="X948" s="72">
        <f>R948+V948</f>
        <v>0</v>
      </c>
      <c r="Y948" s="67">
        <f t="shared" si="321"/>
        <v>0</v>
      </c>
      <c r="Z948" s="72">
        <f t="shared" si="322"/>
        <v>230473.52</v>
      </c>
      <c r="AA948" s="72">
        <f t="shared" si="323"/>
        <v>0</v>
      </c>
      <c r="AB948" s="67">
        <f t="shared" si="324"/>
        <v>230473.52</v>
      </c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</row>
    <row r="949" spans="1:43" x14ac:dyDescent="0.25">
      <c r="A949" s="46"/>
      <c r="B949" s="26"/>
      <c r="C949" s="4" t="s">
        <v>54</v>
      </c>
      <c r="D949" s="72">
        <v>5765922.1600000001</v>
      </c>
      <c r="E949" s="72"/>
      <c r="F949" s="72"/>
      <c r="G949" s="72"/>
      <c r="H949" s="72">
        <f>E949+F949</f>
        <v>0</v>
      </c>
      <c r="I949" s="72"/>
      <c r="J949" s="72"/>
      <c r="K949" s="72"/>
      <c r="L949" s="72"/>
      <c r="M949" s="72"/>
      <c r="N949" s="72">
        <f>H949+L949</f>
        <v>0</v>
      </c>
      <c r="O949" s="72">
        <v>181752.55</v>
      </c>
      <c r="P949" s="72"/>
      <c r="Q949" s="72"/>
      <c r="R949" s="72">
        <f>O949+P949</f>
        <v>181752.55</v>
      </c>
      <c r="S949" s="72"/>
      <c r="T949" s="72"/>
      <c r="U949" s="72"/>
      <c r="V949" s="72"/>
      <c r="W949" s="72"/>
      <c r="X949" s="72">
        <f>R949+V949</f>
        <v>181752.55</v>
      </c>
      <c r="Y949" s="72">
        <f t="shared" si="321"/>
        <v>181752.55</v>
      </c>
      <c r="Z949" s="72">
        <f t="shared" si="322"/>
        <v>5584169.6100000003</v>
      </c>
      <c r="AA949" s="72">
        <f t="shared" si="323"/>
        <v>181752.55</v>
      </c>
      <c r="AB949" s="67">
        <f t="shared" si="324"/>
        <v>5584169.6100000003</v>
      </c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</row>
    <row r="950" spans="1:43" x14ac:dyDescent="0.25">
      <c r="A950" s="46"/>
      <c r="B950" s="26"/>
      <c r="C950" s="4"/>
      <c r="D950" s="70" t="s">
        <v>40</v>
      </c>
      <c r="E950" s="70" t="s">
        <v>40</v>
      </c>
      <c r="F950" s="70" t="s">
        <v>40</v>
      </c>
      <c r="G950" s="70"/>
      <c r="H950" s="70" t="s">
        <v>40</v>
      </c>
      <c r="I950" s="70" t="s">
        <v>40</v>
      </c>
      <c r="J950" s="70" t="s">
        <v>40</v>
      </c>
      <c r="K950" s="70" t="s">
        <v>40</v>
      </c>
      <c r="L950" s="70" t="s">
        <v>40</v>
      </c>
      <c r="M950" s="70"/>
      <c r="N950" s="70" t="s">
        <v>40</v>
      </c>
      <c r="O950" s="70" t="s">
        <v>40</v>
      </c>
      <c r="P950" s="70" t="s">
        <v>40</v>
      </c>
      <c r="Q950" s="70"/>
      <c r="R950" s="70" t="s">
        <v>40</v>
      </c>
      <c r="S950" s="70" t="s">
        <v>40</v>
      </c>
      <c r="T950" s="70" t="s">
        <v>40</v>
      </c>
      <c r="U950" s="70" t="s">
        <v>40</v>
      </c>
      <c r="V950" s="70" t="s">
        <v>40</v>
      </c>
      <c r="W950" s="70"/>
      <c r="X950" s="70" t="s">
        <v>40</v>
      </c>
      <c r="Y950" s="70" t="s">
        <v>40</v>
      </c>
      <c r="Z950" s="70" t="s">
        <v>40</v>
      </c>
      <c r="AA950" s="70" t="s">
        <v>40</v>
      </c>
      <c r="AB950" s="70" t="s">
        <v>40</v>
      </c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</row>
    <row r="951" spans="1:43" x14ac:dyDescent="0.25">
      <c r="A951" s="46"/>
      <c r="B951" s="26"/>
      <c r="C951" s="4"/>
      <c r="D951" s="72">
        <f>SUM(D944:D949)</f>
        <v>27614581.57</v>
      </c>
      <c r="E951" s="72">
        <f>SUM(E944:E949)</f>
        <v>21618185.890000001</v>
      </c>
      <c r="F951" s="72">
        <f>SUM(F944:F949)</f>
        <v>0</v>
      </c>
      <c r="G951" s="72"/>
      <c r="H951" s="72">
        <f>SUM(H944:H949)</f>
        <v>21618185.890000001</v>
      </c>
      <c r="I951" s="72">
        <f>SUM(I944:I949)</f>
        <v>0</v>
      </c>
      <c r="J951" s="72">
        <f>SUM(J944:J949)</f>
        <v>0</v>
      </c>
      <c r="K951" s="72">
        <f>SUM(K944:K949)</f>
        <v>0</v>
      </c>
      <c r="L951" s="72">
        <f>SUM(L944:L949)</f>
        <v>0</v>
      </c>
      <c r="M951" s="72"/>
      <c r="N951" s="72">
        <f>SUM(N944:N949)</f>
        <v>21618185.890000001</v>
      </c>
      <c r="O951" s="72">
        <f>SUM(O944:O949)</f>
        <v>181752.55</v>
      </c>
      <c r="P951" s="72">
        <f>SUM(P944:P949)</f>
        <v>0</v>
      </c>
      <c r="Q951" s="72"/>
      <c r="R951" s="72">
        <f>SUM(R944:R949)</f>
        <v>181752.55</v>
      </c>
      <c r="S951" s="72">
        <f>SUM(S944:S949)</f>
        <v>0</v>
      </c>
      <c r="T951" s="72">
        <f>SUM(T944:T949)</f>
        <v>0</v>
      </c>
      <c r="U951" s="72">
        <f>SUM(U944:U949)</f>
        <v>0</v>
      </c>
      <c r="V951" s="72">
        <f>SUM(V944:V949)</f>
        <v>0</v>
      </c>
      <c r="W951" s="72"/>
      <c r="X951" s="72">
        <f>SUM(X944:X949)</f>
        <v>181752.55</v>
      </c>
      <c r="Y951" s="72">
        <f>SUM(Y944:Y949)</f>
        <v>21799938.440000001</v>
      </c>
      <c r="Z951" s="72">
        <f>SUM(Z944:Z949)</f>
        <v>5814643.1299999999</v>
      </c>
      <c r="AA951" s="72">
        <f>SUM(AA944:AA949)</f>
        <v>21799938.440000001</v>
      </c>
      <c r="AB951" s="72">
        <f>SUM(AB944:AB949)</f>
        <v>5814643.1299999999</v>
      </c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</row>
    <row r="952" spans="1:43" x14ac:dyDescent="0.25">
      <c r="A952" s="46"/>
      <c r="B952" s="26"/>
      <c r="C952" s="4"/>
      <c r="D952" s="70" t="s">
        <v>40</v>
      </c>
      <c r="E952" s="70" t="s">
        <v>40</v>
      </c>
      <c r="F952" s="70" t="s">
        <v>40</v>
      </c>
      <c r="G952" s="70"/>
      <c r="H952" s="70" t="s">
        <v>40</v>
      </c>
      <c r="I952" s="70" t="s">
        <v>40</v>
      </c>
      <c r="J952" s="70" t="s">
        <v>40</v>
      </c>
      <c r="K952" s="70" t="s">
        <v>40</v>
      </c>
      <c r="L952" s="70" t="s">
        <v>40</v>
      </c>
      <c r="M952" s="70"/>
      <c r="N952" s="70" t="s">
        <v>40</v>
      </c>
      <c r="O952" s="70" t="s">
        <v>40</v>
      </c>
      <c r="P952" s="70" t="s">
        <v>40</v>
      </c>
      <c r="Q952" s="70"/>
      <c r="R952" s="70" t="s">
        <v>40</v>
      </c>
      <c r="S952" s="70" t="s">
        <v>40</v>
      </c>
      <c r="T952" s="70" t="s">
        <v>40</v>
      </c>
      <c r="U952" s="70" t="s">
        <v>40</v>
      </c>
      <c r="V952" s="70" t="s">
        <v>40</v>
      </c>
      <c r="W952" s="70"/>
      <c r="X952" s="70" t="s">
        <v>40</v>
      </c>
      <c r="Y952" s="70" t="s">
        <v>40</v>
      </c>
      <c r="Z952" s="70" t="s">
        <v>40</v>
      </c>
      <c r="AA952" s="70" t="s">
        <v>40</v>
      </c>
      <c r="AB952" s="70" t="s">
        <v>40</v>
      </c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</row>
    <row r="953" spans="1:43" x14ac:dyDescent="0.25">
      <c r="A953" s="46">
        <v>105</v>
      </c>
      <c r="B953" s="26" t="s">
        <v>236</v>
      </c>
      <c r="C953" s="2" t="s">
        <v>35</v>
      </c>
      <c r="D953" s="72">
        <f>3530088.26+17292.2</f>
        <v>3547380.46</v>
      </c>
      <c r="E953" s="72"/>
      <c r="F953" s="72"/>
      <c r="G953" s="72"/>
      <c r="H953" s="72">
        <f>E953+F953</f>
        <v>0</v>
      </c>
      <c r="I953" s="72"/>
      <c r="J953" s="72"/>
      <c r="K953" s="72"/>
      <c r="L953" s="72"/>
      <c r="M953" s="72"/>
      <c r="N953" s="72">
        <f>H953+L953</f>
        <v>0</v>
      </c>
      <c r="O953" s="72">
        <f>17292.2+44184.18</f>
        <v>61476.380000000005</v>
      </c>
      <c r="P953" s="72">
        <v>-44184.18</v>
      </c>
      <c r="Q953" s="72"/>
      <c r="R953" s="72">
        <f>O953+P953</f>
        <v>17292.200000000004</v>
      </c>
      <c r="S953" s="72"/>
      <c r="T953" s="72"/>
      <c r="U953" s="72"/>
      <c r="V953" s="72">
        <v>0</v>
      </c>
      <c r="W953" s="72"/>
      <c r="X953" s="72">
        <f>R953+V953</f>
        <v>17292.200000000004</v>
      </c>
      <c r="Y953" s="72">
        <f>R953+H953</f>
        <v>17292.200000000004</v>
      </c>
      <c r="Z953" s="72">
        <f>D953-Y953</f>
        <v>3530088.26</v>
      </c>
      <c r="AA953" s="72">
        <f>N953+X953</f>
        <v>17292.200000000004</v>
      </c>
      <c r="AB953" s="67">
        <f>+D953-N953-X953</f>
        <v>3530088.26</v>
      </c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</row>
    <row r="954" spans="1:43" x14ac:dyDescent="0.25">
      <c r="A954" s="46"/>
      <c r="B954" s="26"/>
      <c r="C954" s="4" t="s">
        <v>36</v>
      </c>
      <c r="D954" s="72">
        <v>125000</v>
      </c>
      <c r="E954" s="72">
        <v>125000</v>
      </c>
      <c r="F954" s="72"/>
      <c r="G954" s="72"/>
      <c r="H954" s="72">
        <f>E954+F954</f>
        <v>125000</v>
      </c>
      <c r="I954" s="72"/>
      <c r="J954" s="72"/>
      <c r="K954" s="72"/>
      <c r="L954" s="72"/>
      <c r="M954" s="72"/>
      <c r="N954" s="72">
        <f>+H954+L954</f>
        <v>125000</v>
      </c>
      <c r="O954" s="72"/>
      <c r="P954" s="72"/>
      <c r="Q954" s="72"/>
      <c r="R954" s="72">
        <f>O954+P954</f>
        <v>0</v>
      </c>
      <c r="S954" s="72"/>
      <c r="T954" s="72"/>
      <c r="U954" s="72"/>
      <c r="V954" s="72"/>
      <c r="W954" s="72"/>
      <c r="X954" s="72">
        <f>R954+V954</f>
        <v>0</v>
      </c>
      <c r="Y954" s="72">
        <f>R954+H954</f>
        <v>125000</v>
      </c>
      <c r="Z954" s="72">
        <f>D954-Y954</f>
        <v>0</v>
      </c>
      <c r="AA954" s="72">
        <f>N954+X954</f>
        <v>125000</v>
      </c>
      <c r="AB954" s="67">
        <f>+D954-N954-X954</f>
        <v>0</v>
      </c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</row>
    <row r="955" spans="1:43" x14ac:dyDescent="0.25">
      <c r="A955" s="46"/>
      <c r="B955" s="26"/>
      <c r="C955" s="4"/>
      <c r="D955" s="70" t="s">
        <v>40</v>
      </c>
      <c r="E955" s="70" t="s">
        <v>40</v>
      </c>
      <c r="F955" s="70" t="s">
        <v>40</v>
      </c>
      <c r="G955" s="70"/>
      <c r="H955" s="70" t="s">
        <v>40</v>
      </c>
      <c r="I955" s="70" t="s">
        <v>40</v>
      </c>
      <c r="J955" s="70" t="s">
        <v>40</v>
      </c>
      <c r="K955" s="70" t="s">
        <v>40</v>
      </c>
      <c r="L955" s="70" t="s">
        <v>40</v>
      </c>
      <c r="M955" s="70"/>
      <c r="N955" s="70" t="s">
        <v>40</v>
      </c>
      <c r="O955" s="70" t="s">
        <v>40</v>
      </c>
      <c r="P955" s="70" t="s">
        <v>40</v>
      </c>
      <c r="Q955" s="70"/>
      <c r="R955" s="70" t="s">
        <v>40</v>
      </c>
      <c r="S955" s="70" t="s">
        <v>40</v>
      </c>
      <c r="T955" s="70" t="s">
        <v>40</v>
      </c>
      <c r="U955" s="70" t="s">
        <v>40</v>
      </c>
      <c r="V955" s="70" t="s">
        <v>40</v>
      </c>
      <c r="W955" s="70"/>
      <c r="X955" s="70" t="s">
        <v>40</v>
      </c>
      <c r="Y955" s="70" t="s">
        <v>40</v>
      </c>
      <c r="Z955" s="70" t="s">
        <v>40</v>
      </c>
      <c r="AA955" s="70" t="s">
        <v>40</v>
      </c>
      <c r="AB955" s="70" t="s">
        <v>40</v>
      </c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</row>
    <row r="956" spans="1:43" x14ac:dyDescent="0.25">
      <c r="A956" s="46"/>
      <c r="B956" s="26"/>
      <c r="C956" s="4"/>
      <c r="D956" s="72">
        <f>SUM(D953:D954)</f>
        <v>3672380.46</v>
      </c>
      <c r="E956" s="72">
        <f t="shared" ref="E956:AB956" si="325">SUM(E953:E954)</f>
        <v>125000</v>
      </c>
      <c r="F956" s="72">
        <f t="shared" si="325"/>
        <v>0</v>
      </c>
      <c r="G956" s="72"/>
      <c r="H956" s="72">
        <f t="shared" si="325"/>
        <v>125000</v>
      </c>
      <c r="I956" s="72">
        <f t="shared" si="325"/>
        <v>0</v>
      </c>
      <c r="J956" s="72">
        <f t="shared" si="325"/>
        <v>0</v>
      </c>
      <c r="K956" s="72">
        <f t="shared" si="325"/>
        <v>0</v>
      </c>
      <c r="L956" s="72">
        <f t="shared" si="325"/>
        <v>0</v>
      </c>
      <c r="M956" s="72"/>
      <c r="N956" s="72">
        <f t="shared" si="325"/>
        <v>125000</v>
      </c>
      <c r="O956" s="72">
        <f t="shared" si="325"/>
        <v>61476.380000000005</v>
      </c>
      <c r="P956" s="72">
        <f t="shared" si="325"/>
        <v>-44184.18</v>
      </c>
      <c r="Q956" s="72"/>
      <c r="R956" s="72">
        <f t="shared" si="325"/>
        <v>17292.200000000004</v>
      </c>
      <c r="S956" s="72">
        <f t="shared" si="325"/>
        <v>0</v>
      </c>
      <c r="T956" s="72">
        <f t="shared" si="325"/>
        <v>0</v>
      </c>
      <c r="U956" s="72">
        <f t="shared" si="325"/>
        <v>0</v>
      </c>
      <c r="V956" s="72">
        <f t="shared" si="325"/>
        <v>0</v>
      </c>
      <c r="W956" s="72"/>
      <c r="X956" s="72">
        <f t="shared" si="325"/>
        <v>17292.200000000004</v>
      </c>
      <c r="Y956" s="72">
        <f t="shared" si="325"/>
        <v>142292.20000000001</v>
      </c>
      <c r="Z956" s="72">
        <f t="shared" si="325"/>
        <v>3530088.26</v>
      </c>
      <c r="AA956" s="72">
        <f t="shared" si="325"/>
        <v>142292.20000000001</v>
      </c>
      <c r="AB956" s="72">
        <f t="shared" si="325"/>
        <v>3530088.26</v>
      </c>
      <c r="AD956" s="94"/>
      <c r="AE956" s="94"/>
      <c r="AF956" s="94"/>
      <c r="AG956" s="94"/>
      <c r="AH956" s="94"/>
      <c r="AI956" s="94"/>
      <c r="AJ956" s="94"/>
      <c r="AK956" s="94"/>
      <c r="AL956" s="94"/>
      <c r="AM956" s="94"/>
      <c r="AN956" s="94"/>
      <c r="AO956" s="94"/>
      <c r="AP956" s="94"/>
      <c r="AQ956" s="94"/>
    </row>
    <row r="957" spans="1:43" x14ac:dyDescent="0.25">
      <c r="A957" s="46"/>
      <c r="B957" s="26" t="str">
        <f>+B953</f>
        <v>SIARGAO IS.</v>
      </c>
      <c r="C957" s="4"/>
      <c r="D957" s="70" t="s">
        <v>40</v>
      </c>
      <c r="E957" s="70" t="s">
        <v>40</v>
      </c>
      <c r="F957" s="70" t="s">
        <v>40</v>
      </c>
      <c r="G957" s="70"/>
      <c r="H957" s="70" t="s">
        <v>40</v>
      </c>
      <c r="I957" s="70" t="s">
        <v>40</v>
      </c>
      <c r="J957" s="70" t="s">
        <v>40</v>
      </c>
      <c r="K957" s="70" t="s">
        <v>40</v>
      </c>
      <c r="L957" s="70" t="s">
        <v>40</v>
      </c>
      <c r="M957" s="70"/>
      <c r="N957" s="70" t="s">
        <v>40</v>
      </c>
      <c r="O957" s="70" t="s">
        <v>40</v>
      </c>
      <c r="P957" s="70" t="s">
        <v>40</v>
      </c>
      <c r="Q957" s="70"/>
      <c r="R957" s="70" t="s">
        <v>40</v>
      </c>
      <c r="S957" s="70" t="s">
        <v>40</v>
      </c>
      <c r="T957" s="70" t="s">
        <v>40</v>
      </c>
      <c r="U957" s="70" t="s">
        <v>40</v>
      </c>
      <c r="V957" s="70" t="s">
        <v>40</v>
      </c>
      <c r="W957" s="70"/>
      <c r="X957" s="70" t="s">
        <v>40</v>
      </c>
      <c r="Y957" s="70" t="s">
        <v>40</v>
      </c>
      <c r="Z957" s="70" t="s">
        <v>40</v>
      </c>
      <c r="AA957" s="70" t="s">
        <v>40</v>
      </c>
      <c r="AB957" s="70" t="s">
        <v>40</v>
      </c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  <c r="AN957" s="94"/>
      <c r="AO957" s="94"/>
      <c r="AP957" s="94"/>
      <c r="AQ957" s="94"/>
    </row>
    <row r="958" spans="1:43" ht="16.5" thickBot="1" x14ac:dyDescent="0.3">
      <c r="B958" s="112" t="s">
        <v>292</v>
      </c>
      <c r="D958" s="87">
        <v>44184.18</v>
      </c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87">
        <v>44184.18</v>
      </c>
      <c r="Q958" s="55"/>
      <c r="R958" s="87">
        <f>+O958+P958</f>
        <v>44184.18</v>
      </c>
      <c r="S958" s="55"/>
      <c r="T958" s="55"/>
      <c r="U958" s="55"/>
      <c r="V958" s="55"/>
      <c r="W958" s="55"/>
      <c r="X958" s="55"/>
      <c r="Y958" s="55"/>
      <c r="Z958" s="55"/>
      <c r="AA958" s="55"/>
      <c r="AB958" s="55"/>
    </row>
    <row r="959" spans="1:43" ht="16.5" thickTop="1" x14ac:dyDescent="0.25"/>
    <row r="960" spans="1:43" x14ac:dyDescent="0.25">
      <c r="A960" s="46" t="s">
        <v>339</v>
      </c>
      <c r="B960" s="26" t="s">
        <v>237</v>
      </c>
      <c r="C960" s="2" t="s">
        <v>35</v>
      </c>
      <c r="D960" s="72">
        <v>36253064.479999997</v>
      </c>
      <c r="E960" s="72"/>
      <c r="F960" s="72"/>
      <c r="G960" s="72"/>
      <c r="H960" s="72">
        <f>E960+F960</f>
        <v>0</v>
      </c>
      <c r="I960" s="72"/>
      <c r="J960" s="72"/>
      <c r="K960" s="72"/>
      <c r="L960" s="72"/>
      <c r="M960" s="72"/>
      <c r="N960" s="72">
        <f>H960+L960</f>
        <v>0</v>
      </c>
      <c r="O960" s="72">
        <f>518265+47416.03</f>
        <v>565681.03</v>
      </c>
      <c r="P960" s="72">
        <v>-29303.8</v>
      </c>
      <c r="Q960" s="72"/>
      <c r="R960" s="72">
        <f>O960+P960</f>
        <v>536377.23</v>
      </c>
      <c r="S960" s="72"/>
      <c r="T960" s="72"/>
      <c r="U960" s="72"/>
      <c r="V960" s="72"/>
      <c r="W960" s="72"/>
      <c r="X960" s="72">
        <f>R960+V960</f>
        <v>536377.23</v>
      </c>
      <c r="Y960" s="72">
        <f>R960+H960</f>
        <v>536377.23</v>
      </c>
      <c r="Z960" s="72">
        <f>D960-Y960</f>
        <v>35716687.25</v>
      </c>
      <c r="AA960" s="72">
        <f>N960+X960</f>
        <v>536377.23</v>
      </c>
      <c r="AB960" s="72">
        <f>D960-AA960</f>
        <v>35716687.25</v>
      </c>
      <c r="AD960" s="94"/>
      <c r="AE960" s="94"/>
      <c r="AF960" s="94"/>
      <c r="AG960" s="94"/>
      <c r="AH960" s="94"/>
      <c r="AI960" s="94"/>
      <c r="AJ960" s="94"/>
      <c r="AK960" s="94"/>
      <c r="AL960" s="94"/>
      <c r="AM960" s="94"/>
      <c r="AN960" s="94"/>
      <c r="AO960" s="94"/>
      <c r="AP960" s="94"/>
      <c r="AQ960" s="94"/>
    </row>
    <row r="961" spans="1:43" x14ac:dyDescent="0.25">
      <c r="D961" s="70" t="s">
        <v>40</v>
      </c>
      <c r="E961" s="70" t="s">
        <v>40</v>
      </c>
      <c r="F961" s="70" t="s">
        <v>40</v>
      </c>
      <c r="G961" s="70"/>
      <c r="H961" s="70" t="s">
        <v>40</v>
      </c>
      <c r="I961" s="70" t="s">
        <v>40</v>
      </c>
      <c r="J961" s="70" t="s">
        <v>40</v>
      </c>
      <c r="K961" s="70" t="s">
        <v>40</v>
      </c>
      <c r="L961" s="70" t="s">
        <v>40</v>
      </c>
      <c r="M961" s="70"/>
      <c r="N961" s="70" t="s">
        <v>40</v>
      </c>
      <c r="O961" s="70" t="s">
        <v>40</v>
      </c>
      <c r="P961" s="70" t="s">
        <v>40</v>
      </c>
      <c r="Q961" s="70"/>
      <c r="R961" s="70" t="s">
        <v>40</v>
      </c>
      <c r="S961" s="70" t="s">
        <v>40</v>
      </c>
      <c r="T961" s="70" t="s">
        <v>40</v>
      </c>
      <c r="U961" s="70" t="s">
        <v>40</v>
      </c>
      <c r="V961" s="70" t="s">
        <v>40</v>
      </c>
      <c r="W961" s="70"/>
      <c r="X961" s="70" t="s">
        <v>40</v>
      </c>
      <c r="Y961" s="70" t="s">
        <v>40</v>
      </c>
      <c r="Z961" s="70" t="s">
        <v>40</v>
      </c>
      <c r="AA961" s="70" t="s">
        <v>40</v>
      </c>
      <c r="AB961" s="70" t="s">
        <v>40</v>
      </c>
    </row>
    <row r="962" spans="1:43" ht="16.5" thickBot="1" x14ac:dyDescent="0.3">
      <c r="A962" s="46"/>
      <c r="B962" s="112" t="s">
        <v>292</v>
      </c>
      <c r="C962" s="4"/>
      <c r="D962" s="87">
        <v>29303.8</v>
      </c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113">
        <v>29303.8</v>
      </c>
      <c r="Q962" s="55"/>
      <c r="R962" s="87">
        <f>+O962+P962</f>
        <v>29303.8</v>
      </c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D962" s="94"/>
      <c r="AE962" s="94"/>
      <c r="AF962" s="94"/>
      <c r="AG962" s="94"/>
      <c r="AH962" s="94"/>
      <c r="AI962" s="94"/>
      <c r="AJ962" s="94"/>
      <c r="AK962" s="94"/>
      <c r="AL962" s="94"/>
      <c r="AM962" s="94"/>
      <c r="AN962" s="94"/>
      <c r="AO962" s="94"/>
      <c r="AP962" s="94"/>
      <c r="AQ962" s="94"/>
    </row>
    <row r="963" spans="1:43" ht="16.5" thickTop="1" x14ac:dyDescent="0.25">
      <c r="A963" s="46">
        <v>107</v>
      </c>
      <c r="B963" s="26" t="s">
        <v>238</v>
      </c>
      <c r="C963" s="2" t="s">
        <v>35</v>
      </c>
      <c r="D963" s="72">
        <v>19170486.940000001</v>
      </c>
      <c r="E963" s="72">
        <v>4000000</v>
      </c>
      <c r="F963" s="72"/>
      <c r="G963" s="72"/>
      <c r="H963" s="72">
        <f>E963+F963</f>
        <v>4000000</v>
      </c>
      <c r="I963" s="72"/>
      <c r="J963" s="72"/>
      <c r="K963" s="72"/>
      <c r="L963" s="72"/>
      <c r="M963" s="72"/>
      <c r="N963" s="72">
        <f>H963+L963</f>
        <v>4000000</v>
      </c>
      <c r="O963" s="72"/>
      <c r="P963" s="72"/>
      <c r="Q963" s="72"/>
      <c r="R963" s="72">
        <f>O963+P963</f>
        <v>0</v>
      </c>
      <c r="S963" s="72"/>
      <c r="T963" s="72"/>
      <c r="U963" s="72"/>
      <c r="V963" s="72"/>
      <c r="W963" s="72"/>
      <c r="X963" s="72">
        <f>R963+V963</f>
        <v>0</v>
      </c>
      <c r="Y963" s="72">
        <f>R963+H963</f>
        <v>4000000</v>
      </c>
      <c r="Z963" s="72">
        <f>D963-Y963</f>
        <v>15170486.940000001</v>
      </c>
      <c r="AA963" s="72">
        <f>N963+X963</f>
        <v>4000000</v>
      </c>
      <c r="AB963" s="67">
        <f>+D963-N963-X963</f>
        <v>15170486.940000001</v>
      </c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  <c r="AN963" s="94"/>
      <c r="AO963" s="94"/>
      <c r="AP963" s="94"/>
      <c r="AQ963" s="94"/>
    </row>
    <row r="964" spans="1:43" x14ac:dyDescent="0.25">
      <c r="A964" s="46"/>
      <c r="B964" s="26"/>
      <c r="C964" s="4" t="s">
        <v>36</v>
      </c>
      <c r="D964" s="72">
        <v>2217196.52</v>
      </c>
      <c r="E964" s="72">
        <v>2217196.52</v>
      </c>
      <c r="F964" s="72"/>
      <c r="G964" s="72"/>
      <c r="H964" s="72">
        <f>E964+F964</f>
        <v>2217196.52</v>
      </c>
      <c r="I964" s="72"/>
      <c r="J964" s="72"/>
      <c r="K964" s="72"/>
      <c r="L964" s="72"/>
      <c r="M964" s="72"/>
      <c r="N964" s="72">
        <f>H964+L964</f>
        <v>2217196.52</v>
      </c>
      <c r="O964" s="72"/>
      <c r="P964" s="72"/>
      <c r="Q964" s="72"/>
      <c r="R964" s="72">
        <f>O964+P964</f>
        <v>0</v>
      </c>
      <c r="S964" s="72"/>
      <c r="T964" s="72"/>
      <c r="U964" s="72"/>
      <c r="V964" s="72"/>
      <c r="W964" s="72"/>
      <c r="X964" s="72">
        <f>R964+V964</f>
        <v>0</v>
      </c>
      <c r="Y964" s="72">
        <f>R964+H964</f>
        <v>2217196.52</v>
      </c>
      <c r="Z964" s="72">
        <f>D964-Y964</f>
        <v>0</v>
      </c>
      <c r="AA964" s="72">
        <f>N964+X964</f>
        <v>2217196.52</v>
      </c>
      <c r="AB964" s="67">
        <f>+D964-N964-X964</f>
        <v>0</v>
      </c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  <c r="AN964" s="94"/>
      <c r="AO964" s="94"/>
      <c r="AP964" s="94"/>
      <c r="AQ964" s="94"/>
    </row>
    <row r="965" spans="1:43" x14ac:dyDescent="0.25">
      <c r="A965" s="46"/>
      <c r="B965" s="26"/>
      <c r="C965" s="4" t="s">
        <v>53</v>
      </c>
      <c r="D965" s="72">
        <v>3593720.28</v>
      </c>
      <c r="E965" s="72"/>
      <c r="F965" s="72"/>
      <c r="G965" s="72"/>
      <c r="H965" s="72">
        <f>E965+F965</f>
        <v>0</v>
      </c>
      <c r="I965" s="72"/>
      <c r="J965" s="72"/>
      <c r="K965" s="72"/>
      <c r="L965" s="72"/>
      <c r="M965" s="72"/>
      <c r="N965" s="72">
        <f>H965+L965</f>
        <v>0</v>
      </c>
      <c r="O965" s="72">
        <f>3540831.06+52889.22</f>
        <v>3593720.2800000003</v>
      </c>
      <c r="P965" s="72"/>
      <c r="Q965" s="72"/>
      <c r="R965" s="72">
        <f>O965+P965</f>
        <v>3593720.2800000003</v>
      </c>
      <c r="S965" s="72"/>
      <c r="T965" s="72"/>
      <c r="U965" s="72"/>
      <c r="V965" s="72"/>
      <c r="W965" s="72"/>
      <c r="X965" s="72">
        <f>R965+V965</f>
        <v>3593720.2800000003</v>
      </c>
      <c r="Y965" s="72">
        <f>R965+H965</f>
        <v>3593720.2800000003</v>
      </c>
      <c r="Z965" s="72">
        <f>D965-Y965</f>
        <v>0</v>
      </c>
      <c r="AA965" s="72">
        <f>N965+X965</f>
        <v>3593720.2800000003</v>
      </c>
      <c r="AB965" s="67">
        <f>+D965-N965-X965</f>
        <v>0</v>
      </c>
      <c r="AD965" s="94"/>
      <c r="AE965" s="94"/>
      <c r="AF965" s="94"/>
      <c r="AG965" s="94"/>
      <c r="AH965" s="94"/>
      <c r="AI965" s="94"/>
      <c r="AJ965" s="94"/>
      <c r="AK965" s="94"/>
      <c r="AL965" s="94"/>
      <c r="AM965" s="94"/>
      <c r="AN965" s="94"/>
      <c r="AO965" s="94"/>
      <c r="AP965" s="94"/>
      <c r="AQ965" s="94"/>
    </row>
    <row r="966" spans="1:43" x14ac:dyDescent="0.25">
      <c r="A966" s="46"/>
      <c r="B966" s="26"/>
      <c r="C966" s="4" t="s">
        <v>54</v>
      </c>
      <c r="D966" s="72">
        <f>437191.83+9755541.71</f>
        <v>10192733.540000001</v>
      </c>
      <c r="E966" s="72"/>
      <c r="F966" s="72"/>
      <c r="G966" s="72"/>
      <c r="H966" s="72">
        <f>E966+F966</f>
        <v>0</v>
      </c>
      <c r="I966" s="72"/>
      <c r="J966" s="72"/>
      <c r="K966" s="72"/>
      <c r="L966" s="72"/>
      <c r="M966" s="72"/>
      <c r="N966" s="72">
        <f>H966+L966</f>
        <v>0</v>
      </c>
      <c r="O966" s="72">
        <v>10192733.539999999</v>
      </c>
      <c r="P966" s="72"/>
      <c r="Q966" s="72"/>
      <c r="R966" s="72">
        <f>O966+P966</f>
        <v>10192733.539999999</v>
      </c>
      <c r="S966" s="72"/>
      <c r="T966" s="72"/>
      <c r="U966" s="72"/>
      <c r="V966" s="72"/>
      <c r="W966" s="72"/>
      <c r="X966" s="72">
        <f>R966+V966</f>
        <v>10192733.539999999</v>
      </c>
      <c r="Y966" s="72">
        <f>R966+H966</f>
        <v>10192733.539999999</v>
      </c>
      <c r="Z966" s="72">
        <f>D966-Y966</f>
        <v>0</v>
      </c>
      <c r="AA966" s="72">
        <f>N966+X966</f>
        <v>10192733.539999999</v>
      </c>
      <c r="AB966" s="67">
        <f>+D966-N966-X966</f>
        <v>0</v>
      </c>
      <c r="AD966" s="94"/>
      <c r="AE966" s="94"/>
      <c r="AF966" s="94"/>
      <c r="AG966" s="94"/>
      <c r="AH966" s="94"/>
      <c r="AI966" s="94"/>
      <c r="AJ966" s="94"/>
      <c r="AK966" s="94"/>
      <c r="AL966" s="94"/>
      <c r="AM966" s="94"/>
      <c r="AN966" s="94"/>
      <c r="AO966" s="94"/>
      <c r="AP966" s="94"/>
      <c r="AQ966" s="94"/>
    </row>
    <row r="967" spans="1:43" x14ac:dyDescent="0.25">
      <c r="A967" s="46"/>
      <c r="B967" s="26"/>
      <c r="C967" s="4"/>
      <c r="D967" s="70" t="s">
        <v>40</v>
      </c>
      <c r="E967" s="70" t="s">
        <v>40</v>
      </c>
      <c r="F967" s="70" t="s">
        <v>40</v>
      </c>
      <c r="G967" s="70"/>
      <c r="H967" s="70" t="s">
        <v>40</v>
      </c>
      <c r="I967" s="70" t="s">
        <v>40</v>
      </c>
      <c r="J967" s="70" t="s">
        <v>40</v>
      </c>
      <c r="K967" s="70" t="s">
        <v>40</v>
      </c>
      <c r="L967" s="70" t="s">
        <v>40</v>
      </c>
      <c r="M967" s="70"/>
      <c r="N967" s="70" t="s">
        <v>40</v>
      </c>
      <c r="O967" s="70" t="s">
        <v>40</v>
      </c>
      <c r="P967" s="70" t="s">
        <v>40</v>
      </c>
      <c r="Q967" s="70"/>
      <c r="R967" s="70" t="s">
        <v>40</v>
      </c>
      <c r="S967" s="70" t="s">
        <v>40</v>
      </c>
      <c r="T967" s="70" t="s">
        <v>40</v>
      </c>
      <c r="U967" s="70" t="s">
        <v>40</v>
      </c>
      <c r="V967" s="70" t="s">
        <v>40</v>
      </c>
      <c r="W967" s="70"/>
      <c r="X967" s="70" t="s">
        <v>40</v>
      </c>
      <c r="Y967" s="70" t="s">
        <v>40</v>
      </c>
      <c r="Z967" s="70" t="s">
        <v>40</v>
      </c>
      <c r="AA967" s="70" t="s">
        <v>40</v>
      </c>
      <c r="AB967" s="70" t="s">
        <v>40</v>
      </c>
      <c r="AC967" s="124" t="s">
        <v>323</v>
      </c>
      <c r="AD967" s="94">
        <f>+D947</f>
        <v>10312534.449999999</v>
      </c>
      <c r="AE967" s="94">
        <f>+E947</f>
        <v>10312534.449999999</v>
      </c>
      <c r="AF967" s="94">
        <f>+F947</f>
        <v>0</v>
      </c>
      <c r="AG967" s="94">
        <f>+AE967+AF967</f>
        <v>10312534.449999999</v>
      </c>
      <c r="AH967" s="94">
        <f>+L947</f>
        <v>0</v>
      </c>
      <c r="AI967" s="94">
        <f>+AG967+AH967</f>
        <v>10312534.449999999</v>
      </c>
      <c r="AJ967" s="94">
        <f>+O947</f>
        <v>0</v>
      </c>
      <c r="AK967" s="94">
        <f>+P947</f>
        <v>0</v>
      </c>
      <c r="AL967" s="94">
        <f>+AJ967+AK967</f>
        <v>0</v>
      </c>
      <c r="AM967" s="94">
        <f>+V947</f>
        <v>0</v>
      </c>
      <c r="AN967" s="94">
        <f>+AL967+AM967</f>
        <v>0</v>
      </c>
      <c r="AO967" s="94">
        <f>+AG967+AL967</f>
        <v>10312534.449999999</v>
      </c>
      <c r="AP967" s="94">
        <f>+AD967-AO967</f>
        <v>0</v>
      </c>
      <c r="AQ967" s="94">
        <f>+AD967-AI967-AN967</f>
        <v>0</v>
      </c>
    </row>
    <row r="968" spans="1:43" x14ac:dyDescent="0.25">
      <c r="A968" s="46"/>
      <c r="B968" s="26"/>
      <c r="C968" s="4"/>
      <c r="D968" s="72">
        <f>SUM(D963:D966)</f>
        <v>35174137.280000001</v>
      </c>
      <c r="E968" s="72">
        <f t="shared" ref="E968:AB968" si="326">SUM(E963:E966)</f>
        <v>6217196.5199999996</v>
      </c>
      <c r="F968" s="72">
        <f t="shared" si="326"/>
        <v>0</v>
      </c>
      <c r="G968" s="72"/>
      <c r="H968" s="72">
        <f t="shared" si="326"/>
        <v>6217196.5199999996</v>
      </c>
      <c r="I968" s="72">
        <f t="shared" si="326"/>
        <v>0</v>
      </c>
      <c r="J968" s="72">
        <f t="shared" si="326"/>
        <v>0</v>
      </c>
      <c r="K968" s="72">
        <f t="shared" si="326"/>
        <v>0</v>
      </c>
      <c r="L968" s="72">
        <f t="shared" si="326"/>
        <v>0</v>
      </c>
      <c r="M968" s="72"/>
      <c r="N968" s="72">
        <f t="shared" si="326"/>
        <v>6217196.5199999996</v>
      </c>
      <c r="O968" s="72">
        <f t="shared" si="326"/>
        <v>13786453.82</v>
      </c>
      <c r="P968" s="72">
        <f t="shared" si="326"/>
        <v>0</v>
      </c>
      <c r="Q968" s="72"/>
      <c r="R968" s="72">
        <f t="shared" si="326"/>
        <v>13786453.82</v>
      </c>
      <c r="S968" s="72">
        <f t="shared" si="326"/>
        <v>0</v>
      </c>
      <c r="T968" s="72">
        <f t="shared" si="326"/>
        <v>0</v>
      </c>
      <c r="U968" s="72">
        <f t="shared" si="326"/>
        <v>0</v>
      </c>
      <c r="V968" s="72">
        <f t="shared" si="326"/>
        <v>0</v>
      </c>
      <c r="W968" s="72"/>
      <c r="X968" s="72">
        <f t="shared" si="326"/>
        <v>13786453.82</v>
      </c>
      <c r="Y968" s="72">
        <f t="shared" si="326"/>
        <v>20003650.34</v>
      </c>
      <c r="Z968" s="72">
        <f t="shared" si="326"/>
        <v>15170486.940000001</v>
      </c>
      <c r="AA968" s="72">
        <f t="shared" si="326"/>
        <v>20003650.34</v>
      </c>
      <c r="AB968" s="72">
        <f t="shared" si="326"/>
        <v>15170486.940000001</v>
      </c>
      <c r="AC968" t="s">
        <v>313</v>
      </c>
      <c r="AD968" s="124">
        <f>+D946</f>
        <v>8725120.4399999995</v>
      </c>
      <c r="AE968">
        <f>+E946</f>
        <v>8725120.4399999995</v>
      </c>
      <c r="AF968">
        <f>+F946</f>
        <v>0</v>
      </c>
      <c r="AG968" s="94">
        <f>+AE968+AF968</f>
        <v>8725120.4399999995</v>
      </c>
      <c r="AH968" s="94">
        <f>+L946</f>
        <v>0</v>
      </c>
      <c r="AI968" s="94">
        <f>+AG968+AH968</f>
        <v>8725120.4399999995</v>
      </c>
      <c r="AJ968" s="94">
        <f>+O946</f>
        <v>0</v>
      </c>
      <c r="AK968" s="94">
        <f>+P946</f>
        <v>0</v>
      </c>
      <c r="AL968" s="94">
        <f>+AJ968+AK968</f>
        <v>0</v>
      </c>
      <c r="AM968" s="94">
        <f>+V946</f>
        <v>0</v>
      </c>
      <c r="AN968" s="94">
        <f>+AL968+AM968</f>
        <v>0</v>
      </c>
      <c r="AO968" s="94">
        <f t="shared" ref="AO968:AO976" si="327">+AG968+AL968</f>
        <v>8725120.4399999995</v>
      </c>
      <c r="AP968" s="94">
        <f>+AD968-AO968</f>
        <v>0</v>
      </c>
      <c r="AQ968" s="94">
        <f>+AD968-AI968-AN968</f>
        <v>0</v>
      </c>
    </row>
    <row r="969" spans="1:43" x14ac:dyDescent="0.25">
      <c r="A969" s="46"/>
      <c r="B969" s="26"/>
      <c r="C969" s="4"/>
      <c r="D969" s="70" t="s">
        <v>40</v>
      </c>
      <c r="E969" s="70" t="s">
        <v>40</v>
      </c>
      <c r="F969" s="70" t="s">
        <v>40</v>
      </c>
      <c r="G969" s="70"/>
      <c r="H969" s="70" t="s">
        <v>40</v>
      </c>
      <c r="I969" s="70" t="s">
        <v>40</v>
      </c>
      <c r="J969" s="70" t="s">
        <v>40</v>
      </c>
      <c r="K969" s="70" t="s">
        <v>40</v>
      </c>
      <c r="L969" s="70" t="s">
        <v>40</v>
      </c>
      <c r="M969" s="70"/>
      <c r="N969" s="70" t="s">
        <v>40</v>
      </c>
      <c r="O969" s="70" t="s">
        <v>40</v>
      </c>
      <c r="P969" s="70" t="s">
        <v>40</v>
      </c>
      <c r="Q969" s="70"/>
      <c r="R969" s="70" t="s">
        <v>40</v>
      </c>
      <c r="S969" s="70" t="s">
        <v>40</v>
      </c>
      <c r="T969" s="70" t="s">
        <v>40</v>
      </c>
      <c r="U969" s="70" t="s">
        <v>40</v>
      </c>
      <c r="V969" s="70" t="s">
        <v>40</v>
      </c>
      <c r="W969" s="70"/>
      <c r="X969" s="70" t="s">
        <v>40</v>
      </c>
      <c r="Y969" s="70" t="s">
        <v>40</v>
      </c>
      <c r="Z969" s="70" t="s">
        <v>40</v>
      </c>
      <c r="AA969" s="70" t="s">
        <v>40</v>
      </c>
      <c r="AB969" s="70" t="s">
        <v>40</v>
      </c>
      <c r="AC969" s="49" t="s">
        <v>47</v>
      </c>
      <c r="AD969" s="94">
        <f>D930+D936+D944+D953+D960+D963+D970</f>
        <v>187477906.5</v>
      </c>
      <c r="AE969" s="94">
        <f>E930+E936+E944+E953+E960+E963+E970</f>
        <v>4000000</v>
      </c>
      <c r="AF969" s="94">
        <f>F930+F936+F944+F953+F960+F963+F970</f>
        <v>0</v>
      </c>
      <c r="AG969" s="94">
        <f>+AE969+AF969</f>
        <v>4000000</v>
      </c>
      <c r="AH969" s="94">
        <f>L930+L936+L944+L953+L960+L963+L970</f>
        <v>0</v>
      </c>
      <c r="AI969" s="94">
        <f>+AG969+AH969</f>
        <v>4000000</v>
      </c>
      <c r="AJ969" s="94">
        <f>O930+O936+O944+O953+O960+O963+O970</f>
        <v>1050378.3900000001</v>
      </c>
      <c r="AK969" s="94">
        <f>P930+P936+P944+P953+P960+P963+P970</f>
        <v>-73487.98</v>
      </c>
      <c r="AL969" s="94">
        <f>+AJ969+AK969</f>
        <v>976890.41000000015</v>
      </c>
      <c r="AM969" s="94">
        <f>V930+V936+V944+V953+V960+V963+V970</f>
        <v>0</v>
      </c>
      <c r="AN969" s="94">
        <f>+AL969+AM969</f>
        <v>976890.41000000015</v>
      </c>
      <c r="AO969" s="94">
        <f t="shared" si="327"/>
        <v>4976890.41</v>
      </c>
      <c r="AP969" s="94">
        <f>+AD969-AO969</f>
        <v>182501016.09</v>
      </c>
      <c r="AQ969" s="94">
        <f>+AD969-AI969-AN969</f>
        <v>182501016.09</v>
      </c>
    </row>
    <row r="970" spans="1:43" x14ac:dyDescent="0.25">
      <c r="A970" s="46">
        <v>108</v>
      </c>
      <c r="B970" s="26" t="s">
        <v>239</v>
      </c>
      <c r="C970" s="2" t="s">
        <v>35</v>
      </c>
      <c r="D970" s="72">
        <f>52589667.2+403840.98</f>
        <v>52993508.18</v>
      </c>
      <c r="E970" s="72"/>
      <c r="F970" s="72"/>
      <c r="G970" s="72"/>
      <c r="H970" s="72">
        <f>E970+F970</f>
        <v>0</v>
      </c>
      <c r="I970" s="72"/>
      <c r="J970" s="72"/>
      <c r="K970" s="72"/>
      <c r="L970" s="72"/>
      <c r="M970" s="72"/>
      <c r="N970" s="72">
        <f>H970+L970</f>
        <v>0</v>
      </c>
      <c r="O970" s="72">
        <f>403840.98+19380</f>
        <v>423220.98</v>
      </c>
      <c r="P970" s="72"/>
      <c r="Q970" s="72"/>
      <c r="R970" s="72">
        <f>O970+P970</f>
        <v>423220.98</v>
      </c>
      <c r="S970" s="72"/>
      <c r="T970" s="72"/>
      <c r="U970" s="72"/>
      <c r="V970" s="72"/>
      <c r="W970" s="72"/>
      <c r="X970" s="72">
        <f>R970+V970</f>
        <v>423220.98</v>
      </c>
      <c r="Y970" s="72">
        <f>R970+H970</f>
        <v>423220.98</v>
      </c>
      <c r="Z970" s="72">
        <f>D970-Y970</f>
        <v>52570287.200000003</v>
      </c>
      <c r="AA970" s="72">
        <f>N970+X970</f>
        <v>423220.98</v>
      </c>
      <c r="AB970" s="67">
        <f>+D970-N970-X970</f>
        <v>52570287.200000003</v>
      </c>
      <c r="AC970" s="49" t="s">
        <v>36</v>
      </c>
      <c r="AD970" s="94">
        <f>D937+D945+D954+D964</f>
        <v>5179920.5199999996</v>
      </c>
      <c r="AE970" s="94">
        <f>E937+E945+E954+E964</f>
        <v>5179920.5199999996</v>
      </c>
      <c r="AF970" s="94">
        <f>F937+F945+F954+F964</f>
        <v>0</v>
      </c>
      <c r="AG970" s="94">
        <f t="shared" ref="AG970:AG975" si="328">+AE970+AF970</f>
        <v>5179920.5199999996</v>
      </c>
      <c r="AH970" s="94">
        <f>L937+L945+L954+L964</f>
        <v>0</v>
      </c>
      <c r="AI970" s="94">
        <f t="shared" ref="AI970:AI975" si="329">+AG970+AH970</f>
        <v>5179920.5199999996</v>
      </c>
      <c r="AJ970" s="94">
        <f>O937+O945+O954+O964</f>
        <v>0</v>
      </c>
      <c r="AK970" s="94">
        <f>P937+P945+P954+P964</f>
        <v>0</v>
      </c>
      <c r="AL970" s="94">
        <f t="shared" ref="AL970:AL975" si="330">+AJ970+AK970</f>
        <v>0</v>
      </c>
      <c r="AM970" s="94">
        <f>V937+V945+V954+V964</f>
        <v>0</v>
      </c>
      <c r="AN970" s="94">
        <f t="shared" ref="AN970:AN975" si="331">+AL970+AM970</f>
        <v>0</v>
      </c>
      <c r="AO970" s="94">
        <f t="shared" si="327"/>
        <v>5179920.5199999996</v>
      </c>
      <c r="AP970" s="94">
        <f t="shared" ref="AP970:AP975" si="332">+AD970-AO970</f>
        <v>0</v>
      </c>
      <c r="AQ970" s="94">
        <f t="shared" ref="AQ970:AQ975" si="333">+AD970-AI970-AN970</f>
        <v>0</v>
      </c>
    </row>
    <row r="971" spans="1:43" x14ac:dyDescent="0.25">
      <c r="A971" s="46"/>
      <c r="B971" s="26"/>
      <c r="C971" s="4" t="s">
        <v>53</v>
      </c>
      <c r="D971" s="72">
        <f>24547799.9+863136.18</f>
        <v>25410936.079999998</v>
      </c>
      <c r="E971" s="72"/>
      <c r="F971" s="72"/>
      <c r="G971" s="72"/>
      <c r="H971" s="72">
        <f>E971+F971</f>
        <v>0</v>
      </c>
      <c r="I971" s="72"/>
      <c r="J971" s="72"/>
      <c r="K971" s="72"/>
      <c r="L971" s="72"/>
      <c r="M971" s="72"/>
      <c r="N971" s="72">
        <f>H971+L971</f>
        <v>0</v>
      </c>
      <c r="O971" s="72">
        <f>7341096.97+863136.18</f>
        <v>8204233.1499999994</v>
      </c>
      <c r="P971" s="72"/>
      <c r="Q971" s="72"/>
      <c r="R971" s="72">
        <f>O971+P971</f>
        <v>8204233.1499999994</v>
      </c>
      <c r="S971" s="72"/>
      <c r="T971" s="72"/>
      <c r="U971" s="72"/>
      <c r="V971" s="72"/>
      <c r="W971" s="72"/>
      <c r="X971" s="72">
        <f>R971+V971</f>
        <v>8204233.1499999994</v>
      </c>
      <c r="Y971" s="72">
        <f>R971+H971</f>
        <v>8204233.1499999994</v>
      </c>
      <c r="Z971" s="72">
        <f>D971-Y971</f>
        <v>17206702.93</v>
      </c>
      <c r="AA971" s="72">
        <f>N971+X971</f>
        <v>8204233.1499999994</v>
      </c>
      <c r="AB971" s="67">
        <f>+D971-N971-X971</f>
        <v>17206702.93</v>
      </c>
      <c r="AC971" s="49" t="s">
        <v>183</v>
      </c>
      <c r="AD971" s="94">
        <f>D931+D938+D948</f>
        <v>54276225.43</v>
      </c>
      <c r="AE971" s="94">
        <f>E931+E938+E948</f>
        <v>0</v>
      </c>
      <c r="AF971" s="94">
        <f>F931+F938+F948</f>
        <v>0</v>
      </c>
      <c r="AG971" s="94">
        <f t="shared" si="328"/>
        <v>0</v>
      </c>
      <c r="AH971" s="94">
        <f>L931+L938+L948</f>
        <v>0</v>
      </c>
      <c r="AI971" s="94">
        <f t="shared" si="329"/>
        <v>0</v>
      </c>
      <c r="AJ971" s="94">
        <f>O931+O938+O948</f>
        <v>0</v>
      </c>
      <c r="AK971" s="94">
        <f>P931+P938+P948</f>
        <v>0</v>
      </c>
      <c r="AL971" s="94">
        <f t="shared" si="330"/>
        <v>0</v>
      </c>
      <c r="AM971" s="94">
        <f>V931+V938+V948</f>
        <v>0</v>
      </c>
      <c r="AN971" s="94">
        <f t="shared" si="331"/>
        <v>0</v>
      </c>
      <c r="AO971" s="94">
        <f t="shared" si="327"/>
        <v>0</v>
      </c>
      <c r="AP971" s="94">
        <f t="shared" si="332"/>
        <v>54276225.43</v>
      </c>
      <c r="AQ971" s="94">
        <f t="shared" si="333"/>
        <v>54276225.43</v>
      </c>
    </row>
    <row r="972" spans="1:43" x14ac:dyDescent="0.25">
      <c r="A972" s="46"/>
      <c r="B972" s="26"/>
      <c r="C972" s="4" t="s">
        <v>54</v>
      </c>
      <c r="D972" s="72">
        <v>16231231.630000001</v>
      </c>
      <c r="E972" s="72"/>
      <c r="F972" s="72"/>
      <c r="G972" s="72"/>
      <c r="H972" s="72">
        <f>E972+F972</f>
        <v>0</v>
      </c>
      <c r="I972" s="72"/>
      <c r="J972" s="72"/>
      <c r="K972" s="72"/>
      <c r="L972" s="72"/>
      <c r="M972" s="72"/>
      <c r="N972" s="72">
        <f>H972+L972</f>
        <v>0</v>
      </c>
      <c r="O972" s="72">
        <f>16231231.63-5096366.77</f>
        <v>11134864.860000001</v>
      </c>
      <c r="P972" s="72"/>
      <c r="Q972" s="72"/>
      <c r="R972" s="72">
        <f>O972+P972</f>
        <v>11134864.860000001</v>
      </c>
      <c r="S972" s="72"/>
      <c r="T972" s="72"/>
      <c r="U972" s="72"/>
      <c r="V972" s="72"/>
      <c r="W972" s="72"/>
      <c r="X972" s="72">
        <f>R972+V972</f>
        <v>11134864.860000001</v>
      </c>
      <c r="Y972" s="72">
        <f>R972+H972</f>
        <v>11134864.860000001</v>
      </c>
      <c r="Z972" s="72">
        <f>D972-Y972</f>
        <v>5096366.7699999996</v>
      </c>
      <c r="AA972" s="72">
        <f>N972+X972</f>
        <v>11134864.860000001</v>
      </c>
      <c r="AB972" s="67">
        <f>+D972-N972-X972</f>
        <v>5096366.7699999996</v>
      </c>
      <c r="AC972" s="49" t="s">
        <v>184</v>
      </c>
      <c r="AD972" s="94">
        <f>D932+D940+D949</f>
        <v>6475626.6299999999</v>
      </c>
      <c r="AE972" s="94">
        <f>E932+E940+E949</f>
        <v>0</v>
      </c>
      <c r="AF972" s="94">
        <f>F932+F940+F949</f>
        <v>0</v>
      </c>
      <c r="AG972" s="94">
        <f t="shared" si="328"/>
        <v>0</v>
      </c>
      <c r="AH972" s="94">
        <f>L932+L940+L949</f>
        <v>0</v>
      </c>
      <c r="AI972" s="94">
        <f t="shared" si="329"/>
        <v>0</v>
      </c>
      <c r="AJ972" s="94">
        <f>O932+O940+O949</f>
        <v>181752.55</v>
      </c>
      <c r="AK972" s="94">
        <f>P932+P940+P949</f>
        <v>0</v>
      </c>
      <c r="AL972" s="94">
        <f>+AJ972+AK972</f>
        <v>181752.55</v>
      </c>
      <c r="AM972" s="94">
        <f>V932+V940+V949</f>
        <v>0</v>
      </c>
      <c r="AN972" s="94">
        <f t="shared" si="331"/>
        <v>181752.55</v>
      </c>
      <c r="AO972" s="94">
        <f t="shared" si="327"/>
        <v>181752.55</v>
      </c>
      <c r="AP972" s="94">
        <f t="shared" si="332"/>
        <v>6293874.0800000001</v>
      </c>
      <c r="AQ972" s="94">
        <f t="shared" si="333"/>
        <v>6293874.0800000001</v>
      </c>
    </row>
    <row r="973" spans="1:43" x14ac:dyDescent="0.25">
      <c r="A973" s="46"/>
      <c r="B973" s="26"/>
      <c r="C973" s="4"/>
      <c r="D973" s="70" t="s">
        <v>40</v>
      </c>
      <c r="E973" s="70" t="s">
        <v>40</v>
      </c>
      <c r="F973" s="70" t="s">
        <v>40</v>
      </c>
      <c r="G973" s="70"/>
      <c r="H973" s="70" t="s">
        <v>40</v>
      </c>
      <c r="I973" s="70" t="s">
        <v>40</v>
      </c>
      <c r="J973" s="70" t="s">
        <v>40</v>
      </c>
      <c r="K973" s="70" t="s">
        <v>40</v>
      </c>
      <c r="L973" s="70" t="s">
        <v>40</v>
      </c>
      <c r="M973" s="70"/>
      <c r="N973" s="70" t="s">
        <v>40</v>
      </c>
      <c r="O973" s="70" t="s">
        <v>40</v>
      </c>
      <c r="P973" s="70" t="s">
        <v>40</v>
      </c>
      <c r="Q973" s="70"/>
      <c r="R973" s="70" t="s">
        <v>40</v>
      </c>
      <c r="S973" s="70" t="s">
        <v>40</v>
      </c>
      <c r="T973" s="70" t="s">
        <v>40</v>
      </c>
      <c r="U973" s="70" t="s">
        <v>40</v>
      </c>
      <c r="V973" s="70" t="s">
        <v>40</v>
      </c>
      <c r="W973" s="70"/>
      <c r="X973" s="70" t="s">
        <v>40</v>
      </c>
      <c r="Y973" s="70" t="s">
        <v>40</v>
      </c>
      <c r="Z973" s="70" t="s">
        <v>40</v>
      </c>
      <c r="AA973" s="70" t="s">
        <v>40</v>
      </c>
      <c r="AB973" s="70" t="s">
        <v>40</v>
      </c>
      <c r="AC973" s="49" t="s">
        <v>38</v>
      </c>
      <c r="AD973" s="94">
        <f>+D939</f>
        <v>7242000</v>
      </c>
      <c r="AE973" s="94">
        <f>+E939</f>
        <v>0</v>
      </c>
      <c r="AF973" s="94">
        <f>+F939</f>
        <v>0</v>
      </c>
      <c r="AG973" s="94">
        <f t="shared" si="328"/>
        <v>0</v>
      </c>
      <c r="AH973" s="94">
        <f>+L939</f>
        <v>0</v>
      </c>
      <c r="AI973" s="94">
        <f t="shared" si="329"/>
        <v>0</v>
      </c>
      <c r="AJ973" s="94">
        <f>+O939</f>
        <v>0</v>
      </c>
      <c r="AK973" s="94">
        <f>+P939</f>
        <v>0</v>
      </c>
      <c r="AL973" s="94">
        <f t="shared" si="330"/>
        <v>0</v>
      </c>
      <c r="AM973" s="94">
        <f>+V939</f>
        <v>0</v>
      </c>
      <c r="AN973" s="94">
        <f t="shared" si="331"/>
        <v>0</v>
      </c>
      <c r="AO973" s="94">
        <f t="shared" si="327"/>
        <v>0</v>
      </c>
      <c r="AP973" s="94">
        <f t="shared" si="332"/>
        <v>7242000</v>
      </c>
      <c r="AQ973" s="94">
        <f t="shared" si="333"/>
        <v>7242000</v>
      </c>
    </row>
    <row r="974" spans="1:43" x14ac:dyDescent="0.25">
      <c r="A974" s="46"/>
      <c r="B974" s="26"/>
      <c r="C974" s="4"/>
      <c r="D974" s="72">
        <f>SUM(D970:D972)</f>
        <v>94635675.889999986</v>
      </c>
      <c r="E974" s="72">
        <f t="shared" ref="E974:AB974" si="334">SUM(E970:E972)</f>
        <v>0</v>
      </c>
      <c r="F974" s="72">
        <f t="shared" si="334"/>
        <v>0</v>
      </c>
      <c r="G974" s="72"/>
      <c r="H974" s="72">
        <f t="shared" si="334"/>
        <v>0</v>
      </c>
      <c r="I974" s="72">
        <f t="shared" si="334"/>
        <v>0</v>
      </c>
      <c r="J974" s="72">
        <f t="shared" si="334"/>
        <v>0</v>
      </c>
      <c r="K974" s="72">
        <f t="shared" si="334"/>
        <v>0</v>
      </c>
      <c r="L974" s="72">
        <f t="shared" si="334"/>
        <v>0</v>
      </c>
      <c r="M974" s="72"/>
      <c r="N974" s="72">
        <f t="shared" si="334"/>
        <v>0</v>
      </c>
      <c r="O974" s="72">
        <f t="shared" si="334"/>
        <v>19762318.990000002</v>
      </c>
      <c r="P974" s="72">
        <f t="shared" si="334"/>
        <v>0</v>
      </c>
      <c r="Q974" s="72"/>
      <c r="R974" s="72">
        <f t="shared" si="334"/>
        <v>19762318.990000002</v>
      </c>
      <c r="S974" s="72">
        <f t="shared" si="334"/>
        <v>0</v>
      </c>
      <c r="T974" s="72">
        <f t="shared" si="334"/>
        <v>0</v>
      </c>
      <c r="U974" s="72">
        <f t="shared" si="334"/>
        <v>0</v>
      </c>
      <c r="V974" s="72">
        <f t="shared" si="334"/>
        <v>0</v>
      </c>
      <c r="W974" s="72"/>
      <c r="X974" s="72">
        <f t="shared" si="334"/>
        <v>19762318.990000002</v>
      </c>
      <c r="Y974" s="72">
        <f t="shared" si="334"/>
        <v>19762318.990000002</v>
      </c>
      <c r="Z974" s="72">
        <f t="shared" si="334"/>
        <v>74873356.899999991</v>
      </c>
      <c r="AA974" s="72">
        <f t="shared" si="334"/>
        <v>19762318.990000002</v>
      </c>
      <c r="AB974" s="72">
        <f t="shared" si="334"/>
        <v>74873356.899999991</v>
      </c>
      <c r="AC974" s="49" t="s">
        <v>53</v>
      </c>
      <c r="AD974" s="94">
        <f t="shared" ref="AD974:AF975" si="335">D965+D971</f>
        <v>29004656.359999999</v>
      </c>
      <c r="AE974" s="94">
        <f t="shared" si="335"/>
        <v>0</v>
      </c>
      <c r="AF974" s="94">
        <f t="shared" si="335"/>
        <v>0</v>
      </c>
      <c r="AG974" s="94">
        <f t="shared" si="328"/>
        <v>0</v>
      </c>
      <c r="AH974" s="94">
        <f>L965+L971</f>
        <v>0</v>
      </c>
      <c r="AI974" s="94">
        <f t="shared" si="329"/>
        <v>0</v>
      </c>
      <c r="AJ974" s="94">
        <f>O965+O971</f>
        <v>11797953.43</v>
      </c>
      <c r="AK974" s="94">
        <f>P965+P971</f>
        <v>0</v>
      </c>
      <c r="AL974" s="94">
        <f t="shared" si="330"/>
        <v>11797953.43</v>
      </c>
      <c r="AM974" s="94">
        <f>V965+V971</f>
        <v>0</v>
      </c>
      <c r="AN974" s="94">
        <f t="shared" si="331"/>
        <v>11797953.43</v>
      </c>
      <c r="AO974" s="94">
        <f t="shared" si="327"/>
        <v>11797953.43</v>
      </c>
      <c r="AP974" s="94">
        <f t="shared" si="332"/>
        <v>17206702.93</v>
      </c>
      <c r="AQ974" s="94">
        <f t="shared" si="333"/>
        <v>17206702.93</v>
      </c>
    </row>
    <row r="975" spans="1:43" x14ac:dyDescent="0.25">
      <c r="A975" s="46"/>
      <c r="B975" s="26"/>
      <c r="C975" s="4"/>
      <c r="D975" s="70" t="s">
        <v>40</v>
      </c>
      <c r="E975" s="70" t="s">
        <v>40</v>
      </c>
      <c r="F975" s="70" t="s">
        <v>40</v>
      </c>
      <c r="G975" s="70"/>
      <c r="H975" s="70" t="s">
        <v>40</v>
      </c>
      <c r="I975" s="70" t="s">
        <v>40</v>
      </c>
      <c r="J975" s="70" t="s">
        <v>40</v>
      </c>
      <c r="K975" s="70" t="s">
        <v>40</v>
      </c>
      <c r="L975" s="70" t="s">
        <v>40</v>
      </c>
      <c r="M975" s="70"/>
      <c r="N975" s="70" t="s">
        <v>40</v>
      </c>
      <c r="O975" s="70" t="s">
        <v>40</v>
      </c>
      <c r="P975" s="70" t="s">
        <v>40</v>
      </c>
      <c r="Q975" s="70"/>
      <c r="R975" s="70" t="s">
        <v>40</v>
      </c>
      <c r="S975" s="70" t="s">
        <v>40</v>
      </c>
      <c r="T975" s="70" t="s">
        <v>40</v>
      </c>
      <c r="U975" s="70" t="s">
        <v>40</v>
      </c>
      <c r="V975" s="70" t="s">
        <v>40</v>
      </c>
      <c r="W975" s="70"/>
      <c r="X975" s="70" t="s">
        <v>40</v>
      </c>
      <c r="Y975" s="70" t="s">
        <v>40</v>
      </c>
      <c r="Z975" s="70" t="s">
        <v>40</v>
      </c>
      <c r="AA975" s="70" t="s">
        <v>40</v>
      </c>
      <c r="AB975" s="70" t="s">
        <v>40</v>
      </c>
      <c r="AC975" s="49" t="s">
        <v>54</v>
      </c>
      <c r="AD975" s="94">
        <f t="shared" si="335"/>
        <v>26423965.170000002</v>
      </c>
      <c r="AE975" s="94">
        <f t="shared" si="335"/>
        <v>0</v>
      </c>
      <c r="AF975" s="94">
        <f t="shared" si="335"/>
        <v>0</v>
      </c>
      <c r="AG975" s="94">
        <f t="shared" si="328"/>
        <v>0</v>
      </c>
      <c r="AH975" s="94">
        <f>L966+L972</f>
        <v>0</v>
      </c>
      <c r="AI975" s="94">
        <f t="shared" si="329"/>
        <v>0</v>
      </c>
      <c r="AJ975" s="94">
        <f>O966+O972</f>
        <v>21327598.399999999</v>
      </c>
      <c r="AK975" s="94">
        <f>P966+P972</f>
        <v>0</v>
      </c>
      <c r="AL975" s="94">
        <f t="shared" si="330"/>
        <v>21327598.399999999</v>
      </c>
      <c r="AM975" s="94">
        <f>V966+V972</f>
        <v>0</v>
      </c>
      <c r="AN975" s="94">
        <f t="shared" si="331"/>
        <v>21327598.399999999</v>
      </c>
      <c r="AO975" s="94">
        <f t="shared" si="327"/>
        <v>21327598.399999999</v>
      </c>
      <c r="AP975" s="94">
        <f t="shared" si="332"/>
        <v>5096366.7700000033</v>
      </c>
      <c r="AQ975" s="94">
        <f t="shared" si="333"/>
        <v>5096366.7700000033</v>
      </c>
    </row>
    <row r="976" spans="1:43" x14ac:dyDescent="0.25">
      <c r="A976" s="46"/>
      <c r="B976" s="36" t="s">
        <v>3</v>
      </c>
      <c r="C976" s="21" t="s">
        <v>232</v>
      </c>
      <c r="D976" s="72">
        <f>D934+D942+D951+D956+D960+D968+D974</f>
        <v>335117955.5</v>
      </c>
      <c r="E976" s="72">
        <f>E934+E942+E951+E956+E960+E968+E974</f>
        <v>28217575.41</v>
      </c>
      <c r="F976" s="72">
        <f>F934+F942+F951+F956+F960+F968+F974</f>
        <v>0</v>
      </c>
      <c r="G976" s="72"/>
      <c r="H976" s="72">
        <f>H934+H942+H951+H956+H960+H968+H974</f>
        <v>28217575.41</v>
      </c>
      <c r="I976" s="72">
        <f>I934+I942+I951+I956+I960+I968+I974</f>
        <v>0</v>
      </c>
      <c r="J976" s="72">
        <f>J934+J942+J951+J956+J960+J968+J974</f>
        <v>0</v>
      </c>
      <c r="K976" s="72">
        <f>K934+K942+K951+K956+K960+K968+K974</f>
        <v>0</v>
      </c>
      <c r="L976" s="72">
        <f>L934+L942+L951+L956+L960+L968+L974</f>
        <v>0</v>
      </c>
      <c r="M976" s="72"/>
      <c r="N976" s="72">
        <f>N934+N942+N951+N956+N960+N968+N974</f>
        <v>28217575.41</v>
      </c>
      <c r="O976" s="72">
        <f>O934+O942+O951+O956+O960+O968+O974</f>
        <v>34357682.770000003</v>
      </c>
      <c r="P976" s="72">
        <f>P934+P942+P951+P956+P960+P968+P974</f>
        <v>-73487.98</v>
      </c>
      <c r="Q976" s="72"/>
      <c r="R976" s="72">
        <f>R934+R942+R951+R956+R960+R968+R974</f>
        <v>34284194.790000007</v>
      </c>
      <c r="S976" s="72">
        <f>S934+S942+S951+S956+S960+S968+S974</f>
        <v>0</v>
      </c>
      <c r="T976" s="72">
        <f>T934+T942+T951+T956+T960+T968+T974</f>
        <v>0</v>
      </c>
      <c r="U976" s="72">
        <f>U934+U942+U951+U956+U960+U968+U974</f>
        <v>0</v>
      </c>
      <c r="V976" s="72">
        <f>V934+V942+V951+V956+V960+V968+V974</f>
        <v>0</v>
      </c>
      <c r="W976" s="72"/>
      <c r="X976" s="72">
        <f>X934+X942+X951+X956+X960+X968+X974</f>
        <v>34284194.790000007</v>
      </c>
      <c r="Y976" s="72">
        <f>Y934+Y942+Y951+Y956+Y960+Y968+Y974</f>
        <v>62501770.200000003</v>
      </c>
      <c r="Z976" s="72">
        <f>Z934+Z942+Z951+Z956+Z960+Z968+Z974</f>
        <v>272616185.29999995</v>
      </c>
      <c r="AA976" s="72">
        <f>AA934+AA942+AA951+AA956+AA960+AA968+AA974</f>
        <v>62501770.200000003</v>
      </c>
      <c r="AB976" s="72">
        <f>AB934+AB942+AB951+AB956+AB960+AB968+AB974</f>
        <v>272616185.29999995</v>
      </c>
      <c r="AD976" s="95">
        <f>SUM(AD967:AD975)</f>
        <v>335117955.50000006</v>
      </c>
      <c r="AE976" s="95">
        <f t="shared" ref="AE976:AQ976" si="336">SUM(AE967:AE975)</f>
        <v>28217575.41</v>
      </c>
      <c r="AF976" s="95">
        <f t="shared" si="336"/>
        <v>0</v>
      </c>
      <c r="AG976" s="95">
        <f t="shared" si="336"/>
        <v>28217575.41</v>
      </c>
      <c r="AH976" s="95">
        <f t="shared" si="336"/>
        <v>0</v>
      </c>
      <c r="AI976" s="95">
        <f t="shared" si="336"/>
        <v>28217575.41</v>
      </c>
      <c r="AJ976" s="95">
        <f t="shared" si="336"/>
        <v>34357682.769999996</v>
      </c>
      <c r="AK976" s="95">
        <f t="shared" si="336"/>
        <v>-73487.98</v>
      </c>
      <c r="AL976" s="95">
        <f t="shared" si="336"/>
        <v>34284194.789999999</v>
      </c>
      <c r="AM976" s="95">
        <f t="shared" si="336"/>
        <v>0</v>
      </c>
      <c r="AN976" s="95">
        <f t="shared" si="336"/>
        <v>34284194.789999999</v>
      </c>
      <c r="AO976" s="94">
        <f t="shared" si="327"/>
        <v>62501770.200000003</v>
      </c>
      <c r="AP976" s="95">
        <f t="shared" si="336"/>
        <v>272616185.30000001</v>
      </c>
      <c r="AQ976" s="95">
        <f t="shared" si="336"/>
        <v>272616185.30000001</v>
      </c>
    </row>
    <row r="977" spans="1:43" x14ac:dyDescent="0.25">
      <c r="A977" s="46"/>
      <c r="B977" s="26"/>
      <c r="C977" s="4"/>
      <c r="D977" s="70" t="s">
        <v>50</v>
      </c>
      <c r="E977" s="70" t="s">
        <v>50</v>
      </c>
      <c r="F977" s="70" t="s">
        <v>50</v>
      </c>
      <c r="G977" s="70"/>
      <c r="H977" s="70" t="s">
        <v>50</v>
      </c>
      <c r="I977" s="70" t="s">
        <v>50</v>
      </c>
      <c r="J977" s="70" t="s">
        <v>50</v>
      </c>
      <c r="K977" s="70" t="s">
        <v>50</v>
      </c>
      <c r="L977" s="70" t="s">
        <v>50</v>
      </c>
      <c r="M977" s="70"/>
      <c r="N977" s="70" t="s">
        <v>50</v>
      </c>
      <c r="O977" s="70" t="s">
        <v>50</v>
      </c>
      <c r="P977" s="70" t="s">
        <v>50</v>
      </c>
      <c r="Q977" s="70"/>
      <c r="R977" s="70" t="s">
        <v>50</v>
      </c>
      <c r="S977" s="70" t="s">
        <v>50</v>
      </c>
      <c r="T977" s="70" t="s">
        <v>50</v>
      </c>
      <c r="U977" s="70" t="s">
        <v>50</v>
      </c>
      <c r="V977" s="70" t="s">
        <v>50</v>
      </c>
      <c r="W977" s="70"/>
      <c r="X977" s="70" t="s">
        <v>50</v>
      </c>
      <c r="Y977" s="70" t="s">
        <v>50</v>
      </c>
      <c r="Z977" s="70" t="s">
        <v>50</v>
      </c>
      <c r="AA977" s="70" t="s">
        <v>50</v>
      </c>
      <c r="AB977" s="70" t="s">
        <v>50</v>
      </c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</row>
    <row r="978" spans="1:43" x14ac:dyDescent="0.25">
      <c r="A978" s="46"/>
      <c r="B978" s="26"/>
      <c r="C978" s="20"/>
      <c r="D978" s="75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127"/>
      <c r="P978" s="128"/>
      <c r="Q978" s="12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</row>
    <row r="979" spans="1:43" x14ac:dyDescent="0.25">
      <c r="A979" s="46"/>
      <c r="B979" s="26"/>
      <c r="C979" s="20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</row>
    <row r="980" spans="1:43" x14ac:dyDescent="0.25">
      <c r="A980" s="46"/>
      <c r="B980" s="26"/>
      <c r="C980" s="20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</row>
    <row r="981" spans="1:43" ht="19.5" x14ac:dyDescent="0.35">
      <c r="A981" s="46"/>
      <c r="B981" s="47" t="s">
        <v>111</v>
      </c>
      <c r="C981" s="4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</row>
    <row r="982" spans="1:43" x14ac:dyDescent="0.25">
      <c r="A982" s="46"/>
      <c r="B982" s="26"/>
      <c r="C982" s="4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D982" s="94"/>
      <c r="AE982" s="94"/>
      <c r="AF982" s="94"/>
      <c r="AG982" s="94"/>
      <c r="AH982" s="94"/>
      <c r="AI982" s="94"/>
      <c r="AJ982" s="94"/>
      <c r="AK982" s="94"/>
      <c r="AL982" s="94"/>
      <c r="AM982" s="94"/>
      <c r="AN982" s="94"/>
      <c r="AO982" s="94"/>
      <c r="AP982" s="94"/>
      <c r="AQ982" s="94"/>
    </row>
    <row r="983" spans="1:43" x14ac:dyDescent="0.25">
      <c r="A983" s="46">
        <v>109</v>
      </c>
      <c r="B983" s="23" t="s">
        <v>112</v>
      </c>
      <c r="C983" s="2" t="s">
        <v>35</v>
      </c>
      <c r="D983" s="67">
        <v>50397361.530000001</v>
      </c>
      <c r="E983" s="67">
        <v>0</v>
      </c>
      <c r="F983" s="68"/>
      <c r="G983" s="68"/>
      <c r="H983" s="67">
        <f>E983+F983</f>
        <v>0</v>
      </c>
      <c r="I983" s="68"/>
      <c r="J983" s="68"/>
      <c r="K983" s="68"/>
      <c r="L983" s="67"/>
      <c r="M983" s="67"/>
      <c r="N983" s="67">
        <f>H983+L983</f>
        <v>0</v>
      </c>
      <c r="O983" s="67">
        <v>0</v>
      </c>
      <c r="P983" s="68"/>
      <c r="Q983" s="68"/>
      <c r="R983" s="67">
        <f>O983+P983</f>
        <v>0</v>
      </c>
      <c r="S983" s="68"/>
      <c r="T983" s="68"/>
      <c r="U983" s="68"/>
      <c r="V983" s="67"/>
      <c r="W983" s="67"/>
      <c r="X983" s="67">
        <f>R983+V983</f>
        <v>0</v>
      </c>
      <c r="Y983" s="67">
        <f>R983+H983</f>
        <v>0</v>
      </c>
      <c r="Z983" s="67">
        <f>D983-Y983</f>
        <v>50397361.530000001</v>
      </c>
      <c r="AA983" s="67">
        <f>N983+X983</f>
        <v>0</v>
      </c>
      <c r="AB983" s="67">
        <f>+D983-N983-X983</f>
        <v>50397361.530000001</v>
      </c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</row>
    <row r="984" spans="1:43" x14ac:dyDescent="0.25">
      <c r="A984" s="46"/>
      <c r="B984" s="26"/>
      <c r="C984" s="3" t="s">
        <v>36</v>
      </c>
      <c r="D984" s="67">
        <f>110000+2212818.25</f>
        <v>2322818.25</v>
      </c>
      <c r="E984" s="67">
        <f>110000+2212818.25</f>
        <v>2322818.25</v>
      </c>
      <c r="F984" s="68"/>
      <c r="G984" s="68"/>
      <c r="H984" s="67">
        <f>E984+F984</f>
        <v>2322818.25</v>
      </c>
      <c r="I984" s="68"/>
      <c r="J984" s="68"/>
      <c r="K984" s="68"/>
      <c r="L984" s="67"/>
      <c r="M984" s="67"/>
      <c r="N984" s="67">
        <f>H984+L984</f>
        <v>2322818.25</v>
      </c>
      <c r="O984" s="67">
        <v>0</v>
      </c>
      <c r="P984" s="68"/>
      <c r="Q984" s="68"/>
      <c r="R984" s="67">
        <f>O984+P984</f>
        <v>0</v>
      </c>
      <c r="S984" s="68"/>
      <c r="T984" s="68"/>
      <c r="U984" s="68"/>
      <c r="V984" s="67"/>
      <c r="W984" s="67"/>
      <c r="X984" s="67">
        <f>R984+V984</f>
        <v>0</v>
      </c>
      <c r="Y984" s="67">
        <f>R984+H984</f>
        <v>2322818.25</v>
      </c>
      <c r="Z984" s="67">
        <f>D984-Y984</f>
        <v>0</v>
      </c>
      <c r="AA984" s="67">
        <f>N984+X984</f>
        <v>2322818.25</v>
      </c>
      <c r="AB984" s="67">
        <f>+D984-N984-X984</f>
        <v>0</v>
      </c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</row>
    <row r="985" spans="1:43" x14ac:dyDescent="0.25">
      <c r="A985" s="46"/>
      <c r="B985" s="26"/>
      <c r="C985" s="3" t="s">
        <v>289</v>
      </c>
      <c r="D985" s="67">
        <v>2000000</v>
      </c>
      <c r="E985" s="67">
        <v>0</v>
      </c>
      <c r="F985" s="68"/>
      <c r="G985" s="68"/>
      <c r="H985" s="67">
        <f>E985+F985</f>
        <v>0</v>
      </c>
      <c r="I985" s="68"/>
      <c r="J985" s="68"/>
      <c r="K985" s="68"/>
      <c r="L985" s="67"/>
      <c r="M985" s="67"/>
      <c r="N985" s="67">
        <f>H985+L985</f>
        <v>0</v>
      </c>
      <c r="O985" s="67">
        <v>2000000</v>
      </c>
      <c r="P985" s="68"/>
      <c r="Q985" s="68"/>
      <c r="R985" s="67">
        <f>O985+P985</f>
        <v>2000000</v>
      </c>
      <c r="S985" s="68"/>
      <c r="T985" s="68"/>
      <c r="U985" s="68"/>
      <c r="V985" s="67"/>
      <c r="W985" s="67"/>
      <c r="X985" s="67">
        <f>R985+V985</f>
        <v>2000000</v>
      </c>
      <c r="Y985" s="67">
        <f>R985+H985</f>
        <v>2000000</v>
      </c>
      <c r="Z985" s="67">
        <f>D985-Y985</f>
        <v>0</v>
      </c>
      <c r="AA985" s="67">
        <f>N985+X985</f>
        <v>2000000</v>
      </c>
      <c r="AB985" s="67">
        <f>+D985-N985-X985</f>
        <v>0</v>
      </c>
      <c r="AC985" s="67"/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</row>
    <row r="986" spans="1:43" x14ac:dyDescent="0.25">
      <c r="A986" s="46"/>
      <c r="B986" s="26"/>
      <c r="C986" s="2" t="s">
        <v>38</v>
      </c>
      <c r="D986" s="67">
        <v>3152350</v>
      </c>
      <c r="E986" s="67">
        <v>0</v>
      </c>
      <c r="F986" s="68"/>
      <c r="G986" s="68"/>
      <c r="H986" s="67">
        <f>E986+F986</f>
        <v>0</v>
      </c>
      <c r="I986" s="68"/>
      <c r="J986" s="68"/>
      <c r="K986" s="68"/>
      <c r="L986" s="67"/>
      <c r="M986" s="67"/>
      <c r="N986" s="67">
        <f>H986+L986</f>
        <v>0</v>
      </c>
      <c r="O986" s="67">
        <v>0</v>
      </c>
      <c r="P986" s="68"/>
      <c r="Q986" s="68"/>
      <c r="R986" s="67">
        <f>O986+P986</f>
        <v>0</v>
      </c>
      <c r="S986" s="68"/>
      <c r="T986" s="68"/>
      <c r="U986" s="68"/>
      <c r="V986" s="67"/>
      <c r="W986" s="67"/>
      <c r="X986" s="67">
        <f>R986+V986</f>
        <v>0</v>
      </c>
      <c r="Y986" s="67">
        <f>R986+H986</f>
        <v>0</v>
      </c>
      <c r="Z986" s="67">
        <f>D986-Y986</f>
        <v>3152350</v>
      </c>
      <c r="AA986" s="67">
        <f>N986+X986</f>
        <v>0</v>
      </c>
      <c r="AB986" s="67">
        <f>+D986-N986-X986</f>
        <v>3152350</v>
      </c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</row>
    <row r="987" spans="1:43" x14ac:dyDescent="0.25">
      <c r="A987" s="46"/>
      <c r="B987" s="30"/>
      <c r="C987" s="4"/>
      <c r="D987" s="70" t="s">
        <v>40</v>
      </c>
      <c r="E987" s="70" t="s">
        <v>40</v>
      </c>
      <c r="F987" s="70" t="s">
        <v>40</v>
      </c>
      <c r="G987" s="70"/>
      <c r="H987" s="70" t="s">
        <v>40</v>
      </c>
      <c r="I987" s="70" t="s">
        <v>40</v>
      </c>
      <c r="J987" s="70" t="s">
        <v>40</v>
      </c>
      <c r="K987" s="70" t="s">
        <v>40</v>
      </c>
      <c r="L987" s="70" t="s">
        <v>40</v>
      </c>
      <c r="M987" s="70"/>
      <c r="N987" s="70" t="s">
        <v>40</v>
      </c>
      <c r="O987" s="70" t="s">
        <v>40</v>
      </c>
      <c r="P987" s="70" t="s">
        <v>40</v>
      </c>
      <c r="Q987" s="70"/>
      <c r="R987" s="70" t="s">
        <v>40</v>
      </c>
      <c r="S987" s="70" t="s">
        <v>40</v>
      </c>
      <c r="T987" s="70" t="s">
        <v>40</v>
      </c>
      <c r="U987" s="70" t="s">
        <v>40</v>
      </c>
      <c r="V987" s="70" t="s">
        <v>40</v>
      </c>
      <c r="W987" s="70"/>
      <c r="X987" s="70" t="s">
        <v>40</v>
      </c>
      <c r="Y987" s="70" t="s">
        <v>40</v>
      </c>
      <c r="Z987" s="70" t="s">
        <v>40</v>
      </c>
      <c r="AA987" s="70" t="s">
        <v>40</v>
      </c>
      <c r="AB987" s="70" t="s">
        <v>40</v>
      </c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</row>
    <row r="988" spans="1:43" x14ac:dyDescent="0.25">
      <c r="A988" s="46"/>
      <c r="B988" s="26"/>
      <c r="C988" s="4"/>
      <c r="D988" s="67">
        <f t="shared" ref="D988:AA988" si="337">SUM(D983:D986)</f>
        <v>57872529.780000001</v>
      </c>
      <c r="E988" s="67">
        <f t="shared" si="337"/>
        <v>2322818.25</v>
      </c>
      <c r="F988" s="67">
        <f t="shared" si="337"/>
        <v>0</v>
      </c>
      <c r="G988" s="67"/>
      <c r="H988" s="67">
        <f t="shared" si="337"/>
        <v>2322818.25</v>
      </c>
      <c r="I988" s="67">
        <f t="shared" si="337"/>
        <v>0</v>
      </c>
      <c r="J988" s="67">
        <f t="shared" si="337"/>
        <v>0</v>
      </c>
      <c r="K988" s="67">
        <f t="shared" si="337"/>
        <v>0</v>
      </c>
      <c r="L988" s="67">
        <f t="shared" si="337"/>
        <v>0</v>
      </c>
      <c r="M988" s="67"/>
      <c r="N988" s="67">
        <f t="shared" si="337"/>
        <v>2322818.25</v>
      </c>
      <c r="O988" s="67">
        <f t="shared" si="337"/>
        <v>2000000</v>
      </c>
      <c r="P988" s="67">
        <f t="shared" si="337"/>
        <v>0</v>
      </c>
      <c r="Q988" s="67"/>
      <c r="R988" s="67">
        <f t="shared" si="337"/>
        <v>2000000</v>
      </c>
      <c r="S988" s="67">
        <f t="shared" si="337"/>
        <v>0</v>
      </c>
      <c r="T988" s="67">
        <f t="shared" si="337"/>
        <v>0</v>
      </c>
      <c r="U988" s="67">
        <f t="shared" si="337"/>
        <v>0</v>
      </c>
      <c r="V988" s="67">
        <f t="shared" si="337"/>
        <v>0</v>
      </c>
      <c r="W988" s="67"/>
      <c r="X988" s="67">
        <f t="shared" si="337"/>
        <v>2000000</v>
      </c>
      <c r="Y988" s="67">
        <f t="shared" si="337"/>
        <v>4322818.25</v>
      </c>
      <c r="Z988" s="67">
        <f t="shared" si="337"/>
        <v>53549711.530000001</v>
      </c>
      <c r="AA988" s="67">
        <f t="shared" si="337"/>
        <v>4322818.25</v>
      </c>
      <c r="AB988" s="67">
        <f>SUM(AB983:AB986)</f>
        <v>53549711.530000001</v>
      </c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</row>
    <row r="989" spans="1:43" x14ac:dyDescent="0.25">
      <c r="A989" s="46"/>
      <c r="B989" s="26"/>
      <c r="C989" s="4"/>
      <c r="D989" s="70" t="s">
        <v>40</v>
      </c>
      <c r="E989" s="70" t="s">
        <v>40</v>
      </c>
      <c r="F989" s="70" t="s">
        <v>40</v>
      </c>
      <c r="G989" s="70"/>
      <c r="H989" s="70" t="s">
        <v>40</v>
      </c>
      <c r="I989" s="70" t="s">
        <v>40</v>
      </c>
      <c r="J989" s="70" t="s">
        <v>40</v>
      </c>
      <c r="K989" s="70" t="s">
        <v>40</v>
      </c>
      <c r="L989" s="70" t="s">
        <v>40</v>
      </c>
      <c r="M989" s="70"/>
      <c r="N989" s="70" t="s">
        <v>40</v>
      </c>
      <c r="O989" s="70" t="s">
        <v>40</v>
      </c>
      <c r="P989" s="70" t="s">
        <v>40</v>
      </c>
      <c r="Q989" s="70"/>
      <c r="R989" s="70" t="s">
        <v>40</v>
      </c>
      <c r="S989" s="70" t="s">
        <v>40</v>
      </c>
      <c r="T989" s="70" t="s">
        <v>40</v>
      </c>
      <c r="U989" s="70" t="s">
        <v>40</v>
      </c>
      <c r="V989" s="70" t="s">
        <v>40</v>
      </c>
      <c r="W989" s="70"/>
      <c r="X989" s="70" t="s">
        <v>40</v>
      </c>
      <c r="Y989" s="70" t="s">
        <v>40</v>
      </c>
      <c r="Z989" s="70" t="s">
        <v>40</v>
      </c>
      <c r="AA989" s="70" t="s">
        <v>40</v>
      </c>
      <c r="AB989" s="70" t="s">
        <v>40</v>
      </c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</row>
    <row r="990" spans="1:43" x14ac:dyDescent="0.25">
      <c r="A990" s="46"/>
      <c r="B990" s="26"/>
      <c r="C990" s="4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</row>
    <row r="991" spans="1:43" x14ac:dyDescent="0.25">
      <c r="A991" s="46">
        <v>110</v>
      </c>
      <c r="B991" s="23" t="s">
        <v>113</v>
      </c>
      <c r="C991" s="2" t="s">
        <v>35</v>
      </c>
      <c r="D991" s="67">
        <v>20838782.84</v>
      </c>
      <c r="E991" s="67">
        <v>0</v>
      </c>
      <c r="F991" s="68"/>
      <c r="G991" s="68"/>
      <c r="H991" s="67">
        <f>E991+F991</f>
        <v>0</v>
      </c>
      <c r="I991" s="68"/>
      <c r="J991" s="68"/>
      <c r="K991" s="68"/>
      <c r="L991" s="67"/>
      <c r="M991" s="67"/>
      <c r="N991" s="67">
        <f>H991+L991</f>
        <v>0</v>
      </c>
      <c r="O991" s="67">
        <v>0</v>
      </c>
      <c r="P991" s="68"/>
      <c r="Q991" s="68"/>
      <c r="R991" s="67">
        <f>O991+P991</f>
        <v>0</v>
      </c>
      <c r="S991" s="68"/>
      <c r="T991" s="68"/>
      <c r="U991" s="68"/>
      <c r="V991" s="67"/>
      <c r="W991" s="67"/>
      <c r="X991" s="67">
        <f>R991+V991</f>
        <v>0</v>
      </c>
      <c r="Y991" s="67">
        <f>R991+H991</f>
        <v>0</v>
      </c>
      <c r="Z991" s="67">
        <f>D991-Y991</f>
        <v>20838782.84</v>
      </c>
      <c r="AA991" s="67">
        <f>N991+X991</f>
        <v>0</v>
      </c>
      <c r="AB991" s="67">
        <f>+D991-N991-X991</f>
        <v>20838782.84</v>
      </c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94"/>
    </row>
    <row r="992" spans="1:43" x14ac:dyDescent="0.25">
      <c r="A992" s="46"/>
      <c r="B992" s="26"/>
      <c r="C992" s="3" t="s">
        <v>36</v>
      </c>
      <c r="D992" s="67">
        <f>57324+134500+1108418.38</f>
        <v>1300242.3799999999</v>
      </c>
      <c r="E992" s="67">
        <f>57324+134500+1108418.38</f>
        <v>1300242.3799999999</v>
      </c>
      <c r="F992" s="68"/>
      <c r="G992" s="68"/>
      <c r="H992" s="67">
        <f>E992+F992</f>
        <v>1300242.3799999999</v>
      </c>
      <c r="I992" s="68"/>
      <c r="J992" s="68"/>
      <c r="K992" s="68"/>
      <c r="L992" s="67"/>
      <c r="M992" s="67"/>
      <c r="N992" s="67">
        <f>H992+L992</f>
        <v>1300242.3799999999</v>
      </c>
      <c r="O992" s="67">
        <v>0</v>
      </c>
      <c r="P992" s="68"/>
      <c r="Q992" s="68"/>
      <c r="R992" s="67">
        <f>O992+P992</f>
        <v>0</v>
      </c>
      <c r="S992" s="68"/>
      <c r="T992" s="68"/>
      <c r="U992" s="68"/>
      <c r="V992" s="67"/>
      <c r="W992" s="67"/>
      <c r="X992" s="67">
        <f>R992+V992</f>
        <v>0</v>
      </c>
      <c r="Y992" s="67">
        <f>R992+H992</f>
        <v>1300242.3799999999</v>
      </c>
      <c r="Z992" s="67">
        <f>D992-Y992</f>
        <v>0</v>
      </c>
      <c r="AA992" s="67">
        <f>N992+X992</f>
        <v>1300242.3799999999</v>
      </c>
      <c r="AB992" s="67">
        <f>+D992-N992-X992</f>
        <v>0</v>
      </c>
      <c r="AD992" s="94"/>
      <c r="AE992" s="94"/>
      <c r="AF992" s="94"/>
      <c r="AG992" s="94"/>
      <c r="AH992" s="94"/>
      <c r="AI992" s="94"/>
      <c r="AJ992" s="94"/>
      <c r="AK992" s="94"/>
      <c r="AL992" s="94"/>
      <c r="AM992" s="94"/>
      <c r="AN992" s="94"/>
      <c r="AO992" s="94"/>
      <c r="AP992" s="94"/>
      <c r="AQ992" s="94"/>
    </row>
    <row r="993" spans="1:43" x14ac:dyDescent="0.25">
      <c r="A993" s="46"/>
      <c r="B993" s="26"/>
      <c r="C993" s="2" t="s">
        <v>53</v>
      </c>
      <c r="D993" s="67">
        <v>6966507.5800000001</v>
      </c>
      <c r="E993" s="67">
        <v>0</v>
      </c>
      <c r="F993" s="68"/>
      <c r="G993" s="68"/>
      <c r="H993" s="67">
        <f>E993+F993</f>
        <v>0</v>
      </c>
      <c r="I993" s="68"/>
      <c r="J993" s="68"/>
      <c r="K993" s="68"/>
      <c r="L993" s="67"/>
      <c r="M993" s="67"/>
      <c r="N993" s="67">
        <f>H993+L993</f>
        <v>0</v>
      </c>
      <c r="O993" s="67">
        <v>493855.1</v>
      </c>
      <c r="P993" s="68"/>
      <c r="Q993" s="68"/>
      <c r="R993" s="67">
        <f>O993+P993</f>
        <v>493855.1</v>
      </c>
      <c r="S993" s="68"/>
      <c r="T993" s="68"/>
      <c r="U993" s="68"/>
      <c r="V993" s="67"/>
      <c r="W993" s="67"/>
      <c r="X993" s="67">
        <f>+R993+V993</f>
        <v>493855.1</v>
      </c>
      <c r="Y993" s="67">
        <f>R993+H993</f>
        <v>493855.1</v>
      </c>
      <c r="Z993" s="67">
        <f>D993-Y993</f>
        <v>6472652.4800000004</v>
      </c>
      <c r="AA993" s="67">
        <f>N993+X993</f>
        <v>493855.1</v>
      </c>
      <c r="AB993" s="67">
        <f>+D993-N993-X993</f>
        <v>6472652.4800000004</v>
      </c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</row>
    <row r="994" spans="1:43" x14ac:dyDescent="0.25">
      <c r="A994" s="46"/>
      <c r="B994" s="26"/>
      <c r="C994" s="2" t="s">
        <v>38</v>
      </c>
      <c r="D994" s="67">
        <f>6405000-1387836.95</f>
        <v>5017163.05</v>
      </c>
      <c r="E994" s="67">
        <v>0</v>
      </c>
      <c r="F994" s="68"/>
      <c r="G994" s="68"/>
      <c r="H994" s="67">
        <f>E994+F994</f>
        <v>0</v>
      </c>
      <c r="I994" s="68"/>
      <c r="J994" s="68"/>
      <c r="K994" s="68"/>
      <c r="L994" s="67"/>
      <c r="M994" s="67"/>
      <c r="N994" s="67">
        <f>H994+L994</f>
        <v>0</v>
      </c>
      <c r="O994" s="67">
        <v>0</v>
      </c>
      <c r="P994" s="68"/>
      <c r="Q994" s="68"/>
      <c r="R994" s="67">
        <f>O994+P994</f>
        <v>0</v>
      </c>
      <c r="S994" s="68"/>
      <c r="T994" s="68"/>
      <c r="U994" s="68"/>
      <c r="V994" s="67"/>
      <c r="W994" s="67"/>
      <c r="X994" s="67">
        <f>+R994+V994</f>
        <v>0</v>
      </c>
      <c r="Y994" s="67">
        <f>R994+H994</f>
        <v>0</v>
      </c>
      <c r="Z994" s="67">
        <f>D994-Y994</f>
        <v>5017163.05</v>
      </c>
      <c r="AA994" s="67">
        <f>N994+X994</f>
        <v>0</v>
      </c>
      <c r="AB994" s="67">
        <f>+D994-N994-X994</f>
        <v>5017163.05</v>
      </c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</row>
    <row r="995" spans="1:43" x14ac:dyDescent="0.25">
      <c r="A995" s="46"/>
      <c r="B995" s="26"/>
      <c r="C995" s="2" t="s">
        <v>54</v>
      </c>
      <c r="D995" s="67">
        <f>3708529.82+1387836.95</f>
        <v>5096366.7699999996</v>
      </c>
      <c r="E995" s="67">
        <v>0</v>
      </c>
      <c r="F995" s="68"/>
      <c r="G995" s="68"/>
      <c r="H995" s="67">
        <f>E995+F995</f>
        <v>0</v>
      </c>
      <c r="I995" s="68"/>
      <c r="J995" s="68"/>
      <c r="K995" s="68"/>
      <c r="L995" s="67"/>
      <c r="M995" s="67"/>
      <c r="N995" s="67">
        <f>H995+L995</f>
        <v>0</v>
      </c>
      <c r="O995" s="67">
        <f>10700263.03-5603896.26</f>
        <v>5096366.7699999996</v>
      </c>
      <c r="P995" s="68"/>
      <c r="Q995" s="68"/>
      <c r="R995" s="67">
        <f>O995+P995</f>
        <v>5096366.7699999996</v>
      </c>
      <c r="S995" s="68"/>
      <c r="T995" s="68"/>
      <c r="U995" s="68"/>
      <c r="V995" s="67"/>
      <c r="W995" s="67"/>
      <c r="X995" s="67">
        <f>+R995+V995</f>
        <v>5096366.7699999996</v>
      </c>
      <c r="Y995" s="67">
        <f>R995+H995</f>
        <v>5096366.7699999996</v>
      </c>
      <c r="Z995" s="67">
        <f>D995-Y995</f>
        <v>0</v>
      </c>
      <c r="AA995" s="67">
        <f>N995+X995</f>
        <v>5096366.7699999996</v>
      </c>
      <c r="AB995" s="67">
        <f>+D995-N995-X995</f>
        <v>0</v>
      </c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</row>
    <row r="996" spans="1:43" x14ac:dyDescent="0.25">
      <c r="A996" s="46"/>
      <c r="B996" s="26"/>
      <c r="C996" s="4"/>
      <c r="D996" s="70" t="s">
        <v>40</v>
      </c>
      <c r="E996" s="70" t="s">
        <v>40</v>
      </c>
      <c r="F996" s="70" t="s">
        <v>40</v>
      </c>
      <c r="G996" s="70"/>
      <c r="H996" s="70" t="s">
        <v>40</v>
      </c>
      <c r="I996" s="70" t="s">
        <v>40</v>
      </c>
      <c r="J996" s="70" t="s">
        <v>40</v>
      </c>
      <c r="K996" s="70" t="s">
        <v>40</v>
      </c>
      <c r="L996" s="70" t="s">
        <v>40</v>
      </c>
      <c r="M996" s="70"/>
      <c r="N996" s="70" t="s">
        <v>40</v>
      </c>
      <c r="O996" s="70" t="s">
        <v>40</v>
      </c>
      <c r="P996" s="70" t="s">
        <v>40</v>
      </c>
      <c r="Q996" s="70"/>
      <c r="R996" s="70" t="s">
        <v>40</v>
      </c>
      <c r="S996" s="70" t="s">
        <v>40</v>
      </c>
      <c r="T996" s="70" t="s">
        <v>40</v>
      </c>
      <c r="U996" s="70" t="s">
        <v>40</v>
      </c>
      <c r="V996" s="70" t="s">
        <v>40</v>
      </c>
      <c r="W996" s="70"/>
      <c r="X996" s="70" t="s">
        <v>40</v>
      </c>
      <c r="Y996" s="70" t="s">
        <v>40</v>
      </c>
      <c r="Z996" s="70" t="s">
        <v>40</v>
      </c>
      <c r="AA996" s="70" t="s">
        <v>40</v>
      </c>
      <c r="AB996" s="70" t="s">
        <v>40</v>
      </c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</row>
    <row r="997" spans="1:43" x14ac:dyDescent="0.25">
      <c r="A997" s="46"/>
      <c r="B997" s="26"/>
      <c r="C997" s="4"/>
      <c r="D997" s="67">
        <f t="shared" ref="D997:AB997" si="338">SUM(D991:D995)</f>
        <v>39219062.61999999</v>
      </c>
      <c r="E997" s="67">
        <f t="shared" si="338"/>
        <v>1300242.3799999999</v>
      </c>
      <c r="F997" s="67">
        <f t="shared" si="338"/>
        <v>0</v>
      </c>
      <c r="G997" s="67"/>
      <c r="H997" s="67">
        <f t="shared" si="338"/>
        <v>1300242.3799999999</v>
      </c>
      <c r="I997" s="67">
        <f t="shared" si="338"/>
        <v>0</v>
      </c>
      <c r="J997" s="67">
        <f t="shared" si="338"/>
        <v>0</v>
      </c>
      <c r="K997" s="67">
        <f t="shared" si="338"/>
        <v>0</v>
      </c>
      <c r="L997" s="67">
        <f t="shared" si="338"/>
        <v>0</v>
      </c>
      <c r="M997" s="67"/>
      <c r="N997" s="67">
        <f t="shared" si="338"/>
        <v>1300242.3799999999</v>
      </c>
      <c r="O997" s="67">
        <f t="shared" si="338"/>
        <v>5590221.8699999992</v>
      </c>
      <c r="P997" s="67">
        <f t="shared" si="338"/>
        <v>0</v>
      </c>
      <c r="Q997" s="67"/>
      <c r="R997" s="67">
        <f t="shared" si="338"/>
        <v>5590221.8699999992</v>
      </c>
      <c r="S997" s="67">
        <f t="shared" si="338"/>
        <v>0</v>
      </c>
      <c r="T997" s="67">
        <f t="shared" si="338"/>
        <v>0</v>
      </c>
      <c r="U997" s="67">
        <f t="shared" si="338"/>
        <v>0</v>
      </c>
      <c r="V997" s="67">
        <f t="shared" si="338"/>
        <v>0</v>
      </c>
      <c r="W997" s="67"/>
      <c r="X997" s="67">
        <f t="shared" si="338"/>
        <v>5590221.8699999992</v>
      </c>
      <c r="Y997" s="67">
        <f t="shared" si="338"/>
        <v>6890464.25</v>
      </c>
      <c r="Z997" s="67">
        <f t="shared" si="338"/>
        <v>32328598.370000001</v>
      </c>
      <c r="AA997" s="67">
        <f t="shared" si="338"/>
        <v>6890464.25</v>
      </c>
      <c r="AB997" s="67">
        <f t="shared" si="338"/>
        <v>32328598.370000001</v>
      </c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</row>
    <row r="998" spans="1:43" x14ac:dyDescent="0.25">
      <c r="A998" s="46"/>
      <c r="B998" s="26"/>
      <c r="C998" s="4"/>
      <c r="D998" s="70" t="s">
        <v>40</v>
      </c>
      <c r="E998" s="70" t="s">
        <v>40</v>
      </c>
      <c r="F998" s="70" t="s">
        <v>40</v>
      </c>
      <c r="G998" s="70"/>
      <c r="H998" s="70" t="s">
        <v>40</v>
      </c>
      <c r="I998" s="70" t="s">
        <v>40</v>
      </c>
      <c r="J998" s="70" t="s">
        <v>40</v>
      </c>
      <c r="K998" s="70" t="s">
        <v>40</v>
      </c>
      <c r="L998" s="70" t="s">
        <v>40</v>
      </c>
      <c r="M998" s="70"/>
      <c r="N998" s="70" t="s">
        <v>40</v>
      </c>
      <c r="O998" s="70" t="s">
        <v>40</v>
      </c>
      <c r="P998" s="70" t="s">
        <v>40</v>
      </c>
      <c r="Q998" s="70"/>
      <c r="R998" s="70" t="s">
        <v>40</v>
      </c>
      <c r="S998" s="70" t="s">
        <v>40</v>
      </c>
      <c r="T998" s="70" t="s">
        <v>40</v>
      </c>
      <c r="U998" s="70" t="s">
        <v>40</v>
      </c>
      <c r="V998" s="70" t="s">
        <v>40</v>
      </c>
      <c r="W998" s="70"/>
      <c r="X998" s="70" t="s">
        <v>40</v>
      </c>
      <c r="Y998" s="70" t="s">
        <v>40</v>
      </c>
      <c r="Z998" s="70" t="s">
        <v>40</v>
      </c>
      <c r="AA998" s="70" t="s">
        <v>40</v>
      </c>
      <c r="AB998" s="70" t="s">
        <v>40</v>
      </c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</row>
    <row r="999" spans="1:43" x14ac:dyDescent="0.25">
      <c r="A999" s="46"/>
      <c r="B999" s="26"/>
      <c r="C999" s="4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102"/>
      <c r="Z999" s="70"/>
      <c r="AA999" s="70"/>
      <c r="AB999" s="70"/>
      <c r="AD999" s="94"/>
      <c r="AE999" s="94"/>
      <c r="AF999" s="94"/>
      <c r="AG999" s="94"/>
      <c r="AH999" s="94"/>
      <c r="AI999" s="94"/>
      <c r="AJ999" s="94"/>
      <c r="AK999" s="94"/>
      <c r="AL999" s="94"/>
      <c r="AM999" s="94"/>
      <c r="AN999" s="94"/>
      <c r="AO999" s="94"/>
      <c r="AP999" s="94"/>
      <c r="AQ999" s="94"/>
    </row>
    <row r="1000" spans="1:43" x14ac:dyDescent="0.25">
      <c r="A1000" s="46">
        <v>111</v>
      </c>
      <c r="B1000" s="23" t="s">
        <v>114</v>
      </c>
      <c r="C1000" s="2" t="s">
        <v>35</v>
      </c>
      <c r="D1000" s="67">
        <v>1393121.15</v>
      </c>
      <c r="E1000" s="67">
        <v>0</v>
      </c>
      <c r="F1000" s="68"/>
      <c r="G1000" s="68"/>
      <c r="H1000" s="67">
        <f>E1000+F1000</f>
        <v>0</v>
      </c>
      <c r="I1000" s="68"/>
      <c r="J1000" s="68"/>
      <c r="K1000" s="68"/>
      <c r="L1000" s="67"/>
      <c r="M1000" s="67"/>
      <c r="N1000" s="67">
        <f>H1000+L1000</f>
        <v>0</v>
      </c>
      <c r="O1000" s="67">
        <v>0</v>
      </c>
      <c r="P1000" s="68"/>
      <c r="Q1000" s="68"/>
      <c r="R1000" s="67">
        <f>O1000+P1000</f>
        <v>0</v>
      </c>
      <c r="S1000" s="68">
        <v>108127.75</v>
      </c>
      <c r="T1000" s="68"/>
      <c r="U1000" s="68"/>
      <c r="V1000" s="67"/>
      <c r="W1000" s="67"/>
      <c r="X1000" s="67">
        <f>R1000+V1000</f>
        <v>0</v>
      </c>
      <c r="Y1000" s="67">
        <f>R1000+H1000</f>
        <v>0</v>
      </c>
      <c r="Z1000" s="67">
        <f>D1000-Y1000</f>
        <v>1393121.15</v>
      </c>
      <c r="AA1000" s="67">
        <f>N1000+X1000</f>
        <v>0</v>
      </c>
      <c r="AB1000" s="67">
        <f>+D1000-N1000-X1000</f>
        <v>1393121.15</v>
      </c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</row>
    <row r="1001" spans="1:43" x14ac:dyDescent="0.25">
      <c r="A1001" s="46"/>
      <c r="B1001" s="26"/>
      <c r="C1001" s="3" t="s">
        <v>36</v>
      </c>
      <c r="D1001" s="67">
        <v>38839.85</v>
      </c>
      <c r="E1001" s="67">
        <v>38839.85</v>
      </c>
      <c r="F1001" s="68"/>
      <c r="G1001" s="68"/>
      <c r="H1001" s="67">
        <f>E1001+F1001</f>
        <v>38839.85</v>
      </c>
      <c r="I1001" s="68"/>
      <c r="J1001" s="68"/>
      <c r="K1001" s="68"/>
      <c r="L1001" s="67"/>
      <c r="M1001" s="67"/>
      <c r="N1001" s="67">
        <f>H1001+L1001</f>
        <v>38839.85</v>
      </c>
      <c r="O1001" s="67">
        <v>0</v>
      </c>
      <c r="P1001" s="68"/>
      <c r="Q1001" s="68"/>
      <c r="R1001" s="67">
        <f>O1001+P1001</f>
        <v>0</v>
      </c>
      <c r="S1001" s="68"/>
      <c r="T1001" s="68"/>
      <c r="U1001" s="68"/>
      <c r="V1001" s="67"/>
      <c r="W1001" s="67"/>
      <c r="X1001" s="67">
        <f>R1001+V1001</f>
        <v>0</v>
      </c>
      <c r="Y1001" s="67">
        <f>R1001+H1001</f>
        <v>38839.85</v>
      </c>
      <c r="Z1001" s="67">
        <f>D1001-Y1001</f>
        <v>0</v>
      </c>
      <c r="AA1001" s="67">
        <f>N1001+X1001</f>
        <v>38839.85</v>
      </c>
      <c r="AB1001" s="67">
        <f>+D1001-N1001-X1001</f>
        <v>0</v>
      </c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</row>
    <row r="1002" spans="1:43" x14ac:dyDescent="0.25">
      <c r="A1002" s="46"/>
      <c r="B1002" s="26"/>
      <c r="C1002" s="4"/>
      <c r="D1002" s="70" t="s">
        <v>40</v>
      </c>
      <c r="E1002" s="70" t="s">
        <v>40</v>
      </c>
      <c r="F1002" s="70" t="s">
        <v>40</v>
      </c>
      <c r="G1002" s="70"/>
      <c r="H1002" s="70" t="s">
        <v>40</v>
      </c>
      <c r="I1002" s="70" t="s">
        <v>40</v>
      </c>
      <c r="J1002" s="70" t="s">
        <v>40</v>
      </c>
      <c r="K1002" s="70" t="s">
        <v>40</v>
      </c>
      <c r="L1002" s="70" t="s">
        <v>40</v>
      </c>
      <c r="M1002" s="70"/>
      <c r="N1002" s="70" t="s">
        <v>40</v>
      </c>
      <c r="O1002" s="70" t="s">
        <v>40</v>
      </c>
      <c r="P1002" s="70" t="s">
        <v>40</v>
      </c>
      <c r="Q1002" s="70"/>
      <c r="R1002" s="70" t="s">
        <v>40</v>
      </c>
      <c r="S1002" s="70" t="s">
        <v>40</v>
      </c>
      <c r="T1002" s="70" t="s">
        <v>40</v>
      </c>
      <c r="U1002" s="70" t="s">
        <v>40</v>
      </c>
      <c r="V1002" s="70" t="s">
        <v>40</v>
      </c>
      <c r="W1002" s="70"/>
      <c r="X1002" s="70" t="s">
        <v>40</v>
      </c>
      <c r="Y1002" s="70" t="s">
        <v>40</v>
      </c>
      <c r="Z1002" s="70" t="s">
        <v>40</v>
      </c>
      <c r="AA1002" s="70" t="s">
        <v>40</v>
      </c>
      <c r="AB1002" s="70" t="s">
        <v>40</v>
      </c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</row>
    <row r="1003" spans="1:43" x14ac:dyDescent="0.25">
      <c r="A1003" s="46"/>
      <c r="B1003" s="26"/>
      <c r="C1003" s="4"/>
      <c r="D1003" s="67">
        <f t="shared" ref="D1003:AB1003" si="339">D1000+D1001</f>
        <v>1431961</v>
      </c>
      <c r="E1003" s="67">
        <f t="shared" si="339"/>
        <v>38839.85</v>
      </c>
      <c r="F1003" s="67">
        <f t="shared" si="339"/>
        <v>0</v>
      </c>
      <c r="G1003" s="67"/>
      <c r="H1003" s="67">
        <f t="shared" si="339"/>
        <v>38839.85</v>
      </c>
      <c r="I1003" s="67">
        <f t="shared" si="339"/>
        <v>0</v>
      </c>
      <c r="J1003" s="67">
        <f t="shared" si="339"/>
        <v>0</v>
      </c>
      <c r="K1003" s="67">
        <f t="shared" si="339"/>
        <v>0</v>
      </c>
      <c r="L1003" s="67">
        <f t="shared" si="339"/>
        <v>0</v>
      </c>
      <c r="M1003" s="67"/>
      <c r="N1003" s="67">
        <f t="shared" si="339"/>
        <v>38839.85</v>
      </c>
      <c r="O1003" s="67">
        <f t="shared" si="339"/>
        <v>0</v>
      </c>
      <c r="P1003" s="67">
        <f t="shared" si="339"/>
        <v>0</v>
      </c>
      <c r="Q1003" s="67"/>
      <c r="R1003" s="67">
        <f t="shared" si="339"/>
        <v>0</v>
      </c>
      <c r="S1003" s="67">
        <f t="shared" si="339"/>
        <v>108127.75</v>
      </c>
      <c r="T1003" s="67">
        <f t="shared" si="339"/>
        <v>0</v>
      </c>
      <c r="U1003" s="67">
        <f t="shared" si="339"/>
        <v>0</v>
      </c>
      <c r="V1003" s="67">
        <f t="shared" si="339"/>
        <v>0</v>
      </c>
      <c r="W1003" s="67"/>
      <c r="X1003" s="67">
        <f t="shared" si="339"/>
        <v>0</v>
      </c>
      <c r="Y1003" s="67">
        <f t="shared" si="339"/>
        <v>38839.85</v>
      </c>
      <c r="Z1003" s="67">
        <f t="shared" si="339"/>
        <v>1393121.15</v>
      </c>
      <c r="AA1003" s="67">
        <f t="shared" si="339"/>
        <v>38839.85</v>
      </c>
      <c r="AB1003" s="67">
        <f t="shared" si="339"/>
        <v>1393121.15</v>
      </c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</row>
    <row r="1004" spans="1:43" x14ac:dyDescent="0.25">
      <c r="A1004" s="46"/>
      <c r="B1004" s="26"/>
      <c r="C1004" s="4"/>
      <c r="D1004" s="70" t="s">
        <v>40</v>
      </c>
      <c r="E1004" s="70" t="s">
        <v>40</v>
      </c>
      <c r="F1004" s="70" t="s">
        <v>40</v>
      </c>
      <c r="G1004" s="70"/>
      <c r="H1004" s="70" t="s">
        <v>40</v>
      </c>
      <c r="I1004" s="70" t="s">
        <v>40</v>
      </c>
      <c r="J1004" s="70" t="s">
        <v>40</v>
      </c>
      <c r="K1004" s="70" t="s">
        <v>40</v>
      </c>
      <c r="L1004" s="70" t="s">
        <v>40</v>
      </c>
      <c r="M1004" s="70"/>
      <c r="N1004" s="70" t="s">
        <v>40</v>
      </c>
      <c r="O1004" s="70" t="s">
        <v>40</v>
      </c>
      <c r="P1004" s="70" t="s">
        <v>40</v>
      </c>
      <c r="Q1004" s="70"/>
      <c r="R1004" s="70" t="s">
        <v>40</v>
      </c>
      <c r="S1004" s="70" t="s">
        <v>40</v>
      </c>
      <c r="T1004" s="70" t="s">
        <v>40</v>
      </c>
      <c r="U1004" s="70" t="s">
        <v>40</v>
      </c>
      <c r="V1004" s="70" t="s">
        <v>40</v>
      </c>
      <c r="W1004" s="70"/>
      <c r="X1004" s="70" t="s">
        <v>40</v>
      </c>
      <c r="Y1004" s="70" t="s">
        <v>40</v>
      </c>
      <c r="Z1004" s="70" t="s">
        <v>40</v>
      </c>
      <c r="AA1004" s="70" t="s">
        <v>40</v>
      </c>
      <c r="AB1004" s="70" t="s">
        <v>40</v>
      </c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</row>
    <row r="1005" spans="1:43" x14ac:dyDescent="0.25">
      <c r="A1005" s="46"/>
      <c r="B1005" s="26"/>
      <c r="C1005" s="4"/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  <c r="AN1005" s="94"/>
      <c r="AO1005" s="94"/>
      <c r="AP1005" s="94"/>
      <c r="AQ1005" s="94"/>
    </row>
    <row r="1006" spans="1:43" x14ac:dyDescent="0.25">
      <c r="A1006" s="46">
        <v>112</v>
      </c>
      <c r="B1006" s="23" t="s">
        <v>115</v>
      </c>
      <c r="C1006" s="2" t="s">
        <v>35</v>
      </c>
      <c r="D1006" s="67">
        <v>529367.1</v>
      </c>
      <c r="E1006" s="67">
        <v>0</v>
      </c>
      <c r="F1006" s="68"/>
      <c r="G1006" s="68"/>
      <c r="H1006" s="67">
        <f>E1006+F1006</f>
        <v>0</v>
      </c>
      <c r="I1006" s="68"/>
      <c r="J1006" s="68"/>
      <c r="K1006" s="68"/>
      <c r="L1006" s="67">
        <f>I1006-J1006+K1006</f>
        <v>0</v>
      </c>
      <c r="M1006" s="67"/>
      <c r="N1006" s="67">
        <f>H1006+L1006</f>
        <v>0</v>
      </c>
      <c r="O1006" s="67">
        <v>0</v>
      </c>
      <c r="P1006" s="68"/>
      <c r="Q1006" s="68"/>
      <c r="R1006" s="67">
        <f>O1006+P1006</f>
        <v>0</v>
      </c>
      <c r="S1006" s="68"/>
      <c r="T1006" s="68"/>
      <c r="U1006" s="68"/>
      <c r="V1006" s="67"/>
      <c r="W1006" s="67"/>
      <c r="X1006" s="67">
        <f>R1006+V1006</f>
        <v>0</v>
      </c>
      <c r="Y1006" s="67">
        <f>R1006+H1006</f>
        <v>0</v>
      </c>
      <c r="Z1006" s="67">
        <f>D1006-Y1006</f>
        <v>529367.1</v>
      </c>
      <c r="AA1006" s="67">
        <f>N1006+X1006</f>
        <v>0</v>
      </c>
      <c r="AB1006" s="67">
        <f>+D1006-N1006-X1006</f>
        <v>529367.1</v>
      </c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</row>
    <row r="1007" spans="1:43" x14ac:dyDescent="0.25">
      <c r="A1007" s="4"/>
      <c r="B1007" s="4"/>
      <c r="C1007" s="4" t="s">
        <v>305</v>
      </c>
      <c r="D1007" s="55">
        <v>5590007.3099999996</v>
      </c>
      <c r="E1007" s="55">
        <v>5590007.3099999996</v>
      </c>
      <c r="F1007" s="55"/>
      <c r="G1007" s="55"/>
      <c r="H1007" s="55">
        <f>+E1007+F1007</f>
        <v>5590007.3099999996</v>
      </c>
      <c r="I1007" s="55"/>
      <c r="J1007" s="55"/>
      <c r="K1007" s="55"/>
      <c r="L1007" s="55">
        <v>0</v>
      </c>
      <c r="M1007" s="55"/>
      <c r="N1007" s="55">
        <f>+H1007+L1007</f>
        <v>5590007.3099999996</v>
      </c>
      <c r="O1007" s="55">
        <v>0</v>
      </c>
      <c r="P1007" s="55"/>
      <c r="Q1007" s="55"/>
      <c r="R1007" s="55">
        <f>+O1007+P1007</f>
        <v>0</v>
      </c>
      <c r="S1007" s="55"/>
      <c r="T1007" s="55"/>
      <c r="U1007" s="55"/>
      <c r="V1007" s="55"/>
      <c r="W1007" s="55"/>
      <c r="X1007" s="55">
        <f>+R1007+V1007</f>
        <v>0</v>
      </c>
      <c r="Y1007" s="67">
        <f>R1007+H1007</f>
        <v>5590007.3099999996</v>
      </c>
      <c r="Z1007" s="67">
        <f>D1007-Y1007</f>
        <v>0</v>
      </c>
      <c r="AA1007" s="67">
        <f>N1007+X1007</f>
        <v>5590007.3099999996</v>
      </c>
      <c r="AB1007" s="67">
        <f>+D1007-N1007-X1007</f>
        <v>0</v>
      </c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</row>
    <row r="1008" spans="1:43" x14ac:dyDescent="0.25">
      <c r="A1008" s="46"/>
      <c r="B1008" s="26"/>
      <c r="C1008" s="4"/>
      <c r="D1008" s="70" t="s">
        <v>40</v>
      </c>
      <c r="E1008" s="70" t="s">
        <v>40</v>
      </c>
      <c r="F1008" s="70" t="s">
        <v>40</v>
      </c>
      <c r="G1008" s="70"/>
      <c r="H1008" s="70" t="s">
        <v>40</v>
      </c>
      <c r="I1008" s="70" t="s">
        <v>40</v>
      </c>
      <c r="J1008" s="70" t="s">
        <v>40</v>
      </c>
      <c r="K1008" s="70" t="s">
        <v>40</v>
      </c>
      <c r="L1008" s="70" t="s">
        <v>40</v>
      </c>
      <c r="M1008" s="70"/>
      <c r="N1008" s="70" t="s">
        <v>40</v>
      </c>
      <c r="O1008" s="70" t="s">
        <v>40</v>
      </c>
      <c r="P1008" s="70" t="s">
        <v>40</v>
      </c>
      <c r="Q1008" s="70"/>
      <c r="R1008" s="70" t="s">
        <v>40</v>
      </c>
      <c r="S1008" s="70" t="s">
        <v>40</v>
      </c>
      <c r="T1008" s="70" t="s">
        <v>40</v>
      </c>
      <c r="U1008" s="70" t="s">
        <v>40</v>
      </c>
      <c r="V1008" s="70" t="s">
        <v>40</v>
      </c>
      <c r="W1008" s="70"/>
      <c r="X1008" s="70" t="s">
        <v>40</v>
      </c>
      <c r="Y1008" s="70" t="s">
        <v>40</v>
      </c>
      <c r="Z1008" s="70" t="s">
        <v>40</v>
      </c>
      <c r="AA1008" s="70" t="s">
        <v>40</v>
      </c>
      <c r="AB1008" s="70" t="s">
        <v>40</v>
      </c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</row>
    <row r="1009" spans="1:43" x14ac:dyDescent="0.25">
      <c r="A1009" s="46"/>
      <c r="B1009" s="26"/>
      <c r="C1009" s="4"/>
      <c r="D1009" s="67">
        <f>+D1006+D1007</f>
        <v>6119374.4099999992</v>
      </c>
      <c r="E1009" s="67">
        <f t="shared" ref="E1009:AB1009" si="340">+E1006+E1007</f>
        <v>5590007.3099999996</v>
      </c>
      <c r="F1009" s="67">
        <f t="shared" si="340"/>
        <v>0</v>
      </c>
      <c r="G1009" s="67"/>
      <c r="H1009" s="67">
        <f t="shared" si="340"/>
        <v>5590007.3099999996</v>
      </c>
      <c r="I1009" s="67">
        <f t="shared" si="340"/>
        <v>0</v>
      </c>
      <c r="J1009" s="67">
        <f t="shared" si="340"/>
        <v>0</v>
      </c>
      <c r="K1009" s="67">
        <f t="shared" si="340"/>
        <v>0</v>
      </c>
      <c r="L1009" s="67">
        <f t="shared" si="340"/>
        <v>0</v>
      </c>
      <c r="M1009" s="67"/>
      <c r="N1009" s="67">
        <f t="shared" si="340"/>
        <v>5590007.3099999996</v>
      </c>
      <c r="O1009" s="67">
        <f t="shared" si="340"/>
        <v>0</v>
      </c>
      <c r="P1009" s="67">
        <f t="shared" si="340"/>
        <v>0</v>
      </c>
      <c r="Q1009" s="67"/>
      <c r="R1009" s="67">
        <f t="shared" si="340"/>
        <v>0</v>
      </c>
      <c r="S1009" s="67">
        <f t="shared" si="340"/>
        <v>0</v>
      </c>
      <c r="T1009" s="67">
        <f t="shared" si="340"/>
        <v>0</v>
      </c>
      <c r="U1009" s="67">
        <f t="shared" si="340"/>
        <v>0</v>
      </c>
      <c r="V1009" s="67">
        <f t="shared" si="340"/>
        <v>0</v>
      </c>
      <c r="W1009" s="67"/>
      <c r="X1009" s="67">
        <f t="shared" si="340"/>
        <v>0</v>
      </c>
      <c r="Y1009" s="67">
        <f t="shared" si="340"/>
        <v>5590007.3099999996</v>
      </c>
      <c r="Z1009" s="67">
        <f t="shared" si="340"/>
        <v>529367.1</v>
      </c>
      <c r="AA1009" s="67">
        <f t="shared" si="340"/>
        <v>5590007.3099999996</v>
      </c>
      <c r="AB1009" s="67">
        <f t="shared" si="340"/>
        <v>529367.1</v>
      </c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</row>
    <row r="1010" spans="1:43" x14ac:dyDescent="0.25">
      <c r="A1010" s="46"/>
      <c r="B1010" s="26"/>
      <c r="C1010" s="4"/>
      <c r="D1010" s="70" t="s">
        <v>40</v>
      </c>
      <c r="E1010" s="70" t="s">
        <v>40</v>
      </c>
      <c r="F1010" s="70" t="s">
        <v>40</v>
      </c>
      <c r="G1010" s="70"/>
      <c r="H1010" s="70" t="s">
        <v>40</v>
      </c>
      <c r="I1010" s="70" t="s">
        <v>40</v>
      </c>
      <c r="J1010" s="70" t="s">
        <v>40</v>
      </c>
      <c r="K1010" s="70" t="s">
        <v>40</v>
      </c>
      <c r="L1010" s="70" t="s">
        <v>40</v>
      </c>
      <c r="M1010" s="70"/>
      <c r="N1010" s="70" t="s">
        <v>40</v>
      </c>
      <c r="O1010" s="70" t="s">
        <v>40</v>
      </c>
      <c r="P1010" s="70" t="s">
        <v>40</v>
      </c>
      <c r="Q1010" s="70"/>
      <c r="R1010" s="70" t="s">
        <v>40</v>
      </c>
      <c r="S1010" s="70" t="s">
        <v>40</v>
      </c>
      <c r="T1010" s="70" t="s">
        <v>40</v>
      </c>
      <c r="U1010" s="70" t="s">
        <v>40</v>
      </c>
      <c r="V1010" s="70" t="s">
        <v>40</v>
      </c>
      <c r="W1010" s="70"/>
      <c r="X1010" s="70" t="s">
        <v>40</v>
      </c>
      <c r="Y1010" s="70" t="s">
        <v>40</v>
      </c>
      <c r="Z1010" s="70" t="s">
        <v>40</v>
      </c>
      <c r="AA1010" s="70" t="s">
        <v>40</v>
      </c>
      <c r="AB1010" s="70" t="s">
        <v>40</v>
      </c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</row>
    <row r="1011" spans="1:43" x14ac:dyDescent="0.25">
      <c r="A1011" s="46"/>
      <c r="B1011" s="26"/>
      <c r="C1011" s="4"/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D1011" s="94"/>
      <c r="AE1011" s="94"/>
      <c r="AF1011" s="94"/>
      <c r="AG1011" s="94"/>
      <c r="AH1011" s="94"/>
      <c r="AI1011" s="94"/>
      <c r="AJ1011" s="94"/>
      <c r="AK1011" s="94"/>
      <c r="AL1011" s="94"/>
      <c r="AM1011" s="94"/>
      <c r="AN1011" s="94"/>
      <c r="AO1011" s="94"/>
      <c r="AP1011" s="94"/>
      <c r="AQ1011" s="94"/>
    </row>
    <row r="1012" spans="1:43" x14ac:dyDescent="0.25">
      <c r="A1012" s="46">
        <v>113</v>
      </c>
      <c r="B1012" s="35" t="s">
        <v>116</v>
      </c>
      <c r="C1012" s="3" t="s">
        <v>35</v>
      </c>
      <c r="D1012" s="67">
        <v>0</v>
      </c>
      <c r="E1012" s="67">
        <v>0</v>
      </c>
      <c r="F1012" s="68"/>
      <c r="G1012" s="68"/>
      <c r="H1012" s="67">
        <f>E1012+F1012</f>
        <v>0</v>
      </c>
      <c r="I1012" s="68"/>
      <c r="J1012" s="68"/>
      <c r="K1012" s="68"/>
      <c r="L1012" s="67"/>
      <c r="M1012" s="67"/>
      <c r="N1012" s="67">
        <f>H1012+L1012</f>
        <v>0</v>
      </c>
      <c r="O1012" s="67">
        <v>0</v>
      </c>
      <c r="P1012" s="68"/>
      <c r="Q1012" s="68"/>
      <c r="R1012" s="67">
        <f>O1012+P1012</f>
        <v>0</v>
      </c>
      <c r="S1012" s="68"/>
      <c r="T1012" s="68"/>
      <c r="U1012" s="68"/>
      <c r="V1012" s="67"/>
      <c r="W1012" s="67"/>
      <c r="X1012" s="67">
        <f>R1012+V1012</f>
        <v>0</v>
      </c>
      <c r="Y1012" s="67">
        <f>R1012+H1012</f>
        <v>0</v>
      </c>
      <c r="Z1012" s="67">
        <f>D1012-Y1012</f>
        <v>0</v>
      </c>
      <c r="AA1012" s="67">
        <f>N1012+X1012</f>
        <v>0</v>
      </c>
      <c r="AB1012" s="67">
        <f>+D1012-N1012-X1012</f>
        <v>0</v>
      </c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</row>
    <row r="1013" spans="1:43" x14ac:dyDescent="0.25">
      <c r="A1013" s="46"/>
      <c r="B1013" s="26"/>
      <c r="C1013" s="3" t="s">
        <v>36</v>
      </c>
      <c r="D1013" s="67">
        <f>2014540.08+283294</f>
        <v>2297834.08</v>
      </c>
      <c r="E1013" s="67">
        <f>2014540.08+283294</f>
        <v>2297834.08</v>
      </c>
      <c r="F1013" s="68"/>
      <c r="G1013" s="68"/>
      <c r="H1013" s="67">
        <f>E1013+F1013</f>
        <v>2297834.08</v>
      </c>
      <c r="I1013" s="68"/>
      <c r="J1013" s="68"/>
      <c r="K1013" s="68"/>
      <c r="L1013" s="67"/>
      <c r="M1013" s="67"/>
      <c r="N1013" s="67">
        <f>H1013+L1013</f>
        <v>2297834.08</v>
      </c>
      <c r="O1013" s="67">
        <v>0</v>
      </c>
      <c r="P1013" s="68"/>
      <c r="Q1013" s="68"/>
      <c r="R1013" s="67">
        <f>O1013+P1013</f>
        <v>0</v>
      </c>
      <c r="S1013" s="68"/>
      <c r="T1013" s="68"/>
      <c r="U1013" s="68"/>
      <c r="V1013" s="67"/>
      <c r="W1013" s="67"/>
      <c r="X1013" s="67">
        <f>R1013+V1013</f>
        <v>0</v>
      </c>
      <c r="Y1013" s="67">
        <f>R1013+H1013</f>
        <v>2297834.08</v>
      </c>
      <c r="Z1013" s="67">
        <f>D1013-Y1013</f>
        <v>0</v>
      </c>
      <c r="AA1013" s="67">
        <f>N1013+X1013</f>
        <v>2297834.08</v>
      </c>
      <c r="AB1013" s="67">
        <f>+D1013-N1013-X1013</f>
        <v>0</v>
      </c>
      <c r="AD1013" s="94"/>
      <c r="AE1013" s="94"/>
      <c r="AF1013" s="94"/>
      <c r="AG1013" s="94"/>
      <c r="AH1013" s="94"/>
      <c r="AI1013" s="94"/>
      <c r="AJ1013" s="94"/>
      <c r="AK1013" s="94"/>
      <c r="AL1013" s="94"/>
      <c r="AM1013" s="94"/>
      <c r="AN1013" s="94"/>
      <c r="AO1013" s="94"/>
      <c r="AP1013" s="94"/>
      <c r="AQ1013" s="94"/>
    </row>
    <row r="1014" spans="1:43" x14ac:dyDescent="0.25">
      <c r="A1014" s="46"/>
      <c r="B1014" s="26"/>
      <c r="C1014" s="3" t="s">
        <v>44</v>
      </c>
      <c r="D1014" s="67">
        <f>14750000+2500000</f>
        <v>17250000</v>
      </c>
      <c r="E1014" s="67">
        <v>17250000</v>
      </c>
      <c r="F1014" s="68"/>
      <c r="G1014" s="68"/>
      <c r="H1014" s="67">
        <f>E1014+F1014</f>
        <v>17250000</v>
      </c>
      <c r="I1014" s="68"/>
      <c r="J1014" s="68"/>
      <c r="K1014" s="68"/>
      <c r="L1014" s="67"/>
      <c r="M1014" s="67"/>
      <c r="N1014" s="67">
        <f>H1014+L1014</f>
        <v>17250000</v>
      </c>
      <c r="O1014" s="67">
        <v>0</v>
      </c>
      <c r="P1014" s="68"/>
      <c r="Q1014" s="68"/>
      <c r="R1014" s="67">
        <f>O1014+P1014</f>
        <v>0</v>
      </c>
      <c r="S1014" s="68"/>
      <c r="T1014" s="68"/>
      <c r="U1014" s="68"/>
      <c r="V1014" s="67"/>
      <c r="W1014" s="67"/>
      <c r="X1014" s="67">
        <f>R1014+V1014</f>
        <v>0</v>
      </c>
      <c r="Y1014" s="67">
        <f>R1014+H1014</f>
        <v>17250000</v>
      </c>
      <c r="Z1014" s="67">
        <f>D1014-Y1014</f>
        <v>0</v>
      </c>
      <c r="AA1014" s="67">
        <f>N1014+X1014</f>
        <v>17250000</v>
      </c>
      <c r="AB1014" s="67">
        <f>+D1014-N1014-X1014</f>
        <v>0</v>
      </c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</row>
    <row r="1015" spans="1:43" x14ac:dyDescent="0.25">
      <c r="A1015" s="46"/>
      <c r="B1015" s="26"/>
      <c r="C1015" s="4"/>
      <c r="D1015" s="70" t="s">
        <v>40</v>
      </c>
      <c r="E1015" s="70" t="s">
        <v>40</v>
      </c>
      <c r="F1015" s="70" t="s">
        <v>40</v>
      </c>
      <c r="G1015" s="70"/>
      <c r="H1015" s="70" t="s">
        <v>40</v>
      </c>
      <c r="I1015" s="70" t="s">
        <v>40</v>
      </c>
      <c r="J1015" s="70" t="s">
        <v>40</v>
      </c>
      <c r="K1015" s="70" t="s">
        <v>40</v>
      </c>
      <c r="L1015" s="70" t="s">
        <v>40</v>
      </c>
      <c r="M1015" s="70"/>
      <c r="N1015" s="70" t="s">
        <v>40</v>
      </c>
      <c r="O1015" s="70" t="s">
        <v>40</v>
      </c>
      <c r="P1015" s="70" t="s">
        <v>40</v>
      </c>
      <c r="Q1015" s="70"/>
      <c r="R1015" s="70" t="s">
        <v>40</v>
      </c>
      <c r="S1015" s="70" t="s">
        <v>40</v>
      </c>
      <c r="T1015" s="70" t="s">
        <v>40</v>
      </c>
      <c r="U1015" s="70" t="s">
        <v>40</v>
      </c>
      <c r="V1015" s="70" t="s">
        <v>40</v>
      </c>
      <c r="W1015" s="70"/>
      <c r="X1015" s="70" t="s">
        <v>40</v>
      </c>
      <c r="Y1015" s="70" t="s">
        <v>40</v>
      </c>
      <c r="Z1015" s="70" t="s">
        <v>40</v>
      </c>
      <c r="AA1015" s="70" t="s">
        <v>40</v>
      </c>
      <c r="AB1015" s="70" t="s">
        <v>40</v>
      </c>
      <c r="AD1015" s="94"/>
      <c r="AE1015" s="94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</row>
    <row r="1016" spans="1:43" x14ac:dyDescent="0.25">
      <c r="A1016" s="46"/>
      <c r="B1016" s="26"/>
      <c r="C1016" s="4"/>
      <c r="D1016" s="67">
        <f t="shared" ref="D1016:AB1016" si="341">SUM(D1012:D1014)</f>
        <v>19547834.079999998</v>
      </c>
      <c r="E1016" s="67">
        <f t="shared" si="341"/>
        <v>19547834.079999998</v>
      </c>
      <c r="F1016" s="67">
        <f t="shared" si="341"/>
        <v>0</v>
      </c>
      <c r="G1016" s="67"/>
      <c r="H1016" s="67">
        <f t="shared" si="341"/>
        <v>19547834.079999998</v>
      </c>
      <c r="I1016" s="67">
        <f t="shared" si="341"/>
        <v>0</v>
      </c>
      <c r="J1016" s="67">
        <f t="shared" si="341"/>
        <v>0</v>
      </c>
      <c r="K1016" s="67">
        <f t="shared" si="341"/>
        <v>0</v>
      </c>
      <c r="L1016" s="67">
        <f t="shared" si="341"/>
        <v>0</v>
      </c>
      <c r="M1016" s="67"/>
      <c r="N1016" s="67">
        <f t="shared" si="341"/>
        <v>19547834.079999998</v>
      </c>
      <c r="O1016" s="67">
        <f t="shared" si="341"/>
        <v>0</v>
      </c>
      <c r="P1016" s="67">
        <f t="shared" si="341"/>
        <v>0</v>
      </c>
      <c r="Q1016" s="67"/>
      <c r="R1016" s="67">
        <f t="shared" si="341"/>
        <v>0</v>
      </c>
      <c r="S1016" s="67">
        <f t="shared" si="341"/>
        <v>0</v>
      </c>
      <c r="T1016" s="67">
        <f t="shared" si="341"/>
        <v>0</v>
      </c>
      <c r="U1016" s="67">
        <f t="shared" si="341"/>
        <v>0</v>
      </c>
      <c r="V1016" s="67">
        <f t="shared" si="341"/>
        <v>0</v>
      </c>
      <c r="W1016" s="67"/>
      <c r="X1016" s="67">
        <f t="shared" si="341"/>
        <v>0</v>
      </c>
      <c r="Y1016" s="67">
        <f t="shared" si="341"/>
        <v>19547834.079999998</v>
      </c>
      <c r="Z1016" s="67">
        <f t="shared" si="341"/>
        <v>0</v>
      </c>
      <c r="AA1016" s="67">
        <f t="shared" si="341"/>
        <v>19547834.079999998</v>
      </c>
      <c r="AB1016" s="67">
        <f t="shared" si="341"/>
        <v>0</v>
      </c>
      <c r="AD1016" s="94"/>
      <c r="AE1016" s="94"/>
      <c r="AF1016" s="94"/>
      <c r="AG1016" s="94"/>
      <c r="AH1016" s="94"/>
      <c r="AI1016" s="94"/>
      <c r="AJ1016" s="94"/>
      <c r="AK1016" s="94"/>
      <c r="AL1016" s="94"/>
      <c r="AM1016" s="94"/>
      <c r="AN1016" s="94"/>
      <c r="AO1016" s="94"/>
      <c r="AP1016" s="94"/>
      <c r="AQ1016" s="94"/>
    </row>
    <row r="1017" spans="1:43" x14ac:dyDescent="0.25">
      <c r="A1017" s="46"/>
      <c r="B1017" s="26"/>
      <c r="C1017" s="4"/>
      <c r="D1017" s="70" t="s">
        <v>40</v>
      </c>
      <c r="E1017" s="70" t="s">
        <v>40</v>
      </c>
      <c r="F1017" s="70" t="s">
        <v>40</v>
      </c>
      <c r="G1017" s="70"/>
      <c r="H1017" s="70" t="s">
        <v>40</v>
      </c>
      <c r="I1017" s="70" t="s">
        <v>40</v>
      </c>
      <c r="J1017" s="70" t="s">
        <v>40</v>
      </c>
      <c r="K1017" s="70" t="s">
        <v>40</v>
      </c>
      <c r="L1017" s="70" t="s">
        <v>40</v>
      </c>
      <c r="M1017" s="70"/>
      <c r="N1017" s="70" t="s">
        <v>40</v>
      </c>
      <c r="O1017" s="70" t="s">
        <v>40</v>
      </c>
      <c r="P1017" s="70" t="s">
        <v>40</v>
      </c>
      <c r="Q1017" s="70"/>
      <c r="R1017" s="70" t="s">
        <v>40</v>
      </c>
      <c r="S1017" s="70" t="s">
        <v>40</v>
      </c>
      <c r="T1017" s="70" t="s">
        <v>40</v>
      </c>
      <c r="U1017" s="70" t="s">
        <v>40</v>
      </c>
      <c r="V1017" s="70" t="s">
        <v>40</v>
      </c>
      <c r="W1017" s="70"/>
      <c r="X1017" s="70" t="s">
        <v>40</v>
      </c>
      <c r="Y1017" s="70" t="s">
        <v>40</v>
      </c>
      <c r="Z1017" s="70" t="s">
        <v>40</v>
      </c>
      <c r="AA1017" s="70" t="s">
        <v>40</v>
      </c>
      <c r="AB1017" s="70" t="s">
        <v>40</v>
      </c>
      <c r="AC1017" s="124" t="s">
        <v>305</v>
      </c>
      <c r="AD1017" s="97">
        <f>+D1007</f>
        <v>5590007.3099999996</v>
      </c>
      <c r="AE1017" s="97">
        <f>+E1007</f>
        <v>5590007.3099999996</v>
      </c>
      <c r="AF1017" s="97">
        <f>+F1007</f>
        <v>0</v>
      </c>
      <c r="AG1017" s="97">
        <f>+AE1017+AF1017</f>
        <v>5590007.3099999996</v>
      </c>
      <c r="AH1017" s="97">
        <f>+L1007</f>
        <v>0</v>
      </c>
      <c r="AI1017" s="97">
        <f>+AG1017+AH1017</f>
        <v>5590007.3099999996</v>
      </c>
      <c r="AJ1017" s="97">
        <f>+O1007</f>
        <v>0</v>
      </c>
      <c r="AK1017" s="97">
        <f>+P1007</f>
        <v>0</v>
      </c>
      <c r="AL1017" s="97">
        <f>+AJ1017+AK1017</f>
        <v>0</v>
      </c>
      <c r="AM1017" s="97">
        <f>+V1007</f>
        <v>0</v>
      </c>
      <c r="AN1017" s="97">
        <f>+AL1007+AM1007</f>
        <v>0</v>
      </c>
      <c r="AO1017" s="97">
        <f>+AG1017+AL1017</f>
        <v>5590007.3099999996</v>
      </c>
      <c r="AP1017" s="94">
        <f>+Z1007</f>
        <v>0</v>
      </c>
      <c r="AQ1017" s="94">
        <f>+AD1017-AI1017-AN1017</f>
        <v>0</v>
      </c>
    </row>
    <row r="1018" spans="1:43" x14ac:dyDescent="0.25">
      <c r="A1018" s="46"/>
      <c r="B1018" s="26"/>
      <c r="C1018" s="4"/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49" t="s">
        <v>289</v>
      </c>
      <c r="AD1018" s="94">
        <f>+D985</f>
        <v>2000000</v>
      </c>
      <c r="AE1018" s="94">
        <f>E985</f>
        <v>0</v>
      </c>
      <c r="AF1018" s="94">
        <f>F985</f>
        <v>0</v>
      </c>
      <c r="AG1018" s="94">
        <f>+AE1018+AF1018</f>
        <v>0</v>
      </c>
      <c r="AH1018" s="94">
        <f>L985</f>
        <v>0</v>
      </c>
      <c r="AI1018" s="94">
        <f>+AG985</f>
        <v>0</v>
      </c>
      <c r="AJ1018" s="94">
        <f>O985</f>
        <v>2000000</v>
      </c>
      <c r="AK1018" s="94">
        <f>P985</f>
        <v>0</v>
      </c>
      <c r="AL1018" s="94">
        <f>+AJ1018+AK1018</f>
        <v>2000000</v>
      </c>
      <c r="AM1018" s="94">
        <f>V985</f>
        <v>0</v>
      </c>
      <c r="AN1018" s="94">
        <f>+AL1018+AM1018</f>
        <v>2000000</v>
      </c>
      <c r="AO1018" s="97">
        <f t="shared" ref="AO1018:AO1025" si="342">+AG1018+AL1018</f>
        <v>2000000</v>
      </c>
      <c r="AP1018" s="94">
        <f>+AD985-AO985</f>
        <v>0</v>
      </c>
      <c r="AQ1018" s="94">
        <f>+AD1018-AI1018-AN1018</f>
        <v>0</v>
      </c>
    </row>
    <row r="1019" spans="1:43" x14ac:dyDescent="0.25">
      <c r="A1019" s="46">
        <v>114</v>
      </c>
      <c r="B1019" s="35" t="s">
        <v>117</v>
      </c>
      <c r="C1019" s="3" t="s">
        <v>35</v>
      </c>
      <c r="D1019" s="67">
        <v>15419478.67</v>
      </c>
      <c r="E1019" s="67">
        <v>0</v>
      </c>
      <c r="F1019" s="68"/>
      <c r="G1019" s="68"/>
      <c r="H1019" s="67">
        <f>E1019+F1019</f>
        <v>0</v>
      </c>
      <c r="I1019" s="68"/>
      <c r="J1019" s="68"/>
      <c r="K1019" s="68"/>
      <c r="L1019" s="67"/>
      <c r="M1019" s="67"/>
      <c r="N1019" s="67">
        <f>H1019+L1019</f>
        <v>0</v>
      </c>
      <c r="O1019" s="67">
        <v>0</v>
      </c>
      <c r="P1019" s="68"/>
      <c r="Q1019" s="68"/>
      <c r="R1019" s="68"/>
      <c r="S1019" s="68"/>
      <c r="T1019" s="68"/>
      <c r="U1019" s="68"/>
      <c r="V1019" s="67"/>
      <c r="W1019" s="67"/>
      <c r="X1019" s="67">
        <f>R1019+V1019</f>
        <v>0</v>
      </c>
      <c r="Y1019" s="67">
        <f>R1019+H1019</f>
        <v>0</v>
      </c>
      <c r="Z1019" s="67">
        <f>D1019-Y1019</f>
        <v>15419478.67</v>
      </c>
      <c r="AA1019" s="67">
        <f>N1019+X1019</f>
        <v>0</v>
      </c>
      <c r="AB1019" s="67">
        <f>+D1019-N1019-X1019</f>
        <v>15419478.67</v>
      </c>
      <c r="AC1019" s="49" t="s">
        <v>47</v>
      </c>
      <c r="AD1019" s="94">
        <f>D983+D991+D1000+D1006+D1012+D1019</f>
        <v>88578111.290000007</v>
      </c>
      <c r="AE1019" s="94">
        <f>E983+E991+E1000+E1006+E1012+E1019</f>
        <v>0</v>
      </c>
      <c r="AF1019" s="94">
        <f>F983+F991+F1000+F1006+F1012+F1019</f>
        <v>0</v>
      </c>
      <c r="AG1019" s="94">
        <f>+AE1019+AF1019</f>
        <v>0</v>
      </c>
      <c r="AH1019" s="94">
        <f>L983+L991+L1000+L1006+L1012+L1019</f>
        <v>0</v>
      </c>
      <c r="AI1019" s="94">
        <f>+AG1019+AH1019</f>
        <v>0</v>
      </c>
      <c r="AJ1019" s="94">
        <f>O983+O991+O1000+O1006+O1012+O1019</f>
        <v>0</v>
      </c>
      <c r="AK1019" s="94">
        <f>P983+P991+P1000+P1006+P1012+P1019</f>
        <v>0</v>
      </c>
      <c r="AL1019" s="94">
        <f>+AJ1019+AK1019</f>
        <v>0</v>
      </c>
      <c r="AM1019" s="94">
        <f>V983+V991+V1000+V1006+V1012+V1019</f>
        <v>0</v>
      </c>
      <c r="AN1019" s="94">
        <f>+AL1019+AM1019</f>
        <v>0</v>
      </c>
      <c r="AO1019" s="97">
        <f t="shared" si="342"/>
        <v>0</v>
      </c>
      <c r="AP1019" s="94">
        <f>+AD1019-AO1019</f>
        <v>88578111.290000007</v>
      </c>
      <c r="AQ1019" s="94">
        <f>+AD1019-AI1019-AN1019</f>
        <v>88578111.290000007</v>
      </c>
    </row>
    <row r="1020" spans="1:43" x14ac:dyDescent="0.25">
      <c r="A1020" s="46"/>
      <c r="B1020" s="26"/>
      <c r="C1020" s="3" t="s">
        <v>36</v>
      </c>
      <c r="D1020" s="67">
        <v>2236989.6</v>
      </c>
      <c r="E1020" s="67">
        <v>2236989.6</v>
      </c>
      <c r="F1020" s="68"/>
      <c r="G1020" s="68"/>
      <c r="H1020" s="67">
        <f>E1020+F1020</f>
        <v>2236989.6</v>
      </c>
      <c r="I1020" s="68"/>
      <c r="J1020" s="68"/>
      <c r="K1020" s="68"/>
      <c r="L1020" s="67"/>
      <c r="M1020" s="67"/>
      <c r="N1020" s="67">
        <f>H1020+L1020</f>
        <v>2236989.6</v>
      </c>
      <c r="O1020" s="67">
        <v>0</v>
      </c>
      <c r="P1020" s="68"/>
      <c r="Q1020" s="68"/>
      <c r="R1020" s="68"/>
      <c r="S1020" s="68"/>
      <c r="T1020" s="68"/>
      <c r="U1020" s="68"/>
      <c r="V1020" s="67"/>
      <c r="W1020" s="67"/>
      <c r="X1020" s="67">
        <f>R1020+V1020</f>
        <v>0</v>
      </c>
      <c r="Y1020" s="67">
        <f>R1020+H1020</f>
        <v>2236989.6</v>
      </c>
      <c r="Z1020" s="67">
        <f>D1020-Y1020</f>
        <v>0</v>
      </c>
      <c r="AA1020" s="67">
        <f>N1020+X1020</f>
        <v>2236989.6</v>
      </c>
      <c r="AB1020" s="67">
        <f>+D1020-N1020-X1020</f>
        <v>0</v>
      </c>
      <c r="AC1020" s="49" t="s">
        <v>36</v>
      </c>
      <c r="AD1020" s="94">
        <f>D984+D992+D1001+D1013+D1020</f>
        <v>8196724.1600000001</v>
      </c>
      <c r="AE1020" s="94">
        <f>E984+E992+E1001+E1013+E1020</f>
        <v>8196724.1600000001</v>
      </c>
      <c r="AF1020" s="94">
        <f>F984+F992+F1001+F1013+F1020</f>
        <v>0</v>
      </c>
      <c r="AG1020" s="94">
        <f t="shared" ref="AG1020:AG1025" si="343">+AE1020+AF1020</f>
        <v>8196724.1600000001</v>
      </c>
      <c r="AH1020" s="94">
        <f>L984+L992+L1001+L1013+L1020</f>
        <v>0</v>
      </c>
      <c r="AI1020" s="94">
        <f t="shared" ref="AI1020:AI1025" si="344">+AG1020+AH1020</f>
        <v>8196724.1600000001</v>
      </c>
      <c r="AJ1020" s="94">
        <f>O984+O992+O1001+O1013+O1020</f>
        <v>0</v>
      </c>
      <c r="AK1020" s="94">
        <f>P984+P992+P1001+P1013+P1020</f>
        <v>0</v>
      </c>
      <c r="AL1020" s="94">
        <f t="shared" ref="AL1020:AL1025" si="345">+AJ1020+AK1020</f>
        <v>0</v>
      </c>
      <c r="AM1020" s="94">
        <f>V984+V992+V1001+V1013+V1020</f>
        <v>0</v>
      </c>
      <c r="AN1020" s="94">
        <f t="shared" ref="AN1020:AN1025" si="346">+AL1020+AM1020</f>
        <v>0</v>
      </c>
      <c r="AO1020" s="97">
        <f t="shared" si="342"/>
        <v>8196724.1600000001</v>
      </c>
      <c r="AP1020" s="94">
        <f t="shared" ref="AP1020:AP1025" si="347">+AD1020-AO1020</f>
        <v>0</v>
      </c>
      <c r="AQ1020" s="94">
        <f t="shared" ref="AQ1020:AQ1025" si="348">+AD1020-AI1020-AN1020</f>
        <v>0</v>
      </c>
    </row>
    <row r="1021" spans="1:43" x14ac:dyDescent="0.25">
      <c r="A1021" s="46"/>
      <c r="B1021" s="26"/>
      <c r="C1021" s="3" t="s">
        <v>37</v>
      </c>
      <c r="D1021" s="67">
        <v>616947.12</v>
      </c>
      <c r="E1021" s="67">
        <v>0</v>
      </c>
      <c r="F1021" s="68"/>
      <c r="G1021" s="68"/>
      <c r="H1021" s="67">
        <f>E1021+F1021</f>
        <v>0</v>
      </c>
      <c r="I1021" s="68"/>
      <c r="J1021" s="68"/>
      <c r="K1021" s="68"/>
      <c r="L1021" s="67"/>
      <c r="M1021" s="67"/>
      <c r="N1021" s="67">
        <f>H1021+L1021</f>
        <v>0</v>
      </c>
      <c r="O1021" s="67">
        <v>0</v>
      </c>
      <c r="P1021" s="68"/>
      <c r="Q1021" s="68"/>
      <c r="R1021" s="68"/>
      <c r="S1021" s="68"/>
      <c r="T1021" s="68"/>
      <c r="U1021" s="68"/>
      <c r="V1021" s="67"/>
      <c r="W1021" s="67"/>
      <c r="X1021" s="67">
        <f>R1021+V1021</f>
        <v>0</v>
      </c>
      <c r="Y1021" s="67">
        <f>R1021+H1021</f>
        <v>0</v>
      </c>
      <c r="Z1021" s="67">
        <f>D1021-Y1021</f>
        <v>616947.12</v>
      </c>
      <c r="AA1021" s="67">
        <f>N1021+X1021</f>
        <v>0</v>
      </c>
      <c r="AB1021" s="67">
        <f>+D1021-N1021-X1021</f>
        <v>616947.12</v>
      </c>
      <c r="AC1021" s="49" t="s">
        <v>38</v>
      </c>
      <c r="AD1021" s="94">
        <f>D986+D994+D1022</f>
        <v>8258551.0300000003</v>
      </c>
      <c r="AE1021" s="94">
        <f>E986+E994+E1022</f>
        <v>0</v>
      </c>
      <c r="AF1021" s="94">
        <f>F986+F994+F1022</f>
        <v>0</v>
      </c>
      <c r="AG1021" s="94">
        <f t="shared" si="343"/>
        <v>0</v>
      </c>
      <c r="AH1021" s="94">
        <f>L986+L994+L1022</f>
        <v>0</v>
      </c>
      <c r="AI1021" s="94">
        <f t="shared" si="344"/>
        <v>0</v>
      </c>
      <c r="AJ1021" s="94">
        <f>O986+O994+O1022</f>
        <v>0</v>
      </c>
      <c r="AK1021" s="94">
        <f>P986+P994+P1022</f>
        <v>0</v>
      </c>
      <c r="AL1021" s="94">
        <f t="shared" si="345"/>
        <v>0</v>
      </c>
      <c r="AM1021" s="94">
        <f>V986+V994+V1022</f>
        <v>0</v>
      </c>
      <c r="AN1021" s="94">
        <f t="shared" si="346"/>
        <v>0</v>
      </c>
      <c r="AO1021" s="97">
        <f t="shared" si="342"/>
        <v>0</v>
      </c>
      <c r="AP1021" s="94">
        <f t="shared" si="347"/>
        <v>8258551.0300000003</v>
      </c>
      <c r="AQ1021" s="94">
        <f t="shared" si="348"/>
        <v>8258551.0300000003</v>
      </c>
    </row>
    <row r="1022" spans="1:43" x14ac:dyDescent="0.25">
      <c r="A1022" s="46"/>
      <c r="B1022" s="26"/>
      <c r="C1022" s="3" t="s">
        <v>38</v>
      </c>
      <c r="D1022" s="67">
        <v>89037.98</v>
      </c>
      <c r="E1022" s="67">
        <v>0</v>
      </c>
      <c r="F1022" s="68"/>
      <c r="G1022" s="68"/>
      <c r="H1022" s="67">
        <f>E1022+F1022</f>
        <v>0</v>
      </c>
      <c r="I1022" s="68"/>
      <c r="J1022" s="68"/>
      <c r="K1022" s="68"/>
      <c r="L1022" s="67"/>
      <c r="M1022" s="67"/>
      <c r="N1022" s="67">
        <f>H1022+L1022</f>
        <v>0</v>
      </c>
      <c r="O1022" s="67">
        <v>0</v>
      </c>
      <c r="P1022" s="68"/>
      <c r="Q1022" s="68"/>
      <c r="R1022" s="68"/>
      <c r="S1022" s="68"/>
      <c r="T1022" s="68"/>
      <c r="U1022" s="68"/>
      <c r="V1022" s="67"/>
      <c r="W1022" s="67"/>
      <c r="X1022" s="67">
        <f>R1022+V1022</f>
        <v>0</v>
      </c>
      <c r="Y1022" s="67">
        <f>R1022+H1022</f>
        <v>0</v>
      </c>
      <c r="Z1022" s="67">
        <f>D1022-Y1022</f>
        <v>89037.98</v>
      </c>
      <c r="AA1022" s="67">
        <f>N1022+X1022</f>
        <v>0</v>
      </c>
      <c r="AB1022" s="67">
        <f>+D1022-N1022-X1022</f>
        <v>89037.98</v>
      </c>
      <c r="AC1022" s="49" t="s">
        <v>53</v>
      </c>
      <c r="AD1022" s="94">
        <f>+D993</f>
        <v>6966507.5800000001</v>
      </c>
      <c r="AE1022" s="94">
        <f>+E993</f>
        <v>0</v>
      </c>
      <c r="AF1022" s="94">
        <f>+F993</f>
        <v>0</v>
      </c>
      <c r="AG1022" s="94">
        <f t="shared" si="343"/>
        <v>0</v>
      </c>
      <c r="AH1022" s="94">
        <f>+L993</f>
        <v>0</v>
      </c>
      <c r="AI1022" s="94">
        <f t="shared" si="344"/>
        <v>0</v>
      </c>
      <c r="AJ1022" s="94">
        <f>+O993</f>
        <v>493855.1</v>
      </c>
      <c r="AK1022" s="94">
        <f>+P993</f>
        <v>0</v>
      </c>
      <c r="AL1022" s="94">
        <f t="shared" si="345"/>
        <v>493855.1</v>
      </c>
      <c r="AM1022" s="94">
        <f>+V993</f>
        <v>0</v>
      </c>
      <c r="AN1022" s="94">
        <f t="shared" si="346"/>
        <v>493855.1</v>
      </c>
      <c r="AO1022" s="97">
        <f t="shared" si="342"/>
        <v>493855.1</v>
      </c>
      <c r="AP1022" s="94">
        <f t="shared" si="347"/>
        <v>6472652.4800000004</v>
      </c>
      <c r="AQ1022" s="94">
        <f t="shared" si="348"/>
        <v>6472652.4800000004</v>
      </c>
    </row>
    <row r="1023" spans="1:43" x14ac:dyDescent="0.25">
      <c r="A1023" s="46"/>
      <c r="B1023" s="26"/>
      <c r="C1023" s="4"/>
      <c r="D1023" s="70" t="s">
        <v>40</v>
      </c>
      <c r="E1023" s="70" t="s">
        <v>40</v>
      </c>
      <c r="F1023" s="70" t="s">
        <v>40</v>
      </c>
      <c r="G1023" s="70"/>
      <c r="H1023" s="70" t="s">
        <v>40</v>
      </c>
      <c r="I1023" s="70" t="s">
        <v>40</v>
      </c>
      <c r="J1023" s="70" t="s">
        <v>40</v>
      </c>
      <c r="K1023" s="70" t="s">
        <v>40</v>
      </c>
      <c r="L1023" s="70" t="s">
        <v>40</v>
      </c>
      <c r="M1023" s="70"/>
      <c r="N1023" s="70" t="s">
        <v>40</v>
      </c>
      <c r="O1023" s="70" t="s">
        <v>40</v>
      </c>
      <c r="P1023" s="70" t="s">
        <v>40</v>
      </c>
      <c r="Q1023" s="70"/>
      <c r="R1023" s="70" t="s">
        <v>40</v>
      </c>
      <c r="S1023" s="70" t="s">
        <v>40</v>
      </c>
      <c r="T1023" s="70" t="s">
        <v>40</v>
      </c>
      <c r="U1023" s="70" t="s">
        <v>40</v>
      </c>
      <c r="V1023" s="70" t="s">
        <v>40</v>
      </c>
      <c r="W1023" s="70"/>
      <c r="X1023" s="70" t="s">
        <v>40</v>
      </c>
      <c r="Y1023" s="70" t="s">
        <v>40</v>
      </c>
      <c r="Z1023" s="70" t="s">
        <v>40</v>
      </c>
      <c r="AA1023" s="70" t="s">
        <v>40</v>
      </c>
      <c r="AB1023" s="70" t="s">
        <v>40</v>
      </c>
      <c r="AC1023" s="49" t="s">
        <v>54</v>
      </c>
      <c r="AD1023" s="94">
        <f>+D995</f>
        <v>5096366.7699999996</v>
      </c>
      <c r="AE1023" s="94">
        <f>+E995</f>
        <v>0</v>
      </c>
      <c r="AF1023" s="94">
        <f>+F995</f>
        <v>0</v>
      </c>
      <c r="AG1023" s="94">
        <f t="shared" si="343"/>
        <v>0</v>
      </c>
      <c r="AH1023" s="94">
        <f>+L995</f>
        <v>0</v>
      </c>
      <c r="AI1023" s="94">
        <f t="shared" si="344"/>
        <v>0</v>
      </c>
      <c r="AJ1023" s="94">
        <f>+O995</f>
        <v>5096366.7699999996</v>
      </c>
      <c r="AK1023" s="94">
        <f>+P995</f>
        <v>0</v>
      </c>
      <c r="AL1023" s="94">
        <f t="shared" si="345"/>
        <v>5096366.7699999996</v>
      </c>
      <c r="AM1023" s="94">
        <f>+V995</f>
        <v>0</v>
      </c>
      <c r="AN1023" s="94">
        <f t="shared" si="346"/>
        <v>5096366.7699999996</v>
      </c>
      <c r="AO1023" s="97">
        <f t="shared" si="342"/>
        <v>5096366.7699999996</v>
      </c>
      <c r="AP1023" s="94">
        <f t="shared" si="347"/>
        <v>0</v>
      </c>
      <c r="AQ1023" s="94">
        <f t="shared" si="348"/>
        <v>0</v>
      </c>
    </row>
    <row r="1024" spans="1:43" x14ac:dyDescent="0.25">
      <c r="A1024" s="46"/>
      <c r="B1024" s="26"/>
      <c r="C1024" s="4"/>
      <c r="D1024" s="67">
        <f t="shared" ref="D1024:AB1024" si="349">SUM(D1019:D1022)</f>
        <v>18362453.370000001</v>
      </c>
      <c r="E1024" s="67">
        <f t="shared" si="349"/>
        <v>2236989.6</v>
      </c>
      <c r="F1024" s="67">
        <f t="shared" si="349"/>
        <v>0</v>
      </c>
      <c r="G1024" s="67"/>
      <c r="H1024" s="67">
        <f t="shared" si="349"/>
        <v>2236989.6</v>
      </c>
      <c r="I1024" s="67">
        <f t="shared" si="349"/>
        <v>0</v>
      </c>
      <c r="J1024" s="67">
        <f t="shared" si="349"/>
        <v>0</v>
      </c>
      <c r="K1024" s="67">
        <f t="shared" si="349"/>
        <v>0</v>
      </c>
      <c r="L1024" s="67">
        <f t="shared" si="349"/>
        <v>0</v>
      </c>
      <c r="M1024" s="67"/>
      <c r="N1024" s="67">
        <f t="shared" si="349"/>
        <v>2236989.6</v>
      </c>
      <c r="O1024" s="67">
        <f t="shared" si="349"/>
        <v>0</v>
      </c>
      <c r="P1024" s="67">
        <f t="shared" si="349"/>
        <v>0</v>
      </c>
      <c r="Q1024" s="67"/>
      <c r="R1024" s="67">
        <f t="shared" si="349"/>
        <v>0</v>
      </c>
      <c r="S1024" s="67">
        <f t="shared" si="349"/>
        <v>0</v>
      </c>
      <c r="T1024" s="67">
        <f t="shared" si="349"/>
        <v>0</v>
      </c>
      <c r="U1024" s="67">
        <f t="shared" si="349"/>
        <v>0</v>
      </c>
      <c r="V1024" s="67">
        <f t="shared" si="349"/>
        <v>0</v>
      </c>
      <c r="W1024" s="67"/>
      <c r="X1024" s="67">
        <f t="shared" si="349"/>
        <v>0</v>
      </c>
      <c r="Y1024" s="67">
        <f t="shared" si="349"/>
        <v>2236989.6</v>
      </c>
      <c r="Z1024" s="67">
        <f t="shared" si="349"/>
        <v>16125463.77</v>
      </c>
      <c r="AA1024" s="67">
        <f t="shared" si="349"/>
        <v>2236989.6</v>
      </c>
      <c r="AB1024" s="67">
        <f t="shared" si="349"/>
        <v>16125463.77</v>
      </c>
      <c r="AC1024" s="49" t="s">
        <v>44</v>
      </c>
      <c r="AD1024" s="94">
        <f>+D1014</f>
        <v>17250000</v>
      </c>
      <c r="AE1024" s="94">
        <f>+E1014</f>
        <v>17250000</v>
      </c>
      <c r="AF1024" s="94">
        <f>+F1014</f>
        <v>0</v>
      </c>
      <c r="AG1024" s="94">
        <f t="shared" si="343"/>
        <v>17250000</v>
      </c>
      <c r="AH1024" s="94">
        <f>+L1014</f>
        <v>0</v>
      </c>
      <c r="AI1024" s="94">
        <f t="shared" si="344"/>
        <v>17250000</v>
      </c>
      <c r="AJ1024" s="94">
        <f>+O1014</f>
        <v>0</v>
      </c>
      <c r="AK1024" s="94">
        <f>+P1014</f>
        <v>0</v>
      </c>
      <c r="AL1024" s="94">
        <f t="shared" si="345"/>
        <v>0</v>
      </c>
      <c r="AM1024" s="94">
        <f>+V1014</f>
        <v>0</v>
      </c>
      <c r="AN1024" s="94">
        <f t="shared" si="346"/>
        <v>0</v>
      </c>
      <c r="AO1024" s="97">
        <f t="shared" si="342"/>
        <v>17250000</v>
      </c>
      <c r="AP1024" s="94">
        <f t="shared" si="347"/>
        <v>0</v>
      </c>
      <c r="AQ1024" s="94">
        <f t="shared" si="348"/>
        <v>0</v>
      </c>
    </row>
    <row r="1025" spans="1:43" x14ac:dyDescent="0.25">
      <c r="A1025" s="46"/>
      <c r="B1025" s="26"/>
      <c r="C1025" s="4"/>
      <c r="D1025" s="70" t="s">
        <v>40</v>
      </c>
      <c r="E1025" s="70" t="s">
        <v>40</v>
      </c>
      <c r="F1025" s="70" t="s">
        <v>40</v>
      </c>
      <c r="G1025" s="70"/>
      <c r="H1025" s="70" t="s">
        <v>40</v>
      </c>
      <c r="I1025" s="70" t="s">
        <v>40</v>
      </c>
      <c r="J1025" s="70" t="s">
        <v>40</v>
      </c>
      <c r="K1025" s="70" t="s">
        <v>40</v>
      </c>
      <c r="L1025" s="70" t="s">
        <v>40</v>
      </c>
      <c r="M1025" s="70"/>
      <c r="N1025" s="70" t="s">
        <v>40</v>
      </c>
      <c r="O1025" s="70" t="s">
        <v>40</v>
      </c>
      <c r="P1025" s="70" t="s">
        <v>40</v>
      </c>
      <c r="Q1025" s="70"/>
      <c r="R1025" s="70" t="s">
        <v>40</v>
      </c>
      <c r="S1025" s="70" t="s">
        <v>40</v>
      </c>
      <c r="T1025" s="70" t="s">
        <v>40</v>
      </c>
      <c r="U1025" s="70" t="s">
        <v>40</v>
      </c>
      <c r="V1025" s="70" t="s">
        <v>40</v>
      </c>
      <c r="W1025" s="70"/>
      <c r="X1025" s="70" t="s">
        <v>40</v>
      </c>
      <c r="Y1025" s="70" t="s">
        <v>40</v>
      </c>
      <c r="Z1025" s="70" t="s">
        <v>40</v>
      </c>
      <c r="AA1025" s="70" t="s">
        <v>40</v>
      </c>
      <c r="AB1025" s="70" t="s">
        <v>40</v>
      </c>
      <c r="AC1025" s="49" t="s">
        <v>183</v>
      </c>
      <c r="AD1025" s="94">
        <f>+D1021</f>
        <v>616947.12</v>
      </c>
      <c r="AE1025" s="94">
        <f>+E1021</f>
        <v>0</v>
      </c>
      <c r="AF1025" s="94">
        <f>+F1021</f>
        <v>0</v>
      </c>
      <c r="AG1025" s="94">
        <f t="shared" si="343"/>
        <v>0</v>
      </c>
      <c r="AH1025" s="94">
        <f>+H1021</f>
        <v>0</v>
      </c>
      <c r="AI1025" s="94">
        <f t="shared" si="344"/>
        <v>0</v>
      </c>
      <c r="AJ1025" s="94">
        <f>+O1021</f>
        <v>0</v>
      </c>
      <c r="AK1025" s="94">
        <f>+P1021</f>
        <v>0</v>
      </c>
      <c r="AL1025" s="94">
        <f t="shared" si="345"/>
        <v>0</v>
      </c>
      <c r="AM1025" s="94">
        <f>+V1021</f>
        <v>0</v>
      </c>
      <c r="AN1025" s="94">
        <f t="shared" si="346"/>
        <v>0</v>
      </c>
      <c r="AO1025" s="97">
        <f t="shared" si="342"/>
        <v>0</v>
      </c>
      <c r="AP1025" s="94">
        <f t="shared" si="347"/>
        <v>616947.12</v>
      </c>
      <c r="AQ1025" s="94">
        <f t="shared" si="348"/>
        <v>616947.12</v>
      </c>
    </row>
    <row r="1026" spans="1:43" x14ac:dyDescent="0.25">
      <c r="A1026" s="46"/>
      <c r="B1026" s="26"/>
      <c r="C1026" s="4"/>
      <c r="D1026" s="70"/>
      <c r="E1026" s="70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D1026" s="95">
        <f>SUM(AD1017:AD1025)</f>
        <v>142553215.25999999</v>
      </c>
      <c r="AE1026" s="95">
        <f t="shared" ref="AE1026:AQ1026" si="350">SUM(AE1017:AE1025)</f>
        <v>31036731.469999999</v>
      </c>
      <c r="AF1026" s="95">
        <f t="shared" si="350"/>
        <v>0</v>
      </c>
      <c r="AG1026" s="95">
        <f t="shared" si="350"/>
        <v>31036731.469999999</v>
      </c>
      <c r="AH1026" s="95">
        <f t="shared" si="350"/>
        <v>0</v>
      </c>
      <c r="AI1026" s="95">
        <f t="shared" si="350"/>
        <v>31036731.469999999</v>
      </c>
      <c r="AJ1026" s="95">
        <f t="shared" si="350"/>
        <v>7590221.8699999992</v>
      </c>
      <c r="AK1026" s="95">
        <f t="shared" si="350"/>
        <v>0</v>
      </c>
      <c r="AL1026" s="95">
        <f t="shared" si="350"/>
        <v>7590221.8699999992</v>
      </c>
      <c r="AM1026" s="95">
        <f t="shared" si="350"/>
        <v>0</v>
      </c>
      <c r="AN1026" s="95">
        <f t="shared" si="350"/>
        <v>7590221.8699999992</v>
      </c>
      <c r="AO1026" s="95">
        <f t="shared" si="350"/>
        <v>38626953.339999996</v>
      </c>
      <c r="AP1026" s="95">
        <f t="shared" si="350"/>
        <v>103926261.92000002</v>
      </c>
      <c r="AQ1026" s="95">
        <f t="shared" si="350"/>
        <v>103926261.92000002</v>
      </c>
    </row>
    <row r="1027" spans="1:43" x14ac:dyDescent="0.25">
      <c r="A1027" s="46"/>
      <c r="B1027" s="23" t="s">
        <v>26</v>
      </c>
      <c r="C1027" s="2" t="s">
        <v>118</v>
      </c>
      <c r="D1027" s="67">
        <f>D988+D997+D1003+D1009+D1016+D1024</f>
        <v>142553215.25999999</v>
      </c>
      <c r="E1027" s="67">
        <f>E988+E997+E1003+E1009+E1016+E1024</f>
        <v>31036731.469999999</v>
      </c>
      <c r="F1027" s="67">
        <f>+F1024+F1016+F1009+F1003+F997+F988</f>
        <v>0</v>
      </c>
      <c r="G1027" s="67"/>
      <c r="H1027" s="67">
        <f>H988+H997+H1003+H1006+H1016+H1024+H1009</f>
        <v>31036731.469999999</v>
      </c>
      <c r="I1027" s="67">
        <f>I988+I997+I1003+I1006+I1016+I1024</f>
        <v>0</v>
      </c>
      <c r="J1027" s="67">
        <f>J988+J997+J1003+J1006+J1016+J1024</f>
        <v>0</v>
      </c>
      <c r="K1027" s="67">
        <f>K988+K997+K1003+K1006+K1016+K1024</f>
        <v>0</v>
      </c>
      <c r="L1027" s="67">
        <f>L988+L997+L1003+L1006+L1016+L1024</f>
        <v>0</v>
      </c>
      <c r="M1027" s="67"/>
      <c r="N1027" s="67">
        <f>N988+N997+N1003+N1006+N1016+N1024+N1009</f>
        <v>31036731.469999999</v>
      </c>
      <c r="O1027" s="67" t="e">
        <f>O988+O997+O1003+O1006+O1016+O1024+O926</f>
        <v>#VALUE!</v>
      </c>
      <c r="P1027" s="67" t="e">
        <f>P988+P997+P1003+P1006+P1016+P1024+P926</f>
        <v>#VALUE!</v>
      </c>
      <c r="Q1027" s="67"/>
      <c r="R1027" s="67" t="e">
        <f>R988+R997+R1003+R1006+R1016+R1024+R926</f>
        <v>#VALUE!</v>
      </c>
      <c r="S1027" s="67">
        <f>S988+S997+S1003+S1006+S1016+S1024</f>
        <v>108127.75</v>
      </c>
      <c r="T1027" s="67">
        <f>T988+T997+T1003+T1006+T1016+T1024</f>
        <v>0</v>
      </c>
      <c r="U1027" s="67">
        <f>U988+U997+U1003+U1006+U1016+U1024</f>
        <v>0</v>
      </c>
      <c r="V1027" s="67" t="e">
        <f>V988+V997+V1003+V1006+V1016+V1024+V926</f>
        <v>#VALUE!</v>
      </c>
      <c r="W1027" s="67"/>
      <c r="X1027" s="67" t="e">
        <f>X988+X997+X1003+X1006+X1016+X1024+X926</f>
        <v>#VALUE!</v>
      </c>
      <c r="Y1027" s="67">
        <f>Y988+Y997+Y1003+Y1006+Y1016+Y1024+Y1009</f>
        <v>38626953.340000004</v>
      </c>
      <c r="Z1027" s="67">
        <f>Z988+Z997+Z1003+Z1009+Z1016+Z1024</f>
        <v>103926261.92</v>
      </c>
      <c r="AA1027" s="67">
        <f>AA988+AA997+AA1003+AA1006+AA1016+AA1024</f>
        <v>33036946.030000001</v>
      </c>
      <c r="AB1027" s="67">
        <f>AB988+AB997+AB1003+AB1009+AB1016+AB1024</f>
        <v>103926261.92</v>
      </c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</row>
    <row r="1028" spans="1:43" x14ac:dyDescent="0.25">
      <c r="A1028" s="46"/>
      <c r="B1028" s="26"/>
      <c r="C1028" s="4"/>
      <c r="D1028" s="70" t="s">
        <v>50</v>
      </c>
      <c r="E1028" s="70" t="s">
        <v>50</v>
      </c>
      <c r="F1028" s="70" t="s">
        <v>50</v>
      </c>
      <c r="G1028" s="70"/>
      <c r="H1028" s="70" t="s">
        <v>50</v>
      </c>
      <c r="I1028" s="70" t="s">
        <v>50</v>
      </c>
      <c r="J1028" s="70" t="s">
        <v>50</v>
      </c>
      <c r="K1028" s="70" t="s">
        <v>50</v>
      </c>
      <c r="L1028" s="70" t="s">
        <v>50</v>
      </c>
      <c r="M1028" s="70"/>
      <c r="N1028" s="70" t="s">
        <v>50</v>
      </c>
      <c r="O1028" s="70" t="s">
        <v>50</v>
      </c>
      <c r="P1028" s="70" t="s">
        <v>50</v>
      </c>
      <c r="Q1028" s="70"/>
      <c r="R1028" s="70" t="s">
        <v>50</v>
      </c>
      <c r="S1028" s="70" t="s">
        <v>50</v>
      </c>
      <c r="T1028" s="70" t="s">
        <v>50</v>
      </c>
      <c r="U1028" s="70" t="s">
        <v>50</v>
      </c>
      <c r="V1028" s="70" t="s">
        <v>50</v>
      </c>
      <c r="W1028" s="70"/>
      <c r="X1028" s="70" t="s">
        <v>50</v>
      </c>
      <c r="Y1028" s="70" t="s">
        <v>50</v>
      </c>
      <c r="Z1028" s="70" t="s">
        <v>50</v>
      </c>
      <c r="AA1028" s="70" t="s">
        <v>50</v>
      </c>
      <c r="AB1028" s="70" t="s">
        <v>50</v>
      </c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</row>
    <row r="1029" spans="1:43" x14ac:dyDescent="0.25">
      <c r="A1029" s="46"/>
      <c r="B1029" s="26"/>
      <c r="C1029" s="20"/>
      <c r="D1029" s="75"/>
      <c r="E1029" s="68"/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Z1029" s="68"/>
      <c r="AA1029" s="68"/>
      <c r="AB1029" s="68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</row>
    <row r="1030" spans="1:43" x14ac:dyDescent="0.25">
      <c r="A1030" s="46"/>
      <c r="B1030" s="26"/>
      <c r="C1030" s="4"/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</row>
    <row r="1031" spans="1:43" x14ac:dyDescent="0.25">
      <c r="A1031" s="46"/>
      <c r="B1031" s="26"/>
      <c r="C1031" s="4"/>
      <c r="D1031" s="68"/>
      <c r="E1031" s="68"/>
      <c r="F1031" s="68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</row>
    <row r="1032" spans="1:43" ht="19.5" x14ac:dyDescent="0.35">
      <c r="A1032" s="46"/>
      <c r="B1032" s="47" t="s">
        <v>119</v>
      </c>
      <c r="C1032" s="4"/>
      <c r="D1032" s="68"/>
      <c r="E1032" s="68"/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</row>
    <row r="1033" spans="1:43" x14ac:dyDescent="0.25">
      <c r="A1033" s="46"/>
      <c r="B1033" s="26"/>
      <c r="C1033" s="4"/>
      <c r="D1033" s="68"/>
      <c r="E1033" s="68"/>
      <c r="F1033" s="68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</row>
    <row r="1034" spans="1:43" x14ac:dyDescent="0.25">
      <c r="A1034" s="46">
        <v>115</v>
      </c>
      <c r="B1034" s="23" t="s">
        <v>120</v>
      </c>
      <c r="C1034" s="2" t="s">
        <v>35</v>
      </c>
      <c r="D1034" s="67">
        <f>22992441.19+12292580.29-433799.41-5677928.17</f>
        <v>29173293.900000006</v>
      </c>
      <c r="E1034" s="68">
        <v>12292580.289999999</v>
      </c>
      <c r="F1034" s="68"/>
      <c r="G1034" s="68"/>
      <c r="H1034" s="67">
        <f>E1034+F1034</f>
        <v>12292580.289999999</v>
      </c>
      <c r="I1034" s="68"/>
      <c r="J1034" s="68"/>
      <c r="K1034" s="68"/>
      <c r="L1034" s="67"/>
      <c r="M1034" s="67"/>
      <c r="N1034" s="67">
        <f>H1034+L1034</f>
        <v>12292580.289999999</v>
      </c>
      <c r="O1034" s="67">
        <f>4083142.2+4262160.9+2464.47+3536109.96</f>
        <v>11883877.530000001</v>
      </c>
      <c r="P1034" s="68"/>
      <c r="Q1034" s="68"/>
      <c r="R1034" s="67">
        <f>O1034+P1034</f>
        <v>11883877.530000001</v>
      </c>
      <c r="S1034" s="67">
        <f>4775535.9+618692.94-4775535.9+365854.34</f>
        <v>984547.27999999956</v>
      </c>
      <c r="T1034" s="68"/>
      <c r="U1034" s="68">
        <f>703679.47+432013.55+258755.27+297091.86+353626.22</f>
        <v>2045166.3699999999</v>
      </c>
      <c r="V1034" s="67"/>
      <c r="W1034" s="67"/>
      <c r="X1034" s="67">
        <f>R1034+V1034</f>
        <v>11883877.530000001</v>
      </c>
      <c r="Y1034" s="67">
        <f t="shared" ref="Y1034:Y1040" si="351">R1034+H1034</f>
        <v>24176457.82</v>
      </c>
      <c r="Z1034" s="67">
        <f t="shared" ref="Z1034:Z1040" si="352">D1034-Y1034</f>
        <v>4996836.0800000057</v>
      </c>
      <c r="AA1034" s="67">
        <f t="shared" ref="AA1034:AA1040" si="353">N1034+X1034</f>
        <v>24176457.82</v>
      </c>
      <c r="AB1034" s="67">
        <f t="shared" ref="AB1034:AB1040" si="354">+D1034-N1034-X1034</f>
        <v>4996836.0800000057</v>
      </c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</row>
    <row r="1035" spans="1:43" x14ac:dyDescent="0.25">
      <c r="A1035" s="46"/>
      <c r="B1035" s="26"/>
      <c r="C1035" s="3" t="s">
        <v>36</v>
      </c>
      <c r="D1035" s="67">
        <v>7128475.4699999997</v>
      </c>
      <c r="E1035" s="67">
        <f>1992783.47+5135692</f>
        <v>7128475.4699999997</v>
      </c>
      <c r="F1035" s="68"/>
      <c r="G1035" s="68"/>
      <c r="H1035" s="67">
        <f>E1035+F1035</f>
        <v>7128475.4699999997</v>
      </c>
      <c r="I1035" s="68"/>
      <c r="J1035" s="68"/>
      <c r="K1035" s="68"/>
      <c r="L1035" s="67"/>
      <c r="M1035" s="67"/>
      <c r="N1035" s="67">
        <f>H1035+L1035</f>
        <v>7128475.4699999997</v>
      </c>
      <c r="O1035" s="67">
        <v>0</v>
      </c>
      <c r="P1035" s="68"/>
      <c r="Q1035" s="68"/>
      <c r="R1035" s="67">
        <f>O1035+P1035</f>
        <v>0</v>
      </c>
      <c r="S1035" s="68"/>
      <c r="T1035" s="68"/>
      <c r="U1035" s="68"/>
      <c r="V1035" s="67"/>
      <c r="W1035" s="67"/>
      <c r="X1035" s="67">
        <f>R1035+V1035</f>
        <v>0</v>
      </c>
      <c r="Y1035" s="67">
        <f t="shared" si="351"/>
        <v>7128475.4699999997</v>
      </c>
      <c r="Z1035" s="67">
        <f t="shared" si="352"/>
        <v>0</v>
      </c>
      <c r="AA1035" s="67">
        <f t="shared" si="353"/>
        <v>7128475.4699999997</v>
      </c>
      <c r="AB1035" s="67">
        <f t="shared" si="354"/>
        <v>0</v>
      </c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</row>
    <row r="1036" spans="1:43" x14ac:dyDescent="0.25">
      <c r="A1036" s="4"/>
      <c r="B1036" s="4"/>
      <c r="C1036" s="4" t="s">
        <v>290</v>
      </c>
      <c r="D1036" s="55">
        <f>29918000+15000000</f>
        <v>44918000</v>
      </c>
      <c r="E1036" s="55">
        <v>15000000</v>
      </c>
      <c r="F1036" s="55"/>
      <c r="G1036" s="55"/>
      <c r="H1036" s="55">
        <f>+E1036+F1036</f>
        <v>15000000</v>
      </c>
      <c r="I1036" s="55"/>
      <c r="J1036" s="55"/>
      <c r="K1036" s="55"/>
      <c r="L1036" s="55"/>
      <c r="M1036" s="55"/>
      <c r="N1036" s="55">
        <f>+H1036+L1036</f>
        <v>15000000</v>
      </c>
      <c r="O1036" s="55">
        <v>0</v>
      </c>
      <c r="P1036" s="55"/>
      <c r="Q1036" s="55"/>
      <c r="R1036" s="55">
        <f>+O1036+P1036</f>
        <v>0</v>
      </c>
      <c r="S1036" s="55"/>
      <c r="T1036" s="55"/>
      <c r="U1036" s="55"/>
      <c r="V1036" s="55"/>
      <c r="W1036" s="55"/>
      <c r="X1036" s="55">
        <f>+R1036+V1036</f>
        <v>0</v>
      </c>
      <c r="Y1036" s="67">
        <f t="shared" si="351"/>
        <v>15000000</v>
      </c>
      <c r="Z1036" s="67">
        <f t="shared" si="352"/>
        <v>29918000</v>
      </c>
      <c r="AA1036" s="67">
        <f t="shared" si="353"/>
        <v>15000000</v>
      </c>
      <c r="AB1036" s="67">
        <f t="shared" si="354"/>
        <v>29918000</v>
      </c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</row>
    <row r="1037" spans="1:43" x14ac:dyDescent="0.25">
      <c r="C1037" s="4" t="s">
        <v>317</v>
      </c>
      <c r="D1037" s="55">
        <v>5677928.1699999999</v>
      </c>
      <c r="E1037" s="55">
        <v>5677928.1699999999</v>
      </c>
      <c r="F1037" s="55"/>
      <c r="G1037" s="55"/>
      <c r="H1037" s="55">
        <f>+E1037+F1037</f>
        <v>5677928.1699999999</v>
      </c>
      <c r="I1037" s="55"/>
      <c r="J1037" s="55"/>
      <c r="K1037" s="55"/>
      <c r="L1037" s="55"/>
      <c r="M1037" s="55"/>
      <c r="N1037" s="55">
        <f>+H1037+L1037</f>
        <v>5677928.1699999999</v>
      </c>
      <c r="O1037" s="55">
        <v>0</v>
      </c>
      <c r="P1037" s="55"/>
      <c r="Q1037" s="55"/>
      <c r="R1037" s="55">
        <f>+O1037+P1037</f>
        <v>0</v>
      </c>
      <c r="S1037" s="55"/>
      <c r="T1037" s="55"/>
      <c r="U1037" s="55"/>
      <c r="V1037" s="55"/>
      <c r="W1037" s="55"/>
      <c r="X1037" s="55">
        <f>+R1037+V1037</f>
        <v>0</v>
      </c>
      <c r="Y1037" s="67">
        <f t="shared" si="351"/>
        <v>5677928.1699999999</v>
      </c>
      <c r="Z1037" s="67">
        <f t="shared" si="352"/>
        <v>0</v>
      </c>
      <c r="AA1037" s="67">
        <f t="shared" si="353"/>
        <v>5677928.1699999999</v>
      </c>
      <c r="AB1037" s="67">
        <f t="shared" si="354"/>
        <v>0</v>
      </c>
    </row>
    <row r="1038" spans="1:43" x14ac:dyDescent="0.25">
      <c r="A1038" s="46"/>
      <c r="B1038" s="26"/>
      <c r="C1038" s="2" t="s">
        <v>37</v>
      </c>
      <c r="D1038" s="67">
        <f>8410809.3+433799.41</f>
        <v>8844608.7100000009</v>
      </c>
      <c r="E1038" s="67">
        <v>0</v>
      </c>
      <c r="F1038" s="68"/>
      <c r="G1038" s="68"/>
      <c r="H1038" s="67">
        <f>E1038+F1038</f>
        <v>0</v>
      </c>
      <c r="I1038" s="68"/>
      <c r="J1038" s="68"/>
      <c r="K1038" s="68"/>
      <c r="L1038" s="67"/>
      <c r="M1038" s="67"/>
      <c r="N1038" s="67">
        <f>H1038+L1038</f>
        <v>0</v>
      </c>
      <c r="O1038" s="67">
        <f>1761226.4+342250+855625+342250+782835.9+4760421.41</f>
        <v>8844608.7100000009</v>
      </c>
      <c r="P1038" s="68"/>
      <c r="Q1038" s="68"/>
      <c r="R1038" s="67">
        <f>O1038+P1038</f>
        <v>8844608.7100000009</v>
      </c>
      <c r="S1038" s="68">
        <f>345510+299468.75</f>
        <v>644978.75</v>
      </c>
      <c r="T1038" s="68"/>
      <c r="U1038" s="68">
        <v>80480.45</v>
      </c>
      <c r="V1038" s="67"/>
      <c r="W1038" s="67"/>
      <c r="X1038" s="67">
        <f>R1038+V1038</f>
        <v>8844608.7100000009</v>
      </c>
      <c r="Y1038" s="67">
        <f t="shared" si="351"/>
        <v>8844608.7100000009</v>
      </c>
      <c r="Z1038" s="67">
        <f t="shared" si="352"/>
        <v>0</v>
      </c>
      <c r="AA1038" s="67">
        <f t="shared" si="353"/>
        <v>8844608.7100000009</v>
      </c>
      <c r="AB1038" s="67">
        <f t="shared" si="354"/>
        <v>0</v>
      </c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</row>
    <row r="1039" spans="1:43" x14ac:dyDescent="0.25">
      <c r="A1039" s="46"/>
      <c r="B1039" s="26"/>
      <c r="C1039" s="8" t="s">
        <v>39</v>
      </c>
      <c r="D1039" s="67">
        <v>2159966.89</v>
      </c>
      <c r="E1039" s="67">
        <v>0</v>
      </c>
      <c r="F1039" s="68"/>
      <c r="G1039" s="68"/>
      <c r="H1039" s="67">
        <f>E1039+F1039</f>
        <v>0</v>
      </c>
      <c r="I1039" s="68"/>
      <c r="J1039" s="68"/>
      <c r="K1039" s="68"/>
      <c r="L1039" s="67"/>
      <c r="M1039" s="67"/>
      <c r="N1039" s="67">
        <f>H1039+L1039</f>
        <v>0</v>
      </c>
      <c r="O1039" s="67">
        <v>0</v>
      </c>
      <c r="P1039" s="68"/>
      <c r="Q1039" s="68"/>
      <c r="R1039" s="67">
        <f>O1039+P1039</f>
        <v>0</v>
      </c>
      <c r="S1039" s="68"/>
      <c r="T1039" s="68"/>
      <c r="U1039" s="68"/>
      <c r="V1039" s="67"/>
      <c r="W1039" s="67"/>
      <c r="X1039" s="67">
        <f>R1039+V1039</f>
        <v>0</v>
      </c>
      <c r="Y1039" s="67">
        <f t="shared" si="351"/>
        <v>0</v>
      </c>
      <c r="Z1039" s="67">
        <f t="shared" si="352"/>
        <v>2159966.89</v>
      </c>
      <c r="AA1039" s="67">
        <f t="shared" si="353"/>
        <v>0</v>
      </c>
      <c r="AB1039" s="67">
        <f t="shared" si="354"/>
        <v>2159966.89</v>
      </c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</row>
    <row r="1040" spans="1:43" x14ac:dyDescent="0.25">
      <c r="A1040" s="46"/>
      <c r="B1040" s="26"/>
      <c r="C1040" s="24" t="str">
        <f>+C897</f>
        <v>WB-RERP-STGNG AREA</v>
      </c>
      <c r="D1040" s="67">
        <v>10000000</v>
      </c>
      <c r="E1040" s="67">
        <v>5324323.1900000004</v>
      </c>
      <c r="F1040" s="68"/>
      <c r="G1040" s="68"/>
      <c r="H1040" s="67">
        <f>E1040+F1040</f>
        <v>5324323.1900000004</v>
      </c>
      <c r="I1040" s="68"/>
      <c r="J1040" s="68"/>
      <c r="K1040" s="68"/>
      <c r="L1040" s="67"/>
      <c r="M1040" s="67"/>
      <c r="N1040" s="67">
        <f>H1040+L1040</f>
        <v>5324323.1900000004</v>
      </c>
      <c r="O1040" s="67">
        <v>0</v>
      </c>
      <c r="P1040" s="68"/>
      <c r="Q1040" s="68"/>
      <c r="R1040" s="67">
        <f>O1040+P1040</f>
        <v>0</v>
      </c>
      <c r="S1040" s="68"/>
      <c r="T1040" s="68"/>
      <c r="U1040" s="68"/>
      <c r="V1040" s="67"/>
      <c r="W1040" s="67"/>
      <c r="X1040" s="67">
        <f>R1040+V1040</f>
        <v>0</v>
      </c>
      <c r="Y1040" s="67">
        <f t="shared" si="351"/>
        <v>5324323.1900000004</v>
      </c>
      <c r="Z1040" s="67">
        <f t="shared" si="352"/>
        <v>4675676.8099999996</v>
      </c>
      <c r="AA1040" s="67">
        <f t="shared" si="353"/>
        <v>5324323.1900000004</v>
      </c>
      <c r="AB1040" s="67">
        <f t="shared" si="354"/>
        <v>4675676.8099999996</v>
      </c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</row>
    <row r="1041" spans="1:43" x14ac:dyDescent="0.25">
      <c r="A1041" s="46"/>
      <c r="B1041" s="26"/>
      <c r="C1041" s="4"/>
      <c r="D1041" s="70" t="s">
        <v>40</v>
      </c>
      <c r="E1041" s="70" t="s">
        <v>40</v>
      </c>
      <c r="F1041" s="70" t="s">
        <v>40</v>
      </c>
      <c r="G1041" s="70"/>
      <c r="H1041" s="70" t="s">
        <v>40</v>
      </c>
      <c r="I1041" s="70" t="s">
        <v>40</v>
      </c>
      <c r="J1041" s="70" t="s">
        <v>40</v>
      </c>
      <c r="K1041" s="70" t="s">
        <v>40</v>
      </c>
      <c r="L1041" s="70" t="s">
        <v>40</v>
      </c>
      <c r="M1041" s="70"/>
      <c r="N1041" s="70" t="s">
        <v>40</v>
      </c>
      <c r="O1041" s="70" t="s">
        <v>40</v>
      </c>
      <c r="P1041" s="70" t="s">
        <v>40</v>
      </c>
      <c r="Q1041" s="70"/>
      <c r="R1041" s="70" t="s">
        <v>40</v>
      </c>
      <c r="S1041" s="70" t="s">
        <v>40</v>
      </c>
      <c r="T1041" s="70" t="s">
        <v>40</v>
      </c>
      <c r="U1041" s="70" t="s">
        <v>40</v>
      </c>
      <c r="V1041" s="70" t="s">
        <v>40</v>
      </c>
      <c r="W1041" s="70"/>
      <c r="X1041" s="70" t="s">
        <v>40</v>
      </c>
      <c r="Y1041" s="70" t="s">
        <v>40</v>
      </c>
      <c r="Z1041" s="70" t="s">
        <v>40</v>
      </c>
      <c r="AA1041" s="70" t="s">
        <v>40</v>
      </c>
      <c r="AB1041" s="70" t="s">
        <v>40</v>
      </c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</row>
    <row r="1042" spans="1:43" x14ac:dyDescent="0.25">
      <c r="A1042" s="46"/>
      <c r="B1042" s="26"/>
      <c r="C1042" s="4"/>
      <c r="D1042" s="67">
        <f>SUM(D1034:D1040)</f>
        <v>107902273.14</v>
      </c>
      <c r="E1042" s="67">
        <f>SUM(E1034:E1040)</f>
        <v>45423307.119999997</v>
      </c>
      <c r="F1042" s="67">
        <f>SUM(F1034:F1040)</f>
        <v>0</v>
      </c>
      <c r="G1042" s="67"/>
      <c r="H1042" s="67">
        <f>SUM(H1034:H1040)</f>
        <v>45423307.119999997</v>
      </c>
      <c r="I1042" s="67">
        <f>SUM(I1034:I1040)</f>
        <v>0</v>
      </c>
      <c r="J1042" s="67">
        <f>SUM(J1034:J1040)</f>
        <v>0</v>
      </c>
      <c r="K1042" s="67">
        <f>SUM(K1034:K1040)</f>
        <v>0</v>
      </c>
      <c r="L1042" s="67">
        <f>SUM(L1034:L1040)</f>
        <v>0</v>
      </c>
      <c r="M1042" s="67"/>
      <c r="N1042" s="67">
        <f>SUM(N1034:N1040)</f>
        <v>45423307.119999997</v>
      </c>
      <c r="O1042" s="67">
        <f>SUM(O1034:O1040)</f>
        <v>20728486.240000002</v>
      </c>
      <c r="P1042" s="67">
        <f>SUM(P1034:P1040)</f>
        <v>0</v>
      </c>
      <c r="Q1042" s="67"/>
      <c r="R1042" s="67">
        <f>SUM(R1034:R1040)</f>
        <v>20728486.240000002</v>
      </c>
      <c r="S1042" s="67">
        <f>SUM(S1034:S1040)</f>
        <v>1629526.0299999996</v>
      </c>
      <c r="T1042" s="67">
        <f>SUM(T1034:T1040)</f>
        <v>0</v>
      </c>
      <c r="U1042" s="67">
        <f>SUM(U1034:U1040)</f>
        <v>2125646.8199999998</v>
      </c>
      <c r="V1042" s="67">
        <f>SUM(V1034:V1040)</f>
        <v>0</v>
      </c>
      <c r="W1042" s="67"/>
      <c r="X1042" s="67">
        <f>SUM(X1034:X1040)</f>
        <v>20728486.240000002</v>
      </c>
      <c r="Y1042" s="67">
        <f>SUM(Y1034:Y1040)</f>
        <v>66151793.359999999</v>
      </c>
      <c r="Z1042" s="67">
        <f>SUM(Z1034:Z1040)</f>
        <v>41750479.780000009</v>
      </c>
      <c r="AA1042" s="67">
        <f>SUM(AA1034:AA1040)</f>
        <v>66151793.359999999</v>
      </c>
      <c r="AB1042" s="67">
        <f>SUM(AB1034:AB1040)</f>
        <v>41750479.780000009</v>
      </c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</row>
    <row r="1043" spans="1:43" x14ac:dyDescent="0.25">
      <c r="A1043" s="46"/>
      <c r="B1043" s="30"/>
      <c r="C1043" s="4"/>
      <c r="D1043" s="70" t="s">
        <v>40</v>
      </c>
      <c r="E1043" s="70" t="s">
        <v>40</v>
      </c>
      <c r="F1043" s="70" t="s">
        <v>40</v>
      </c>
      <c r="G1043" s="70"/>
      <c r="H1043" s="70" t="s">
        <v>40</v>
      </c>
      <c r="I1043" s="70" t="s">
        <v>40</v>
      </c>
      <c r="J1043" s="70" t="s">
        <v>40</v>
      </c>
      <c r="K1043" s="70" t="s">
        <v>40</v>
      </c>
      <c r="L1043" s="70" t="s">
        <v>40</v>
      </c>
      <c r="M1043" s="70"/>
      <c r="N1043" s="70" t="s">
        <v>40</v>
      </c>
      <c r="O1043" s="70" t="s">
        <v>40</v>
      </c>
      <c r="P1043" s="70" t="s">
        <v>40</v>
      </c>
      <c r="Q1043" s="70"/>
      <c r="R1043" s="70" t="s">
        <v>40</v>
      </c>
      <c r="S1043" s="70" t="s">
        <v>40</v>
      </c>
      <c r="T1043" s="70" t="s">
        <v>40</v>
      </c>
      <c r="U1043" s="70" t="s">
        <v>40</v>
      </c>
      <c r="V1043" s="70" t="s">
        <v>40</v>
      </c>
      <c r="W1043" s="70"/>
      <c r="X1043" s="70" t="s">
        <v>40</v>
      </c>
      <c r="Y1043" s="70" t="s">
        <v>40</v>
      </c>
      <c r="Z1043" s="70" t="s">
        <v>40</v>
      </c>
      <c r="AA1043" s="70" t="s">
        <v>40</v>
      </c>
      <c r="AB1043" s="70" t="s">
        <v>40</v>
      </c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</row>
    <row r="1044" spans="1:43" x14ac:dyDescent="0.25">
      <c r="A1044" s="46"/>
      <c r="B1044" s="30"/>
      <c r="C1044" s="4"/>
      <c r="D1044" s="70"/>
      <c r="E1044" s="70"/>
      <c r="F1044" s="70"/>
      <c r="G1044" s="70"/>
      <c r="H1044" s="70"/>
      <c r="I1044" s="70"/>
      <c r="J1044" s="70"/>
      <c r="K1044" s="70"/>
      <c r="L1044" s="70"/>
      <c r="M1044" s="70"/>
      <c r="N1044" s="70"/>
      <c r="O1044" s="129"/>
      <c r="P1044" s="105"/>
      <c r="Q1044" s="105"/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70"/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</row>
    <row r="1045" spans="1:43" x14ac:dyDescent="0.25">
      <c r="A1045" s="46">
        <v>116</v>
      </c>
      <c r="B1045" s="23" t="s">
        <v>121</v>
      </c>
      <c r="C1045" s="2" t="s">
        <v>35</v>
      </c>
      <c r="D1045" s="67">
        <v>89825556</v>
      </c>
      <c r="E1045" s="67">
        <v>0</v>
      </c>
      <c r="F1045" s="68"/>
      <c r="G1045" s="68"/>
      <c r="H1045" s="67">
        <f>E1045+F1045</f>
        <v>0</v>
      </c>
      <c r="I1045" s="68"/>
      <c r="J1045" s="68"/>
      <c r="K1045" s="68"/>
      <c r="L1045" s="67"/>
      <c r="M1045" s="67"/>
      <c r="N1045" s="67">
        <f>H1045+L1045</f>
        <v>0</v>
      </c>
      <c r="O1045" s="67">
        <v>0</v>
      </c>
      <c r="P1045" s="68"/>
      <c r="Q1045" s="68"/>
      <c r="R1045" s="67">
        <f>O1045+P1045</f>
        <v>0</v>
      </c>
      <c r="S1045" s="68"/>
      <c r="T1045" s="68"/>
      <c r="U1045" s="68"/>
      <c r="V1045" s="67"/>
      <c r="W1045" s="67"/>
      <c r="X1045" s="67">
        <f>R1045+V1045</f>
        <v>0</v>
      </c>
      <c r="Y1045" s="67">
        <f>R1045+H1045</f>
        <v>0</v>
      </c>
      <c r="Z1045" s="67">
        <f>D1045-Y1045</f>
        <v>89825556</v>
      </c>
      <c r="AA1045" s="67">
        <f>N1045+X1045</f>
        <v>0</v>
      </c>
      <c r="AB1045" s="67">
        <f>+D1045-N1045-X1045</f>
        <v>89825556</v>
      </c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</row>
    <row r="1046" spans="1:43" x14ac:dyDescent="0.25">
      <c r="A1046" s="46"/>
      <c r="B1046" s="26"/>
      <c r="C1046" s="3" t="s">
        <v>36</v>
      </c>
      <c r="D1046" s="67">
        <v>1250400.57</v>
      </c>
      <c r="E1046" s="67">
        <v>1250400.57</v>
      </c>
      <c r="F1046" s="68"/>
      <c r="G1046" s="68"/>
      <c r="H1046" s="67">
        <f>E1046+F1046</f>
        <v>1250400.57</v>
      </c>
      <c r="I1046" s="68"/>
      <c r="J1046" s="68"/>
      <c r="K1046" s="68"/>
      <c r="L1046" s="67"/>
      <c r="M1046" s="67"/>
      <c r="N1046" s="67">
        <f>H1046+L1046</f>
        <v>1250400.57</v>
      </c>
      <c r="O1046" s="67">
        <v>0</v>
      </c>
      <c r="P1046" s="68"/>
      <c r="Q1046" s="68"/>
      <c r="R1046" s="67">
        <f>O1046+P1046</f>
        <v>0</v>
      </c>
      <c r="S1046" s="68"/>
      <c r="T1046" s="68"/>
      <c r="U1046" s="68"/>
      <c r="V1046" s="67"/>
      <c r="W1046" s="67"/>
      <c r="X1046" s="67">
        <f>R1046+V1046</f>
        <v>0</v>
      </c>
      <c r="Y1046" s="67">
        <f>R1046+H1046</f>
        <v>1250400.57</v>
      </c>
      <c r="Z1046" s="67">
        <f>D1046-Y1046</f>
        <v>0</v>
      </c>
      <c r="AA1046" s="67">
        <f>N1046+X1046</f>
        <v>1250400.57</v>
      </c>
      <c r="AB1046" s="67">
        <f>+D1046-N1046-X1046</f>
        <v>0</v>
      </c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</row>
    <row r="1047" spans="1:43" x14ac:dyDescent="0.25">
      <c r="A1047" s="46"/>
      <c r="B1047" s="26"/>
      <c r="C1047" s="3" t="s">
        <v>54</v>
      </c>
      <c r="D1047" s="67">
        <v>0</v>
      </c>
      <c r="E1047" s="67">
        <v>0</v>
      </c>
      <c r="F1047" s="68">
        <v>0</v>
      </c>
      <c r="G1047" s="68"/>
      <c r="H1047" s="67">
        <f>E1047+F1047</f>
        <v>0</v>
      </c>
      <c r="I1047" s="68"/>
      <c r="J1047" s="68"/>
      <c r="K1047" s="68"/>
      <c r="L1047" s="67"/>
      <c r="M1047" s="67"/>
      <c r="N1047" s="67">
        <f>H1047+L1047</f>
        <v>0</v>
      </c>
      <c r="O1047" s="67">
        <v>0</v>
      </c>
      <c r="P1047" s="68"/>
      <c r="Q1047" s="68"/>
      <c r="R1047" s="67">
        <f>O1047+P1047</f>
        <v>0</v>
      </c>
      <c r="S1047" s="68"/>
      <c r="T1047" s="68"/>
      <c r="U1047" s="68"/>
      <c r="V1047" s="67"/>
      <c r="W1047" s="67"/>
      <c r="X1047" s="67">
        <f>R1047+V1047</f>
        <v>0</v>
      </c>
      <c r="Y1047" s="67">
        <f>R1047+H1047</f>
        <v>0</v>
      </c>
      <c r="Z1047" s="67">
        <f>D1047-Y1047</f>
        <v>0</v>
      </c>
      <c r="AA1047" s="67"/>
      <c r="AB1047" s="67">
        <f>+D1047-N1047-X1047</f>
        <v>0</v>
      </c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</row>
    <row r="1048" spans="1:43" x14ac:dyDescent="0.25">
      <c r="A1048" s="46"/>
      <c r="B1048" s="26"/>
      <c r="C1048" s="2" t="s">
        <v>37</v>
      </c>
      <c r="D1048" s="67">
        <v>7827235.29</v>
      </c>
      <c r="E1048" s="67">
        <v>0</v>
      </c>
      <c r="F1048" s="68"/>
      <c r="G1048" s="68"/>
      <c r="H1048" s="67">
        <f>E1048+F1048</f>
        <v>0</v>
      </c>
      <c r="I1048" s="68"/>
      <c r="J1048" s="68"/>
      <c r="K1048" s="68"/>
      <c r="L1048" s="67"/>
      <c r="M1048" s="67"/>
      <c r="N1048" s="67">
        <f>H1048+L1048</f>
        <v>0</v>
      </c>
      <c r="O1048" s="67">
        <v>0</v>
      </c>
      <c r="P1048" s="68"/>
      <c r="Q1048" s="68"/>
      <c r="R1048" s="67">
        <f>O1048+P1048</f>
        <v>0</v>
      </c>
      <c r="S1048" s="68"/>
      <c r="T1048" s="68"/>
      <c r="U1048" s="68"/>
      <c r="V1048" s="67"/>
      <c r="W1048" s="67"/>
      <c r="X1048" s="67">
        <f>R1048+V1048</f>
        <v>0</v>
      </c>
      <c r="Y1048" s="67">
        <f>R1048+H1048</f>
        <v>0</v>
      </c>
      <c r="Z1048" s="67">
        <f>D1048-Y1048</f>
        <v>7827235.29</v>
      </c>
      <c r="AA1048" s="67">
        <f>N1048+X1048</f>
        <v>0</v>
      </c>
      <c r="AB1048" s="67">
        <f>+D1048-N1048-X1048</f>
        <v>7827235.29</v>
      </c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</row>
    <row r="1049" spans="1:43" x14ac:dyDescent="0.25">
      <c r="A1049" s="46"/>
      <c r="B1049" s="26"/>
      <c r="C1049" s="8" t="s">
        <v>39</v>
      </c>
      <c r="D1049" s="67">
        <v>2148907.44</v>
      </c>
      <c r="E1049" s="67">
        <v>0</v>
      </c>
      <c r="F1049" s="68"/>
      <c r="G1049" s="68"/>
      <c r="H1049" s="67">
        <f>E1049+F1049</f>
        <v>0</v>
      </c>
      <c r="I1049" s="68"/>
      <c r="J1049" s="68"/>
      <c r="K1049" s="68"/>
      <c r="L1049" s="67"/>
      <c r="M1049" s="67"/>
      <c r="N1049" s="67">
        <f>H1049+L1049</f>
        <v>0</v>
      </c>
      <c r="O1049" s="67">
        <v>0</v>
      </c>
      <c r="P1049" s="68"/>
      <c r="Q1049" s="68"/>
      <c r="R1049" s="67">
        <f>O1049+P1049</f>
        <v>0</v>
      </c>
      <c r="S1049" s="68"/>
      <c r="T1049" s="68"/>
      <c r="U1049" s="68"/>
      <c r="V1049" s="67"/>
      <c r="W1049" s="67"/>
      <c r="X1049" s="67">
        <f>R1049+V1049</f>
        <v>0</v>
      </c>
      <c r="Y1049" s="67">
        <f>R1049+H1049</f>
        <v>0</v>
      </c>
      <c r="Z1049" s="67">
        <f>D1049-Y1049</f>
        <v>2148907.44</v>
      </c>
      <c r="AA1049" s="67">
        <f>N1049+X1049</f>
        <v>0</v>
      </c>
      <c r="AB1049" s="67">
        <f>+D1049-N1049-X1049</f>
        <v>2148907.44</v>
      </c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</row>
    <row r="1050" spans="1:43" x14ac:dyDescent="0.25">
      <c r="A1050" s="46"/>
      <c r="B1050" s="26"/>
      <c r="C1050" s="4"/>
      <c r="D1050" s="70" t="s">
        <v>40</v>
      </c>
      <c r="E1050" s="70" t="s">
        <v>40</v>
      </c>
      <c r="F1050" s="70" t="s">
        <v>40</v>
      </c>
      <c r="G1050" s="70"/>
      <c r="H1050" s="70" t="s">
        <v>40</v>
      </c>
      <c r="I1050" s="70" t="s">
        <v>40</v>
      </c>
      <c r="J1050" s="70" t="s">
        <v>40</v>
      </c>
      <c r="K1050" s="70" t="s">
        <v>40</v>
      </c>
      <c r="L1050" s="70" t="s">
        <v>40</v>
      </c>
      <c r="M1050" s="70"/>
      <c r="N1050" s="70" t="s">
        <v>40</v>
      </c>
      <c r="O1050" s="70" t="s">
        <v>40</v>
      </c>
      <c r="P1050" s="70" t="s">
        <v>40</v>
      </c>
      <c r="Q1050" s="70"/>
      <c r="R1050" s="70" t="s">
        <v>40</v>
      </c>
      <c r="S1050" s="70" t="s">
        <v>40</v>
      </c>
      <c r="T1050" s="70" t="s">
        <v>40</v>
      </c>
      <c r="U1050" s="70" t="s">
        <v>40</v>
      </c>
      <c r="V1050" s="70" t="s">
        <v>40</v>
      </c>
      <c r="W1050" s="70"/>
      <c r="X1050" s="70" t="s">
        <v>40</v>
      </c>
      <c r="Y1050" s="70" t="s">
        <v>40</v>
      </c>
      <c r="Z1050" s="70" t="s">
        <v>40</v>
      </c>
      <c r="AA1050" s="70" t="s">
        <v>40</v>
      </c>
      <c r="AB1050" s="70" t="s">
        <v>40</v>
      </c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</row>
    <row r="1051" spans="1:43" x14ac:dyDescent="0.25">
      <c r="A1051" s="46"/>
      <c r="B1051" s="26"/>
      <c r="C1051" s="4"/>
      <c r="D1051" s="67">
        <f t="shared" ref="D1051:AB1051" si="355">SUM(D1045:D1049)</f>
        <v>101052099.3</v>
      </c>
      <c r="E1051" s="67">
        <f t="shared" si="355"/>
        <v>1250400.57</v>
      </c>
      <c r="F1051" s="67">
        <f t="shared" si="355"/>
        <v>0</v>
      </c>
      <c r="G1051" s="67"/>
      <c r="H1051" s="67">
        <f t="shared" si="355"/>
        <v>1250400.57</v>
      </c>
      <c r="I1051" s="67">
        <f t="shared" si="355"/>
        <v>0</v>
      </c>
      <c r="J1051" s="67">
        <f t="shared" si="355"/>
        <v>0</v>
      </c>
      <c r="K1051" s="67">
        <f t="shared" si="355"/>
        <v>0</v>
      </c>
      <c r="L1051" s="67">
        <f t="shared" si="355"/>
        <v>0</v>
      </c>
      <c r="M1051" s="67"/>
      <c r="N1051" s="67">
        <f t="shared" si="355"/>
        <v>1250400.57</v>
      </c>
      <c r="O1051" s="67">
        <f t="shared" si="355"/>
        <v>0</v>
      </c>
      <c r="P1051" s="67">
        <f t="shared" si="355"/>
        <v>0</v>
      </c>
      <c r="Q1051" s="67"/>
      <c r="R1051" s="67">
        <f t="shared" si="355"/>
        <v>0</v>
      </c>
      <c r="S1051" s="67">
        <f t="shared" si="355"/>
        <v>0</v>
      </c>
      <c r="T1051" s="67">
        <f t="shared" si="355"/>
        <v>0</v>
      </c>
      <c r="U1051" s="67">
        <f t="shared" si="355"/>
        <v>0</v>
      </c>
      <c r="V1051" s="67">
        <f t="shared" si="355"/>
        <v>0</v>
      </c>
      <c r="W1051" s="67"/>
      <c r="X1051" s="67">
        <f t="shared" si="355"/>
        <v>0</v>
      </c>
      <c r="Y1051" s="67">
        <f t="shared" si="355"/>
        <v>1250400.57</v>
      </c>
      <c r="Z1051" s="67">
        <f t="shared" si="355"/>
        <v>99801698.730000004</v>
      </c>
      <c r="AA1051" s="67">
        <f t="shared" si="355"/>
        <v>1250400.57</v>
      </c>
      <c r="AB1051" s="67">
        <f t="shared" si="355"/>
        <v>99801698.730000004</v>
      </c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</row>
    <row r="1052" spans="1:43" x14ac:dyDescent="0.25">
      <c r="A1052" s="46"/>
      <c r="B1052" s="4"/>
      <c r="C1052" s="4"/>
      <c r="D1052" s="70" t="s">
        <v>40</v>
      </c>
      <c r="E1052" s="70" t="s">
        <v>40</v>
      </c>
      <c r="F1052" s="70" t="s">
        <v>40</v>
      </c>
      <c r="G1052" s="70"/>
      <c r="H1052" s="70" t="s">
        <v>40</v>
      </c>
      <c r="I1052" s="70" t="s">
        <v>40</v>
      </c>
      <c r="J1052" s="70" t="s">
        <v>40</v>
      </c>
      <c r="K1052" s="70" t="s">
        <v>40</v>
      </c>
      <c r="L1052" s="70" t="s">
        <v>40</v>
      </c>
      <c r="M1052" s="70"/>
      <c r="N1052" s="70" t="s">
        <v>40</v>
      </c>
      <c r="O1052" s="70" t="s">
        <v>40</v>
      </c>
      <c r="P1052" s="70" t="s">
        <v>40</v>
      </c>
      <c r="Q1052" s="70"/>
      <c r="R1052" s="70" t="s">
        <v>40</v>
      </c>
      <c r="S1052" s="70" t="s">
        <v>40</v>
      </c>
      <c r="T1052" s="70" t="s">
        <v>40</v>
      </c>
      <c r="U1052" s="70" t="s">
        <v>40</v>
      </c>
      <c r="V1052" s="70" t="s">
        <v>40</v>
      </c>
      <c r="W1052" s="70"/>
      <c r="X1052" s="70" t="s">
        <v>40</v>
      </c>
      <c r="Y1052" s="70" t="s">
        <v>40</v>
      </c>
      <c r="Z1052" s="70" t="s">
        <v>40</v>
      </c>
      <c r="AA1052" s="70" t="s">
        <v>40</v>
      </c>
      <c r="AB1052" s="70" t="s">
        <v>40</v>
      </c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</row>
    <row r="1053" spans="1:43" x14ac:dyDescent="0.25">
      <c r="A1053" s="46"/>
      <c r="B1053" s="112"/>
      <c r="C1053" s="11"/>
      <c r="D1053" s="104"/>
      <c r="E1053" s="105"/>
      <c r="F1053" s="105"/>
      <c r="G1053" s="105"/>
      <c r="H1053" s="105"/>
      <c r="I1053" s="105"/>
      <c r="J1053" s="105"/>
      <c r="K1053" s="105"/>
      <c r="L1053" s="105"/>
      <c r="M1053" s="105"/>
      <c r="N1053" s="105"/>
      <c r="O1053" s="104"/>
      <c r="P1053" s="104"/>
      <c r="Q1053" s="105"/>
      <c r="R1053" s="104"/>
      <c r="S1053" s="105"/>
      <c r="T1053" s="105"/>
      <c r="U1053" s="105"/>
      <c r="V1053" s="105"/>
      <c r="W1053" s="70"/>
      <c r="X1053" s="70"/>
      <c r="Y1053" s="104"/>
      <c r="Z1053" s="70"/>
      <c r="AA1053" s="70"/>
      <c r="AB1053" s="70"/>
      <c r="AC1053" s="49" t="s">
        <v>317</v>
      </c>
      <c r="AD1053" s="94">
        <f>+D1037</f>
        <v>5677928.1699999999</v>
      </c>
      <c r="AE1053" s="94">
        <f>+E1037</f>
        <v>5677928.1699999999</v>
      </c>
      <c r="AF1053" s="94">
        <f>+F1037</f>
        <v>0</v>
      </c>
      <c r="AG1053" s="94">
        <f>+AE1053+AF1053</f>
        <v>5677928.1699999999</v>
      </c>
      <c r="AH1053" s="94">
        <f>+L1037</f>
        <v>0</v>
      </c>
      <c r="AI1053" s="94">
        <f>+AG1053+AH1053</f>
        <v>5677928.1699999999</v>
      </c>
      <c r="AJ1053" s="94">
        <f>+O1037</f>
        <v>0</v>
      </c>
      <c r="AK1053" s="94">
        <f>+P1037</f>
        <v>0</v>
      </c>
      <c r="AL1053" s="94">
        <f>+AJ1053+AK1053</f>
        <v>0</v>
      </c>
      <c r="AM1053" s="94">
        <f>+V1037</f>
        <v>0</v>
      </c>
      <c r="AN1053" s="94">
        <f>+AL1053+AM1053</f>
        <v>0</v>
      </c>
      <c r="AO1053" s="94">
        <f>+AG1053+AL1053</f>
        <v>5677928.1699999999</v>
      </c>
      <c r="AP1053" s="94">
        <f>+AD1053-AO1053</f>
        <v>0</v>
      </c>
      <c r="AQ1053" s="94">
        <f>+AD1053-AN1053-AI1053</f>
        <v>0</v>
      </c>
    </row>
    <row r="1054" spans="1:43" x14ac:dyDescent="0.25">
      <c r="A1054" s="46">
        <v>117</v>
      </c>
      <c r="B1054" s="23" t="s">
        <v>122</v>
      </c>
      <c r="C1054" s="2" t="s">
        <v>35</v>
      </c>
      <c r="D1054" s="67">
        <v>36683125.609999999</v>
      </c>
      <c r="E1054" s="67">
        <v>0</v>
      </c>
      <c r="F1054" s="68"/>
      <c r="G1054" s="68"/>
      <c r="H1054" s="67">
        <f>E1054+F1054</f>
        <v>0</v>
      </c>
      <c r="I1054" s="68"/>
      <c r="J1054" s="68"/>
      <c r="K1054" s="68"/>
      <c r="L1054" s="67"/>
      <c r="M1054" s="67"/>
      <c r="N1054" s="67">
        <f>H1054+L1054</f>
        <v>0</v>
      </c>
      <c r="O1054" s="67">
        <v>1717552.75</v>
      </c>
      <c r="P1054" s="68"/>
      <c r="Q1054" s="68"/>
      <c r="R1054" s="67">
        <f>O1054+P1054</f>
        <v>1717552.75</v>
      </c>
      <c r="S1054" s="67">
        <v>958285.94</v>
      </c>
      <c r="T1054" s="68"/>
      <c r="U1054" s="68"/>
      <c r="V1054" s="67"/>
      <c r="W1054" s="67"/>
      <c r="X1054" s="67">
        <f>R1054+V1054</f>
        <v>1717552.75</v>
      </c>
      <c r="Y1054" s="67">
        <f>R1054+H1054</f>
        <v>1717552.75</v>
      </c>
      <c r="Z1054" s="67">
        <f>D1054-Y1054</f>
        <v>34965572.859999999</v>
      </c>
      <c r="AA1054" s="67">
        <f>N1054+X1054</f>
        <v>1717552.75</v>
      </c>
      <c r="AB1054" s="67">
        <f>+D1054-N1054-X1054</f>
        <v>34965572.859999999</v>
      </c>
      <c r="AC1054" s="49" t="s">
        <v>303</v>
      </c>
      <c r="AD1054" s="94">
        <f>+D1036</f>
        <v>44918000</v>
      </c>
      <c r="AE1054" s="94">
        <f>+E1036</f>
        <v>15000000</v>
      </c>
      <c r="AF1054" s="94">
        <f>+F1036</f>
        <v>0</v>
      </c>
      <c r="AG1054" s="94">
        <f>+AE1054+AF1054</f>
        <v>15000000</v>
      </c>
      <c r="AH1054" s="94">
        <f>+L1036</f>
        <v>0</v>
      </c>
      <c r="AI1054" s="94">
        <f>+AG1054+AH1054</f>
        <v>15000000</v>
      </c>
      <c r="AJ1054" s="94">
        <f>+O1036</f>
        <v>0</v>
      </c>
      <c r="AK1054" s="94">
        <f>+P1036</f>
        <v>0</v>
      </c>
      <c r="AL1054" s="94">
        <f>+AJ1054+AK1054</f>
        <v>0</v>
      </c>
      <c r="AM1054" s="94">
        <f>+V1036</f>
        <v>0</v>
      </c>
      <c r="AN1054" s="94">
        <f>+AL1054+AM1054</f>
        <v>0</v>
      </c>
      <c r="AO1054" s="94">
        <f>+AG1054+AL1054</f>
        <v>15000000</v>
      </c>
      <c r="AP1054" s="94">
        <f>+AD1054-AO1054</f>
        <v>29918000</v>
      </c>
      <c r="AQ1054" s="94">
        <f>+AD1054-AN1054-AI1054</f>
        <v>29918000</v>
      </c>
    </row>
    <row r="1055" spans="1:43" x14ac:dyDescent="0.25">
      <c r="A1055" s="46"/>
      <c r="B1055" s="26"/>
      <c r="C1055" s="3" t="s">
        <v>36</v>
      </c>
      <c r="D1055" s="67">
        <f>122000+703740</f>
        <v>825740</v>
      </c>
      <c r="E1055" s="67">
        <f>122000+703740</f>
        <v>825740</v>
      </c>
      <c r="F1055" s="68"/>
      <c r="G1055" s="68"/>
      <c r="H1055" s="67">
        <f>E1055+F1055</f>
        <v>825740</v>
      </c>
      <c r="I1055" s="68"/>
      <c r="J1055" s="68"/>
      <c r="K1055" s="68"/>
      <c r="L1055" s="67"/>
      <c r="M1055" s="67"/>
      <c r="N1055" s="67">
        <f>H1055+L1055</f>
        <v>825740</v>
      </c>
      <c r="O1055" s="67">
        <v>0</v>
      </c>
      <c r="P1055" s="68"/>
      <c r="Q1055" s="68"/>
      <c r="R1055" s="67">
        <f>O1055+P1055</f>
        <v>0</v>
      </c>
      <c r="S1055" s="68"/>
      <c r="T1055" s="68"/>
      <c r="U1055" s="68"/>
      <c r="V1055" s="67"/>
      <c r="W1055" s="67"/>
      <c r="X1055" s="67">
        <f>R1055+V1055</f>
        <v>0</v>
      </c>
      <c r="Y1055" s="67">
        <f>R1055+H1055</f>
        <v>825740</v>
      </c>
      <c r="Z1055" s="67">
        <f>D1055-Y1055</f>
        <v>0</v>
      </c>
      <c r="AA1055" s="67">
        <f>N1055+X1055</f>
        <v>825740</v>
      </c>
      <c r="AB1055" s="67">
        <f>+D1055-N1055-X1055</f>
        <v>0</v>
      </c>
      <c r="AC1055" s="49" t="s">
        <v>47</v>
      </c>
      <c r="AD1055" s="94">
        <f t="shared" ref="AD1055:AF1056" si="356">D1034+D1045+D1054</f>
        <v>155681975.50999999</v>
      </c>
      <c r="AE1055" s="94">
        <f t="shared" si="356"/>
        <v>12292580.289999999</v>
      </c>
      <c r="AF1055" s="94">
        <f t="shared" si="356"/>
        <v>0</v>
      </c>
      <c r="AG1055" s="94">
        <f t="shared" ref="AG1055:AG1061" si="357">+AE1055+AF1055</f>
        <v>12292580.289999999</v>
      </c>
      <c r="AH1055" s="94">
        <f>L1034+L1045+L1054</f>
        <v>0</v>
      </c>
      <c r="AI1055" s="94">
        <f t="shared" ref="AI1055:AI1061" si="358">+AG1055+AH1055</f>
        <v>12292580.289999999</v>
      </c>
      <c r="AJ1055" s="94">
        <f>O1034+O1045+O1054</f>
        <v>13601430.280000001</v>
      </c>
      <c r="AK1055" s="94">
        <f>P1034+P1045+P1054</f>
        <v>0</v>
      </c>
      <c r="AL1055" s="94">
        <f>+AJ1055+AK1055</f>
        <v>13601430.280000001</v>
      </c>
      <c r="AM1055" s="94">
        <f>V1034+V1045+V1054</f>
        <v>0</v>
      </c>
      <c r="AN1055" s="94">
        <f>+AL1055+AM1055</f>
        <v>13601430.280000001</v>
      </c>
      <c r="AO1055" s="94">
        <f>+AG1055+AL1055</f>
        <v>25894010.57</v>
      </c>
      <c r="AP1055" s="94">
        <f>+AD1055-AO1055</f>
        <v>129787964.94</v>
      </c>
      <c r="AQ1055" s="94">
        <f>+AD1055-AN1055-AI1055</f>
        <v>129787964.94</v>
      </c>
    </row>
    <row r="1056" spans="1:43" x14ac:dyDescent="0.25">
      <c r="A1056" s="46"/>
      <c r="B1056" s="26"/>
      <c r="C1056" s="3" t="s">
        <v>44</v>
      </c>
      <c r="D1056" s="67">
        <v>1200000</v>
      </c>
      <c r="E1056" s="67">
        <v>1200000</v>
      </c>
      <c r="F1056" s="68"/>
      <c r="G1056" s="68"/>
      <c r="H1056" s="67">
        <f>E1056+F1056</f>
        <v>1200000</v>
      </c>
      <c r="I1056" s="68"/>
      <c r="J1056" s="68"/>
      <c r="K1056" s="68"/>
      <c r="L1056" s="67"/>
      <c r="M1056" s="67"/>
      <c r="N1056" s="67">
        <f>H1056+L1056</f>
        <v>1200000</v>
      </c>
      <c r="O1056" s="67">
        <v>0</v>
      </c>
      <c r="P1056" s="68"/>
      <c r="Q1056" s="68"/>
      <c r="R1056" s="67">
        <f>O1056+P1056</f>
        <v>0</v>
      </c>
      <c r="S1056" s="68"/>
      <c r="T1056" s="68"/>
      <c r="U1056" s="68"/>
      <c r="V1056" s="67"/>
      <c r="W1056" s="67"/>
      <c r="X1056" s="67">
        <f>R1056+V1056</f>
        <v>0</v>
      </c>
      <c r="Y1056" s="67">
        <f>R1056+H1056</f>
        <v>1200000</v>
      </c>
      <c r="Z1056" s="67">
        <f>D1056-Y1056</f>
        <v>0</v>
      </c>
      <c r="AA1056" s="67">
        <f>N1056+X1056</f>
        <v>1200000</v>
      </c>
      <c r="AB1056" s="67">
        <f>+D1056-N1056-X1056</f>
        <v>0</v>
      </c>
      <c r="AC1056" s="49" t="s">
        <v>36</v>
      </c>
      <c r="AD1056" s="94">
        <f t="shared" si="356"/>
        <v>9204616.0399999991</v>
      </c>
      <c r="AE1056" s="94">
        <f t="shared" si="356"/>
        <v>9204616.0399999991</v>
      </c>
      <c r="AF1056" s="94">
        <f t="shared" si="356"/>
        <v>0</v>
      </c>
      <c r="AG1056" s="94">
        <f t="shared" si="357"/>
        <v>9204616.0399999991</v>
      </c>
      <c r="AH1056" s="94">
        <f>L1035+L1046+L1055</f>
        <v>0</v>
      </c>
      <c r="AI1056" s="94">
        <f t="shared" si="358"/>
        <v>9204616.0399999991</v>
      </c>
      <c r="AJ1056" s="94">
        <f>O1035+O1046+O1055</f>
        <v>0</v>
      </c>
      <c r="AK1056" s="94">
        <f>P1035+P1046+P1055</f>
        <v>0</v>
      </c>
      <c r="AL1056" s="94">
        <f t="shared" ref="AL1056:AL1061" si="359">+AJ1056+AK1056</f>
        <v>0</v>
      </c>
      <c r="AM1056" s="94">
        <f>V1035+V1046+V1055</f>
        <v>0</v>
      </c>
      <c r="AN1056" s="94">
        <f t="shared" ref="AN1056:AN1061" si="360">+AL1056+AM1056</f>
        <v>0</v>
      </c>
      <c r="AO1056" s="94">
        <f t="shared" ref="AO1056:AO1061" si="361">+AG1056+AL1056</f>
        <v>9204616.0399999991</v>
      </c>
      <c r="AP1056" s="94">
        <f t="shared" ref="AP1056:AP1061" si="362">+AD1056-AO1056</f>
        <v>0</v>
      </c>
      <c r="AQ1056" s="94">
        <f t="shared" ref="AQ1056:AQ1061" si="363">+AD1056-AN1056-AI1056</f>
        <v>0</v>
      </c>
    </row>
    <row r="1057" spans="1:43" x14ac:dyDescent="0.25">
      <c r="A1057" s="46"/>
      <c r="B1057" s="26"/>
      <c r="C1057" s="2" t="s">
        <v>37</v>
      </c>
      <c r="D1057" s="67">
        <f>4191100.02+176</f>
        <v>4191276.02</v>
      </c>
      <c r="E1057" s="67">
        <v>0</v>
      </c>
      <c r="F1057" s="68"/>
      <c r="G1057" s="68"/>
      <c r="H1057" s="67">
        <f>E1057+F1057</f>
        <v>0</v>
      </c>
      <c r="I1057" s="68"/>
      <c r="J1057" s="68"/>
      <c r="K1057" s="68"/>
      <c r="L1057" s="67"/>
      <c r="M1057" s="67"/>
      <c r="N1057" s="67">
        <f>H1057+L1057</f>
        <v>0</v>
      </c>
      <c r="O1057" s="67">
        <f>38283.65+176</f>
        <v>38459.65</v>
      </c>
      <c r="P1057" s="68"/>
      <c r="Q1057" s="68"/>
      <c r="R1057" s="67">
        <f>O1057+P1057</f>
        <v>38459.65</v>
      </c>
      <c r="S1057" s="67">
        <v>7004.7</v>
      </c>
      <c r="T1057" s="68"/>
      <c r="U1057" s="68"/>
      <c r="V1057" s="67"/>
      <c r="W1057" s="67"/>
      <c r="X1057" s="67">
        <f>R1057+V1057</f>
        <v>38459.65</v>
      </c>
      <c r="Y1057" s="67">
        <f>R1057+H1057</f>
        <v>38459.65</v>
      </c>
      <c r="Z1057" s="67">
        <f>D1057-Y1057</f>
        <v>4152816.37</v>
      </c>
      <c r="AA1057" s="67">
        <f>N1057+X1057</f>
        <v>38459.65</v>
      </c>
      <c r="AB1057" s="67">
        <f>+D1057-N1057-X1057</f>
        <v>4152816.37</v>
      </c>
      <c r="AC1057" s="49" t="s">
        <v>183</v>
      </c>
      <c r="AD1057" s="94">
        <f>D1038+D1048+D1057</f>
        <v>20863120.02</v>
      </c>
      <c r="AE1057" s="94">
        <f>E1038+E1048+E1057</f>
        <v>0</v>
      </c>
      <c r="AF1057" s="94">
        <f>F1038+F1048+F1057</f>
        <v>0</v>
      </c>
      <c r="AG1057" s="94">
        <f t="shared" si="357"/>
        <v>0</v>
      </c>
      <c r="AH1057" s="94">
        <f>L1038+L1048+L1057</f>
        <v>0</v>
      </c>
      <c r="AI1057" s="94">
        <f t="shared" si="358"/>
        <v>0</v>
      </c>
      <c r="AJ1057" s="94">
        <f>O1038+O1048+O1057</f>
        <v>8883068.3600000013</v>
      </c>
      <c r="AK1057" s="94">
        <f>P1038+P1048+P1057</f>
        <v>0</v>
      </c>
      <c r="AL1057" s="94">
        <f t="shared" si="359"/>
        <v>8883068.3600000013</v>
      </c>
      <c r="AM1057" s="94">
        <f>V1038+V1048+V1057</f>
        <v>0</v>
      </c>
      <c r="AN1057" s="94">
        <f t="shared" si="360"/>
        <v>8883068.3600000013</v>
      </c>
      <c r="AO1057" s="94">
        <f t="shared" si="361"/>
        <v>8883068.3600000013</v>
      </c>
      <c r="AP1057" s="94">
        <f t="shared" si="362"/>
        <v>11980051.659999998</v>
      </c>
      <c r="AQ1057" s="94">
        <f t="shared" si="363"/>
        <v>11980051.659999998</v>
      </c>
    </row>
    <row r="1058" spans="1:43" x14ac:dyDescent="0.25">
      <c r="A1058" s="46"/>
      <c r="B1058" s="26"/>
      <c r="C1058" s="4"/>
      <c r="D1058" s="70" t="s">
        <v>40</v>
      </c>
      <c r="E1058" s="70" t="s">
        <v>40</v>
      </c>
      <c r="F1058" s="70" t="s">
        <v>40</v>
      </c>
      <c r="G1058" s="70"/>
      <c r="H1058" s="70" t="s">
        <v>40</v>
      </c>
      <c r="I1058" s="70" t="s">
        <v>40</v>
      </c>
      <c r="J1058" s="70" t="s">
        <v>40</v>
      </c>
      <c r="K1058" s="70" t="s">
        <v>40</v>
      </c>
      <c r="L1058" s="70" t="s">
        <v>40</v>
      </c>
      <c r="M1058" s="70"/>
      <c r="N1058" s="70" t="s">
        <v>40</v>
      </c>
      <c r="O1058" s="70" t="s">
        <v>40</v>
      </c>
      <c r="P1058" s="70" t="s">
        <v>40</v>
      </c>
      <c r="Q1058" s="70"/>
      <c r="R1058" s="70" t="s">
        <v>40</v>
      </c>
      <c r="S1058" s="70" t="s">
        <v>40</v>
      </c>
      <c r="T1058" s="70" t="s">
        <v>40</v>
      </c>
      <c r="U1058" s="70" t="s">
        <v>40</v>
      </c>
      <c r="V1058" s="70" t="s">
        <v>40</v>
      </c>
      <c r="W1058" s="70"/>
      <c r="X1058" s="70" t="s">
        <v>40</v>
      </c>
      <c r="Y1058" s="70" t="s">
        <v>40</v>
      </c>
      <c r="Z1058" s="70" t="s">
        <v>40</v>
      </c>
      <c r="AA1058" s="70" t="s">
        <v>40</v>
      </c>
      <c r="AB1058" s="70" t="s">
        <v>40</v>
      </c>
      <c r="AC1058" s="49" t="s">
        <v>184</v>
      </c>
      <c r="AD1058" s="94">
        <f>D1039+D1049</f>
        <v>4308874.33</v>
      </c>
      <c r="AE1058" s="94">
        <f>E1039+E1049</f>
        <v>0</v>
      </c>
      <c r="AF1058" s="94">
        <f>F1039+F1049</f>
        <v>0</v>
      </c>
      <c r="AG1058" s="94">
        <f t="shared" si="357"/>
        <v>0</v>
      </c>
      <c r="AH1058" s="94">
        <f>L1039+L1049</f>
        <v>0</v>
      </c>
      <c r="AI1058" s="94">
        <f t="shared" si="358"/>
        <v>0</v>
      </c>
      <c r="AJ1058" s="94">
        <f>O1039+O1049</f>
        <v>0</v>
      </c>
      <c r="AK1058" s="94">
        <f>P1039+P1049</f>
        <v>0</v>
      </c>
      <c r="AL1058" s="94">
        <f t="shared" si="359"/>
        <v>0</v>
      </c>
      <c r="AM1058" s="94">
        <f>V1039+V1049</f>
        <v>0</v>
      </c>
      <c r="AN1058" s="94">
        <f t="shared" si="360"/>
        <v>0</v>
      </c>
      <c r="AO1058" s="94">
        <f t="shared" si="361"/>
        <v>0</v>
      </c>
      <c r="AP1058" s="94">
        <f t="shared" si="362"/>
        <v>4308874.33</v>
      </c>
      <c r="AQ1058" s="94">
        <f t="shared" si="363"/>
        <v>4308874.33</v>
      </c>
    </row>
    <row r="1059" spans="1:43" x14ac:dyDescent="0.25">
      <c r="A1059" s="46"/>
      <c r="B1059" s="26"/>
      <c r="C1059" s="4"/>
      <c r="D1059" s="67">
        <f t="shared" ref="D1059:AB1059" si="364">SUM(D1054:D1057)</f>
        <v>42900141.630000003</v>
      </c>
      <c r="E1059" s="67">
        <f t="shared" si="364"/>
        <v>2025740</v>
      </c>
      <c r="F1059" s="67">
        <f t="shared" si="364"/>
        <v>0</v>
      </c>
      <c r="G1059" s="67"/>
      <c r="H1059" s="67">
        <f t="shared" si="364"/>
        <v>2025740</v>
      </c>
      <c r="I1059" s="67">
        <f t="shared" si="364"/>
        <v>0</v>
      </c>
      <c r="J1059" s="67">
        <f t="shared" si="364"/>
        <v>0</v>
      </c>
      <c r="K1059" s="67">
        <f t="shared" si="364"/>
        <v>0</v>
      </c>
      <c r="L1059" s="67">
        <f t="shared" si="364"/>
        <v>0</v>
      </c>
      <c r="M1059" s="67"/>
      <c r="N1059" s="67">
        <f t="shared" si="364"/>
        <v>2025740</v>
      </c>
      <c r="O1059" s="67">
        <f t="shared" si="364"/>
        <v>1756012.4</v>
      </c>
      <c r="P1059" s="67">
        <f t="shared" si="364"/>
        <v>0</v>
      </c>
      <c r="Q1059" s="67"/>
      <c r="R1059" s="67">
        <f t="shared" si="364"/>
        <v>1756012.4</v>
      </c>
      <c r="S1059" s="67">
        <f t="shared" si="364"/>
        <v>965290.6399999999</v>
      </c>
      <c r="T1059" s="67">
        <f t="shared" si="364"/>
        <v>0</v>
      </c>
      <c r="U1059" s="67">
        <f t="shared" si="364"/>
        <v>0</v>
      </c>
      <c r="V1059" s="67">
        <f t="shared" si="364"/>
        <v>0</v>
      </c>
      <c r="W1059" s="67"/>
      <c r="X1059" s="67">
        <f t="shared" si="364"/>
        <v>1756012.4</v>
      </c>
      <c r="Y1059" s="67">
        <f t="shared" si="364"/>
        <v>3781752.4</v>
      </c>
      <c r="Z1059" s="67">
        <f t="shared" si="364"/>
        <v>39118389.229999997</v>
      </c>
      <c r="AA1059" s="67">
        <f t="shared" si="364"/>
        <v>3781752.4</v>
      </c>
      <c r="AB1059" s="67">
        <f t="shared" si="364"/>
        <v>39118389.229999997</v>
      </c>
      <c r="AC1059" s="49" t="s">
        <v>267</v>
      </c>
      <c r="AD1059" s="94">
        <f>+D1040</f>
        <v>10000000</v>
      </c>
      <c r="AE1059" s="94">
        <f>+E1040</f>
        <v>5324323.1900000004</v>
      </c>
      <c r="AF1059" s="94">
        <f>+F1040</f>
        <v>0</v>
      </c>
      <c r="AG1059" s="94">
        <f t="shared" si="357"/>
        <v>5324323.1900000004</v>
      </c>
      <c r="AH1059" s="94">
        <f>+L1040</f>
        <v>0</v>
      </c>
      <c r="AI1059" s="94">
        <f t="shared" si="358"/>
        <v>5324323.1900000004</v>
      </c>
      <c r="AJ1059" s="94">
        <f>+O1040</f>
        <v>0</v>
      </c>
      <c r="AK1059" s="94">
        <f>+P1040</f>
        <v>0</v>
      </c>
      <c r="AL1059" s="94">
        <f t="shared" si="359"/>
        <v>0</v>
      </c>
      <c r="AM1059" s="94">
        <f>+V1040</f>
        <v>0</v>
      </c>
      <c r="AN1059" s="94">
        <f t="shared" si="360"/>
        <v>0</v>
      </c>
      <c r="AO1059" s="94">
        <f t="shared" si="361"/>
        <v>5324323.1900000004</v>
      </c>
      <c r="AP1059" s="94">
        <f t="shared" si="362"/>
        <v>4675676.8099999996</v>
      </c>
      <c r="AQ1059" s="94">
        <f t="shared" si="363"/>
        <v>4675676.8099999996</v>
      </c>
    </row>
    <row r="1060" spans="1:43" x14ac:dyDescent="0.25">
      <c r="A1060" s="46"/>
      <c r="B1060" s="30" t="str">
        <f>+B1054</f>
        <v>DAVAO OR.</v>
      </c>
      <c r="C1060" s="4"/>
      <c r="D1060" s="70" t="s">
        <v>40</v>
      </c>
      <c r="E1060" s="70" t="s">
        <v>40</v>
      </c>
      <c r="F1060" s="70" t="s">
        <v>40</v>
      </c>
      <c r="G1060" s="70"/>
      <c r="H1060" s="70" t="s">
        <v>40</v>
      </c>
      <c r="I1060" s="70" t="s">
        <v>40</v>
      </c>
      <c r="J1060" s="70" t="s">
        <v>40</v>
      </c>
      <c r="K1060" s="70" t="s">
        <v>40</v>
      </c>
      <c r="L1060" s="70" t="s">
        <v>40</v>
      </c>
      <c r="M1060" s="70"/>
      <c r="N1060" s="70" t="s">
        <v>40</v>
      </c>
      <c r="O1060" s="70" t="s">
        <v>40</v>
      </c>
      <c r="P1060" s="70" t="s">
        <v>40</v>
      </c>
      <c r="Q1060" s="70"/>
      <c r="R1060" s="70" t="s">
        <v>40</v>
      </c>
      <c r="S1060" s="70" t="s">
        <v>40</v>
      </c>
      <c r="T1060" s="70" t="s">
        <v>40</v>
      </c>
      <c r="U1060" s="70" t="s">
        <v>40</v>
      </c>
      <c r="V1060" s="70" t="s">
        <v>40</v>
      </c>
      <c r="W1060" s="70"/>
      <c r="X1060" s="70" t="s">
        <v>40</v>
      </c>
      <c r="Y1060" s="70" t="s">
        <v>40</v>
      </c>
      <c r="Z1060" s="70" t="s">
        <v>40</v>
      </c>
      <c r="AA1060" s="70" t="s">
        <v>40</v>
      </c>
      <c r="AB1060" s="70" t="s">
        <v>40</v>
      </c>
      <c r="AC1060" s="49" t="s">
        <v>44</v>
      </c>
      <c r="AD1060" s="94">
        <f>+D1056</f>
        <v>1200000</v>
      </c>
      <c r="AE1060" s="94">
        <f>+E1056</f>
        <v>1200000</v>
      </c>
      <c r="AF1060" s="94">
        <f>+F1056</f>
        <v>0</v>
      </c>
      <c r="AG1060" s="94">
        <f t="shared" si="357"/>
        <v>1200000</v>
      </c>
      <c r="AH1060" s="94">
        <f>+L1056</f>
        <v>0</v>
      </c>
      <c r="AI1060" s="94">
        <f t="shared" si="358"/>
        <v>1200000</v>
      </c>
      <c r="AJ1060" s="94">
        <f>+O1056</f>
        <v>0</v>
      </c>
      <c r="AK1060" s="94">
        <f>+P1056</f>
        <v>0</v>
      </c>
      <c r="AL1060" s="94">
        <f t="shared" si="359"/>
        <v>0</v>
      </c>
      <c r="AM1060" s="94">
        <f>+V1056</f>
        <v>0</v>
      </c>
      <c r="AN1060" s="94">
        <f t="shared" si="360"/>
        <v>0</v>
      </c>
      <c r="AO1060" s="94">
        <f t="shared" si="361"/>
        <v>1200000</v>
      </c>
      <c r="AP1060" s="94">
        <f t="shared" si="362"/>
        <v>0</v>
      </c>
      <c r="AQ1060" s="94">
        <f t="shared" si="363"/>
        <v>0</v>
      </c>
    </row>
    <row r="1061" spans="1:43" ht="16.5" thickBot="1" x14ac:dyDescent="0.3">
      <c r="A1061" s="46"/>
      <c r="B1061" s="30" t="s">
        <v>292</v>
      </c>
      <c r="C1061" s="4"/>
      <c r="D1061" s="113">
        <v>121817.28</v>
      </c>
      <c r="E1061" s="70"/>
      <c r="F1061" s="70"/>
      <c r="G1061" s="70"/>
      <c r="H1061" s="70"/>
      <c r="I1061" s="70"/>
      <c r="J1061" s="70"/>
      <c r="K1061" s="70"/>
      <c r="L1061" s="70"/>
      <c r="M1061" s="70"/>
      <c r="N1061" s="70"/>
      <c r="O1061" s="113">
        <v>121817.28</v>
      </c>
      <c r="P1061" s="104"/>
      <c r="Q1061" s="70"/>
      <c r="R1061" s="113">
        <v>121817.28</v>
      </c>
      <c r="S1061" s="70"/>
      <c r="T1061" s="70"/>
      <c r="U1061" s="70"/>
      <c r="V1061" s="70"/>
      <c r="W1061" s="70"/>
      <c r="X1061" s="70"/>
      <c r="Y1061" s="70"/>
      <c r="Z1061" s="70"/>
      <c r="AA1061" s="70"/>
      <c r="AB1061" s="70"/>
      <c r="AC1061" s="49" t="s">
        <v>54</v>
      </c>
      <c r="AD1061" s="96">
        <f>+D1047</f>
        <v>0</v>
      </c>
      <c r="AE1061" s="94">
        <f>+E1047</f>
        <v>0</v>
      </c>
      <c r="AF1061" s="94">
        <f>+F1047</f>
        <v>0</v>
      </c>
      <c r="AG1061" s="94">
        <f t="shared" si="357"/>
        <v>0</v>
      </c>
      <c r="AH1061" s="94">
        <f>+L1047</f>
        <v>0</v>
      </c>
      <c r="AI1061" s="94">
        <f t="shared" si="358"/>
        <v>0</v>
      </c>
      <c r="AJ1061" s="94">
        <f>+O1047</f>
        <v>0</v>
      </c>
      <c r="AK1061" s="94">
        <f>+P1047</f>
        <v>0</v>
      </c>
      <c r="AL1061" s="94">
        <f t="shared" si="359"/>
        <v>0</v>
      </c>
      <c r="AM1061" s="94">
        <f>+V1047</f>
        <v>0</v>
      </c>
      <c r="AN1061" s="94">
        <f t="shared" si="360"/>
        <v>0</v>
      </c>
      <c r="AO1061" s="94">
        <f t="shared" si="361"/>
        <v>0</v>
      </c>
      <c r="AP1061" s="94">
        <f t="shared" si="362"/>
        <v>0</v>
      </c>
      <c r="AQ1061" s="94">
        <f t="shared" si="363"/>
        <v>0</v>
      </c>
    </row>
    <row r="1062" spans="1:43" ht="16.5" thickTop="1" x14ac:dyDescent="0.25">
      <c r="A1062" s="46"/>
      <c r="B1062" s="23" t="s">
        <v>26</v>
      </c>
      <c r="C1062" s="2" t="s">
        <v>119</v>
      </c>
      <c r="D1062" s="67">
        <f t="shared" ref="D1062:AB1062" si="365">D1059+D1051+D1042</f>
        <v>251854514.06999999</v>
      </c>
      <c r="E1062" s="67">
        <f t="shared" si="365"/>
        <v>48699447.689999998</v>
      </c>
      <c r="F1062" s="67">
        <f t="shared" si="365"/>
        <v>0</v>
      </c>
      <c r="G1062" s="67"/>
      <c r="H1062" s="67">
        <f t="shared" si="365"/>
        <v>48699447.689999998</v>
      </c>
      <c r="I1062" s="67">
        <f t="shared" si="365"/>
        <v>0</v>
      </c>
      <c r="J1062" s="67">
        <f t="shared" si="365"/>
        <v>0</v>
      </c>
      <c r="K1062" s="67">
        <f t="shared" si="365"/>
        <v>0</v>
      </c>
      <c r="L1062" s="67">
        <f t="shared" si="365"/>
        <v>0</v>
      </c>
      <c r="M1062" s="67"/>
      <c r="N1062" s="67">
        <f t="shared" si="365"/>
        <v>48699447.689999998</v>
      </c>
      <c r="O1062" s="67">
        <f t="shared" si="365"/>
        <v>22484498.640000001</v>
      </c>
      <c r="P1062" s="67">
        <f t="shared" si="365"/>
        <v>0</v>
      </c>
      <c r="Q1062" s="67"/>
      <c r="R1062" s="67">
        <f t="shared" si="365"/>
        <v>22484498.640000001</v>
      </c>
      <c r="S1062" s="67">
        <f t="shared" si="365"/>
        <v>2594816.6699999995</v>
      </c>
      <c r="T1062" s="67">
        <f t="shared" si="365"/>
        <v>0</v>
      </c>
      <c r="U1062" s="67">
        <f t="shared" si="365"/>
        <v>2125646.8199999998</v>
      </c>
      <c r="V1062" s="67">
        <f t="shared" si="365"/>
        <v>0</v>
      </c>
      <c r="W1062" s="67"/>
      <c r="X1062" s="67">
        <f t="shared" si="365"/>
        <v>22484498.640000001</v>
      </c>
      <c r="Y1062" s="67">
        <f t="shared" si="365"/>
        <v>71183946.329999998</v>
      </c>
      <c r="Z1062" s="67">
        <f t="shared" si="365"/>
        <v>180670567.74000001</v>
      </c>
      <c r="AA1062" s="67">
        <f t="shared" si="365"/>
        <v>71183946.329999998</v>
      </c>
      <c r="AB1062" s="67">
        <f t="shared" si="365"/>
        <v>180670567.74000001</v>
      </c>
      <c r="AD1062" s="95">
        <f>SUM(AD1053:AD1061)</f>
        <v>251854514.07000002</v>
      </c>
      <c r="AE1062" s="95">
        <f t="shared" ref="AE1062:AQ1062" si="366">SUM(AE1053:AE1061)</f>
        <v>48699447.689999998</v>
      </c>
      <c r="AF1062" s="95">
        <f t="shared" si="366"/>
        <v>0</v>
      </c>
      <c r="AG1062" s="95">
        <f t="shared" si="366"/>
        <v>48699447.689999998</v>
      </c>
      <c r="AH1062" s="95">
        <f t="shared" si="366"/>
        <v>0</v>
      </c>
      <c r="AI1062" s="95">
        <f t="shared" si="366"/>
        <v>48699447.689999998</v>
      </c>
      <c r="AJ1062" s="95">
        <f t="shared" si="366"/>
        <v>22484498.640000001</v>
      </c>
      <c r="AK1062" s="95">
        <f t="shared" si="366"/>
        <v>0</v>
      </c>
      <c r="AL1062" s="95">
        <f t="shared" si="366"/>
        <v>22484498.640000001</v>
      </c>
      <c r="AM1062" s="95">
        <f t="shared" si="366"/>
        <v>0</v>
      </c>
      <c r="AN1062" s="95">
        <f t="shared" si="366"/>
        <v>22484498.640000001</v>
      </c>
      <c r="AO1062" s="95">
        <f t="shared" si="366"/>
        <v>71183946.329999998</v>
      </c>
      <c r="AP1062" s="95">
        <f t="shared" si="366"/>
        <v>180670567.74000001</v>
      </c>
      <c r="AQ1062" s="95">
        <f t="shared" si="366"/>
        <v>180670567.74000001</v>
      </c>
    </row>
    <row r="1063" spans="1:43" x14ac:dyDescent="0.25">
      <c r="A1063" s="46"/>
      <c r="B1063" s="26"/>
      <c r="C1063" s="4"/>
      <c r="D1063" s="70" t="s">
        <v>50</v>
      </c>
      <c r="E1063" s="70" t="s">
        <v>50</v>
      </c>
      <c r="F1063" s="70" t="s">
        <v>50</v>
      </c>
      <c r="G1063" s="70"/>
      <c r="H1063" s="70" t="s">
        <v>50</v>
      </c>
      <c r="I1063" s="70" t="s">
        <v>50</v>
      </c>
      <c r="J1063" s="70" t="s">
        <v>50</v>
      </c>
      <c r="K1063" s="70" t="s">
        <v>50</v>
      </c>
      <c r="L1063" s="70" t="s">
        <v>50</v>
      </c>
      <c r="M1063" s="70"/>
      <c r="N1063" s="70" t="s">
        <v>50</v>
      </c>
      <c r="O1063" s="70" t="s">
        <v>50</v>
      </c>
      <c r="P1063" s="70" t="s">
        <v>50</v>
      </c>
      <c r="Q1063" s="70"/>
      <c r="R1063" s="70" t="s">
        <v>50</v>
      </c>
      <c r="S1063" s="70" t="s">
        <v>50</v>
      </c>
      <c r="T1063" s="70" t="s">
        <v>50</v>
      </c>
      <c r="U1063" s="70" t="s">
        <v>50</v>
      </c>
      <c r="V1063" s="70" t="s">
        <v>50</v>
      </c>
      <c r="W1063" s="70"/>
      <c r="X1063" s="70" t="s">
        <v>50</v>
      </c>
      <c r="Y1063" s="70" t="s">
        <v>50</v>
      </c>
      <c r="Z1063" s="70" t="s">
        <v>50</v>
      </c>
      <c r="AA1063" s="70" t="s">
        <v>50</v>
      </c>
      <c r="AB1063" s="70" t="s">
        <v>50</v>
      </c>
      <c r="AJ1063" s="94"/>
      <c r="AN1063" s="94"/>
      <c r="AO1063" s="94"/>
      <c r="AP1063" s="94"/>
      <c r="AQ1063" s="94"/>
    </row>
    <row r="1064" spans="1:43" x14ac:dyDescent="0.25">
      <c r="A1064" s="46"/>
      <c r="B1064" s="26"/>
      <c r="C1064" s="20"/>
      <c r="D1064" s="75"/>
      <c r="E1064" s="68"/>
      <c r="F1064" s="68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</row>
    <row r="1065" spans="1:43" ht="19.5" x14ac:dyDescent="0.35">
      <c r="A1065" s="46"/>
      <c r="B1065" s="47" t="s">
        <v>123</v>
      </c>
      <c r="C1065" s="4"/>
      <c r="D1065" s="68"/>
      <c r="E1065" s="68"/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D1065" s="94"/>
      <c r="AE1065" s="94"/>
      <c r="AF1065" s="94"/>
      <c r="AG1065" s="94"/>
      <c r="AH1065" s="94"/>
      <c r="AI1065" s="94"/>
      <c r="AJ1065" s="94"/>
      <c r="AK1065" s="94"/>
      <c r="AL1065" s="94"/>
      <c r="AM1065" s="94"/>
      <c r="AN1065" s="94"/>
      <c r="AO1065" s="94"/>
      <c r="AP1065" s="94"/>
      <c r="AQ1065" s="94"/>
    </row>
    <row r="1066" spans="1:43" x14ac:dyDescent="0.25">
      <c r="A1066" s="46"/>
      <c r="B1066" s="26"/>
      <c r="C1066" s="4"/>
      <c r="D1066" s="68"/>
      <c r="E1066" s="68"/>
      <c r="F1066" s="68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D1066" s="94"/>
      <c r="AE1066" s="94"/>
      <c r="AF1066" s="94"/>
      <c r="AG1066" s="94"/>
      <c r="AH1066" s="94"/>
      <c r="AI1066" s="94"/>
      <c r="AJ1066" s="94"/>
      <c r="AK1066" s="94"/>
      <c r="AL1066" s="94"/>
      <c r="AM1066" s="94"/>
      <c r="AN1066" s="94"/>
      <c r="AO1066" s="94"/>
      <c r="AP1066" s="94"/>
      <c r="AQ1066" s="94"/>
    </row>
    <row r="1067" spans="1:43" x14ac:dyDescent="0.25">
      <c r="A1067" s="46">
        <v>118</v>
      </c>
      <c r="B1067" s="23" t="s">
        <v>124</v>
      </c>
      <c r="C1067" s="2" t="s">
        <v>35</v>
      </c>
      <c r="D1067" s="67">
        <f>34404633.21-1000000-15000000</f>
        <v>18404633.210000001</v>
      </c>
      <c r="E1067" s="67">
        <v>0</v>
      </c>
      <c r="F1067" s="68"/>
      <c r="G1067" s="80"/>
      <c r="H1067" s="67">
        <f>E1067+F1067</f>
        <v>0</v>
      </c>
      <c r="I1067" s="68"/>
      <c r="J1067" s="68"/>
      <c r="K1067" s="68"/>
      <c r="L1067" s="67"/>
      <c r="M1067" s="67"/>
      <c r="N1067" s="67">
        <f>H1067+L1067</f>
        <v>0</v>
      </c>
      <c r="O1067" s="67">
        <v>5603896.2599999998</v>
      </c>
      <c r="P1067" s="68"/>
      <c r="Q1067" s="68"/>
      <c r="R1067" s="67">
        <f>O1067+P1067</f>
        <v>5603896.2599999998</v>
      </c>
      <c r="S1067" s="68"/>
      <c r="T1067" s="68"/>
      <c r="U1067" s="68"/>
      <c r="V1067" s="67"/>
      <c r="W1067" s="67"/>
      <c r="X1067" s="67">
        <f>R1067+V1067</f>
        <v>5603896.2599999998</v>
      </c>
      <c r="Y1067" s="67">
        <f t="shared" ref="Y1067:Y1072" si="367">R1067+H1067</f>
        <v>5603896.2599999998</v>
      </c>
      <c r="Z1067" s="67">
        <f t="shared" ref="Z1067:Z1072" si="368">D1067-Y1067</f>
        <v>12800736.950000001</v>
      </c>
      <c r="AA1067" s="67">
        <f t="shared" ref="AA1067:AA1072" si="369">N1067+X1067</f>
        <v>5603896.2599999998</v>
      </c>
      <c r="AB1067" s="67">
        <f t="shared" ref="AB1067:AB1072" si="370">+D1067-N1067-X1067</f>
        <v>12800736.950000001</v>
      </c>
      <c r="AD1067" s="94"/>
      <c r="AE1067" s="94"/>
      <c r="AF1067" s="94"/>
      <c r="AG1067" s="94"/>
      <c r="AH1067" s="94"/>
      <c r="AI1067" s="94"/>
      <c r="AJ1067" s="94"/>
      <c r="AK1067" s="94"/>
      <c r="AL1067" s="94"/>
      <c r="AM1067" s="94"/>
      <c r="AN1067" s="94"/>
      <c r="AO1067" s="94"/>
      <c r="AP1067" s="94"/>
      <c r="AQ1067" s="94"/>
    </row>
    <row r="1068" spans="1:43" x14ac:dyDescent="0.25">
      <c r="A1068" s="46"/>
      <c r="B1068" s="23"/>
      <c r="C1068" s="2" t="s">
        <v>254</v>
      </c>
      <c r="D1068" s="67">
        <v>1000000</v>
      </c>
      <c r="E1068" s="67">
        <v>1000000</v>
      </c>
      <c r="F1068" s="68"/>
      <c r="G1068" s="80"/>
      <c r="H1068" s="67">
        <f>+E1068+F1068</f>
        <v>1000000</v>
      </c>
      <c r="I1068" s="68"/>
      <c r="J1068" s="68"/>
      <c r="K1068" s="68"/>
      <c r="L1068" s="67"/>
      <c r="M1068" s="67"/>
      <c r="N1068" s="67">
        <f>+H1068+L1068</f>
        <v>1000000</v>
      </c>
      <c r="O1068" s="67">
        <v>0</v>
      </c>
      <c r="P1068" s="68"/>
      <c r="Q1068" s="68"/>
      <c r="R1068" s="67">
        <f>+O1068+P1068</f>
        <v>0</v>
      </c>
      <c r="S1068" s="68"/>
      <c r="T1068" s="68"/>
      <c r="U1068" s="68"/>
      <c r="V1068" s="67"/>
      <c r="W1068" s="67"/>
      <c r="X1068" s="67">
        <v>0</v>
      </c>
      <c r="Y1068" s="67">
        <f t="shared" si="367"/>
        <v>1000000</v>
      </c>
      <c r="Z1068" s="67">
        <f t="shared" si="368"/>
        <v>0</v>
      </c>
      <c r="AA1068" s="67">
        <f t="shared" si="369"/>
        <v>1000000</v>
      </c>
      <c r="AB1068" s="67">
        <f t="shared" si="370"/>
        <v>0</v>
      </c>
      <c r="AD1068" s="94"/>
      <c r="AE1068" s="94"/>
      <c r="AF1068" s="94"/>
      <c r="AG1068" s="94"/>
      <c r="AH1068" s="94"/>
      <c r="AI1068" s="94"/>
      <c r="AJ1068" s="94"/>
      <c r="AK1068" s="94"/>
      <c r="AL1068" s="94"/>
      <c r="AM1068" s="94"/>
      <c r="AN1068" s="94"/>
      <c r="AO1068" s="94"/>
      <c r="AP1068" s="94"/>
      <c r="AQ1068" s="94"/>
    </row>
    <row r="1069" spans="1:43" x14ac:dyDescent="0.25">
      <c r="C1069" s="4" t="s">
        <v>298</v>
      </c>
      <c r="D1069" s="55">
        <v>2500000</v>
      </c>
      <c r="E1069" s="55">
        <v>2500000</v>
      </c>
      <c r="F1069" s="55"/>
      <c r="G1069" s="55"/>
      <c r="H1069" s="55">
        <f>+E1069+F1069</f>
        <v>2500000</v>
      </c>
      <c r="I1069" s="55"/>
      <c r="J1069" s="55"/>
      <c r="K1069" s="55"/>
      <c r="L1069" s="55"/>
      <c r="M1069" s="55"/>
      <c r="N1069" s="55">
        <f>+H1069+L1069</f>
        <v>2500000</v>
      </c>
      <c r="O1069" s="55">
        <v>0</v>
      </c>
      <c r="P1069" s="55"/>
      <c r="Q1069" s="55"/>
      <c r="R1069" s="55">
        <f>+O1069+P1069</f>
        <v>0</v>
      </c>
      <c r="S1069" s="55"/>
      <c r="T1069" s="55"/>
      <c r="U1069" s="55"/>
      <c r="V1069" s="55"/>
      <c r="W1069" s="55"/>
      <c r="X1069" s="55">
        <f>+R1069+V1069</f>
        <v>0</v>
      </c>
      <c r="Y1069" s="67">
        <f t="shared" si="367"/>
        <v>2500000</v>
      </c>
      <c r="Z1069" s="67">
        <f t="shared" si="368"/>
        <v>0</v>
      </c>
      <c r="AA1069" s="67">
        <f t="shared" si="369"/>
        <v>2500000</v>
      </c>
      <c r="AB1069" s="67">
        <f t="shared" si="370"/>
        <v>0</v>
      </c>
    </row>
    <row r="1070" spans="1:43" x14ac:dyDescent="0.25">
      <c r="C1070" s="4" t="s">
        <v>317</v>
      </c>
      <c r="D1070" s="55">
        <v>15000000</v>
      </c>
      <c r="E1070" s="55">
        <v>15000000</v>
      </c>
      <c r="F1070" s="55"/>
      <c r="G1070" s="55"/>
      <c r="H1070" s="55">
        <f>+E1070+F1070</f>
        <v>15000000</v>
      </c>
      <c r="I1070" s="55"/>
      <c r="J1070" s="55"/>
      <c r="K1070" s="55"/>
      <c r="L1070" s="55"/>
      <c r="M1070" s="55"/>
      <c r="N1070" s="55">
        <f>+H1070+L1070</f>
        <v>15000000</v>
      </c>
      <c r="O1070" s="55">
        <v>0</v>
      </c>
      <c r="P1070" s="55"/>
      <c r="Q1070" s="55"/>
      <c r="R1070" s="55">
        <f>+O1070+P1070</f>
        <v>0</v>
      </c>
      <c r="S1070" s="55"/>
      <c r="T1070" s="55"/>
      <c r="U1070" s="55"/>
      <c r="V1070" s="55"/>
      <c r="W1070" s="55"/>
      <c r="X1070" s="55">
        <f>+R1070+V1070</f>
        <v>0</v>
      </c>
      <c r="Y1070" s="67">
        <f t="shared" si="367"/>
        <v>15000000</v>
      </c>
      <c r="Z1070" s="67">
        <f t="shared" si="368"/>
        <v>0</v>
      </c>
      <c r="AA1070" s="67">
        <f t="shared" si="369"/>
        <v>15000000</v>
      </c>
      <c r="AB1070" s="67">
        <f t="shared" si="370"/>
        <v>0</v>
      </c>
    </row>
    <row r="1071" spans="1:43" x14ac:dyDescent="0.25">
      <c r="A1071" s="46"/>
      <c r="B1071" s="26"/>
      <c r="C1071" s="3" t="s">
        <v>36</v>
      </c>
      <c r="D1071" s="67">
        <v>1783299.86</v>
      </c>
      <c r="E1071" s="67">
        <v>1783299.86</v>
      </c>
      <c r="F1071" s="68"/>
      <c r="G1071" s="68"/>
      <c r="H1071" s="67">
        <f>E1071+F1071</f>
        <v>1783299.86</v>
      </c>
      <c r="I1071" s="68"/>
      <c r="J1071" s="68"/>
      <c r="K1071" s="68"/>
      <c r="L1071" s="67"/>
      <c r="M1071" s="67"/>
      <c r="N1071" s="67">
        <f>H1071+L1071</f>
        <v>1783299.86</v>
      </c>
      <c r="O1071" s="67">
        <v>0</v>
      </c>
      <c r="P1071" s="68"/>
      <c r="Q1071" s="68"/>
      <c r="R1071" s="67">
        <f>O1071+P1071</f>
        <v>0</v>
      </c>
      <c r="S1071" s="68"/>
      <c r="T1071" s="68"/>
      <c r="U1071" s="68"/>
      <c r="V1071" s="67"/>
      <c r="W1071" s="67"/>
      <c r="X1071" s="67">
        <f>R1071+V1071</f>
        <v>0</v>
      </c>
      <c r="Y1071" s="67">
        <f t="shared" si="367"/>
        <v>1783299.86</v>
      </c>
      <c r="Z1071" s="67">
        <f t="shared" si="368"/>
        <v>0</v>
      </c>
      <c r="AA1071" s="67">
        <f t="shared" si="369"/>
        <v>1783299.86</v>
      </c>
      <c r="AB1071" s="67">
        <f t="shared" si="370"/>
        <v>0</v>
      </c>
      <c r="AD1071" s="94"/>
      <c r="AE1071" s="94"/>
      <c r="AF1071" s="94"/>
      <c r="AG1071" s="94"/>
      <c r="AH1071" s="94"/>
      <c r="AI1071" s="94"/>
      <c r="AJ1071" s="94"/>
      <c r="AK1071" s="94"/>
      <c r="AL1071" s="94"/>
      <c r="AM1071" s="94"/>
      <c r="AN1071" s="94"/>
      <c r="AO1071" s="94"/>
      <c r="AP1071" s="94"/>
      <c r="AQ1071" s="94"/>
    </row>
    <row r="1072" spans="1:43" x14ac:dyDescent="0.25">
      <c r="A1072" s="46"/>
      <c r="B1072" s="26"/>
      <c r="C1072" s="2" t="s">
        <v>37</v>
      </c>
      <c r="D1072" s="67">
        <v>4342929.83</v>
      </c>
      <c r="E1072" s="67">
        <v>0</v>
      </c>
      <c r="F1072" s="68"/>
      <c r="G1072" s="68"/>
      <c r="H1072" s="67">
        <f>E1072+F1072</f>
        <v>0</v>
      </c>
      <c r="I1072" s="68"/>
      <c r="J1072" s="68"/>
      <c r="K1072" s="68"/>
      <c r="L1072" s="67"/>
      <c r="M1072" s="67"/>
      <c r="N1072" s="67">
        <f>H1072+L1072</f>
        <v>0</v>
      </c>
      <c r="O1072" s="67">
        <v>0</v>
      </c>
      <c r="P1072" s="68"/>
      <c r="Q1072" s="68"/>
      <c r="R1072" s="67">
        <f>O1072+P1072</f>
        <v>0</v>
      </c>
      <c r="S1072" s="68"/>
      <c r="T1072" s="68"/>
      <c r="U1072" s="68"/>
      <c r="V1072" s="67"/>
      <c r="W1072" s="67"/>
      <c r="X1072" s="67">
        <f>R1072+V1072</f>
        <v>0</v>
      </c>
      <c r="Y1072" s="67">
        <f t="shared" si="367"/>
        <v>0</v>
      </c>
      <c r="Z1072" s="67">
        <f t="shared" si="368"/>
        <v>4342929.83</v>
      </c>
      <c r="AA1072" s="67">
        <f t="shared" si="369"/>
        <v>0</v>
      </c>
      <c r="AB1072" s="67">
        <f t="shared" si="370"/>
        <v>4342929.83</v>
      </c>
      <c r="AD1072" s="94"/>
      <c r="AE1072" s="94"/>
      <c r="AF1072" s="94"/>
      <c r="AG1072" s="94"/>
      <c r="AH1072" s="94"/>
      <c r="AI1072" s="94"/>
      <c r="AJ1072" s="94"/>
      <c r="AK1072" s="94"/>
      <c r="AL1072" s="94"/>
      <c r="AM1072" s="94"/>
      <c r="AN1072" s="94"/>
      <c r="AO1072" s="94"/>
      <c r="AP1072" s="94"/>
      <c r="AQ1072" s="94"/>
    </row>
    <row r="1073" spans="1:43" x14ac:dyDescent="0.25">
      <c r="A1073" s="46"/>
      <c r="B1073" s="30"/>
      <c r="C1073" s="4"/>
      <c r="D1073" s="70" t="s">
        <v>40</v>
      </c>
      <c r="E1073" s="70" t="s">
        <v>40</v>
      </c>
      <c r="F1073" s="70" t="s">
        <v>40</v>
      </c>
      <c r="G1073" s="70"/>
      <c r="H1073" s="70" t="s">
        <v>40</v>
      </c>
      <c r="I1073" s="70" t="s">
        <v>40</v>
      </c>
      <c r="J1073" s="70" t="s">
        <v>40</v>
      </c>
      <c r="K1073" s="70" t="s">
        <v>40</v>
      </c>
      <c r="L1073" s="70" t="s">
        <v>40</v>
      </c>
      <c r="M1073" s="70"/>
      <c r="N1073" s="70" t="s">
        <v>40</v>
      </c>
      <c r="O1073" s="70" t="s">
        <v>40</v>
      </c>
      <c r="P1073" s="70" t="s">
        <v>40</v>
      </c>
      <c r="Q1073" s="70"/>
      <c r="R1073" s="70" t="s">
        <v>40</v>
      </c>
      <c r="S1073" s="70" t="s">
        <v>40</v>
      </c>
      <c r="T1073" s="70" t="s">
        <v>40</v>
      </c>
      <c r="U1073" s="70" t="s">
        <v>40</v>
      </c>
      <c r="V1073" s="70" t="s">
        <v>40</v>
      </c>
      <c r="W1073" s="70"/>
      <c r="X1073" s="70" t="s">
        <v>40</v>
      </c>
      <c r="Y1073" s="70" t="s">
        <v>40</v>
      </c>
      <c r="Z1073" s="70" t="s">
        <v>40</v>
      </c>
      <c r="AA1073" s="70" t="s">
        <v>40</v>
      </c>
      <c r="AB1073" s="70" t="s">
        <v>40</v>
      </c>
      <c r="AD1073" s="94"/>
      <c r="AE1073" s="94"/>
      <c r="AF1073" s="94"/>
      <c r="AG1073" s="94"/>
      <c r="AH1073" s="94"/>
      <c r="AI1073" s="94"/>
      <c r="AJ1073" s="94"/>
      <c r="AK1073" s="94"/>
      <c r="AL1073" s="94"/>
      <c r="AM1073" s="94"/>
      <c r="AN1073" s="94"/>
      <c r="AO1073" s="94"/>
      <c r="AP1073" s="94"/>
      <c r="AQ1073" s="94"/>
    </row>
    <row r="1074" spans="1:43" x14ac:dyDescent="0.25">
      <c r="A1074" s="46"/>
      <c r="B1074" s="26"/>
      <c r="C1074" s="4"/>
      <c r="D1074" s="67">
        <f>SUM(D1067:D1072)</f>
        <v>43030862.899999999</v>
      </c>
      <c r="E1074" s="67">
        <f>SUM(E1067:E1072)</f>
        <v>20283299.859999999</v>
      </c>
      <c r="F1074" s="67">
        <f>SUM(F1067:F1072)</f>
        <v>0</v>
      </c>
      <c r="G1074" s="67"/>
      <c r="H1074" s="67">
        <f>SUM(H1067:H1072)</f>
        <v>20283299.859999999</v>
      </c>
      <c r="I1074" s="67">
        <f>SUM(I1067:I1072)</f>
        <v>0</v>
      </c>
      <c r="J1074" s="67">
        <f>SUM(J1067:J1072)</f>
        <v>0</v>
      </c>
      <c r="K1074" s="67">
        <f>SUM(K1067:K1072)</f>
        <v>0</v>
      </c>
      <c r="L1074" s="67">
        <f>SUM(L1067:L1072)</f>
        <v>0</v>
      </c>
      <c r="M1074" s="67"/>
      <c r="N1074" s="67">
        <f>SUM(N1067:N1072)</f>
        <v>20283299.859999999</v>
      </c>
      <c r="O1074" s="67">
        <f>SUM(O1067:O1072)</f>
        <v>5603896.2599999998</v>
      </c>
      <c r="P1074" s="67">
        <f>SUM(P1067:P1072)</f>
        <v>0</v>
      </c>
      <c r="Q1074" s="67"/>
      <c r="R1074" s="67">
        <f>SUM(R1067:R1072)</f>
        <v>5603896.2599999998</v>
      </c>
      <c r="S1074" s="67">
        <f>SUM(S1067:S1072)</f>
        <v>0</v>
      </c>
      <c r="T1074" s="67">
        <f>SUM(T1067:T1072)</f>
        <v>0</v>
      </c>
      <c r="U1074" s="67">
        <f>SUM(U1067:U1072)</f>
        <v>0</v>
      </c>
      <c r="V1074" s="67">
        <f>SUM(V1067:V1072)</f>
        <v>0</v>
      </c>
      <c r="W1074" s="67"/>
      <c r="X1074" s="67">
        <f>SUM(X1067:X1072)</f>
        <v>5603896.2599999998</v>
      </c>
      <c r="Y1074" s="67">
        <f>SUM(Y1067:Y1072)</f>
        <v>25887196.119999997</v>
      </c>
      <c r="Z1074" s="67">
        <f>SUM(Z1067:Z1072)</f>
        <v>17143666.780000001</v>
      </c>
      <c r="AA1074" s="67">
        <f>SUM(AA1067:AA1072)</f>
        <v>25887196.119999997</v>
      </c>
      <c r="AB1074" s="67">
        <f>SUM(AB1067:AB1072)</f>
        <v>17143666.780000001</v>
      </c>
      <c r="AD1074" s="94"/>
      <c r="AE1074" s="94"/>
      <c r="AF1074" s="94"/>
      <c r="AG1074" s="94"/>
      <c r="AH1074" s="94"/>
      <c r="AI1074" s="94"/>
      <c r="AJ1074" s="94"/>
      <c r="AK1074" s="94"/>
      <c r="AL1074" s="94"/>
      <c r="AM1074" s="94"/>
      <c r="AN1074" s="94"/>
      <c r="AO1074" s="94"/>
      <c r="AP1074" s="94"/>
      <c r="AQ1074" s="94"/>
    </row>
    <row r="1075" spans="1:43" x14ac:dyDescent="0.25">
      <c r="A1075" s="46"/>
      <c r="B1075" s="26"/>
      <c r="C1075" s="4"/>
      <c r="D1075" s="70" t="s">
        <v>40</v>
      </c>
      <c r="E1075" s="70" t="s">
        <v>40</v>
      </c>
      <c r="F1075" s="70" t="s">
        <v>40</v>
      </c>
      <c r="G1075" s="70"/>
      <c r="H1075" s="70" t="s">
        <v>40</v>
      </c>
      <c r="I1075" s="70" t="s">
        <v>40</v>
      </c>
      <c r="J1075" s="70" t="s">
        <v>40</v>
      </c>
      <c r="K1075" s="70" t="s">
        <v>40</v>
      </c>
      <c r="L1075" s="70" t="s">
        <v>40</v>
      </c>
      <c r="M1075" s="70"/>
      <c r="N1075" s="70" t="s">
        <v>40</v>
      </c>
      <c r="O1075" s="70" t="s">
        <v>40</v>
      </c>
      <c r="P1075" s="70" t="s">
        <v>40</v>
      </c>
      <c r="Q1075" s="70"/>
      <c r="R1075" s="70" t="s">
        <v>40</v>
      </c>
      <c r="S1075" s="70" t="s">
        <v>40</v>
      </c>
      <c r="T1075" s="70" t="s">
        <v>40</v>
      </c>
      <c r="U1075" s="70" t="s">
        <v>40</v>
      </c>
      <c r="V1075" s="70" t="s">
        <v>40</v>
      </c>
      <c r="W1075" s="70"/>
      <c r="X1075" s="70" t="s">
        <v>40</v>
      </c>
      <c r="Y1075" s="70" t="s">
        <v>40</v>
      </c>
      <c r="Z1075" s="70" t="s">
        <v>40</v>
      </c>
      <c r="AA1075" s="70" t="s">
        <v>40</v>
      </c>
      <c r="AB1075" s="70" t="s">
        <v>40</v>
      </c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</row>
    <row r="1076" spans="1:43" x14ac:dyDescent="0.25">
      <c r="A1076" s="46"/>
      <c r="B1076" s="26"/>
      <c r="C1076" s="4"/>
      <c r="D1076" s="70"/>
      <c r="E1076" s="70"/>
      <c r="F1076" s="77"/>
      <c r="G1076" s="70"/>
      <c r="H1076" s="70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70"/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</row>
    <row r="1077" spans="1:43" x14ac:dyDescent="0.25">
      <c r="A1077" s="46">
        <v>119</v>
      </c>
      <c r="B1077" s="23" t="s">
        <v>125</v>
      </c>
      <c r="C1077" s="2" t="s">
        <v>35</v>
      </c>
      <c r="D1077" s="67">
        <v>130288031.48999999</v>
      </c>
      <c r="E1077" s="67">
        <v>0</v>
      </c>
      <c r="F1077" s="68"/>
      <c r="G1077" s="68"/>
      <c r="H1077" s="67">
        <f>E1077+F1077</f>
        <v>0</v>
      </c>
      <c r="I1077" s="68"/>
      <c r="J1077" s="68"/>
      <c r="K1077" s="68"/>
      <c r="L1077" s="67"/>
      <c r="M1077" s="67"/>
      <c r="N1077" s="67">
        <f>H1077+L1077</f>
        <v>0</v>
      </c>
      <c r="O1077" s="67">
        <f>426349.71+4554143.84</f>
        <v>4980493.55</v>
      </c>
      <c r="P1077" s="68"/>
      <c r="Q1077" s="68"/>
      <c r="R1077" s="67">
        <f>O1077+P1077</f>
        <v>4980493.55</v>
      </c>
      <c r="S1077" s="68">
        <f>5944669.33-12387.78</f>
        <v>5932281.5499999998</v>
      </c>
      <c r="T1077" s="68">
        <f>56759.18+172323.86+4325060.8</f>
        <v>4554143.84</v>
      </c>
      <c r="U1077" s="68"/>
      <c r="V1077" s="67"/>
      <c r="W1077" s="67"/>
      <c r="X1077" s="67">
        <f>R1077+V1077</f>
        <v>4980493.55</v>
      </c>
      <c r="Y1077" s="67">
        <f>R1077+H1077</f>
        <v>4980493.55</v>
      </c>
      <c r="Z1077" s="67">
        <f>D1077-Y1077</f>
        <v>125307537.94</v>
      </c>
      <c r="AA1077" s="67">
        <f>N1077+X1077</f>
        <v>4980493.55</v>
      </c>
      <c r="AB1077" s="67">
        <f>+D1077-N1077-X1077</f>
        <v>125307537.94</v>
      </c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</row>
    <row r="1078" spans="1:43" x14ac:dyDescent="0.25">
      <c r="A1078" s="46"/>
      <c r="B1078" s="26"/>
      <c r="C1078" s="3" t="s">
        <v>36</v>
      </c>
      <c r="D1078" s="67">
        <v>253000</v>
      </c>
      <c r="E1078" s="67">
        <v>253000</v>
      </c>
      <c r="F1078" s="68"/>
      <c r="G1078" s="68"/>
      <c r="H1078" s="67">
        <f>E1078+F1078</f>
        <v>253000</v>
      </c>
      <c r="I1078" s="68"/>
      <c r="J1078" s="68"/>
      <c r="K1078" s="68"/>
      <c r="L1078" s="67"/>
      <c r="M1078" s="67"/>
      <c r="N1078" s="67">
        <f>H1078+L1078</f>
        <v>253000</v>
      </c>
      <c r="O1078" s="67">
        <v>0</v>
      </c>
      <c r="P1078" s="68"/>
      <c r="Q1078" s="68"/>
      <c r="R1078" s="67">
        <f>O1078+P1078</f>
        <v>0</v>
      </c>
      <c r="S1078" s="68"/>
      <c r="T1078" s="68"/>
      <c r="U1078" s="68"/>
      <c r="V1078" s="67"/>
      <c r="W1078" s="67"/>
      <c r="X1078" s="67">
        <f>R1078+V1078</f>
        <v>0</v>
      </c>
      <c r="Y1078" s="67">
        <f>R1078+H1078</f>
        <v>253000</v>
      </c>
      <c r="Z1078" s="67">
        <f>D1078-Y1078</f>
        <v>0</v>
      </c>
      <c r="AA1078" s="67">
        <f>N1078+X1078</f>
        <v>253000</v>
      </c>
      <c r="AB1078" s="67">
        <f>+D1078-N1078-X1078</f>
        <v>0</v>
      </c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</row>
    <row r="1079" spans="1:43" x14ac:dyDescent="0.25">
      <c r="A1079" s="46"/>
      <c r="B1079" s="26"/>
      <c r="C1079" s="2" t="s">
        <v>37</v>
      </c>
      <c r="D1079" s="67">
        <v>9059112.5</v>
      </c>
      <c r="E1079" s="67">
        <v>0</v>
      </c>
      <c r="F1079" s="68"/>
      <c r="G1079" s="68"/>
      <c r="H1079" s="67">
        <f>E1079+F1079</f>
        <v>0</v>
      </c>
      <c r="I1079" s="68"/>
      <c r="J1079" s="68"/>
      <c r="K1079" s="68"/>
      <c r="L1079" s="67"/>
      <c r="M1079" s="67"/>
      <c r="N1079" s="67">
        <f>H1079+L1079</f>
        <v>0</v>
      </c>
      <c r="O1079" s="67">
        <v>0</v>
      </c>
      <c r="P1079" s="68"/>
      <c r="Q1079" s="68"/>
      <c r="R1079" s="67">
        <f>O1079+P1079</f>
        <v>0</v>
      </c>
      <c r="S1079" s="68"/>
      <c r="T1079" s="68"/>
      <c r="U1079" s="68"/>
      <c r="V1079" s="67"/>
      <c r="W1079" s="67"/>
      <c r="X1079" s="67">
        <f>R1079+V1079</f>
        <v>0</v>
      </c>
      <c r="Y1079" s="67">
        <f>R1079+H1079</f>
        <v>0</v>
      </c>
      <c r="Z1079" s="67">
        <f>D1079-Y1079</f>
        <v>9059112.5</v>
      </c>
      <c r="AA1079" s="67">
        <f>N1079+X1079</f>
        <v>0</v>
      </c>
      <c r="AB1079" s="67">
        <f>+D1079-N1079-X1079</f>
        <v>9059112.5</v>
      </c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</row>
    <row r="1080" spans="1:43" x14ac:dyDescent="0.25">
      <c r="A1080" s="46"/>
      <c r="B1080" s="26"/>
      <c r="C1080" s="8" t="s">
        <v>39</v>
      </c>
      <c r="D1080" s="67">
        <v>15158040.74</v>
      </c>
      <c r="E1080" s="67">
        <v>0</v>
      </c>
      <c r="F1080" s="68"/>
      <c r="G1080" s="68"/>
      <c r="H1080" s="67">
        <f>E1080+F1080</f>
        <v>0</v>
      </c>
      <c r="I1080" s="68"/>
      <c r="J1080" s="68"/>
      <c r="K1080" s="68"/>
      <c r="L1080" s="67"/>
      <c r="M1080" s="67"/>
      <c r="N1080" s="67">
        <f>H1080+L1080</f>
        <v>0</v>
      </c>
      <c r="O1080" s="67">
        <v>12387.78</v>
      </c>
      <c r="P1080" s="68"/>
      <c r="Q1080" s="68"/>
      <c r="R1080" s="67">
        <f>O1080+P1080</f>
        <v>12387.78</v>
      </c>
      <c r="S1080" s="68"/>
      <c r="T1080" s="68"/>
      <c r="U1080" s="68"/>
      <c r="V1080" s="67"/>
      <c r="W1080" s="67"/>
      <c r="X1080" s="67">
        <f>R1080+V1080</f>
        <v>12387.78</v>
      </c>
      <c r="Y1080" s="67">
        <f>R1080+H1080</f>
        <v>12387.78</v>
      </c>
      <c r="Z1080" s="67">
        <f>D1080-Y1080</f>
        <v>15145652.960000001</v>
      </c>
      <c r="AA1080" s="67">
        <f>N1080+X1080</f>
        <v>12387.78</v>
      </c>
      <c r="AB1080" s="67">
        <f>+D1080-N1080-X1080</f>
        <v>15145652.960000001</v>
      </c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</row>
    <row r="1081" spans="1:43" x14ac:dyDescent="0.25">
      <c r="A1081" s="46"/>
      <c r="B1081" s="26"/>
      <c r="C1081" s="4"/>
      <c r="D1081" s="70" t="s">
        <v>40</v>
      </c>
      <c r="E1081" s="70" t="s">
        <v>40</v>
      </c>
      <c r="F1081" s="70" t="s">
        <v>40</v>
      </c>
      <c r="G1081" s="70"/>
      <c r="H1081" s="70" t="s">
        <v>40</v>
      </c>
      <c r="I1081" s="70" t="s">
        <v>40</v>
      </c>
      <c r="J1081" s="70" t="s">
        <v>40</v>
      </c>
      <c r="K1081" s="70" t="s">
        <v>40</v>
      </c>
      <c r="L1081" s="70" t="s">
        <v>40</v>
      </c>
      <c r="M1081" s="70"/>
      <c r="N1081" s="70" t="s">
        <v>40</v>
      </c>
      <c r="O1081" s="70" t="s">
        <v>40</v>
      </c>
      <c r="P1081" s="70" t="s">
        <v>40</v>
      </c>
      <c r="Q1081" s="70"/>
      <c r="R1081" s="70" t="s">
        <v>40</v>
      </c>
      <c r="S1081" s="70" t="s">
        <v>40</v>
      </c>
      <c r="T1081" s="70" t="s">
        <v>40</v>
      </c>
      <c r="U1081" s="70" t="s">
        <v>40</v>
      </c>
      <c r="V1081" s="70" t="s">
        <v>40</v>
      </c>
      <c r="W1081" s="70"/>
      <c r="X1081" s="70" t="s">
        <v>40</v>
      </c>
      <c r="Y1081" s="70" t="s">
        <v>40</v>
      </c>
      <c r="Z1081" s="70" t="s">
        <v>40</v>
      </c>
      <c r="AA1081" s="70" t="s">
        <v>40</v>
      </c>
      <c r="AB1081" s="70" t="s">
        <v>40</v>
      </c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</row>
    <row r="1082" spans="1:43" x14ac:dyDescent="0.25">
      <c r="A1082" s="46"/>
      <c r="B1082" s="26"/>
      <c r="C1082" s="4"/>
      <c r="D1082" s="67">
        <f t="shared" ref="D1082:AB1082" si="371">SUM(D1077:D1080)</f>
        <v>154758184.73000002</v>
      </c>
      <c r="E1082" s="67">
        <f t="shared" si="371"/>
        <v>253000</v>
      </c>
      <c r="F1082" s="67">
        <f t="shared" si="371"/>
        <v>0</v>
      </c>
      <c r="G1082" s="67"/>
      <c r="H1082" s="67">
        <f t="shared" si="371"/>
        <v>253000</v>
      </c>
      <c r="I1082" s="67">
        <f t="shared" si="371"/>
        <v>0</v>
      </c>
      <c r="J1082" s="67">
        <f t="shared" si="371"/>
        <v>0</v>
      </c>
      <c r="K1082" s="67">
        <f t="shared" si="371"/>
        <v>0</v>
      </c>
      <c r="L1082" s="67">
        <f t="shared" si="371"/>
        <v>0</v>
      </c>
      <c r="M1082" s="67"/>
      <c r="N1082" s="67">
        <f t="shared" si="371"/>
        <v>253000</v>
      </c>
      <c r="O1082" s="67">
        <f t="shared" si="371"/>
        <v>4992881.33</v>
      </c>
      <c r="P1082" s="67">
        <f t="shared" si="371"/>
        <v>0</v>
      </c>
      <c r="Q1082" s="67"/>
      <c r="R1082" s="67">
        <f t="shared" si="371"/>
        <v>4992881.33</v>
      </c>
      <c r="S1082" s="67">
        <f t="shared" si="371"/>
        <v>5932281.5499999998</v>
      </c>
      <c r="T1082" s="67">
        <f t="shared" si="371"/>
        <v>4554143.84</v>
      </c>
      <c r="U1082" s="67">
        <f t="shared" si="371"/>
        <v>0</v>
      </c>
      <c r="V1082" s="67">
        <f t="shared" si="371"/>
        <v>0</v>
      </c>
      <c r="W1082" s="67"/>
      <c r="X1082" s="67">
        <f t="shared" si="371"/>
        <v>4992881.33</v>
      </c>
      <c r="Y1082" s="67">
        <f t="shared" si="371"/>
        <v>5245881.33</v>
      </c>
      <c r="Z1082" s="67">
        <f t="shared" si="371"/>
        <v>149512303.40000001</v>
      </c>
      <c r="AA1082" s="67">
        <f t="shared" si="371"/>
        <v>5245881.33</v>
      </c>
      <c r="AB1082" s="67">
        <f t="shared" si="371"/>
        <v>149512303.40000001</v>
      </c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</row>
    <row r="1083" spans="1:43" x14ac:dyDescent="0.25">
      <c r="A1083" s="46"/>
      <c r="B1083" s="23" t="s">
        <v>125</v>
      </c>
      <c r="C1083" s="4"/>
      <c r="D1083" s="70" t="s">
        <v>40</v>
      </c>
      <c r="E1083" s="70" t="s">
        <v>40</v>
      </c>
      <c r="F1083" s="70" t="s">
        <v>40</v>
      </c>
      <c r="G1083" s="70"/>
      <c r="H1083" s="70" t="s">
        <v>40</v>
      </c>
      <c r="I1083" s="70" t="s">
        <v>40</v>
      </c>
      <c r="J1083" s="70" t="s">
        <v>40</v>
      </c>
      <c r="K1083" s="70" t="s">
        <v>40</v>
      </c>
      <c r="L1083" s="70" t="s">
        <v>40</v>
      </c>
      <c r="M1083" s="70"/>
      <c r="N1083" s="70" t="s">
        <v>40</v>
      </c>
      <c r="O1083" s="70" t="s">
        <v>40</v>
      </c>
      <c r="P1083" s="70" t="s">
        <v>40</v>
      </c>
      <c r="Q1083" s="70"/>
      <c r="R1083" s="70" t="s">
        <v>40</v>
      </c>
      <c r="S1083" s="70" t="s">
        <v>40</v>
      </c>
      <c r="T1083" s="70" t="s">
        <v>40</v>
      </c>
      <c r="U1083" s="70" t="s">
        <v>40</v>
      </c>
      <c r="V1083" s="70" t="s">
        <v>40</v>
      </c>
      <c r="W1083" s="70"/>
      <c r="X1083" s="70" t="s">
        <v>40</v>
      </c>
      <c r="Y1083" s="70" t="s">
        <v>40</v>
      </c>
      <c r="Z1083" s="70" t="s">
        <v>40</v>
      </c>
      <c r="AA1083" s="70" t="s">
        <v>40</v>
      </c>
      <c r="AB1083" s="70" t="s">
        <v>40</v>
      </c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</row>
    <row r="1084" spans="1:43" ht="16.5" thickBot="1" x14ac:dyDescent="0.3">
      <c r="A1084" s="46"/>
      <c r="B1084" s="4" t="s">
        <v>292</v>
      </c>
      <c r="C1084" s="4"/>
      <c r="D1084" s="70"/>
      <c r="E1084" s="70"/>
      <c r="F1084" s="70"/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113">
        <v>229236.65</v>
      </c>
      <c r="W1084" s="70"/>
      <c r="X1084" s="70"/>
      <c r="Y1084" s="70"/>
      <c r="Z1084" s="70"/>
      <c r="AA1084" s="70"/>
      <c r="AB1084" s="70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</row>
    <row r="1085" spans="1:43" ht="16.5" thickTop="1" x14ac:dyDescent="0.25">
      <c r="A1085" s="46">
        <v>120</v>
      </c>
      <c r="B1085" s="39" t="s">
        <v>126</v>
      </c>
      <c r="C1085" s="3" t="s">
        <v>35</v>
      </c>
      <c r="D1085" s="67">
        <f>73225413.13-6771866</f>
        <v>66453547.129999995</v>
      </c>
      <c r="E1085" s="67">
        <v>0</v>
      </c>
      <c r="F1085" s="68"/>
      <c r="G1085" s="68"/>
      <c r="H1085" s="67">
        <f>E1085+F1085</f>
        <v>0</v>
      </c>
      <c r="I1085" s="68"/>
      <c r="J1085" s="68"/>
      <c r="K1085" s="68"/>
      <c r="L1085" s="67"/>
      <c r="M1085" s="67"/>
      <c r="N1085" s="67">
        <f>H1085+L1085</f>
        <v>0</v>
      </c>
      <c r="O1085" s="67">
        <v>271341.73</v>
      </c>
      <c r="P1085" s="68"/>
      <c r="Q1085" s="68"/>
      <c r="R1085" s="67">
        <f>O1085+P1085</f>
        <v>271341.73</v>
      </c>
      <c r="S1085" s="67">
        <v>248021.49</v>
      </c>
      <c r="T1085" s="68"/>
      <c r="U1085" s="68"/>
      <c r="V1085" s="67"/>
      <c r="W1085" s="67"/>
      <c r="X1085" s="67">
        <f>R1085+V1085</f>
        <v>271341.73</v>
      </c>
      <c r="Y1085" s="67">
        <f t="shared" ref="Y1085:Y1090" si="372">R1085+H1085</f>
        <v>271341.73</v>
      </c>
      <c r="Z1085" s="67">
        <f t="shared" ref="Z1085:Z1090" si="373">D1085-Y1085</f>
        <v>66182205.399999999</v>
      </c>
      <c r="AA1085" s="67">
        <f t="shared" ref="AA1085:AA1090" si="374">N1085+X1085</f>
        <v>271341.73</v>
      </c>
      <c r="AB1085" s="67">
        <f t="shared" ref="AB1085:AB1090" si="375">+D1085-N1085-X1085</f>
        <v>66182205.399999999</v>
      </c>
      <c r="AD1085" s="94"/>
      <c r="AE1085" s="94"/>
      <c r="AF1085" s="94"/>
      <c r="AG1085" s="94"/>
      <c r="AH1085" s="94"/>
      <c r="AI1085" s="94"/>
      <c r="AJ1085" s="94"/>
      <c r="AK1085" s="94"/>
      <c r="AL1085" s="94"/>
      <c r="AM1085" s="94"/>
      <c r="AN1085" s="94"/>
      <c r="AO1085" s="94"/>
      <c r="AP1085" s="94"/>
      <c r="AQ1085" s="94"/>
    </row>
    <row r="1086" spans="1:43" x14ac:dyDescent="0.25">
      <c r="C1086" s="4" t="s">
        <v>317</v>
      </c>
      <c r="D1086" s="55">
        <v>6771866</v>
      </c>
      <c r="E1086" s="55">
        <v>6771866</v>
      </c>
      <c r="F1086" s="55"/>
      <c r="G1086" s="55"/>
      <c r="H1086" s="55">
        <f>+E1086+F1086</f>
        <v>6771866</v>
      </c>
      <c r="I1086" s="55"/>
      <c r="J1086" s="55"/>
      <c r="K1086" s="55"/>
      <c r="L1086" s="55"/>
      <c r="M1086" s="55"/>
      <c r="N1086" s="55">
        <f>+H1086+L1086</f>
        <v>6771866</v>
      </c>
      <c r="O1086" s="55">
        <v>0</v>
      </c>
      <c r="P1086" s="55"/>
      <c r="Q1086" s="55"/>
      <c r="R1086" s="55">
        <f>+O1086+P1086</f>
        <v>0</v>
      </c>
      <c r="S1086" s="55"/>
      <c r="T1086" s="55"/>
      <c r="U1086" s="55"/>
      <c r="V1086" s="55"/>
      <c r="W1086" s="55"/>
      <c r="X1086" s="55">
        <f>+R1086+V1086</f>
        <v>0</v>
      </c>
      <c r="Y1086" s="67">
        <f t="shared" si="372"/>
        <v>6771866</v>
      </c>
      <c r="Z1086" s="67">
        <f t="shared" si="373"/>
        <v>0</v>
      </c>
      <c r="AA1086" s="67">
        <f t="shared" si="374"/>
        <v>6771866</v>
      </c>
      <c r="AB1086" s="67">
        <f t="shared" si="375"/>
        <v>0</v>
      </c>
    </row>
    <row r="1087" spans="1:43" x14ac:dyDescent="0.25">
      <c r="A1087" s="46"/>
      <c r="B1087" s="26"/>
      <c r="C1087" s="3" t="s">
        <v>36</v>
      </c>
      <c r="D1087" s="67">
        <v>5403040.8499999996</v>
      </c>
      <c r="E1087" s="67">
        <v>5403040.8499999996</v>
      </c>
      <c r="F1087" s="68"/>
      <c r="G1087" s="68"/>
      <c r="H1087" s="67">
        <f>E1087+F1087</f>
        <v>5403040.8499999996</v>
      </c>
      <c r="I1087" s="68"/>
      <c r="J1087" s="68"/>
      <c r="K1087" s="68"/>
      <c r="L1087" s="67"/>
      <c r="M1087" s="67"/>
      <c r="N1087" s="67">
        <f>H1087+L1087</f>
        <v>5403040.8499999996</v>
      </c>
      <c r="O1087" s="67">
        <v>0</v>
      </c>
      <c r="P1087" s="68"/>
      <c r="Q1087" s="68"/>
      <c r="R1087" s="67">
        <f>O1087+P1087</f>
        <v>0</v>
      </c>
      <c r="S1087" s="68"/>
      <c r="T1087" s="68"/>
      <c r="U1087" s="68"/>
      <c r="V1087" s="67"/>
      <c r="W1087" s="67"/>
      <c r="X1087" s="67">
        <f>R1087+V1087</f>
        <v>0</v>
      </c>
      <c r="Y1087" s="67">
        <f t="shared" si="372"/>
        <v>5403040.8499999996</v>
      </c>
      <c r="Z1087" s="67">
        <f t="shared" si="373"/>
        <v>0</v>
      </c>
      <c r="AA1087" s="67">
        <f t="shared" si="374"/>
        <v>5403040.8499999996</v>
      </c>
      <c r="AB1087" s="67">
        <f t="shared" si="375"/>
        <v>0</v>
      </c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</row>
    <row r="1088" spans="1:43" x14ac:dyDescent="0.25">
      <c r="A1088" s="4"/>
      <c r="B1088" s="4"/>
      <c r="C1088" s="4" t="s">
        <v>298</v>
      </c>
      <c r="D1088" s="55">
        <v>4600000</v>
      </c>
      <c r="E1088" s="55">
        <v>4600000</v>
      </c>
      <c r="F1088" s="55"/>
      <c r="G1088" s="55"/>
      <c r="H1088" s="55">
        <f>+E1088+F1088</f>
        <v>4600000</v>
      </c>
      <c r="I1088" s="55"/>
      <c r="J1088" s="55"/>
      <c r="K1088" s="55"/>
      <c r="L1088" s="55"/>
      <c r="M1088" s="55"/>
      <c r="N1088" s="55">
        <f>+H1088+L1088</f>
        <v>4600000</v>
      </c>
      <c r="O1088" s="55">
        <v>0</v>
      </c>
      <c r="P1088" s="55"/>
      <c r="Q1088" s="55"/>
      <c r="R1088" s="55">
        <f>+O1088+P1088</f>
        <v>0</v>
      </c>
      <c r="S1088" s="55"/>
      <c r="T1088" s="55"/>
      <c r="U1088" s="55"/>
      <c r="V1088" s="55"/>
      <c r="W1088" s="55"/>
      <c r="X1088" s="55">
        <f>+R1088+V1088</f>
        <v>0</v>
      </c>
      <c r="Y1088" s="67">
        <f t="shared" si="372"/>
        <v>4600000</v>
      </c>
      <c r="Z1088" s="67">
        <f t="shared" si="373"/>
        <v>0</v>
      </c>
      <c r="AA1088" s="67">
        <f t="shared" si="374"/>
        <v>4600000</v>
      </c>
      <c r="AB1088" s="67">
        <f t="shared" si="375"/>
        <v>0</v>
      </c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</row>
    <row r="1089" spans="1:43" x14ac:dyDescent="0.25">
      <c r="A1089" s="46"/>
      <c r="B1089" s="26"/>
      <c r="C1089" s="2" t="s">
        <v>37</v>
      </c>
      <c r="D1089" s="67">
        <v>121199502.33</v>
      </c>
      <c r="E1089" s="67">
        <v>0</v>
      </c>
      <c r="F1089" s="68"/>
      <c r="G1089" s="68"/>
      <c r="H1089" s="67">
        <f>E1089+F1089</f>
        <v>0</v>
      </c>
      <c r="I1089" s="68"/>
      <c r="J1089" s="68"/>
      <c r="K1089" s="68"/>
      <c r="L1089" s="67"/>
      <c r="M1089" s="67"/>
      <c r="N1089" s="67">
        <f>H1089+L1089</f>
        <v>0</v>
      </c>
      <c r="O1089" s="67">
        <v>0</v>
      </c>
      <c r="P1089" s="68"/>
      <c r="Q1089" s="68"/>
      <c r="R1089" s="67">
        <f>O1089+P1089</f>
        <v>0</v>
      </c>
      <c r="S1089" s="68"/>
      <c r="T1089" s="68"/>
      <c r="U1089" s="68"/>
      <c r="V1089" s="67"/>
      <c r="W1089" s="67"/>
      <c r="X1089" s="67">
        <f>R1089+V1089</f>
        <v>0</v>
      </c>
      <c r="Y1089" s="67">
        <f t="shared" si="372"/>
        <v>0</v>
      </c>
      <c r="Z1089" s="67">
        <f t="shared" si="373"/>
        <v>121199502.33</v>
      </c>
      <c r="AA1089" s="67">
        <f t="shared" si="374"/>
        <v>0</v>
      </c>
      <c r="AB1089" s="67">
        <f t="shared" si="375"/>
        <v>121199502.33</v>
      </c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</row>
    <row r="1090" spans="1:43" x14ac:dyDescent="0.25">
      <c r="A1090" s="46"/>
      <c r="B1090" s="26"/>
      <c r="C1090" s="8" t="s">
        <v>39</v>
      </c>
      <c r="D1090" s="67">
        <v>1937062.94</v>
      </c>
      <c r="E1090" s="67">
        <v>0</v>
      </c>
      <c r="F1090" s="68"/>
      <c r="G1090" s="68"/>
      <c r="H1090" s="67">
        <f>E1090+F1090</f>
        <v>0</v>
      </c>
      <c r="I1090" s="68"/>
      <c r="J1090" s="68"/>
      <c r="K1090" s="68"/>
      <c r="L1090" s="67"/>
      <c r="M1090" s="67"/>
      <c r="N1090" s="67">
        <f>H1090+L1090</f>
        <v>0</v>
      </c>
      <c r="O1090" s="67">
        <v>0</v>
      </c>
      <c r="P1090" s="68"/>
      <c r="Q1090" s="68"/>
      <c r="R1090" s="67">
        <f>O1090+P1090</f>
        <v>0</v>
      </c>
      <c r="S1090" s="68"/>
      <c r="T1090" s="68"/>
      <c r="U1090" s="68"/>
      <c r="V1090" s="67"/>
      <c r="W1090" s="67"/>
      <c r="X1090" s="67">
        <f>R1090+V1090</f>
        <v>0</v>
      </c>
      <c r="Y1090" s="67">
        <f t="shared" si="372"/>
        <v>0</v>
      </c>
      <c r="Z1090" s="67">
        <f t="shared" si="373"/>
        <v>1937062.94</v>
      </c>
      <c r="AA1090" s="67">
        <f t="shared" si="374"/>
        <v>0</v>
      </c>
      <c r="AB1090" s="67">
        <f t="shared" si="375"/>
        <v>1937062.94</v>
      </c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</row>
    <row r="1091" spans="1:43" x14ac:dyDescent="0.25">
      <c r="A1091" s="46"/>
      <c r="B1091" s="26"/>
      <c r="C1091" s="4"/>
      <c r="D1091" s="70" t="s">
        <v>40</v>
      </c>
      <c r="E1091" s="70" t="s">
        <v>40</v>
      </c>
      <c r="F1091" s="70" t="s">
        <v>40</v>
      </c>
      <c r="G1091" s="70"/>
      <c r="H1091" s="70" t="s">
        <v>40</v>
      </c>
      <c r="I1091" s="70" t="s">
        <v>40</v>
      </c>
      <c r="J1091" s="70" t="s">
        <v>40</v>
      </c>
      <c r="K1091" s="70" t="s">
        <v>40</v>
      </c>
      <c r="L1091" s="70" t="s">
        <v>40</v>
      </c>
      <c r="M1091" s="70"/>
      <c r="N1091" s="70" t="s">
        <v>40</v>
      </c>
      <c r="O1091" s="70" t="s">
        <v>40</v>
      </c>
      <c r="P1091" s="70" t="s">
        <v>40</v>
      </c>
      <c r="Q1091" s="70"/>
      <c r="R1091" s="70" t="s">
        <v>40</v>
      </c>
      <c r="S1091" s="70" t="s">
        <v>40</v>
      </c>
      <c r="T1091" s="70" t="s">
        <v>40</v>
      </c>
      <c r="U1091" s="70" t="s">
        <v>40</v>
      </c>
      <c r="V1091" s="70" t="s">
        <v>40</v>
      </c>
      <c r="W1091" s="70"/>
      <c r="X1091" s="70" t="s">
        <v>40</v>
      </c>
      <c r="Y1091" s="70" t="s">
        <v>40</v>
      </c>
      <c r="Z1091" s="70" t="s">
        <v>40</v>
      </c>
      <c r="AA1091" s="70" t="s">
        <v>40</v>
      </c>
      <c r="AB1091" s="70" t="s">
        <v>40</v>
      </c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</row>
    <row r="1092" spans="1:43" x14ac:dyDescent="0.25">
      <c r="A1092" s="46"/>
      <c r="B1092" s="26"/>
      <c r="C1092" s="4"/>
      <c r="D1092" s="67">
        <f>SUM(D1085:D1090)</f>
        <v>206365019.25</v>
      </c>
      <c r="E1092" s="67">
        <f>SUM(E1085:E1090)</f>
        <v>16774906.85</v>
      </c>
      <c r="F1092" s="67">
        <f>SUM(F1085:F1090)</f>
        <v>0</v>
      </c>
      <c r="G1092" s="67"/>
      <c r="H1092" s="67">
        <f>SUM(H1085:H1090)</f>
        <v>16774906.85</v>
      </c>
      <c r="I1092" s="67">
        <f>SUM(I1085:I1090)</f>
        <v>0</v>
      </c>
      <c r="J1092" s="67">
        <f>SUM(J1085:J1090)</f>
        <v>0</v>
      </c>
      <c r="K1092" s="67">
        <f>SUM(K1085:K1090)</f>
        <v>0</v>
      </c>
      <c r="L1092" s="67">
        <f>SUM(L1085:L1090)</f>
        <v>0</v>
      </c>
      <c r="M1092" s="67"/>
      <c r="N1092" s="67">
        <f>SUM(N1085:N1090)</f>
        <v>16774906.85</v>
      </c>
      <c r="O1092" s="67">
        <f>SUM(O1085:O1090)</f>
        <v>271341.73</v>
      </c>
      <c r="P1092" s="67">
        <f>SUM(P1085:P1090)</f>
        <v>0</v>
      </c>
      <c r="Q1092" s="67"/>
      <c r="R1092" s="67">
        <f>SUM(R1085:R1090)</f>
        <v>271341.73</v>
      </c>
      <c r="S1092" s="67">
        <f>SUM(S1085:S1090)</f>
        <v>248021.49</v>
      </c>
      <c r="T1092" s="67">
        <f>SUM(T1085:T1090)</f>
        <v>0</v>
      </c>
      <c r="U1092" s="67">
        <f>SUM(U1085:U1090)</f>
        <v>0</v>
      </c>
      <c r="V1092" s="67">
        <f>SUM(V1085:V1090)</f>
        <v>0</v>
      </c>
      <c r="W1092" s="67"/>
      <c r="X1092" s="67">
        <f>SUM(X1085:X1090)</f>
        <v>271341.73</v>
      </c>
      <c r="Y1092" s="67">
        <f>SUM(Y1085:Y1090)</f>
        <v>17046248.579999998</v>
      </c>
      <c r="Z1092" s="67">
        <f>SUM(Z1085:Z1090)</f>
        <v>189318770.66999999</v>
      </c>
      <c r="AA1092" s="67">
        <f>SUM(AA1085:AA1090)</f>
        <v>17046248.579999998</v>
      </c>
      <c r="AB1092" s="67">
        <f>SUM(AB1085:AB1090)</f>
        <v>189318770.66999999</v>
      </c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</row>
    <row r="1093" spans="1:43" x14ac:dyDescent="0.25">
      <c r="A1093" s="46"/>
      <c r="B1093" s="26"/>
      <c r="C1093" s="4"/>
      <c r="D1093" s="70" t="s">
        <v>40</v>
      </c>
      <c r="E1093" s="70" t="s">
        <v>40</v>
      </c>
      <c r="F1093" s="70" t="s">
        <v>40</v>
      </c>
      <c r="G1093" s="70"/>
      <c r="H1093" s="70" t="s">
        <v>40</v>
      </c>
      <c r="I1093" s="70" t="s">
        <v>40</v>
      </c>
      <c r="J1093" s="70" t="s">
        <v>40</v>
      </c>
      <c r="K1093" s="70" t="s">
        <v>40</v>
      </c>
      <c r="L1093" s="70" t="s">
        <v>40</v>
      </c>
      <c r="M1093" s="70"/>
      <c r="N1093" s="70" t="s">
        <v>40</v>
      </c>
      <c r="O1093" s="70" t="s">
        <v>40</v>
      </c>
      <c r="P1093" s="70" t="s">
        <v>40</v>
      </c>
      <c r="Q1093" s="70"/>
      <c r="R1093" s="70" t="s">
        <v>40</v>
      </c>
      <c r="S1093" s="70" t="s">
        <v>40</v>
      </c>
      <c r="T1093" s="70" t="s">
        <v>40</v>
      </c>
      <c r="U1093" s="70" t="s">
        <v>40</v>
      </c>
      <c r="V1093" s="70" t="s">
        <v>40</v>
      </c>
      <c r="W1093" s="70"/>
      <c r="X1093" s="70" t="s">
        <v>40</v>
      </c>
      <c r="Y1093" s="70" t="s">
        <v>40</v>
      </c>
      <c r="Z1093" s="70" t="s">
        <v>40</v>
      </c>
      <c r="AA1093" s="70" t="s">
        <v>40</v>
      </c>
      <c r="AB1093" s="70" t="s">
        <v>40</v>
      </c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</row>
    <row r="1094" spans="1:43" x14ac:dyDescent="0.25">
      <c r="A1094" s="46"/>
      <c r="B1094" s="26"/>
      <c r="C1094" s="4"/>
      <c r="D1094" s="70"/>
      <c r="E1094" s="70"/>
      <c r="F1094" s="70"/>
      <c r="G1094" s="70"/>
      <c r="H1094" s="70"/>
      <c r="I1094" s="70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70"/>
      <c r="AC1094" s="49" t="s">
        <v>317</v>
      </c>
      <c r="AD1094" s="94">
        <f>+D1070+D1086</f>
        <v>21771866</v>
      </c>
      <c r="AE1094" s="94">
        <f>+E1070+E1086</f>
        <v>21771866</v>
      </c>
      <c r="AF1094" s="94">
        <f>+F1070+F1086</f>
        <v>0</v>
      </c>
      <c r="AG1094" s="94">
        <f>+AE1094+AF1094</f>
        <v>21771866</v>
      </c>
      <c r="AH1094" s="94">
        <f>+L1070+L1086</f>
        <v>0</v>
      </c>
      <c r="AI1094" s="94">
        <f>+AG1094+AH1094</f>
        <v>21771866</v>
      </c>
      <c r="AJ1094" s="94">
        <f>+O1070+O1086</f>
        <v>0</v>
      </c>
      <c r="AK1094" s="94">
        <f>+K1070+K1086</f>
        <v>0</v>
      </c>
      <c r="AL1094" s="94">
        <f>+AJ1094+AK1094</f>
        <v>0</v>
      </c>
      <c r="AM1094" s="94">
        <f>+V1070+V1086</f>
        <v>0</v>
      </c>
      <c r="AN1094" s="94">
        <f>+AL1094+AM1094</f>
        <v>0</v>
      </c>
      <c r="AO1094" s="94">
        <f>+AG1094+AL1094</f>
        <v>21771866</v>
      </c>
      <c r="AP1094" s="94">
        <f>+AD1094-AO1094</f>
        <v>0</v>
      </c>
      <c r="AQ1094" s="94">
        <f>+AD1094-AI1094-AN1094</f>
        <v>0</v>
      </c>
    </row>
    <row r="1095" spans="1:43" x14ac:dyDescent="0.25">
      <c r="A1095" s="46">
        <v>121</v>
      </c>
      <c r="B1095" s="39" t="s">
        <v>140</v>
      </c>
      <c r="C1095" s="3" t="s">
        <v>35</v>
      </c>
      <c r="D1095" s="67">
        <f>13396688.37-346395</f>
        <v>13050293.369999999</v>
      </c>
      <c r="E1095" s="67">
        <v>0</v>
      </c>
      <c r="F1095" s="68"/>
      <c r="G1095" s="68"/>
      <c r="H1095" s="67">
        <f>E1095+F1095</f>
        <v>0</v>
      </c>
      <c r="I1095" s="68"/>
      <c r="J1095" s="68"/>
      <c r="K1095" s="68"/>
      <c r="L1095" s="67"/>
      <c r="M1095" s="67"/>
      <c r="N1095" s="67">
        <f>H1095+L1095</f>
        <v>0</v>
      </c>
      <c r="O1095" s="67">
        <v>0</v>
      </c>
      <c r="P1095" s="68"/>
      <c r="Q1095" s="68"/>
      <c r="R1095" s="67">
        <f>O1095+P1095</f>
        <v>0</v>
      </c>
      <c r="S1095" s="68"/>
      <c r="T1095" s="68"/>
      <c r="U1095" s="68"/>
      <c r="V1095" s="67"/>
      <c r="W1095" s="67"/>
      <c r="X1095" s="67">
        <f>R1095+V1095</f>
        <v>0</v>
      </c>
      <c r="Y1095" s="67">
        <f>R1095+H1095</f>
        <v>0</v>
      </c>
      <c r="Z1095" s="67">
        <f>D1095-Y1095</f>
        <v>13050293.369999999</v>
      </c>
      <c r="AA1095" s="67">
        <f>N1095+X1095</f>
        <v>0</v>
      </c>
      <c r="AB1095" s="67">
        <f>+D1095-N1095-X1095</f>
        <v>13050293.369999999</v>
      </c>
      <c r="AC1095" s="49" t="s">
        <v>298</v>
      </c>
      <c r="AD1095" s="94">
        <f>+D1088+D1069+D1096</f>
        <v>15100000</v>
      </c>
      <c r="AE1095" s="94">
        <f>+E1088+E1069+E1096</f>
        <v>15100000</v>
      </c>
      <c r="AF1095" s="94">
        <f>+F1088+F1069+F1096</f>
        <v>0</v>
      </c>
      <c r="AG1095" s="94">
        <f>+AE1095+AF1095</f>
        <v>15100000</v>
      </c>
      <c r="AH1095" s="94">
        <f>+L1088+L1069</f>
        <v>0</v>
      </c>
      <c r="AI1095" s="94">
        <f>+AG1095+AH1095</f>
        <v>15100000</v>
      </c>
      <c r="AJ1095" s="94">
        <f>+O1088+O1069</f>
        <v>0</v>
      </c>
      <c r="AK1095" s="94">
        <f>+K1088+K1069</f>
        <v>0</v>
      </c>
      <c r="AL1095" s="94">
        <f>+AJ1095+AK1095</f>
        <v>0</v>
      </c>
      <c r="AM1095" s="94">
        <f>+V1088+V1069</f>
        <v>0</v>
      </c>
      <c r="AN1095" s="94">
        <f>+AL1095+AM1095</f>
        <v>0</v>
      </c>
      <c r="AO1095" s="94">
        <f>+AG1095+AL1095</f>
        <v>15100000</v>
      </c>
      <c r="AP1095" s="94">
        <f>+AD1095-AO1095</f>
        <v>0</v>
      </c>
      <c r="AQ1095" s="94">
        <f>+AD1095-AI1095-AN1095</f>
        <v>0</v>
      </c>
    </row>
    <row r="1096" spans="1:43" x14ac:dyDescent="0.25">
      <c r="A1096" s="4"/>
      <c r="B1096" s="4"/>
      <c r="C1096" s="4" t="s">
        <v>298</v>
      </c>
      <c r="D1096" s="95">
        <v>8000000</v>
      </c>
      <c r="E1096" s="95">
        <v>8000000</v>
      </c>
      <c r="F1096" s="95"/>
      <c r="G1096" s="95"/>
      <c r="H1096" s="121">
        <f>+E1096+F1096</f>
        <v>8000000</v>
      </c>
      <c r="I1096" s="95"/>
      <c r="J1096" s="95"/>
      <c r="K1096" s="95"/>
      <c r="L1096" s="95"/>
      <c r="M1096" s="95"/>
      <c r="N1096" s="95">
        <f>+H1096+L1096</f>
        <v>8000000</v>
      </c>
      <c r="O1096" s="121">
        <v>0</v>
      </c>
      <c r="P1096" s="121"/>
      <c r="Q1096" s="121"/>
      <c r="R1096" s="121">
        <f>+O1096+P1096</f>
        <v>0</v>
      </c>
      <c r="S1096" s="95"/>
      <c r="T1096" s="95"/>
      <c r="U1096" s="95"/>
      <c r="V1096" s="95"/>
      <c r="W1096" s="95"/>
      <c r="X1096" s="95">
        <f>+R1096+V1096</f>
        <v>0</v>
      </c>
      <c r="Y1096" s="67">
        <f>R1096+H1096</f>
        <v>8000000</v>
      </c>
      <c r="Z1096" s="67">
        <f>D1096-Y1096</f>
        <v>0</v>
      </c>
      <c r="AA1096" s="67">
        <f>N1096+X1096</f>
        <v>8000000</v>
      </c>
      <c r="AB1096" s="67">
        <f>+D1096-N1096-X1096</f>
        <v>0</v>
      </c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</row>
    <row r="1097" spans="1:43" x14ac:dyDescent="0.25">
      <c r="A1097" s="46"/>
      <c r="B1097" s="26"/>
      <c r="C1097" s="3" t="s">
        <v>36</v>
      </c>
      <c r="D1097" s="67">
        <v>105081.2</v>
      </c>
      <c r="E1097" s="67">
        <v>105081.2</v>
      </c>
      <c r="F1097" s="68"/>
      <c r="G1097" s="68"/>
      <c r="H1097" s="67">
        <f>E1097+F1097</f>
        <v>105081.2</v>
      </c>
      <c r="I1097" s="68"/>
      <c r="J1097" s="68"/>
      <c r="K1097" s="68"/>
      <c r="L1097" s="67"/>
      <c r="M1097" s="67"/>
      <c r="N1097" s="67">
        <f>H1097+L1097</f>
        <v>105081.2</v>
      </c>
      <c r="O1097" s="67">
        <v>0</v>
      </c>
      <c r="P1097" s="68"/>
      <c r="Q1097" s="68"/>
      <c r="R1097" s="67">
        <f>O1097+P1097</f>
        <v>0</v>
      </c>
      <c r="S1097" s="68"/>
      <c r="T1097" s="68"/>
      <c r="U1097" s="68"/>
      <c r="V1097" s="67"/>
      <c r="W1097" s="67"/>
      <c r="X1097" s="67">
        <f>R1097+V1097</f>
        <v>0</v>
      </c>
      <c r="Y1097" s="67">
        <f>R1097+H1097</f>
        <v>105081.2</v>
      </c>
      <c r="Z1097" s="67">
        <f>D1097-Y1097</f>
        <v>0</v>
      </c>
      <c r="AA1097" s="67">
        <f>N1097+X1097</f>
        <v>105081.2</v>
      </c>
      <c r="AB1097" s="67">
        <f>+D1097-N1097-X1097</f>
        <v>0</v>
      </c>
      <c r="AC1097" s="49" t="s">
        <v>47</v>
      </c>
      <c r="AD1097" s="94">
        <f>D1067+D1077+D1085+D1095</f>
        <v>228196505.19999999</v>
      </c>
      <c r="AE1097" s="94">
        <f>E1067+E1077+E1085+E1095</f>
        <v>0</v>
      </c>
      <c r="AF1097" s="94">
        <f>F1067+F1077+F1085+F1095</f>
        <v>0</v>
      </c>
      <c r="AG1097" s="94">
        <f>+AE1097+AF1097</f>
        <v>0</v>
      </c>
      <c r="AH1097" s="94">
        <f>L1067+L1077+L1085+L1095</f>
        <v>0</v>
      </c>
      <c r="AI1097" s="94">
        <f>+AG1097+AH1097</f>
        <v>0</v>
      </c>
      <c r="AJ1097" s="94">
        <f>O1067+O1077+O1085+O1095</f>
        <v>10855731.539999999</v>
      </c>
      <c r="AK1097" s="94">
        <f>K1067+K1077+K1085+K1095</f>
        <v>0</v>
      </c>
      <c r="AL1097" s="94">
        <f>+AJ1097+AK1097</f>
        <v>10855731.539999999</v>
      </c>
      <c r="AM1097" s="94">
        <f>V1067+V1077+V1085+V1095</f>
        <v>0</v>
      </c>
      <c r="AN1097" s="94">
        <f>+AL1097+AM1097</f>
        <v>10855731.539999999</v>
      </c>
      <c r="AO1097" s="94">
        <f>+AG1097+AL1097</f>
        <v>10855731.539999999</v>
      </c>
      <c r="AP1097" s="94">
        <f>+AD1097-AO1097-0.2</f>
        <v>217340773.46000001</v>
      </c>
      <c r="AQ1097" s="94">
        <f>+AD1097-AI1097-AN1097</f>
        <v>217340773.66</v>
      </c>
    </row>
    <row r="1098" spans="1:43" x14ac:dyDescent="0.25">
      <c r="A1098" s="46"/>
      <c r="B1098" s="26"/>
      <c r="C1098" s="3" t="s">
        <v>53</v>
      </c>
      <c r="D1098" s="67">
        <f>4326610.51+346395</f>
        <v>4673005.51</v>
      </c>
      <c r="E1098" s="67">
        <v>0</v>
      </c>
      <c r="F1098" s="68"/>
      <c r="G1098" s="68"/>
      <c r="H1098" s="67">
        <f>E1098+F1098</f>
        <v>0</v>
      </c>
      <c r="I1098" s="68"/>
      <c r="J1098" s="68"/>
      <c r="K1098" s="68"/>
      <c r="L1098" s="67"/>
      <c r="M1098" s="67"/>
      <c r="N1098" s="67">
        <f>H1098+L1098</f>
        <v>0</v>
      </c>
      <c r="O1098" s="67">
        <v>4673005.51</v>
      </c>
      <c r="P1098" s="68"/>
      <c r="Q1098" s="68"/>
      <c r="R1098" s="67">
        <f>O1098+P1098</f>
        <v>4673005.51</v>
      </c>
      <c r="S1098" s="68"/>
      <c r="T1098" s="68"/>
      <c r="U1098" s="68"/>
      <c r="V1098" s="67"/>
      <c r="W1098" s="67"/>
      <c r="X1098" s="67">
        <f>R1098+V1098</f>
        <v>4673005.51</v>
      </c>
      <c r="Y1098" s="67">
        <f>R1098+H1098</f>
        <v>4673005.51</v>
      </c>
      <c r="Z1098" s="67">
        <f>D1098-Y1098</f>
        <v>0</v>
      </c>
      <c r="AA1098" s="67">
        <f>N1098+X1098</f>
        <v>4673005.51</v>
      </c>
      <c r="AB1098" s="67">
        <f>+D1098-N1098-X1098</f>
        <v>0</v>
      </c>
      <c r="AC1098" s="49" t="s">
        <v>36</v>
      </c>
      <c r="AD1098" s="94">
        <f>D1071+D1078+D1087+D1097</f>
        <v>7544421.9100000001</v>
      </c>
      <c r="AE1098" s="94">
        <f>E1071+E1078+E1087+E1097</f>
        <v>7544421.9100000001</v>
      </c>
      <c r="AF1098" s="94">
        <f>F1068+F1078+F1087+F1097</f>
        <v>0</v>
      </c>
      <c r="AG1098" s="94">
        <f t="shared" ref="AG1098:AG1103" si="376">+AE1098+AF1098</f>
        <v>7544421.9100000001</v>
      </c>
      <c r="AH1098" s="94">
        <f>L1068+L1078+L1087+L1097</f>
        <v>0</v>
      </c>
      <c r="AI1098" s="94">
        <f t="shared" ref="AI1098:AI1103" si="377">+AG1098+AH1098</f>
        <v>7544421.9100000001</v>
      </c>
      <c r="AJ1098" s="94">
        <f>O1068+O1078+O1087+O1097</f>
        <v>0</v>
      </c>
      <c r="AK1098" s="94">
        <f>K1068+K1078+K1087+K1097</f>
        <v>0</v>
      </c>
      <c r="AL1098" s="94">
        <f t="shared" ref="AL1098:AL1103" si="378">+AJ1098+AK1098</f>
        <v>0</v>
      </c>
      <c r="AM1098" s="94">
        <f>V1068+V1078+V1087+V1097</f>
        <v>0</v>
      </c>
      <c r="AN1098" s="94">
        <f>+AL1098+AM1098</f>
        <v>0</v>
      </c>
      <c r="AO1098" s="94">
        <f t="shared" ref="AO1098:AO1103" si="379">+AG1098+AL1098</f>
        <v>7544421.9100000001</v>
      </c>
      <c r="AP1098" s="94">
        <f t="shared" ref="AP1098:AP1103" si="380">+AD1098-AO1098</f>
        <v>0</v>
      </c>
      <c r="AQ1098" s="94">
        <f t="shared" ref="AQ1098:AQ1103" si="381">+AD1098-AI1098-AN1098</f>
        <v>0</v>
      </c>
    </row>
    <row r="1099" spans="1:43" x14ac:dyDescent="0.25">
      <c r="A1099" s="46"/>
      <c r="B1099" s="26"/>
      <c r="C1099" s="3" t="s">
        <v>54</v>
      </c>
      <c r="D1099" s="67">
        <f>826777.86+4777118.4</f>
        <v>5603896.2600000007</v>
      </c>
      <c r="E1099" s="67">
        <v>0</v>
      </c>
      <c r="F1099" s="68"/>
      <c r="G1099" s="68"/>
      <c r="H1099" s="67">
        <f>E1099+F1099</f>
        <v>0</v>
      </c>
      <c r="I1099" s="68"/>
      <c r="J1099" s="68"/>
      <c r="K1099" s="68"/>
      <c r="L1099" s="67"/>
      <c r="M1099" s="67"/>
      <c r="N1099" s="67">
        <f>H1099+L1099</f>
        <v>0</v>
      </c>
      <c r="O1099" s="67">
        <v>5603896.2599999998</v>
      </c>
      <c r="P1099" s="68"/>
      <c r="Q1099" s="68"/>
      <c r="R1099" s="67">
        <f>O1099+P1099</f>
        <v>5603896.2599999998</v>
      </c>
      <c r="S1099" s="68"/>
      <c r="T1099" s="68"/>
      <c r="U1099" s="68"/>
      <c r="V1099" s="67"/>
      <c r="W1099" s="67"/>
      <c r="X1099" s="67">
        <f>R1099+V1099</f>
        <v>5603896.2599999998</v>
      </c>
      <c r="Y1099" s="67">
        <f>R1099+H1099</f>
        <v>5603896.2599999998</v>
      </c>
      <c r="Z1099" s="67">
        <f>D1099-Y1099</f>
        <v>0</v>
      </c>
      <c r="AA1099" s="67">
        <f>N1099+X1099</f>
        <v>5603896.2599999998</v>
      </c>
      <c r="AB1099" s="67">
        <v>0</v>
      </c>
      <c r="AC1099" s="49" t="s">
        <v>254</v>
      </c>
      <c r="AD1099" s="94">
        <f>+D1068</f>
        <v>1000000</v>
      </c>
      <c r="AE1099" s="94">
        <f>+E1068</f>
        <v>1000000</v>
      </c>
      <c r="AF1099" s="94">
        <f>+F1068</f>
        <v>0</v>
      </c>
      <c r="AG1099" s="94">
        <f>+AE1099</f>
        <v>1000000</v>
      </c>
      <c r="AH1099" s="94">
        <f>+L1068</f>
        <v>0</v>
      </c>
      <c r="AI1099" s="94">
        <f>+AG1099</f>
        <v>1000000</v>
      </c>
      <c r="AJ1099" s="94">
        <f>+O1068</f>
        <v>0</v>
      </c>
      <c r="AK1099" s="94">
        <f>+K1068</f>
        <v>0</v>
      </c>
      <c r="AL1099" s="94">
        <f>+AJ1068</f>
        <v>0</v>
      </c>
      <c r="AM1099" s="94">
        <f>+V1068</f>
        <v>0</v>
      </c>
      <c r="AN1099" s="94">
        <f>+AL1099</f>
        <v>0</v>
      </c>
      <c r="AO1099" s="94">
        <f t="shared" si="379"/>
        <v>1000000</v>
      </c>
      <c r="AP1099" s="94">
        <f t="shared" si="380"/>
        <v>0</v>
      </c>
      <c r="AQ1099" s="94">
        <f>+R1068</f>
        <v>0</v>
      </c>
    </row>
    <row r="1100" spans="1:43" x14ac:dyDescent="0.25">
      <c r="A1100" s="46"/>
      <c r="B1100" s="26"/>
      <c r="C1100" s="4"/>
      <c r="D1100" s="70" t="s">
        <v>40</v>
      </c>
      <c r="E1100" s="70" t="s">
        <v>40</v>
      </c>
      <c r="F1100" s="70" t="s">
        <v>40</v>
      </c>
      <c r="G1100" s="70"/>
      <c r="H1100" s="70" t="s">
        <v>40</v>
      </c>
      <c r="I1100" s="70" t="s">
        <v>40</v>
      </c>
      <c r="J1100" s="70" t="s">
        <v>40</v>
      </c>
      <c r="K1100" s="70" t="s">
        <v>40</v>
      </c>
      <c r="L1100" s="70" t="s">
        <v>40</v>
      </c>
      <c r="M1100" s="70"/>
      <c r="N1100" s="70" t="s">
        <v>40</v>
      </c>
      <c r="O1100" s="70" t="s">
        <v>40</v>
      </c>
      <c r="P1100" s="70" t="s">
        <v>40</v>
      </c>
      <c r="Q1100" s="70"/>
      <c r="R1100" s="70" t="s">
        <v>40</v>
      </c>
      <c r="S1100" s="70" t="s">
        <v>40</v>
      </c>
      <c r="T1100" s="70" t="s">
        <v>40</v>
      </c>
      <c r="U1100" s="70" t="s">
        <v>40</v>
      </c>
      <c r="V1100" s="70" t="s">
        <v>40</v>
      </c>
      <c r="W1100" s="70"/>
      <c r="X1100" s="70" t="s">
        <v>40</v>
      </c>
      <c r="Y1100" s="70" t="s">
        <v>40</v>
      </c>
      <c r="Z1100" s="70" t="s">
        <v>40</v>
      </c>
      <c r="AA1100" s="70" t="s">
        <v>40</v>
      </c>
      <c r="AB1100" s="70" t="s">
        <v>40</v>
      </c>
      <c r="AC1100" s="49" t="s">
        <v>183</v>
      </c>
      <c r="AD1100" s="94">
        <f>D1072+D1079+D1089</f>
        <v>134601544.66</v>
      </c>
      <c r="AE1100" s="94">
        <f>E1072+E1079+E1089</f>
        <v>0</v>
      </c>
      <c r="AF1100" s="94">
        <f>F1072+F1079+F1089</f>
        <v>0</v>
      </c>
      <c r="AG1100" s="94">
        <f t="shared" si="376"/>
        <v>0</v>
      </c>
      <c r="AH1100" s="94">
        <f>H1072+H1079+H1089</f>
        <v>0</v>
      </c>
      <c r="AI1100" s="94">
        <f t="shared" si="377"/>
        <v>0</v>
      </c>
      <c r="AJ1100" s="94">
        <f>O1072+O1079+O1089</f>
        <v>0</v>
      </c>
      <c r="AK1100" s="94">
        <f>K1072+K1079+K1089</f>
        <v>0</v>
      </c>
      <c r="AL1100" s="94">
        <f t="shared" si="378"/>
        <v>0</v>
      </c>
      <c r="AM1100" s="94">
        <f>V1072+V1079+V1089</f>
        <v>0</v>
      </c>
      <c r="AN1100" s="94">
        <f>+AL1100+AM1100</f>
        <v>0</v>
      </c>
      <c r="AO1100" s="94">
        <f t="shared" si="379"/>
        <v>0</v>
      </c>
      <c r="AP1100" s="94">
        <f t="shared" si="380"/>
        <v>134601544.66</v>
      </c>
      <c r="AQ1100" s="94">
        <f t="shared" si="381"/>
        <v>134601544.66</v>
      </c>
    </row>
    <row r="1101" spans="1:43" x14ac:dyDescent="0.25">
      <c r="A1101" s="46"/>
      <c r="B1101" s="26"/>
      <c r="C1101" s="4"/>
      <c r="D1101" s="67">
        <f>SUM(D1095:D1099)</f>
        <v>31432276.34</v>
      </c>
      <c r="E1101" s="67">
        <f>SUM(E1095:E1099)</f>
        <v>8105081.2000000002</v>
      </c>
      <c r="F1101" s="67">
        <f>SUM(F1095:F1099)</f>
        <v>0</v>
      </c>
      <c r="G1101" s="67"/>
      <c r="H1101" s="67">
        <f>SUM(H1095:H1099)</f>
        <v>8105081.2000000002</v>
      </c>
      <c r="I1101" s="67">
        <f>SUM(I1095:I1099)</f>
        <v>0</v>
      </c>
      <c r="J1101" s="67">
        <f>SUM(J1095:J1099)</f>
        <v>0</v>
      </c>
      <c r="K1101" s="67">
        <f>SUM(K1095:K1099)</f>
        <v>0</v>
      </c>
      <c r="L1101" s="67">
        <f>SUM(L1095:L1099)</f>
        <v>0</v>
      </c>
      <c r="M1101" s="67"/>
      <c r="N1101" s="67">
        <f>SUM(N1095:N1099)</f>
        <v>8105081.2000000002</v>
      </c>
      <c r="O1101" s="67">
        <f>SUM(O1095:O1099)</f>
        <v>10276901.77</v>
      </c>
      <c r="P1101" s="67">
        <f>SUM(P1095:P1099)</f>
        <v>0</v>
      </c>
      <c r="Q1101" s="67"/>
      <c r="R1101" s="67">
        <f>SUM(R1095:R1099)</f>
        <v>10276901.77</v>
      </c>
      <c r="S1101" s="67">
        <f>SUM(S1095:S1099)</f>
        <v>0</v>
      </c>
      <c r="T1101" s="67">
        <f>SUM(T1095:T1099)</f>
        <v>0</v>
      </c>
      <c r="U1101" s="67">
        <f>SUM(U1095:U1099)</f>
        <v>0</v>
      </c>
      <c r="V1101" s="67">
        <f>SUM(V1095:V1099)</f>
        <v>0</v>
      </c>
      <c r="W1101" s="67"/>
      <c r="X1101" s="67">
        <f>SUM(X1095:X1099)</f>
        <v>10276901.77</v>
      </c>
      <c r="Y1101" s="67">
        <f>SUM(Y1095:Y1099)</f>
        <v>18381982.969999999</v>
      </c>
      <c r="Z1101" s="67">
        <f>SUM(Z1095:Z1099)</f>
        <v>13050293.369999999</v>
      </c>
      <c r="AA1101" s="67">
        <f>SUM(AA1095:AA1099)</f>
        <v>18381982.969999999</v>
      </c>
      <c r="AB1101" s="67">
        <f>SUM(AB1095:AB1099)</f>
        <v>13050293.369999999</v>
      </c>
      <c r="AC1101" s="50" t="s">
        <v>184</v>
      </c>
      <c r="AD1101" s="94">
        <f>D1080+D1090</f>
        <v>17095103.68</v>
      </c>
      <c r="AE1101" s="94">
        <f>E1080+E1090</f>
        <v>0</v>
      </c>
      <c r="AF1101" s="94">
        <f>F1080+F1090</f>
        <v>0</v>
      </c>
      <c r="AG1101" s="94">
        <f t="shared" si="376"/>
        <v>0</v>
      </c>
      <c r="AH1101" s="94">
        <f>H1080+H1090</f>
        <v>0</v>
      </c>
      <c r="AI1101" s="94">
        <f t="shared" si="377"/>
        <v>0</v>
      </c>
      <c r="AJ1101" s="94">
        <f>O1080+O1090</f>
        <v>12387.78</v>
      </c>
      <c r="AK1101" s="94">
        <f>K1080+K1090</f>
        <v>0</v>
      </c>
      <c r="AL1101" s="94">
        <f t="shared" si="378"/>
        <v>12387.78</v>
      </c>
      <c r="AM1101" s="94">
        <f>V1080+V1090</f>
        <v>0</v>
      </c>
      <c r="AN1101" s="94">
        <f>+AL1101+AM1101</f>
        <v>12387.78</v>
      </c>
      <c r="AO1101" s="94">
        <f t="shared" si="379"/>
        <v>12387.78</v>
      </c>
      <c r="AP1101" s="94">
        <f t="shared" si="380"/>
        <v>17082715.899999999</v>
      </c>
      <c r="AQ1101" s="94">
        <f t="shared" si="381"/>
        <v>17082715.899999999</v>
      </c>
    </row>
    <row r="1102" spans="1:43" x14ac:dyDescent="0.25">
      <c r="A1102" s="46"/>
      <c r="B1102" s="26"/>
      <c r="C1102" s="4"/>
      <c r="D1102" s="70" t="s">
        <v>40</v>
      </c>
      <c r="E1102" s="70" t="s">
        <v>40</v>
      </c>
      <c r="F1102" s="70" t="s">
        <v>40</v>
      </c>
      <c r="G1102" s="70"/>
      <c r="H1102" s="70" t="s">
        <v>40</v>
      </c>
      <c r="I1102" s="70" t="s">
        <v>40</v>
      </c>
      <c r="J1102" s="70" t="s">
        <v>40</v>
      </c>
      <c r="K1102" s="70" t="s">
        <v>40</v>
      </c>
      <c r="L1102" s="70" t="s">
        <v>40</v>
      </c>
      <c r="M1102" s="70"/>
      <c r="N1102" s="70" t="s">
        <v>40</v>
      </c>
      <c r="O1102" s="70" t="s">
        <v>40</v>
      </c>
      <c r="P1102" s="70" t="s">
        <v>40</v>
      </c>
      <c r="Q1102" s="70"/>
      <c r="R1102" s="70" t="s">
        <v>40</v>
      </c>
      <c r="S1102" s="70" t="s">
        <v>40</v>
      </c>
      <c r="T1102" s="70" t="s">
        <v>40</v>
      </c>
      <c r="U1102" s="70" t="s">
        <v>40</v>
      </c>
      <c r="V1102" s="70" t="s">
        <v>40</v>
      </c>
      <c r="W1102" s="70"/>
      <c r="X1102" s="70" t="s">
        <v>40</v>
      </c>
      <c r="Y1102" s="70" t="s">
        <v>40</v>
      </c>
      <c r="Z1102" s="70" t="s">
        <v>40</v>
      </c>
      <c r="AA1102" s="70" t="s">
        <v>40</v>
      </c>
      <c r="AB1102" s="70" t="s">
        <v>40</v>
      </c>
      <c r="AC1102" s="50" t="s">
        <v>53</v>
      </c>
      <c r="AD1102" s="94">
        <f t="shared" ref="AD1102:AF1103" si="382">+D1098</f>
        <v>4673005.51</v>
      </c>
      <c r="AE1102" s="94">
        <f t="shared" si="382"/>
        <v>0</v>
      </c>
      <c r="AF1102" s="94">
        <f t="shared" si="382"/>
        <v>0</v>
      </c>
      <c r="AG1102" s="94">
        <f t="shared" si="376"/>
        <v>0</v>
      </c>
      <c r="AH1102" s="94">
        <f>+H1098</f>
        <v>0</v>
      </c>
      <c r="AI1102" s="94">
        <f t="shared" si="377"/>
        <v>0</v>
      </c>
      <c r="AJ1102" s="94">
        <f>+O1098</f>
        <v>4673005.51</v>
      </c>
      <c r="AK1102" s="94">
        <f>+K1098</f>
        <v>0</v>
      </c>
      <c r="AL1102" s="94">
        <f t="shared" si="378"/>
        <v>4673005.51</v>
      </c>
      <c r="AM1102" s="94">
        <f>+V1098</f>
        <v>0</v>
      </c>
      <c r="AN1102" s="94">
        <f>+AL1102+AM1102</f>
        <v>4673005.51</v>
      </c>
      <c r="AO1102" s="94">
        <f t="shared" si="379"/>
        <v>4673005.51</v>
      </c>
      <c r="AP1102" s="94">
        <f t="shared" si="380"/>
        <v>0</v>
      </c>
      <c r="AQ1102" s="94">
        <f t="shared" si="381"/>
        <v>0</v>
      </c>
    </row>
    <row r="1103" spans="1:43" x14ac:dyDescent="0.25">
      <c r="A1103" s="46"/>
      <c r="B1103" s="37" t="s">
        <v>26</v>
      </c>
      <c r="C1103" s="2" t="s">
        <v>123</v>
      </c>
      <c r="D1103" s="67">
        <f>D1074+D1082+D1092+D1101</f>
        <v>435586343.21999997</v>
      </c>
      <c r="E1103" s="67">
        <f>E1074+E1082+E1092+E1101</f>
        <v>45416287.910000004</v>
      </c>
      <c r="F1103" s="67">
        <f>F1074+F1082+F1092+F1101</f>
        <v>0</v>
      </c>
      <c r="G1103" s="67"/>
      <c r="H1103" s="67">
        <f>H1074+H1082+H1092+H1101</f>
        <v>45416287.910000004</v>
      </c>
      <c r="I1103" s="67">
        <f>I1074+I1082+I1092+I1101</f>
        <v>0</v>
      </c>
      <c r="J1103" s="67">
        <f>J1074+J1082+J1092+J1101</f>
        <v>0</v>
      </c>
      <c r="K1103" s="67">
        <f>K1074+K1082+K1092+K1101</f>
        <v>0</v>
      </c>
      <c r="L1103" s="67">
        <f>L1074+L1082+L1092+L1101</f>
        <v>0</v>
      </c>
      <c r="M1103" s="67"/>
      <c r="N1103" s="67">
        <f>N1074+N1082+N1092+N1101</f>
        <v>45416287.910000004</v>
      </c>
      <c r="O1103" s="67">
        <f>O1074+O1082+O1092+O1101</f>
        <v>21145021.09</v>
      </c>
      <c r="P1103" s="67">
        <f>P1074+P1082+P1092+P1101</f>
        <v>0</v>
      </c>
      <c r="Q1103" s="67"/>
      <c r="R1103" s="67">
        <f>R1074+R1082+R1092+R1101</f>
        <v>21145021.09</v>
      </c>
      <c r="S1103" s="67">
        <f>S1074+S1082+S1092+S1101</f>
        <v>6180303.04</v>
      </c>
      <c r="T1103" s="67">
        <f>T1074+T1082+T1092+T1101</f>
        <v>4554143.84</v>
      </c>
      <c r="U1103" s="67">
        <f>U1074+U1082+U1092+U1101</f>
        <v>0</v>
      </c>
      <c r="V1103" s="67">
        <f>V1074+V1082+V1092+V1101</f>
        <v>0</v>
      </c>
      <c r="W1103" s="67"/>
      <c r="X1103" s="67">
        <f>X1074+X1082+X1092+X1101</f>
        <v>21145021.09</v>
      </c>
      <c r="Y1103" s="67">
        <f>Y1074+Y1082+Y1092+Y1101</f>
        <v>66561308.999999993</v>
      </c>
      <c r="Z1103" s="67">
        <f>Z1074+Z1082+Z1092+Z1101</f>
        <v>369025034.22000003</v>
      </c>
      <c r="AA1103" s="67">
        <f>AA1074+AA1082+AA1092+AA1101</f>
        <v>66561308.999999993</v>
      </c>
      <c r="AB1103" s="67">
        <f>AB1074+AB1082+AB1092+AB1101</f>
        <v>369025034.22000003</v>
      </c>
      <c r="AC1103" s="49" t="s">
        <v>54</v>
      </c>
      <c r="AD1103" s="94">
        <f t="shared" si="382"/>
        <v>5603896.2600000007</v>
      </c>
      <c r="AE1103" s="94">
        <f t="shared" si="382"/>
        <v>0</v>
      </c>
      <c r="AF1103" s="94">
        <f t="shared" si="382"/>
        <v>0</v>
      </c>
      <c r="AG1103" s="94">
        <f t="shared" si="376"/>
        <v>0</v>
      </c>
      <c r="AH1103" s="94">
        <f>+H1099</f>
        <v>0</v>
      </c>
      <c r="AI1103" s="94">
        <f t="shared" si="377"/>
        <v>0</v>
      </c>
      <c r="AJ1103" s="94">
        <f>+O1099</f>
        <v>5603896.2599999998</v>
      </c>
      <c r="AK1103" s="94">
        <f>+K1099</f>
        <v>0</v>
      </c>
      <c r="AL1103" s="94">
        <f t="shared" si="378"/>
        <v>5603896.2599999998</v>
      </c>
      <c r="AM1103" s="94">
        <f>+V1099</f>
        <v>0</v>
      </c>
      <c r="AN1103" s="94">
        <f>+AL1103+AM1103</f>
        <v>5603896.2599999998</v>
      </c>
      <c r="AO1103" s="94">
        <f t="shared" si="379"/>
        <v>5603896.2599999998</v>
      </c>
      <c r="AP1103" s="94">
        <f t="shared" si="380"/>
        <v>0</v>
      </c>
      <c r="AQ1103" s="94">
        <f t="shared" si="381"/>
        <v>0</v>
      </c>
    </row>
    <row r="1104" spans="1:43" x14ac:dyDescent="0.25">
      <c r="A1104" s="46"/>
      <c r="B1104" s="26"/>
      <c r="C1104" s="4"/>
      <c r="D1104" s="70" t="s">
        <v>50</v>
      </c>
      <c r="E1104" s="70" t="s">
        <v>50</v>
      </c>
      <c r="F1104" s="70" t="s">
        <v>50</v>
      </c>
      <c r="G1104" s="70"/>
      <c r="H1104" s="70" t="s">
        <v>50</v>
      </c>
      <c r="I1104" s="70" t="s">
        <v>50</v>
      </c>
      <c r="J1104" s="70" t="s">
        <v>50</v>
      </c>
      <c r="K1104" s="70" t="s">
        <v>50</v>
      </c>
      <c r="L1104" s="70" t="s">
        <v>50</v>
      </c>
      <c r="M1104" s="70"/>
      <c r="N1104" s="70" t="s">
        <v>50</v>
      </c>
      <c r="O1104" s="70" t="s">
        <v>50</v>
      </c>
      <c r="P1104" s="70" t="s">
        <v>50</v>
      </c>
      <c r="Q1104" s="70"/>
      <c r="R1104" s="70" t="s">
        <v>50</v>
      </c>
      <c r="S1104" s="70" t="s">
        <v>50</v>
      </c>
      <c r="T1104" s="70" t="s">
        <v>50</v>
      </c>
      <c r="U1104" s="70" t="s">
        <v>50</v>
      </c>
      <c r="V1104" s="70" t="s">
        <v>50</v>
      </c>
      <c r="W1104" s="70"/>
      <c r="X1104" s="70" t="s">
        <v>50</v>
      </c>
      <c r="Y1104" s="70" t="s">
        <v>50</v>
      </c>
      <c r="Z1104" s="70" t="s">
        <v>50</v>
      </c>
      <c r="AA1104" s="70" t="s">
        <v>50</v>
      </c>
      <c r="AB1104" s="70" t="s">
        <v>50</v>
      </c>
      <c r="AD1104" s="95">
        <f t="shared" ref="AD1104:AQ1104" si="383">SUM(AD1094:AD1103)</f>
        <v>435586343.21999997</v>
      </c>
      <c r="AE1104" s="95">
        <f t="shared" si="383"/>
        <v>45416287.909999996</v>
      </c>
      <c r="AF1104" s="95">
        <f t="shared" si="383"/>
        <v>0</v>
      </c>
      <c r="AG1104" s="95">
        <f t="shared" si="383"/>
        <v>45416287.909999996</v>
      </c>
      <c r="AH1104" s="95">
        <f t="shared" si="383"/>
        <v>0</v>
      </c>
      <c r="AI1104" s="95">
        <f t="shared" si="383"/>
        <v>45416287.909999996</v>
      </c>
      <c r="AJ1104" s="95">
        <f t="shared" si="383"/>
        <v>21145021.089999996</v>
      </c>
      <c r="AK1104" s="95">
        <f t="shared" si="383"/>
        <v>0</v>
      </c>
      <c r="AL1104" s="95">
        <f t="shared" si="383"/>
        <v>21145021.089999996</v>
      </c>
      <c r="AM1104" s="95">
        <f t="shared" si="383"/>
        <v>0</v>
      </c>
      <c r="AN1104" s="95">
        <f t="shared" si="383"/>
        <v>21145021.089999996</v>
      </c>
      <c r="AO1104" s="95">
        <f t="shared" si="383"/>
        <v>66561309</v>
      </c>
      <c r="AP1104" s="95">
        <f t="shared" si="383"/>
        <v>369025034.01999998</v>
      </c>
      <c r="AQ1104" s="95">
        <f t="shared" si="383"/>
        <v>369025034.21999997</v>
      </c>
    </row>
    <row r="1105" spans="1:43" x14ac:dyDescent="0.25">
      <c r="A1105" s="46"/>
      <c r="B1105" s="26"/>
      <c r="C1105" s="4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79"/>
      <c r="AA1105" s="68"/>
      <c r="AB1105" s="67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4"/>
      <c r="AN1105" s="94"/>
      <c r="AO1105" s="94"/>
      <c r="AP1105" s="94"/>
      <c r="AQ1105" s="94"/>
    </row>
    <row r="1106" spans="1:43" x14ac:dyDescent="0.25">
      <c r="A1106" s="46"/>
      <c r="B1106" s="23" t="s">
        <v>127</v>
      </c>
      <c r="C1106" s="4"/>
      <c r="D1106" s="67">
        <f>D69+D119+D189+D323+D432+D549+D633+D717+D805+D856+D925+D1062+D1103+D1027+D976</f>
        <v>6602025057.7900009</v>
      </c>
      <c r="E1106" s="67">
        <f>E69+E119+E189+E323+E432+E549+E633+E717+E805+E856+E925+E976+E1027+E1062+E1103</f>
        <v>1442510969.5360003</v>
      </c>
      <c r="F1106" s="67">
        <f>F69+F119+F189+F323+F432+F549+F633+F717+F805+F856+F925+F976+F1027+F1062+F1103</f>
        <v>117580187.81</v>
      </c>
      <c r="G1106" s="67"/>
      <c r="H1106" s="67">
        <f>H69+H119+H189+H323+H432+H549+H633+H717+H805+H856+H925+H976+H1027+H1062+H1103</f>
        <v>1560091157.3460002</v>
      </c>
      <c r="I1106" s="67">
        <f>I69+I119+I189+I323+I432+I549+I633+I717+I805+I856+I925+I976+I1027+I1062+I1103</f>
        <v>0</v>
      </c>
      <c r="J1106" s="67">
        <f>J69+J119+J189+J323+J432+J549+J633+J717+J805+J856+J925+J976+J1027+J1062+J1103</f>
        <v>0</v>
      </c>
      <c r="K1106" s="67">
        <f>K69+K119+K189+K323+K432+K549+K633+K717+K805+K856+K925+K976+K1027+K1062+K1103</f>
        <v>0</v>
      </c>
      <c r="L1106" s="67">
        <f>L69+L119+L189+L323+L432+L549+L633+L717+L805+L856+L925+L976+L1027+L1062+L1103</f>
        <v>0</v>
      </c>
      <c r="M1106" s="67"/>
      <c r="N1106" s="67">
        <f>N69+N119+N189+N323+N432+N549+N633+N717+N805+N856+N925+N976+N1027+N1062+N1103</f>
        <v>1560091157.3460002</v>
      </c>
      <c r="O1106" s="67" t="e">
        <f>O69+O119+O189+O323+O432+O549+O633+O717+O805+O856+O925+O976+O1027+O1062+O1103</f>
        <v>#VALUE!</v>
      </c>
      <c r="P1106" s="67" t="e">
        <f>P69+P119+P189+P323+P432+P549+P633+P717+P805+P856+P925+P976+P1027+P1062+P1103</f>
        <v>#VALUE!</v>
      </c>
      <c r="Q1106" s="67"/>
      <c r="R1106" s="67" t="e">
        <f>R69+R119+R189+R323+R432+R549+R633+R717+R805+R856+R925+R976+R1027+R1062+R1103</f>
        <v>#VALUE!</v>
      </c>
      <c r="S1106" s="67">
        <f>S69+S119+S189+S323+S432+S549+S633+S717+S805+S856+S925+S976+S1027+S1062+S1103</f>
        <v>74953514.590000004</v>
      </c>
      <c r="T1106" s="67">
        <f>T69+T119+T189+T323+T432+T549+T633+T717+T805+T856+T925+T976+T1027+T1062+T1103</f>
        <v>24749772.529999997</v>
      </c>
      <c r="U1106" s="67">
        <f>U69+U119+U189+U323+U432+U549+U633+U717+U805+U856+U925+U976+U1027+U1062+U1103</f>
        <v>2125646.8199999998</v>
      </c>
      <c r="V1106" s="67" t="e">
        <f>V69+V119+V189+V323+V432+V549+V633+V717+V805+V856+V925+V976+V1027+V1062+V1103</f>
        <v>#VALUE!</v>
      </c>
      <c r="W1106" s="67"/>
      <c r="X1106" s="67" t="e">
        <f>X69+X119+X189+X323+X432+X549+X633+X717+X805+X856+X925+X976+X1027+X1062+X1103</f>
        <v>#VALUE!</v>
      </c>
      <c r="Y1106" s="67">
        <f>Y69+Y119+Y189+Y323+Y432+Y549+Y633+Y717+Y805+Y856+Y925+Y976+Y1027+Y1062+Y1103</f>
        <v>2506971405.1659999</v>
      </c>
      <c r="Z1106" s="67">
        <f>Z69+Z119+Z189+Z323+Z432+Z549+Z633+Z717+Z805+Z856+Z925+Z976+Z1027+Z1062+Z1103</f>
        <v>4095053652.6240005</v>
      </c>
      <c r="AA1106" s="67">
        <f>AA69+AA119+AA189+AA323+AA432+AA549+AA633+AA717+AA805+AA856+AA925+AA976+AA1027+AA1062+AA1103</f>
        <v>2278783945.2000003</v>
      </c>
      <c r="AB1106" s="67">
        <f>AB69+AB119+AB189+AB323+AB432+AB549+AB633+AB717+AB805+AB856+AB925+AB976+AB1027+AB1062+AB1103</f>
        <v>4080273991.3640013</v>
      </c>
      <c r="AC1106" t="s">
        <v>277</v>
      </c>
      <c r="AD1106" s="95">
        <f>AD69+AD119+AD189+AD323+AD432+AD549+AD633+AD717+AD805+AD856+AD925+AD976+AD1026+AD1062+AD1104</f>
        <v>6602025057.7900009</v>
      </c>
      <c r="AE1106" s="95">
        <f>AE69+AE119+AE189+AE323+AE432+AE549+AE633+AE717+AE805+AE856+AE925+AE976+AE1026+AE1062+AE1104</f>
        <v>1442510969.5360003</v>
      </c>
      <c r="AF1106" s="95">
        <f>AF69+AF119+AF189+AF323+AF432+AF549+AF633+AF717+AF805+AF856+AF925+AF976+AF1026+AF1062+AF1104</f>
        <v>117580187.81</v>
      </c>
      <c r="AG1106" s="95">
        <f>AG69+AG119+AG189+AG323+AG432+AG549+AG633+AG717+AG805+AG856+AG925+AG976+AG1026+AG1062+AG1104</f>
        <v>1560091157.3460002</v>
      </c>
      <c r="AH1106" s="95" t="e">
        <f>AH69+AH119+AH187+AH323+AH432+AH549+AH633+AH717+AH805+AH856+AH925+AH976+AH1026+AH1062+AH1104</f>
        <v>#VALUE!</v>
      </c>
      <c r="AI1106" s="95" t="e">
        <f t="shared" ref="AI1106:AQ1106" si="384">AI69+AI119+AI189+AI323+AI432+AI549+AI633+AI717+AI805+AI856+AI925+AI976+AI1026+AI1062+AI1104</f>
        <v>#VALUE!</v>
      </c>
      <c r="AJ1106" s="95">
        <f t="shared" si="384"/>
        <v>949541551.36000013</v>
      </c>
      <c r="AK1106" s="95" t="e">
        <f t="shared" si="384"/>
        <v>#VALUE!</v>
      </c>
      <c r="AL1106" s="95" t="e">
        <f t="shared" si="384"/>
        <v>#VALUE!</v>
      </c>
      <c r="AM1106" s="95" t="e">
        <f t="shared" si="384"/>
        <v>#VALUE!</v>
      </c>
      <c r="AN1106" s="95" t="e">
        <f t="shared" si="384"/>
        <v>#VALUE!</v>
      </c>
      <c r="AO1106" s="95" t="e">
        <f t="shared" si="384"/>
        <v>#VALUE!</v>
      </c>
      <c r="AP1106" s="95" t="e">
        <f t="shared" si="384"/>
        <v>#VALUE!</v>
      </c>
      <c r="AQ1106" s="95" t="e">
        <f t="shared" si="384"/>
        <v>#VALUE!</v>
      </c>
    </row>
    <row r="1107" spans="1:43" x14ac:dyDescent="0.25">
      <c r="A1107" s="46"/>
      <c r="B1107" s="26"/>
      <c r="C1107" s="95"/>
      <c r="D1107" s="70" t="s">
        <v>128</v>
      </c>
      <c r="E1107" s="70" t="s">
        <v>128</v>
      </c>
      <c r="F1107" s="70" t="s">
        <v>128</v>
      </c>
      <c r="G1107" s="70"/>
      <c r="H1107" s="70" t="s">
        <v>128</v>
      </c>
      <c r="I1107" s="70" t="s">
        <v>128</v>
      </c>
      <c r="J1107" s="70" t="s">
        <v>128</v>
      </c>
      <c r="K1107" s="70" t="s">
        <v>128</v>
      </c>
      <c r="L1107" s="70" t="s">
        <v>128</v>
      </c>
      <c r="M1107" s="70"/>
      <c r="N1107" s="70" t="s">
        <v>128</v>
      </c>
      <c r="O1107" s="70" t="s">
        <v>128</v>
      </c>
      <c r="P1107" s="70" t="s">
        <v>128</v>
      </c>
      <c r="Q1107" s="70"/>
      <c r="R1107" s="70" t="s">
        <v>128</v>
      </c>
      <c r="S1107" s="70" t="s">
        <v>128</v>
      </c>
      <c r="T1107" s="70" t="s">
        <v>128</v>
      </c>
      <c r="U1107" s="70" t="s">
        <v>128</v>
      </c>
      <c r="V1107" s="70" t="s">
        <v>128</v>
      </c>
      <c r="W1107" s="70"/>
      <c r="X1107" s="70" t="s">
        <v>128</v>
      </c>
      <c r="Y1107" s="70" t="s">
        <v>128</v>
      </c>
      <c r="Z1107" s="70" t="s">
        <v>128</v>
      </c>
      <c r="AA1107" s="70" t="s">
        <v>128</v>
      </c>
      <c r="AB1107" s="70" t="s">
        <v>128</v>
      </c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/>
      <c r="AP1107" s="94"/>
      <c r="AQ1107" s="94"/>
    </row>
    <row r="1108" spans="1:43" x14ac:dyDescent="0.25">
      <c r="C1108" s="97"/>
      <c r="D1108" s="55"/>
      <c r="E1108" s="55"/>
      <c r="F1108" s="55"/>
      <c r="G1108" s="55"/>
      <c r="H1108" s="55"/>
      <c r="I1108" s="55"/>
      <c r="J1108" s="55"/>
      <c r="K1108" s="55"/>
      <c r="L1108" s="55"/>
      <c r="M1108" s="55"/>
      <c r="N1108" s="55"/>
      <c r="O1108" s="55"/>
      <c r="P1108" s="55"/>
      <c r="Q1108" s="55"/>
      <c r="R1108" s="55"/>
      <c r="S1108" s="55"/>
      <c r="T1108" s="55"/>
      <c r="U1108" s="55"/>
      <c r="V1108" s="55"/>
      <c r="W1108" s="55"/>
      <c r="X1108" s="55"/>
      <c r="Y1108" s="55"/>
      <c r="Z1108" s="55"/>
      <c r="AA1108" s="55"/>
      <c r="AB1108" s="55"/>
      <c r="AP1108" s="94"/>
      <c r="AQ1108" s="94"/>
    </row>
    <row r="1109" spans="1:43" ht="16.5" thickBot="1" x14ac:dyDescent="0.3">
      <c r="B1109" s="22" t="s">
        <v>295</v>
      </c>
      <c r="D1109" s="87">
        <f>+D20+D39+D143+D295+D303+D662+D819+D836++D846+D912+D1053+D338+D214+D1061+D827+D958+D962+D586</f>
        <v>29062497.970000003</v>
      </c>
      <c r="E1109" s="55"/>
      <c r="F1109" s="55"/>
      <c r="G1109" s="55"/>
      <c r="H1109" s="55"/>
      <c r="I1109" s="55"/>
      <c r="J1109" s="55"/>
      <c r="K1109" s="55"/>
      <c r="L1109" s="55"/>
      <c r="M1109" s="55"/>
      <c r="N1109" s="55"/>
      <c r="O1109" s="87">
        <f>+O20+O39+O143+O295+O303+O662+O819+O836++O846+O912+O1053+O338+O214+O1061</f>
        <v>24883025.190000001</v>
      </c>
      <c r="P1109" s="87">
        <f>P586+P962+P958+P827</f>
        <v>4179472.7800000003</v>
      </c>
      <c r="Q1109" s="87"/>
      <c r="R1109" s="87">
        <f>+O1109+P1109</f>
        <v>29062497.970000003</v>
      </c>
      <c r="S1109" s="87">
        <f>+S20+S39+S143+S295+S303+S662+S819+S836++S846+S912+S1053+S338+S214+S1061</f>
        <v>0</v>
      </c>
      <c r="T1109" s="87">
        <f>+T20+T39+T143+T295+T303+T662+T819+T836++T846+T912+T1053+T338+T214+T1061</f>
        <v>0</v>
      </c>
      <c r="U1109" s="87">
        <f>+U20+U39+U143+U295+U303+U662+U819+U836++U846+U912+U1053+U338+U214+U1061</f>
        <v>0</v>
      </c>
      <c r="V1109" s="87">
        <f>+V20+V39+V143+V295+V303+V662+V819+V836++V846+V912+V1053+V338+V214+V1061</f>
        <v>1562645.44</v>
      </c>
      <c r="W1109" s="55"/>
      <c r="X1109" s="55"/>
      <c r="Y1109" s="63"/>
      <c r="Z1109" s="55"/>
    </row>
    <row r="1110" spans="1:43" ht="16.5" thickTop="1" x14ac:dyDescent="0.25">
      <c r="A1110" s="4"/>
      <c r="B1110" s="4"/>
      <c r="C1110" s="95"/>
      <c r="D1110" s="146">
        <v>0</v>
      </c>
      <c r="E1110" s="54" t="s">
        <v>317</v>
      </c>
      <c r="F1110" s="95"/>
      <c r="G1110" s="4"/>
      <c r="H1110" s="4"/>
      <c r="I1110" s="4"/>
      <c r="J1110" s="4"/>
      <c r="K1110" s="4"/>
      <c r="L1110" s="4"/>
      <c r="M1110" s="4"/>
      <c r="N1110" s="4"/>
      <c r="O1110" s="4"/>
      <c r="P1110" s="6"/>
      <c r="Q1110" s="4"/>
      <c r="R1110" s="121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</row>
    <row r="1111" spans="1:43" x14ac:dyDescent="0.25">
      <c r="D1111" s="83">
        <v>0</v>
      </c>
      <c r="E1111" s="83" t="s">
        <v>283</v>
      </c>
      <c r="P1111" s="83">
        <v>0</v>
      </c>
      <c r="R1111" s="83" t="s">
        <v>337</v>
      </c>
      <c r="S1111" s="68"/>
      <c r="T1111" s="68"/>
      <c r="U1111" s="67">
        <v>-6436.84</v>
      </c>
      <c r="V1111" s="83"/>
      <c r="W1111" s="142"/>
      <c r="X1111" s="83"/>
      <c r="Y1111" s="117"/>
    </row>
    <row r="1112" spans="1:43" x14ac:dyDescent="0.25">
      <c r="C1112" s="123"/>
      <c r="D1112" s="83">
        <f>34199417.73+48814406.01</f>
        <v>83013823.739999995</v>
      </c>
      <c r="E1112" s="83" t="s">
        <v>305</v>
      </c>
      <c r="P1112" s="137">
        <v>0</v>
      </c>
      <c r="Q1112" s="81"/>
      <c r="R1112" s="82" t="s">
        <v>284</v>
      </c>
      <c r="S1112" s="68"/>
      <c r="T1112" s="68"/>
      <c r="U1112" s="67"/>
      <c r="V1112" s="83"/>
      <c r="W1112" s="83"/>
      <c r="X1112" s="83"/>
    </row>
    <row r="1113" spans="1:43" x14ac:dyDescent="0.25">
      <c r="C1113" s="50"/>
      <c r="D1113" s="143">
        <f>2500000+15000000</f>
        <v>17500000</v>
      </c>
      <c r="E1113" s="83" t="s">
        <v>303</v>
      </c>
      <c r="P1113" s="143">
        <f>+P827+P586</f>
        <v>4105984.8</v>
      </c>
      <c r="Q1113" s="83"/>
      <c r="R1113" s="83" t="s">
        <v>320</v>
      </c>
      <c r="S1113" s="83"/>
      <c r="T1113" s="83"/>
      <c r="U1113" s="83"/>
      <c r="V1113" s="83"/>
    </row>
    <row r="1114" spans="1:43" x14ac:dyDescent="0.25">
      <c r="A1114" s="46"/>
      <c r="B1114" s="26"/>
      <c r="C1114" s="20"/>
      <c r="D1114" s="143">
        <v>3882200</v>
      </c>
      <c r="E1114" s="83" t="s">
        <v>298</v>
      </c>
      <c r="F1114" s="81"/>
      <c r="G1114" s="67"/>
      <c r="H1114" s="82"/>
      <c r="I1114" s="68"/>
      <c r="J1114" s="68"/>
      <c r="K1114" s="68"/>
      <c r="L1114" s="68"/>
      <c r="M1114" s="68"/>
      <c r="N1114" s="68"/>
      <c r="O1114" s="68"/>
      <c r="P1114" s="150">
        <v>0</v>
      </c>
      <c r="Q1114" s="54"/>
      <c r="R1114" s="54" t="s">
        <v>336</v>
      </c>
      <c r="S1114" s="68"/>
      <c r="T1114" s="68"/>
      <c r="U1114" s="67"/>
      <c r="V1114" s="68"/>
      <c r="W1114" s="68"/>
      <c r="X1114" s="68"/>
      <c r="Y1114" s="68"/>
      <c r="Z1114" s="55"/>
      <c r="AA1114" s="67"/>
      <c r="AB1114" s="55"/>
      <c r="AC1114" s="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</row>
    <row r="1115" spans="1:43" ht="16.5" thickBot="1" x14ac:dyDescent="0.3">
      <c r="A1115" s="46"/>
      <c r="B1115" s="26"/>
      <c r="C1115" s="144"/>
      <c r="D1115" s="132">
        <f>SUM(D1110:D1114)</f>
        <v>104396023.73999999</v>
      </c>
      <c r="E1115" s="83" t="s">
        <v>3</v>
      </c>
      <c r="O1115" s="68"/>
      <c r="P1115" s="139">
        <f>P962+P958</f>
        <v>73487.98</v>
      </c>
      <c r="Q1115" s="81"/>
      <c r="R1115" s="82" t="s">
        <v>338</v>
      </c>
      <c r="S1115" s="68"/>
      <c r="T1115" s="68"/>
      <c r="U1115" s="68"/>
      <c r="V1115" s="68"/>
      <c r="W1115" s="68"/>
      <c r="X1115" s="68"/>
      <c r="Y1115" s="68"/>
      <c r="Z1115" s="79"/>
      <c r="AA1115" s="67"/>
      <c r="AB1115" s="67"/>
      <c r="AC1115" s="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</row>
    <row r="1116" spans="1:43" ht="16.5" thickTop="1" x14ac:dyDescent="0.25">
      <c r="A1116" s="46"/>
      <c r="B1116" s="23"/>
      <c r="C1116" s="4"/>
      <c r="D1116" s="143"/>
      <c r="E1116" s="83"/>
      <c r="F1116" s="67"/>
      <c r="G1116" s="67"/>
      <c r="H1116" s="79"/>
      <c r="I1116" s="68"/>
      <c r="J1116" s="68"/>
      <c r="K1116" s="68"/>
      <c r="L1116" s="68"/>
      <c r="M1116" s="68"/>
      <c r="N1116" s="68"/>
      <c r="O1116" s="68"/>
      <c r="P1116" s="116">
        <v>-5603896.2599999998</v>
      </c>
      <c r="Q1116" s="83"/>
      <c r="R1116" s="83" t="s">
        <v>278</v>
      </c>
      <c r="S1116" s="68"/>
      <c r="T1116" s="68"/>
      <c r="U1116" s="68"/>
      <c r="V1116" s="68"/>
      <c r="W1116" s="68"/>
      <c r="X1116" s="68"/>
      <c r="Y1116" s="68"/>
      <c r="Z1116" s="79"/>
      <c r="AA1116" s="67"/>
      <c r="AB1116" s="67"/>
      <c r="AC1116" s="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</row>
    <row r="1117" spans="1:43" x14ac:dyDescent="0.25">
      <c r="A1117" s="45"/>
      <c r="B1117" s="23"/>
      <c r="C1117" s="4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W1117" s="68"/>
      <c r="X1117" s="68"/>
      <c r="Y1117" s="68"/>
      <c r="Z1117" s="68"/>
      <c r="AA1117" s="68"/>
      <c r="AB1117" s="68"/>
      <c r="AC1117" s="4"/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</row>
    <row r="1118" spans="1:43" x14ac:dyDescent="0.25">
      <c r="A1118" s="45"/>
      <c r="B1118" s="23"/>
      <c r="C1118" s="4"/>
      <c r="D1118" s="143"/>
      <c r="E1118" s="68"/>
      <c r="F1118" s="68"/>
      <c r="G1118" s="68"/>
      <c r="H1118" s="68"/>
      <c r="I1118" s="68"/>
      <c r="J1118" s="68"/>
      <c r="K1118" s="68"/>
      <c r="L1118" s="68"/>
      <c r="M1118" s="68"/>
      <c r="N1118" s="68"/>
      <c r="O1118" s="68"/>
      <c r="W1118" s="68"/>
      <c r="X1118" s="68"/>
      <c r="Y1118" s="68"/>
      <c r="Z1118" s="68"/>
      <c r="AA1118" s="68"/>
      <c r="AB1118" s="68"/>
      <c r="AC1118" s="4"/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</row>
    <row r="1119" spans="1:43" x14ac:dyDescent="0.25">
      <c r="A1119" s="45"/>
      <c r="B1119" s="23"/>
      <c r="C1119" s="95"/>
      <c r="E1119" s="68"/>
      <c r="F1119" s="68"/>
      <c r="G1119" s="68"/>
      <c r="H1119" s="68"/>
      <c r="I1119" s="68"/>
      <c r="J1119" s="68"/>
      <c r="K1119" s="68"/>
      <c r="L1119" s="68"/>
      <c r="M1119" s="68"/>
      <c r="N1119" s="68"/>
      <c r="O1119" s="68"/>
      <c r="W1119" s="68"/>
      <c r="X1119" s="68"/>
      <c r="Y1119" s="68"/>
      <c r="Z1119" s="68"/>
      <c r="AA1119" s="68"/>
      <c r="AB1119" s="68"/>
      <c r="AC1119" s="4"/>
      <c r="AD1119" s="94"/>
      <c r="AE1119" s="94"/>
      <c r="AF1119" s="94"/>
      <c r="AG1119" s="94"/>
      <c r="AH1119" s="94"/>
      <c r="AI1119" s="94"/>
      <c r="AJ1119" s="94"/>
      <c r="AK1119" s="94"/>
      <c r="AL1119" s="94"/>
      <c r="AM1119" s="94"/>
      <c r="AN1119" s="94"/>
      <c r="AO1119" s="94"/>
      <c r="AP1119" s="94"/>
      <c r="AQ1119" s="94"/>
    </row>
    <row r="1120" spans="1:43" x14ac:dyDescent="0.25">
      <c r="A1120" s="45"/>
      <c r="B1120" s="23"/>
      <c r="C1120" s="4"/>
      <c r="D1120" s="68"/>
      <c r="E1120" s="68"/>
      <c r="F1120" s="67"/>
      <c r="G1120" s="67"/>
      <c r="H1120" s="79"/>
      <c r="I1120" s="68"/>
      <c r="J1120" s="68"/>
      <c r="K1120" s="68"/>
      <c r="L1120" s="68"/>
      <c r="M1120" s="68"/>
      <c r="N1120" s="68"/>
      <c r="W1120" s="68"/>
      <c r="X1120" s="68"/>
      <c r="Y1120" s="68"/>
      <c r="Z1120" s="68"/>
      <c r="AA1120" s="68"/>
      <c r="AB1120" s="68"/>
      <c r="AC1120" s="4"/>
      <c r="AD1120" s="94"/>
      <c r="AE1120" s="94"/>
      <c r="AF1120" s="94"/>
      <c r="AG1120" s="94"/>
      <c r="AH1120" s="94"/>
      <c r="AI1120" s="94"/>
      <c r="AJ1120" s="94"/>
      <c r="AK1120" s="94"/>
      <c r="AL1120" s="94"/>
      <c r="AM1120" s="94"/>
      <c r="AN1120" s="94"/>
      <c r="AO1120" s="94"/>
      <c r="AP1120" s="94"/>
      <c r="AQ1120" s="94"/>
    </row>
    <row r="1121" spans="1:43" x14ac:dyDescent="0.25">
      <c r="A1121" s="45"/>
      <c r="B1121" s="26"/>
      <c r="C1121" s="4"/>
      <c r="D1121" s="68"/>
      <c r="E1121" s="68"/>
      <c r="F1121" s="68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4"/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</row>
    <row r="1122" spans="1:43" x14ac:dyDescent="0.25">
      <c r="A1122" s="45"/>
      <c r="B1122" s="4"/>
      <c r="C1122" s="4"/>
      <c r="D1122" s="68"/>
      <c r="E1122" s="68"/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4"/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</row>
    <row r="1123" spans="1:43" ht="19.5" x14ac:dyDescent="0.35">
      <c r="A1123" s="45"/>
      <c r="B1123" s="47" t="s">
        <v>129</v>
      </c>
      <c r="C1123" s="4"/>
      <c r="D1123" s="68"/>
      <c r="E1123" s="68"/>
      <c r="F1123" s="68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</row>
    <row r="1124" spans="1:43" ht="19.5" x14ac:dyDescent="0.35">
      <c r="A1124" s="45"/>
      <c r="B1124" s="47"/>
      <c r="C1124" s="4" t="s">
        <v>145</v>
      </c>
      <c r="D1124" s="68"/>
      <c r="E1124" s="68"/>
      <c r="F1124" s="68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4"/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</row>
    <row r="1125" spans="1:43" ht="19.5" x14ac:dyDescent="0.35">
      <c r="A1125" s="45"/>
      <c r="B1125" s="47"/>
      <c r="C1125" s="4"/>
      <c r="D1125" s="68"/>
      <c r="E1125" s="68"/>
      <c r="F1125" s="68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4"/>
    </row>
    <row r="1126" spans="1:43" x14ac:dyDescent="0.25">
      <c r="A1126" s="45"/>
      <c r="C1126" s="4"/>
      <c r="D1126" s="55"/>
      <c r="E1126" s="55"/>
      <c r="F1126" s="57" t="s">
        <v>1</v>
      </c>
      <c r="G1126" s="57"/>
      <c r="H1126" s="58"/>
      <c r="I1126" s="57" t="s">
        <v>2</v>
      </c>
      <c r="J1126" s="55"/>
      <c r="K1126" s="57" t="s">
        <v>2</v>
      </c>
      <c r="L1126" s="57" t="s">
        <v>3</v>
      </c>
      <c r="M1126" s="57"/>
      <c r="N1126" s="57" t="s">
        <v>4</v>
      </c>
      <c r="O1126" s="55"/>
      <c r="P1126" s="57" t="s">
        <v>17</v>
      </c>
      <c r="Q1126" s="57"/>
      <c r="R1126" s="55"/>
      <c r="S1126" s="55"/>
      <c r="T1126" s="55"/>
      <c r="U1126" s="57" t="s">
        <v>2</v>
      </c>
      <c r="V1126" s="57" t="s">
        <v>3</v>
      </c>
      <c r="W1126" s="57"/>
      <c r="X1126" s="57" t="s">
        <v>6</v>
      </c>
      <c r="Y1126" s="57" t="s">
        <v>7</v>
      </c>
      <c r="Z1126" s="57" t="s">
        <v>8</v>
      </c>
      <c r="AA1126" s="57" t="s">
        <v>3</v>
      </c>
      <c r="AB1126" s="57" t="s">
        <v>8</v>
      </c>
      <c r="AC1126" s="4"/>
    </row>
    <row r="1127" spans="1:43" ht="19.5" x14ac:dyDescent="0.35">
      <c r="A1127" s="45"/>
      <c r="B1127" s="47"/>
      <c r="C1127" s="4"/>
      <c r="D1127" s="57" t="s">
        <v>9</v>
      </c>
      <c r="E1127" s="57" t="s">
        <v>10</v>
      </c>
      <c r="F1127" s="57" t="s">
        <v>11</v>
      </c>
      <c r="G1127" s="57"/>
      <c r="H1127" s="58"/>
      <c r="I1127" s="57" t="s">
        <v>12</v>
      </c>
      <c r="J1127" s="57" t="s">
        <v>13</v>
      </c>
      <c r="K1127" s="57" t="s">
        <v>14</v>
      </c>
      <c r="L1127" s="57" t="s">
        <v>1</v>
      </c>
      <c r="M1127" s="57"/>
      <c r="N1127" s="57" t="s">
        <v>15</v>
      </c>
      <c r="O1127" s="57" t="s">
        <v>16</v>
      </c>
      <c r="P1127" s="57" t="s">
        <v>11</v>
      </c>
      <c r="Q1127" s="57"/>
      <c r="R1127" s="58"/>
      <c r="S1127" s="57" t="s">
        <v>2</v>
      </c>
      <c r="T1127" s="57" t="s">
        <v>13</v>
      </c>
      <c r="U1127" s="57" t="s">
        <v>14</v>
      </c>
      <c r="V1127" s="57" t="s">
        <v>17</v>
      </c>
      <c r="W1127" s="57"/>
      <c r="X1127" s="57" t="s">
        <v>11</v>
      </c>
      <c r="Y1127" s="57" t="s">
        <v>11</v>
      </c>
      <c r="Z1127" s="57" t="s">
        <v>18</v>
      </c>
      <c r="AA1127" s="57" t="s">
        <v>11</v>
      </c>
      <c r="AB1127" s="57" t="s">
        <v>18</v>
      </c>
      <c r="AC1127" s="4"/>
    </row>
    <row r="1128" spans="1:43" ht="19.5" x14ac:dyDescent="0.35">
      <c r="A1128" s="45"/>
      <c r="B1128" s="47"/>
      <c r="C1128" s="4"/>
      <c r="D1128" s="59" t="s">
        <v>20</v>
      </c>
      <c r="E1128" s="59" t="str">
        <f>+E7</f>
        <v>AS OF 12/31/05</v>
      </c>
      <c r="F1128" s="59" t="s">
        <v>21</v>
      </c>
      <c r="G1128" s="59"/>
      <c r="H1128" s="59" t="s">
        <v>22</v>
      </c>
      <c r="I1128" s="59" t="s">
        <v>23</v>
      </c>
      <c r="J1128" s="59" t="s">
        <v>24</v>
      </c>
      <c r="K1128" s="59" t="s">
        <v>23</v>
      </c>
      <c r="L1128" s="59" t="s">
        <v>2</v>
      </c>
      <c r="M1128" s="59"/>
      <c r="N1128" s="59" t="s">
        <v>25</v>
      </c>
      <c r="O1128" s="59" t="str">
        <f>+E1128</f>
        <v>AS OF 12/31/05</v>
      </c>
      <c r="P1128" s="59" t="s">
        <v>21</v>
      </c>
      <c r="Q1128" s="59"/>
      <c r="R1128" s="59" t="s">
        <v>26</v>
      </c>
      <c r="S1128" s="59" t="s">
        <v>27</v>
      </c>
      <c r="T1128" s="59" t="s">
        <v>28</v>
      </c>
      <c r="U1128" s="59" t="s">
        <v>23</v>
      </c>
      <c r="V1128" s="59" t="s">
        <v>2</v>
      </c>
      <c r="W1128" s="59"/>
      <c r="X1128" s="59" t="s">
        <v>29</v>
      </c>
      <c r="Y1128" s="59" t="s">
        <v>30</v>
      </c>
      <c r="Z1128" s="59" t="s">
        <v>30</v>
      </c>
      <c r="AA1128" s="59" t="s">
        <v>31</v>
      </c>
      <c r="AB1128" s="59" t="s">
        <v>31</v>
      </c>
      <c r="AC1128" s="4"/>
    </row>
    <row r="1129" spans="1:43" ht="19.5" x14ac:dyDescent="0.35">
      <c r="A1129" s="45"/>
      <c r="B1129" s="47"/>
      <c r="C1129" s="4"/>
      <c r="D1129" s="60" t="s">
        <v>153</v>
      </c>
      <c r="E1129" s="60" t="s">
        <v>154</v>
      </c>
      <c r="F1129" s="60" t="s">
        <v>164</v>
      </c>
      <c r="G1129" s="60"/>
      <c r="H1129" s="60" t="s">
        <v>155</v>
      </c>
      <c r="I1129" s="60"/>
      <c r="J1129" s="60"/>
      <c r="K1129" s="60"/>
      <c r="L1129" s="60" t="s">
        <v>156</v>
      </c>
      <c r="M1129" s="60"/>
      <c r="N1129" s="60" t="s">
        <v>157</v>
      </c>
      <c r="O1129" s="60" t="s">
        <v>158</v>
      </c>
      <c r="P1129" s="60" t="s">
        <v>159</v>
      </c>
      <c r="Q1129" s="60"/>
      <c r="R1129" s="60" t="s">
        <v>160</v>
      </c>
      <c r="S1129" s="60"/>
      <c r="T1129" s="60"/>
      <c r="U1129" s="60"/>
      <c r="V1129" s="60" t="s">
        <v>161</v>
      </c>
      <c r="W1129" s="60"/>
      <c r="X1129" s="60" t="s">
        <v>162</v>
      </c>
      <c r="Y1129" s="60" t="s">
        <v>251</v>
      </c>
      <c r="Z1129" s="60" t="s">
        <v>163</v>
      </c>
      <c r="AA1129" s="60" t="s">
        <v>32</v>
      </c>
      <c r="AB1129" s="60" t="s">
        <v>252</v>
      </c>
      <c r="AC1129" s="4"/>
    </row>
    <row r="1130" spans="1:43" x14ac:dyDescent="0.25">
      <c r="A1130" s="45"/>
      <c r="B1130" s="26"/>
      <c r="C1130" s="4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4"/>
    </row>
    <row r="1131" spans="1:43" x14ac:dyDescent="0.25">
      <c r="A1131" s="45"/>
      <c r="B1131" s="23" t="s">
        <v>241</v>
      </c>
      <c r="C1131" s="4"/>
      <c r="D1131" s="67">
        <f>AD59+AD108+AD181+AD309+AD419+AD536+AD622+AD708+AD797+AD849+AD914+AD969+AD1019+AD1055+AD1097</f>
        <v>2622862812.9099998</v>
      </c>
      <c r="E1131" s="67">
        <f>AE59+AE108+AE181+AE309+AE419+AE536+AE622+AE708+AE797+AE849+AE914+AE969+AE1019+AE1055+AE1097</f>
        <v>125217000.94999999</v>
      </c>
      <c r="F1131" s="67">
        <f>AF59+AF108+AF181+AF309+AF419+AF536+AF622+AF708+AF797+AF849+AF914+AF969+AF1019+AF1055+AF1097</f>
        <v>1207870.27</v>
      </c>
      <c r="G1131" s="67"/>
      <c r="H1131" s="67">
        <f>AG59+AG108+AG181+AG309+AG419+AG536+AG622+AG708+AG797+AG849+AG914+AG969+AG1019+AG1055+AG1097</f>
        <v>126424871.22</v>
      </c>
      <c r="I1131" s="67">
        <f>AI59+AI108+AI181+AI309+AI419+AI536+AI622+AI708+AI797+AI849+AI914+AI969+AI1019+AI1055+AI1097</f>
        <v>126424871.22</v>
      </c>
      <c r="J1131" s="67">
        <f>AJ59+AJ108+AJ181+AJ309+AJ419+AJ536+AJ622+AJ708+AJ797+AJ849+AJ914+AJ969+AJ1019+AJ1055+AJ1097</f>
        <v>162380602.86999997</v>
      </c>
      <c r="K1131" s="67">
        <f>AK59+AK108+AK181+AK309+AK419+AK536+AK622+AK708+AK797+AK849+AK914+AK969+AK1019+AK1055+AK1097</f>
        <v>-73487.98</v>
      </c>
      <c r="L1131" s="67">
        <f>AH59+AH108+AH181+AH309+AH419+AH536+AH622+AH708+AH797+AH849+AH914+AH969+AH1019+AH1055+AH1097</f>
        <v>0</v>
      </c>
      <c r="M1131" s="67"/>
      <c r="N1131" s="67">
        <f>AI59+AI108+AI181+AI309+AI419+AI536+AI622+AI708+AI797+AI849+AI914+AI969+AI1019+AI1055+AI1097</f>
        <v>126424871.22</v>
      </c>
      <c r="O1131" s="67">
        <f>AJ59+AJ108+AJ181+AJ309+AJ419+AJ536+AJ622+AJ708+AJ797+AJ849+AJ914+AJ969+AJ1019+AJ1055+AJ1097</f>
        <v>162380602.86999997</v>
      </c>
      <c r="P1131" s="67">
        <f>AK59+AK108+AK181+AK309+AK419+AK536+AK622+AK708+AK797+AK849+AK914+AK969+AK1019+AK1055+AK1097</f>
        <v>-73487.98</v>
      </c>
      <c r="Q1131" s="67"/>
      <c r="R1131" s="67">
        <f>AL59+AL108+AL181+AL309+AL419+AL536+AL622+AL708+AL797+AL849+AL914+AL969+AL1019+AL1055+AL1097</f>
        <v>162307114.88999999</v>
      </c>
      <c r="S1131" s="67">
        <f>AR59+AR106+AR173+AR296+AR406+AR517+AR599+AR687+AR775+AR825+AR888+AR940+AR993+AR1027+AR1064</f>
        <v>0</v>
      </c>
      <c r="T1131" s="67">
        <f>AS59+AS106+AS173+AS295+AS405+AS516+AS598+AS685+AS773+AS823+AS886+AS938+AS990+AS1024+AS1061</f>
        <v>0</v>
      </c>
      <c r="U1131" s="67">
        <f>AT58+AT105+AT172+AT292+AT402+AT513+AT595+AT682+AT770+AT820+AT883+AT935+AT987+AT1021+AT1058</f>
        <v>0</v>
      </c>
      <c r="V1131" s="67">
        <f>AM59+AM108+AM181+AM309+AM419+AM536+AM622+AM708+AM797+AM849+AM914+AM969+AM1019+AM1055+AM1097</f>
        <v>3619132.11</v>
      </c>
      <c r="W1131" s="67"/>
      <c r="X1131" s="67">
        <f t="shared" ref="X1131:X1162" si="385">+R1131+V1131</f>
        <v>165926247</v>
      </c>
      <c r="Y1131" s="67">
        <f t="shared" ref="Y1131:Y1162" si="386">+H1131+R1131</f>
        <v>288731986.11000001</v>
      </c>
      <c r="Z1131" s="67">
        <f t="shared" ref="Z1131:Z1162" si="387">+D1131-Y1131</f>
        <v>2334130826.7999997</v>
      </c>
      <c r="AA1131" s="67">
        <f>AZ57+AZ103+AZ169+AZ289+AZ397+AZ509+AZ590+AZ676+AZ764+AZ814+AZ877+AZ928+AZ980+AZ1014+AZ1051</f>
        <v>0</v>
      </c>
      <c r="AB1131" s="67">
        <f t="shared" ref="AB1131:AB1162" si="388">+D1131-N1131-X1131</f>
        <v>2330511694.6900001</v>
      </c>
      <c r="AC1131" s="4"/>
    </row>
    <row r="1132" spans="1:43" x14ac:dyDescent="0.25">
      <c r="A1132" s="45"/>
      <c r="B1132" s="23" t="s">
        <v>280</v>
      </c>
      <c r="C1132" s="4"/>
      <c r="D1132" s="67">
        <f>AD61+AD109+AD182+AD310+AD420+AD537+AD623+AD709+AD798+AD850+AD915+AD970+AD1020+AD1056+AD1098</f>
        <v>225587394.02000001</v>
      </c>
      <c r="E1132" s="67">
        <f>AE61+AE109+AE182+AE310+AE420+AE537+AE623+AE709+AE798+AE850+AE915+AE970+AE1020+AE1056+AE1098</f>
        <v>225587394.02000001</v>
      </c>
      <c r="F1132" s="67">
        <f>AF61+AF109+AF182+AF310+AF420+AF537+AF623+AF709+AF798+AF850+AF915+AF970+AF1020+AF1056+AF1098</f>
        <v>0</v>
      </c>
      <c r="G1132" s="67"/>
      <c r="H1132" s="67">
        <f>AG61+AG109+AG182+AG310+AG420+AG537+AG623+AG709+AG798+AG850+AG915+AG970+AG1020+AG1056+AG1098</f>
        <v>225587394.02000001</v>
      </c>
      <c r="I1132" s="67">
        <f>AI61+AI109+AI182+AI310+AI420+AI537+AI623+AI709+AI798+AI850+AI915+AI970+AI1020+AI1056+AI1098</f>
        <v>225587394.02000001</v>
      </c>
      <c r="J1132" s="67">
        <f>AJ61+AJ109+AJ182+AJ310+AJ420+AJ537+AJ623+AJ709+AJ798+AJ850+AJ915+AJ970+AJ1020+AJ1056+AJ1098</f>
        <v>0</v>
      </c>
      <c r="K1132" s="67">
        <f>AK61+AK109+AK182+AK310+AK420+AK537+AK623+AK709+AK798+AK850+AK915+AK970+AK1020+AK1056+AK1098</f>
        <v>0</v>
      </c>
      <c r="L1132" s="67">
        <f>AH61+AH109+AH182+AH310+AH420+AH537+AH623+AH709+AH798+AH850+AH915+AH970+AH1020+AH1056+AH1098</f>
        <v>0</v>
      </c>
      <c r="M1132" s="67"/>
      <c r="N1132" s="67">
        <f>AI61+AI109+AI182+AI310+AI420+AI537+AI623+AI709+AI798+AI850+AI915+AI970+AI1020+AI1056+AI1098</f>
        <v>225587394.02000001</v>
      </c>
      <c r="O1132" s="67">
        <f>AJ61+AJ109+AJ182+AJ310+AJ420+AJ537+AJ623+AJ709+AJ798+AJ850+AJ915+AJ970+AJ1020+AJ1056+AJ1098</f>
        <v>0</v>
      </c>
      <c r="P1132" s="67">
        <f>AK61+AK109+AK182+AK310+AK420+AK537+AK623+AK709+AK798+AK850+AK915+AK970+AK1020+AK1056+AK1098</f>
        <v>0</v>
      </c>
      <c r="Q1132" s="67"/>
      <c r="R1132" s="67">
        <f>AL61+AL109+AL182+AL310+AL420+AL537+AL623+AL709+AL798+AL850+AL915+AL970+AL1020+AL1056+AL1098</f>
        <v>0</v>
      </c>
      <c r="S1132" s="67">
        <f>AR61+AR107+AR174+AR297+AR407+AR518+AR600+AR688+AR776+AR826+AR889+AR942+AR994+AR1028+AR1065</f>
        <v>0</v>
      </c>
      <c r="T1132" s="67">
        <f>AS61+AS107+AS174+AS296+AS406+AS517+AS599+AS686+AS774+AS824+AS887+AS939+AS991+AS1025+AS1062</f>
        <v>0</v>
      </c>
      <c r="U1132" s="67">
        <f>AT59+AT106+AT173+AT293+AT403+AT514+AT596+AT683+AT771+AT821+AT884+AT936+AT988+AT1022+AT1059</f>
        <v>0</v>
      </c>
      <c r="V1132" s="67">
        <f>AM61+AM109+AM182+AM310+AM420+AM537+AM623+AM709+AM798+AM850+AM915+AM970+AM1020+AM1056+AM1098</f>
        <v>0</v>
      </c>
      <c r="W1132" s="67"/>
      <c r="X1132" s="67">
        <f t="shared" si="385"/>
        <v>0</v>
      </c>
      <c r="Y1132" s="67">
        <f t="shared" si="386"/>
        <v>225587394.02000001</v>
      </c>
      <c r="Z1132" s="67">
        <f t="shared" si="387"/>
        <v>0</v>
      </c>
      <c r="AA1132" s="67">
        <f>AZ58+AZ104+AZ170+AZ290+AZ399+AZ510+AZ591+AZ677+AZ765+AZ815+AZ878+AZ929+AZ981+AZ1015+AZ1052</f>
        <v>0</v>
      </c>
      <c r="AB1132" s="67">
        <f t="shared" si="388"/>
        <v>0</v>
      </c>
      <c r="AC1132" s="4"/>
    </row>
    <row r="1133" spans="1:43" x14ac:dyDescent="0.25">
      <c r="A1133" s="45"/>
      <c r="B1133" s="35" t="s">
        <v>130</v>
      </c>
      <c r="C1133" s="4"/>
      <c r="D1133" s="67">
        <f>AD68+AD923</f>
        <v>3929139.2600000002</v>
      </c>
      <c r="E1133" s="67">
        <f>AE68+AE923</f>
        <v>1763926.02</v>
      </c>
      <c r="F1133" s="67">
        <f>AF68+AF923</f>
        <v>0</v>
      </c>
      <c r="G1133" s="67"/>
      <c r="H1133" s="67">
        <f>AG68+AG923</f>
        <v>1763926.02</v>
      </c>
      <c r="I1133" s="67">
        <f t="shared" ref="I1133:K1134" si="389">AI68+AI923</f>
        <v>1763926.02</v>
      </c>
      <c r="J1133" s="67">
        <f t="shared" si="389"/>
        <v>2165213.2400000002</v>
      </c>
      <c r="K1133" s="67">
        <f t="shared" si="389"/>
        <v>0</v>
      </c>
      <c r="L1133" s="67">
        <f>AH68+AH923</f>
        <v>0</v>
      </c>
      <c r="M1133" s="67"/>
      <c r="N1133" s="67">
        <f>AI68+AI923</f>
        <v>1763926.02</v>
      </c>
      <c r="O1133" s="67">
        <f>AJ68+AJ923</f>
        <v>2165213.2400000002</v>
      </c>
      <c r="P1133" s="67">
        <f>AK68+AK923</f>
        <v>0</v>
      </c>
      <c r="Q1133" s="67"/>
      <c r="R1133" s="67">
        <f>AL68+AL923</f>
        <v>2165213.2400000002</v>
      </c>
      <c r="S1133" s="67">
        <f>AR68+AR898</f>
        <v>0</v>
      </c>
      <c r="T1133" s="67">
        <f>AS68+AS895</f>
        <v>0</v>
      </c>
      <c r="U1133" s="67">
        <f>AT67+AT892</f>
        <v>0</v>
      </c>
      <c r="V1133" s="67">
        <f>AM68+AM923</f>
        <v>0</v>
      </c>
      <c r="W1133" s="67"/>
      <c r="X1133" s="67">
        <f t="shared" si="385"/>
        <v>2165213.2400000002</v>
      </c>
      <c r="Y1133" s="67">
        <f t="shared" si="386"/>
        <v>3929139.2600000002</v>
      </c>
      <c r="Z1133" s="67">
        <f t="shared" si="387"/>
        <v>0</v>
      </c>
      <c r="AA1133" s="67">
        <f>AZ59+AZ105+AZ171+AZ291+AZ400+AZ511+AZ592+AZ678+AZ766+AZ816+AZ879+AZ930+AZ982+AZ1016+AZ1053</f>
        <v>0</v>
      </c>
      <c r="AB1133" s="67">
        <f t="shared" si="388"/>
        <v>0</v>
      </c>
      <c r="AC1133" s="4"/>
    </row>
    <row r="1134" spans="1:43" x14ac:dyDescent="0.25">
      <c r="B1134" s="4" t="s">
        <v>316</v>
      </c>
      <c r="C1134" s="4"/>
      <c r="D1134" s="67">
        <f>AD707</f>
        <v>8000000</v>
      </c>
      <c r="E1134" s="67">
        <f>AE707</f>
        <v>8000000</v>
      </c>
      <c r="F1134" s="67">
        <f>AF707</f>
        <v>0</v>
      </c>
      <c r="G1134" s="67"/>
      <c r="H1134" s="67">
        <f>+AG707</f>
        <v>8000000</v>
      </c>
      <c r="I1134" s="67" t="e">
        <f t="shared" si="389"/>
        <v>#VALUE!</v>
      </c>
      <c r="J1134" s="67">
        <f t="shared" si="389"/>
        <v>28515754.140000001</v>
      </c>
      <c r="K1134" s="67" t="e">
        <f t="shared" si="389"/>
        <v>#VALUE!</v>
      </c>
      <c r="L1134" s="67" t="e">
        <f>AH69+AH924</f>
        <v>#VALUE!</v>
      </c>
      <c r="M1134" s="67"/>
      <c r="N1134" s="67">
        <f>+AI707</f>
        <v>8000000</v>
      </c>
      <c r="O1134" s="67">
        <f>+AJ707</f>
        <v>0</v>
      </c>
      <c r="P1134" s="67">
        <f>+AK707</f>
        <v>0</v>
      </c>
      <c r="Q1134" s="67"/>
      <c r="R1134" s="67">
        <f>+AL707</f>
        <v>0</v>
      </c>
      <c r="S1134" s="67"/>
      <c r="T1134" s="67"/>
      <c r="U1134" s="67"/>
      <c r="V1134" s="67">
        <f>+AM707</f>
        <v>0</v>
      </c>
      <c r="W1134" s="67"/>
      <c r="X1134" s="67">
        <f t="shared" si="385"/>
        <v>0</v>
      </c>
      <c r="Y1134" s="67">
        <f t="shared" si="386"/>
        <v>8000000</v>
      </c>
      <c r="Z1134" s="67">
        <f t="shared" si="387"/>
        <v>0</v>
      </c>
      <c r="AA1134" s="67">
        <f>AZ60+AZ106+AZ172+AZ292+AZ401+AZ512+AZ593+AZ679+AZ767+AZ817+AZ880+AZ931+AZ983+AZ1017+AZ1054</f>
        <v>0</v>
      </c>
      <c r="AB1134" s="67">
        <f t="shared" si="388"/>
        <v>0</v>
      </c>
    </row>
    <row r="1135" spans="1:43" x14ac:dyDescent="0.25">
      <c r="A1135" s="45"/>
      <c r="B1135" s="35" t="s">
        <v>257</v>
      </c>
      <c r="C1135" s="4"/>
      <c r="D1135" s="67">
        <f>+AD1099</f>
        <v>1000000</v>
      </c>
      <c r="E1135" s="67">
        <f>+AE1099</f>
        <v>1000000</v>
      </c>
      <c r="F1135" s="67">
        <f>+AF1099</f>
        <v>0</v>
      </c>
      <c r="G1135" s="67"/>
      <c r="H1135" s="67">
        <f>+AG1099</f>
        <v>1000000</v>
      </c>
      <c r="I1135" s="67"/>
      <c r="J1135" s="67"/>
      <c r="K1135" s="67"/>
      <c r="L1135" s="67">
        <f>+AH1099</f>
        <v>0</v>
      </c>
      <c r="M1135" s="67"/>
      <c r="N1135" s="67">
        <f>+AI1099</f>
        <v>1000000</v>
      </c>
      <c r="O1135" s="67">
        <f>+AJ1099</f>
        <v>0</v>
      </c>
      <c r="P1135" s="67">
        <f>+AK1099</f>
        <v>0</v>
      </c>
      <c r="Q1135" s="67"/>
      <c r="R1135" s="67">
        <f>+AL1099</f>
        <v>0</v>
      </c>
      <c r="S1135" s="67">
        <f>+AR1066</f>
        <v>0</v>
      </c>
      <c r="T1135" s="67">
        <f>+AS1063</f>
        <v>0</v>
      </c>
      <c r="U1135" s="67">
        <f>+AT1060</f>
        <v>0</v>
      </c>
      <c r="V1135" s="67">
        <f>+AM1099</f>
        <v>0</v>
      </c>
      <c r="W1135" s="67"/>
      <c r="X1135" s="67">
        <f t="shared" si="385"/>
        <v>0</v>
      </c>
      <c r="Y1135" s="67">
        <f t="shared" si="386"/>
        <v>1000000</v>
      </c>
      <c r="Z1135" s="67">
        <f t="shared" si="387"/>
        <v>0</v>
      </c>
      <c r="AA1135" s="67">
        <f>AZ60+AZ106+AZ172+AZ292+AZ401+AZ512+AZ593+AZ679+AZ767+AZ817+AZ880+AZ931+AZ983+AZ1017+AZ1054</f>
        <v>0</v>
      </c>
      <c r="AB1135" s="67">
        <f t="shared" si="388"/>
        <v>0</v>
      </c>
      <c r="AC1135" s="4"/>
    </row>
    <row r="1136" spans="1:43" x14ac:dyDescent="0.25">
      <c r="A1136" s="4"/>
      <c r="B1136" s="4" t="s">
        <v>304</v>
      </c>
      <c r="C1136" s="4"/>
      <c r="D1136" s="55">
        <f>+AD307+AD620+AD968+AD1017</f>
        <v>145574576.49000001</v>
      </c>
      <c r="E1136" s="67">
        <f>+AE620+AE307+AE968+AE1017</f>
        <v>62560752.75</v>
      </c>
      <c r="F1136" s="67">
        <f>+AF620+AF307+AF968+AF1017</f>
        <v>83013823.739999995</v>
      </c>
      <c r="G1136" s="67"/>
      <c r="H1136" s="67">
        <f>+E1136+F1136</f>
        <v>145574576.49000001</v>
      </c>
      <c r="I1136" s="67" t="e">
        <f t="shared" ref="I1136:K1137" si="390">AI64+AI316+AI426+AI540+AI1023+AI1059+AI116</f>
        <v>#VALUE!</v>
      </c>
      <c r="J1136" s="67">
        <f t="shared" si="390"/>
        <v>5931589.0699999994</v>
      </c>
      <c r="K1136" s="67">
        <f t="shared" si="390"/>
        <v>0</v>
      </c>
      <c r="L1136" s="67">
        <f>+AH620+AH307+AH968+AH1017</f>
        <v>0</v>
      </c>
      <c r="M1136" s="67"/>
      <c r="N1136" s="67">
        <f>+H1136+L1136</f>
        <v>145574576.49000001</v>
      </c>
      <c r="O1136" s="67">
        <f>+AJ620+AJ307+AJ968+AJ1017</f>
        <v>0</v>
      </c>
      <c r="P1136" s="67">
        <f>+AK620+AK307+AK968+AK1017</f>
        <v>0</v>
      </c>
      <c r="Q1136" s="67"/>
      <c r="R1136" s="67">
        <f>+O1136+P1136</f>
        <v>0</v>
      </c>
      <c r="S1136" s="67">
        <f>AR64+AR303+AR413+AR521+AR997+AR1031+AR113</f>
        <v>0</v>
      </c>
      <c r="T1136" s="67">
        <f>AS64+AS302+AS412+AS520+AS994+AS1028+AS113</f>
        <v>0</v>
      </c>
      <c r="U1136" s="67">
        <f>AT63+AT299+AT409+AT517+AT991+AT1025+AT111</f>
        <v>0</v>
      </c>
      <c r="V1136" s="67">
        <f>+AM620+AM616+AM968+AM1017</f>
        <v>0</v>
      </c>
      <c r="W1136" s="67"/>
      <c r="X1136" s="67">
        <f t="shared" si="385"/>
        <v>0</v>
      </c>
      <c r="Y1136" s="67">
        <f t="shared" si="386"/>
        <v>145574576.49000001</v>
      </c>
      <c r="Z1136" s="67">
        <f t="shared" si="387"/>
        <v>0</v>
      </c>
      <c r="AA1136" s="67">
        <f>AZ61+AZ107+AZ173+AZ293+AZ402+AZ513+AZ594+AZ680+AZ768+AZ818+AZ881+AZ932+AZ984+AZ1018+AZ1055</f>
        <v>0</v>
      </c>
      <c r="AB1136" s="67">
        <f t="shared" si="388"/>
        <v>0</v>
      </c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</row>
    <row r="1137" spans="1:43" x14ac:dyDescent="0.25">
      <c r="A1137" s="45"/>
      <c r="B1137" s="35" t="s">
        <v>44</v>
      </c>
      <c r="C1137" s="4"/>
      <c r="D1137" s="67">
        <f>AD65+AD317+AD427+AD541+AD1024+AD1060+AD117</f>
        <v>300428586</v>
      </c>
      <c r="E1137" s="67">
        <f>AE65+AE317+AE427+AE541+AE1024+AE1060+AE117</f>
        <v>300428586</v>
      </c>
      <c r="F1137" s="67">
        <f>AF65+AF317+AF427+AF541+AF1024+AF1060+AF117</f>
        <v>0</v>
      </c>
      <c r="G1137" s="67"/>
      <c r="H1137" s="67">
        <f>AG65+AG317+AG427+AG541+AG1024+AG1060+AG117</f>
        <v>300428586</v>
      </c>
      <c r="I1137" s="67" t="e">
        <f t="shared" si="390"/>
        <v>#VALUE!</v>
      </c>
      <c r="J1137" s="67">
        <f t="shared" si="390"/>
        <v>0</v>
      </c>
      <c r="K1137" s="67" t="e">
        <f t="shared" si="390"/>
        <v>#VALUE!</v>
      </c>
      <c r="L1137" s="67" t="e">
        <f>AH65+AH317+AH427+AH541+AH1024+AH1060+AH117</f>
        <v>#VALUE!</v>
      </c>
      <c r="M1137" s="67"/>
      <c r="N1137" s="67" t="e">
        <f>AI65+AI317+AI427+AI541+AI1024+AI1060+AI117</f>
        <v>#VALUE!</v>
      </c>
      <c r="O1137" s="67">
        <f>AJ65+AJ317+AJ427+AJ541+AJ1024+AJ1060+AJ117</f>
        <v>0</v>
      </c>
      <c r="P1137" s="67" t="e">
        <f>AK65+AK317+AK427+AK541+AK1024+AK1060+AK117</f>
        <v>#VALUE!</v>
      </c>
      <c r="Q1137" s="67"/>
      <c r="R1137" s="67" t="e">
        <f>AL65+AL317+AL427+AL541+AL1024+AL1060+AL117</f>
        <v>#VALUE!</v>
      </c>
      <c r="S1137" s="67">
        <f>AR65+AR304+AR414+AR522+AR998+AR1032+AR114</f>
        <v>0</v>
      </c>
      <c r="T1137" s="67">
        <f>AS65+AS303+AS413+AS521+AS995+AS1029+AS114</f>
        <v>0</v>
      </c>
      <c r="U1137" s="67">
        <f>AT64+AT300+AT410+AT518+AT992+AT1026+AT113</f>
        <v>0</v>
      </c>
      <c r="V1137" s="67" t="e">
        <f>AM65+AM317+AM427+AM541+AM1024+AM1060+AM117</f>
        <v>#VALUE!</v>
      </c>
      <c r="W1137" s="67"/>
      <c r="X1137" s="67" t="e">
        <f t="shared" si="385"/>
        <v>#VALUE!</v>
      </c>
      <c r="Y1137" s="67" t="e">
        <f t="shared" si="386"/>
        <v>#VALUE!</v>
      </c>
      <c r="Z1137" s="67" t="e">
        <f t="shared" si="387"/>
        <v>#VALUE!</v>
      </c>
      <c r="AA1137" s="67">
        <f t="shared" ref="AA1137:AA1143" si="391">AZ61+AZ107+AZ173+AZ293+AZ402+AZ513+AZ594+AZ680+AZ768+AZ818+AZ881+AZ932+AZ984+AZ1018+AZ1055</f>
        <v>0</v>
      </c>
      <c r="AB1137" s="67" t="e">
        <f t="shared" si="388"/>
        <v>#VALUE!</v>
      </c>
      <c r="AC1137" s="4"/>
    </row>
    <row r="1138" spans="1:43" x14ac:dyDescent="0.25">
      <c r="A1138" s="46"/>
      <c r="B1138" s="4" t="s">
        <v>281</v>
      </c>
      <c r="C1138" s="4"/>
      <c r="D1138" s="55">
        <f>+AD314</f>
        <v>8840000</v>
      </c>
      <c r="E1138" s="55">
        <f>+AE314</f>
        <v>8840000</v>
      </c>
      <c r="F1138" s="55">
        <f>+AF314</f>
        <v>0</v>
      </c>
      <c r="G1138" s="55"/>
      <c r="H1138" s="55">
        <f>+AG314</f>
        <v>8840000</v>
      </c>
      <c r="I1138" s="55">
        <f>+AI314</f>
        <v>8840000</v>
      </c>
      <c r="J1138" s="55">
        <f>+AJ314</f>
        <v>0</v>
      </c>
      <c r="K1138" s="55">
        <f>+AK314</f>
        <v>0</v>
      </c>
      <c r="L1138" s="55">
        <f>+AH314</f>
        <v>0</v>
      </c>
      <c r="M1138" s="55"/>
      <c r="N1138" s="55">
        <f>+AI314</f>
        <v>8840000</v>
      </c>
      <c r="O1138" s="55">
        <f>+AJ314</f>
        <v>0</v>
      </c>
      <c r="P1138" s="55">
        <f>+AK314</f>
        <v>0</v>
      </c>
      <c r="Q1138" s="55"/>
      <c r="R1138" s="55">
        <f>+AL314</f>
        <v>0</v>
      </c>
      <c r="S1138" s="55">
        <f>+AR301</f>
        <v>0</v>
      </c>
      <c r="T1138" s="55">
        <f>+AS300</f>
        <v>0</v>
      </c>
      <c r="U1138" s="55">
        <f>+AT297</f>
        <v>0</v>
      </c>
      <c r="V1138" s="55">
        <f>+AM314</f>
        <v>0</v>
      </c>
      <c r="W1138" s="55"/>
      <c r="X1138" s="67">
        <f t="shared" si="385"/>
        <v>0</v>
      </c>
      <c r="Y1138" s="67">
        <f t="shared" si="386"/>
        <v>8840000</v>
      </c>
      <c r="Z1138" s="67">
        <f t="shared" si="387"/>
        <v>0</v>
      </c>
      <c r="AA1138" s="67">
        <f t="shared" si="391"/>
        <v>0</v>
      </c>
      <c r="AB1138" s="67">
        <f t="shared" si="388"/>
        <v>0</v>
      </c>
      <c r="AC1138" s="4"/>
    </row>
    <row r="1139" spans="1:43" x14ac:dyDescent="0.25">
      <c r="A1139" s="46"/>
      <c r="B1139" s="4" t="s">
        <v>80</v>
      </c>
      <c r="C1139" s="4"/>
      <c r="D1139" s="55">
        <f>AD67+AD316+AD543</f>
        <v>244439707.97999999</v>
      </c>
      <c r="E1139" s="55">
        <f>AE67+AE316+AE543</f>
        <v>244439707.97999999</v>
      </c>
      <c r="F1139" s="55">
        <f>AF67+AF117+AF316+AF543</f>
        <v>0</v>
      </c>
      <c r="G1139" s="55"/>
      <c r="H1139" s="55">
        <f>AG67+AG316+AG543</f>
        <v>244439707.97999999</v>
      </c>
      <c r="I1139" s="55" t="e">
        <f>AI67+AI117+AI316+AI543</f>
        <v>#VALUE!</v>
      </c>
      <c r="J1139" s="55">
        <f>AJ67+AJ117+AJ316+AJ543</f>
        <v>0</v>
      </c>
      <c r="K1139" s="55">
        <f>AK67+AK117+AK316+AK543</f>
        <v>0</v>
      </c>
      <c r="L1139" s="55" t="e">
        <f>AH67+AH117+AH316+AH543</f>
        <v>#VALUE!</v>
      </c>
      <c r="M1139" s="55"/>
      <c r="N1139" s="55">
        <f>AI67+AI316+AI543</f>
        <v>244439707.97999999</v>
      </c>
      <c r="O1139" s="55">
        <f>AJ67+AJ316+AJ543</f>
        <v>0</v>
      </c>
      <c r="P1139" s="55">
        <f>AK67+AK316+AK543</f>
        <v>0</v>
      </c>
      <c r="Q1139" s="55"/>
      <c r="R1139" s="55">
        <f>AL67+AL316+AL543</f>
        <v>0</v>
      </c>
      <c r="S1139" s="55">
        <f>AR67+AR114+AR303+AR524</f>
        <v>0</v>
      </c>
      <c r="T1139" s="55">
        <f>AS67+AS114+AS302+AS523</f>
        <v>0</v>
      </c>
      <c r="U1139" s="55">
        <f>AT66+AT113+AT299+AT520</f>
        <v>0</v>
      </c>
      <c r="V1139" s="55">
        <f>AM67+AM316+AM543</f>
        <v>0</v>
      </c>
      <c r="W1139" s="55"/>
      <c r="X1139" s="67">
        <f t="shared" si="385"/>
        <v>0</v>
      </c>
      <c r="Y1139" s="67">
        <f t="shared" si="386"/>
        <v>244439707.97999999</v>
      </c>
      <c r="Z1139" s="67">
        <f t="shared" si="387"/>
        <v>0</v>
      </c>
      <c r="AA1139" s="67">
        <f t="shared" si="391"/>
        <v>0</v>
      </c>
      <c r="AB1139" s="67">
        <f t="shared" si="388"/>
        <v>0</v>
      </c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</row>
    <row r="1140" spans="1:43" x14ac:dyDescent="0.25">
      <c r="A1140" s="45"/>
      <c r="B1140" s="35" t="s">
        <v>243</v>
      </c>
      <c r="C1140" s="4"/>
      <c r="D1140" s="67">
        <f>AD315+AD542</f>
        <v>34319767.960000001</v>
      </c>
      <c r="E1140" s="67">
        <f>AE315+AE542</f>
        <v>34319767.960000001</v>
      </c>
      <c r="F1140" s="67">
        <f>AF315+AF542</f>
        <v>0</v>
      </c>
      <c r="G1140" s="67"/>
      <c r="H1140" s="67">
        <f>AG315+AG542</f>
        <v>34319767.960000001</v>
      </c>
      <c r="I1140" s="67">
        <f>AI315+AI542</f>
        <v>34319767.960000001</v>
      </c>
      <c r="J1140" s="67">
        <f>AJ315+AJ542</f>
        <v>0</v>
      </c>
      <c r="K1140" s="67">
        <f>AK315+AK542</f>
        <v>0</v>
      </c>
      <c r="L1140" s="67">
        <f>AH315+AH542</f>
        <v>0</v>
      </c>
      <c r="M1140" s="67"/>
      <c r="N1140" s="67">
        <f>AI315+AI542</f>
        <v>34319767.960000001</v>
      </c>
      <c r="O1140" s="67">
        <f>AJ315+AJ542</f>
        <v>0</v>
      </c>
      <c r="P1140" s="67">
        <f>AK315+AK542</f>
        <v>0</v>
      </c>
      <c r="Q1140" s="67"/>
      <c r="R1140" s="67">
        <f>AL315+AL542</f>
        <v>0</v>
      </c>
      <c r="S1140" s="67">
        <f>AR302+AR523</f>
        <v>0</v>
      </c>
      <c r="T1140" s="67">
        <f>AS301+AS522</f>
        <v>0</v>
      </c>
      <c r="U1140" s="67">
        <f>AT298+AT519</f>
        <v>0</v>
      </c>
      <c r="V1140" s="67">
        <f>AM315+AM542</f>
        <v>0</v>
      </c>
      <c r="W1140" s="67"/>
      <c r="X1140" s="67">
        <f t="shared" si="385"/>
        <v>0</v>
      </c>
      <c r="Y1140" s="67">
        <f t="shared" si="386"/>
        <v>34319767.960000001</v>
      </c>
      <c r="Z1140" s="67">
        <f t="shared" si="387"/>
        <v>0</v>
      </c>
      <c r="AA1140" s="67">
        <f t="shared" si="391"/>
        <v>0</v>
      </c>
      <c r="AB1140" s="67">
        <f t="shared" si="388"/>
        <v>0</v>
      </c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</row>
    <row r="1141" spans="1:43" x14ac:dyDescent="0.25">
      <c r="A1141" s="45"/>
      <c r="B1141" s="35" t="s">
        <v>244</v>
      </c>
      <c r="C1141" s="4"/>
      <c r="D1141" s="67">
        <f>+AD628</f>
        <v>9500000</v>
      </c>
      <c r="E1141" s="67">
        <f>+AE628</f>
        <v>9500000</v>
      </c>
      <c r="F1141" s="67">
        <f>+AF628</f>
        <v>0</v>
      </c>
      <c r="G1141" s="67"/>
      <c r="H1141" s="67">
        <f>+AG628</f>
        <v>9500000</v>
      </c>
      <c r="I1141" s="67">
        <f>+AI628</f>
        <v>9500000</v>
      </c>
      <c r="J1141" s="67">
        <f>+AJ628</f>
        <v>0</v>
      </c>
      <c r="K1141" s="67">
        <f>+AK628</f>
        <v>0</v>
      </c>
      <c r="L1141" s="67">
        <f>+AH628</f>
        <v>0</v>
      </c>
      <c r="M1141" s="67"/>
      <c r="N1141" s="67">
        <f>+AI628</f>
        <v>9500000</v>
      </c>
      <c r="O1141" s="67">
        <f>+AJ628</f>
        <v>0</v>
      </c>
      <c r="P1141" s="67">
        <f>+AK628</f>
        <v>0</v>
      </c>
      <c r="Q1141" s="67"/>
      <c r="R1141" s="67">
        <f>+AL628</f>
        <v>0</v>
      </c>
      <c r="S1141" s="67">
        <f>+AR606</f>
        <v>0</v>
      </c>
      <c r="T1141" s="67">
        <f>+AS605</f>
        <v>0</v>
      </c>
      <c r="U1141" s="67">
        <f>+AT601</f>
        <v>0</v>
      </c>
      <c r="V1141" s="67">
        <f>+AM628</f>
        <v>0</v>
      </c>
      <c r="W1141" s="67"/>
      <c r="X1141" s="67">
        <f t="shared" si="385"/>
        <v>0</v>
      </c>
      <c r="Y1141" s="67">
        <f t="shared" si="386"/>
        <v>9500000</v>
      </c>
      <c r="Z1141" s="67">
        <f t="shared" si="387"/>
        <v>0</v>
      </c>
      <c r="AA1141" s="67">
        <f t="shared" si="391"/>
        <v>0</v>
      </c>
      <c r="AB1141" s="67">
        <f t="shared" si="388"/>
        <v>0</v>
      </c>
      <c r="AC1141" s="4"/>
    </row>
    <row r="1142" spans="1:43" x14ac:dyDescent="0.25">
      <c r="A1142" s="46"/>
      <c r="B1142" s="4" t="s">
        <v>282</v>
      </c>
      <c r="C1142" s="4"/>
      <c r="D1142" s="55">
        <f>+AD804</f>
        <v>1300000</v>
      </c>
      <c r="E1142" s="55">
        <f>+AE804</f>
        <v>1300000</v>
      </c>
      <c r="F1142" s="55">
        <f>+AF804</f>
        <v>0</v>
      </c>
      <c r="G1142" s="55"/>
      <c r="H1142" s="55">
        <f>+AG804</f>
        <v>1300000</v>
      </c>
      <c r="I1142" s="55">
        <f>+AI804</f>
        <v>1300000</v>
      </c>
      <c r="J1142" s="55">
        <f>+AJ804</f>
        <v>0</v>
      </c>
      <c r="K1142" s="55">
        <f>+AK804</f>
        <v>0</v>
      </c>
      <c r="L1142" s="55">
        <f>+AH804</f>
        <v>0</v>
      </c>
      <c r="M1142" s="55"/>
      <c r="N1142" s="55">
        <f>+AI804</f>
        <v>1300000</v>
      </c>
      <c r="O1142" s="55">
        <f>+AJ804</f>
        <v>0</v>
      </c>
      <c r="P1142" s="55">
        <f>+AK804</f>
        <v>0</v>
      </c>
      <c r="Q1142" s="55"/>
      <c r="R1142" s="55">
        <f>+AL804</f>
        <v>0</v>
      </c>
      <c r="S1142" s="55">
        <f>+AR782</f>
        <v>0</v>
      </c>
      <c r="T1142" s="55">
        <f>+AS780</f>
        <v>0</v>
      </c>
      <c r="U1142" s="55">
        <f>+AT777</f>
        <v>0</v>
      </c>
      <c r="V1142" s="55">
        <f>+AM804</f>
        <v>0</v>
      </c>
      <c r="W1142" s="55"/>
      <c r="X1142" s="67">
        <f t="shared" si="385"/>
        <v>0</v>
      </c>
      <c r="Y1142" s="67">
        <f t="shared" si="386"/>
        <v>1300000</v>
      </c>
      <c r="Z1142" s="67">
        <f t="shared" si="387"/>
        <v>0</v>
      </c>
      <c r="AA1142" s="67">
        <f t="shared" si="391"/>
        <v>0</v>
      </c>
      <c r="AB1142" s="67">
        <f t="shared" si="388"/>
        <v>0</v>
      </c>
      <c r="AC1142" s="4"/>
    </row>
    <row r="1143" spans="1:43" x14ac:dyDescent="0.25">
      <c r="A1143" s="45"/>
      <c r="B1143" s="23" t="s">
        <v>131</v>
      </c>
      <c r="C1143" s="4"/>
      <c r="D1143" s="67">
        <f>+AD544</f>
        <v>182409.37</v>
      </c>
      <c r="E1143" s="72">
        <f>+AE544</f>
        <v>0</v>
      </c>
      <c r="F1143" s="67">
        <f>+AF544</f>
        <v>0</v>
      </c>
      <c r="G1143" s="67"/>
      <c r="H1143" s="67">
        <f>+AG544</f>
        <v>0</v>
      </c>
      <c r="I1143" s="67">
        <f>+AI544</f>
        <v>0</v>
      </c>
      <c r="J1143" s="67">
        <f>+AJ544</f>
        <v>0</v>
      </c>
      <c r="K1143" s="67">
        <f>+AK544</f>
        <v>0</v>
      </c>
      <c r="L1143" s="67">
        <f>+AH544</f>
        <v>0</v>
      </c>
      <c r="M1143" s="67"/>
      <c r="N1143" s="67">
        <f>+AI544</f>
        <v>0</v>
      </c>
      <c r="O1143" s="67">
        <f>+AJ544</f>
        <v>0</v>
      </c>
      <c r="P1143" s="67">
        <f>+AK544</f>
        <v>0</v>
      </c>
      <c r="Q1143" s="67"/>
      <c r="R1143" s="67">
        <f>+AL544</f>
        <v>0</v>
      </c>
      <c r="S1143" s="67">
        <f>+AR525</f>
        <v>0</v>
      </c>
      <c r="T1143" s="67">
        <f>+AS524</f>
        <v>0</v>
      </c>
      <c r="U1143" s="67">
        <f>+AT521</f>
        <v>0</v>
      </c>
      <c r="V1143" s="67">
        <f>+AM544</f>
        <v>0</v>
      </c>
      <c r="W1143" s="67"/>
      <c r="X1143" s="67">
        <f t="shared" si="385"/>
        <v>0</v>
      </c>
      <c r="Y1143" s="67">
        <f t="shared" si="386"/>
        <v>0</v>
      </c>
      <c r="Z1143" s="67">
        <f t="shared" si="387"/>
        <v>182409.37</v>
      </c>
      <c r="AA1143" s="67">
        <f t="shared" si="391"/>
        <v>0</v>
      </c>
      <c r="AB1143" s="67">
        <f t="shared" si="388"/>
        <v>182409.37</v>
      </c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</row>
    <row r="1144" spans="1:43" x14ac:dyDescent="0.25">
      <c r="B1144" s="4" t="s">
        <v>319</v>
      </c>
      <c r="C1144" s="4"/>
      <c r="D1144" s="55">
        <f>+AD57+AD305+AD107+AD304+AD1094+AD1053+AD178+AD619+AD417+AD534</f>
        <v>120671542.57000001</v>
      </c>
      <c r="E1144" s="122">
        <f>+AE57+AE305+AE107+AE304+AE1094+AE1053+AE178+AE619+AE417+AE534</f>
        <v>120435418.31599998</v>
      </c>
      <c r="F1144" s="122">
        <f>+AF57+AF305+AF107+AF304+AF1094+AF1053+AF178+AF619+AF417+AF534</f>
        <v>0</v>
      </c>
      <c r="G1144" s="95"/>
      <c r="H1144" s="67">
        <f>+E1144+F1144</f>
        <v>120435418.31599998</v>
      </c>
      <c r="I1144" s="67">
        <f t="shared" ref="I1144:K1145" si="392">+AI544</f>
        <v>0</v>
      </c>
      <c r="J1144" s="67">
        <f t="shared" si="392"/>
        <v>0</v>
      </c>
      <c r="K1144" s="67">
        <f t="shared" si="392"/>
        <v>0</v>
      </c>
      <c r="L1144" s="67">
        <f>+AH57+AH305+AH107+AH304+AH1094+AH1053+AH178+AH619+AH417+AH534</f>
        <v>0</v>
      </c>
      <c r="M1144" s="67"/>
      <c r="N1144" s="67">
        <f>+H1144+L1144</f>
        <v>120435418.31599998</v>
      </c>
      <c r="O1144" s="67">
        <f>+AJ57+AJ305+AJ107+AJ304+AJ1094+AJ1053+AJ178+AJ619+AJ417+AJ534</f>
        <v>0</v>
      </c>
      <c r="P1144" s="67">
        <f>+AK57+AK305+AK107+AK304+AK1094+AK1053+AK178+AK619+AK417+AK534</f>
        <v>0</v>
      </c>
      <c r="Q1144" s="67"/>
      <c r="R1144" s="67">
        <f>+AL57+AL305+AL534</f>
        <v>0</v>
      </c>
      <c r="S1144" s="67">
        <f>+AR525</f>
        <v>0</v>
      </c>
      <c r="T1144" s="67">
        <f>+AS524</f>
        <v>0</v>
      </c>
      <c r="U1144" s="67">
        <f>+AT521</f>
        <v>0</v>
      </c>
      <c r="V1144" s="67">
        <f>+AM544+AM305+AM107+AM304+AM1094+AM1053+AM178+AM619+AM417+AM534</f>
        <v>0</v>
      </c>
      <c r="W1144" s="67"/>
      <c r="X1144" s="67">
        <f t="shared" si="385"/>
        <v>0</v>
      </c>
      <c r="Y1144" s="67">
        <f t="shared" si="386"/>
        <v>120435418.31599998</v>
      </c>
      <c r="Z1144" s="67">
        <f t="shared" si="387"/>
        <v>236124.25400002301</v>
      </c>
      <c r="AA1144" s="67">
        <f>AZ67+AZ113+AZ179+AZ299+AZ408+AZ519+AZ600+AZ686+AZ774+AZ824+AZ887+AZ938+AZ990+AZ1024+AZ1061</f>
        <v>0</v>
      </c>
      <c r="AB1144" s="67">
        <f t="shared" si="388"/>
        <v>236124.25400002301</v>
      </c>
    </row>
    <row r="1145" spans="1:43" x14ac:dyDescent="0.25">
      <c r="A1145" s="46"/>
      <c r="B1145" s="4" t="s">
        <v>296</v>
      </c>
      <c r="C1145" s="4"/>
      <c r="D1145" s="121">
        <f>+AD58</f>
        <v>15000000</v>
      </c>
      <c r="E1145" s="122">
        <f>+AE58</f>
        <v>4500000</v>
      </c>
      <c r="F1145" s="122">
        <f>+AF58</f>
        <v>0</v>
      </c>
      <c r="G1145" s="95"/>
      <c r="H1145" s="67">
        <f>+AG58</f>
        <v>4500000</v>
      </c>
      <c r="I1145" s="67">
        <f t="shared" si="392"/>
        <v>5843730.0300000003</v>
      </c>
      <c r="J1145" s="67">
        <f t="shared" si="392"/>
        <v>835222.3</v>
      </c>
      <c r="K1145" s="67">
        <f t="shared" si="392"/>
        <v>0</v>
      </c>
      <c r="L1145" s="67">
        <f>+AH58</f>
        <v>0</v>
      </c>
      <c r="M1145" s="67"/>
      <c r="N1145" s="67">
        <f>+AI58</f>
        <v>4500000</v>
      </c>
      <c r="O1145" s="67">
        <f>+AJ58</f>
        <v>1523732.22</v>
      </c>
      <c r="P1145" s="67">
        <f>+AK58</f>
        <v>0</v>
      </c>
      <c r="Q1145" s="67"/>
      <c r="R1145" s="67">
        <f>+AL58</f>
        <v>1523732.22</v>
      </c>
      <c r="S1145" s="67">
        <f>+AR526</f>
        <v>0</v>
      </c>
      <c r="T1145" s="67">
        <f>+AS525</f>
        <v>0</v>
      </c>
      <c r="U1145" s="67">
        <f>+AT522</f>
        <v>0</v>
      </c>
      <c r="V1145" s="67">
        <f>+AM545</f>
        <v>0</v>
      </c>
      <c r="W1145" s="67"/>
      <c r="X1145" s="67">
        <f t="shared" si="385"/>
        <v>1523732.22</v>
      </c>
      <c r="Y1145" s="67">
        <f t="shared" si="386"/>
        <v>6023732.2199999997</v>
      </c>
      <c r="Z1145" s="67">
        <f t="shared" si="387"/>
        <v>8976267.7800000012</v>
      </c>
      <c r="AA1145" s="67">
        <f>AZ68+AZ114+AZ180+AZ300+AZ409+AZ520+AZ601+AZ687+AZ775+AZ825+AZ888+AZ939+AZ991+AZ1025+AZ1062</f>
        <v>0</v>
      </c>
      <c r="AB1145" s="67">
        <f t="shared" si="388"/>
        <v>8976267.7799999993</v>
      </c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</row>
    <row r="1146" spans="1:43" x14ac:dyDescent="0.25">
      <c r="A1146" s="45"/>
      <c r="B1146" s="4" t="s">
        <v>298</v>
      </c>
      <c r="C1146" s="4"/>
      <c r="D1146" s="95">
        <f>+AD180+AD535+AD1095+AD418+AD618+AD306</f>
        <v>56092468</v>
      </c>
      <c r="E1146" s="95">
        <f>+AE180+AE535+AE1095+AE418+AE618+AE306</f>
        <v>49210268</v>
      </c>
      <c r="F1146" s="122">
        <f>+AF180+AF535+AF1095+AF418+AF618+AF306</f>
        <v>6882200</v>
      </c>
      <c r="G1146" s="95"/>
      <c r="H1146" s="95">
        <f>+E1146+F1146</f>
        <v>56092468</v>
      </c>
      <c r="I1146" s="95">
        <f>+AI180+AI535+AI1095</f>
        <v>36131000</v>
      </c>
      <c r="J1146" s="95">
        <f>+AJ180+AJ535+AJ1095</f>
        <v>0</v>
      </c>
      <c r="K1146" s="95">
        <f>+AK180+AK535+AK1095</f>
        <v>0</v>
      </c>
      <c r="L1146" s="95">
        <f>+AH180+AH535+AH1095+AH418+AH618+AH306</f>
        <v>0</v>
      </c>
      <c r="M1146" s="95"/>
      <c r="N1146" s="95">
        <f>+H1146+L1146</f>
        <v>56092468</v>
      </c>
      <c r="O1146" s="121">
        <f>+AJ180+AJ535+AJ1095+AJ418+AJ618+AJ306</f>
        <v>0</v>
      </c>
      <c r="P1146" s="95">
        <f>+AK180+AK535+AK1095+AK418+AK618+AK306</f>
        <v>0</v>
      </c>
      <c r="Q1146" s="95"/>
      <c r="R1146" s="95">
        <f>+AL180+AL535+AL1095+AL618</f>
        <v>0</v>
      </c>
      <c r="S1146" s="95">
        <f>+AS174+AS522+AS1074</f>
        <v>0</v>
      </c>
      <c r="T1146" s="95">
        <f>+AT173+AT519+AT1071</f>
        <v>0</v>
      </c>
      <c r="U1146" s="95">
        <f>+AU173+AU518+AU1070</f>
        <v>0</v>
      </c>
      <c r="V1146" s="121">
        <f>+AM180+AM535+AM1095+AM418+AM618</f>
        <v>0</v>
      </c>
      <c r="W1146" s="95"/>
      <c r="X1146" s="95">
        <f t="shared" si="385"/>
        <v>0</v>
      </c>
      <c r="Y1146" s="67">
        <f t="shared" si="386"/>
        <v>56092468</v>
      </c>
      <c r="Z1146" s="67">
        <f t="shared" si="387"/>
        <v>0</v>
      </c>
      <c r="AA1146" s="67">
        <f>AZ69+AZ115+AZ181+AZ301+AZ410+AZ521+AZ602+AZ688+AZ776+AZ826+AZ889+AZ940+AZ992+AZ1026+AZ1063</f>
        <v>0</v>
      </c>
      <c r="AB1146" s="67">
        <f t="shared" si="388"/>
        <v>0</v>
      </c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</row>
    <row r="1147" spans="1:43" x14ac:dyDescent="0.25">
      <c r="A1147" s="45"/>
      <c r="B1147" s="23" t="s">
        <v>132</v>
      </c>
      <c r="C1147" s="4"/>
      <c r="D1147" s="67">
        <f>AD803+AD321+AD548+AD713+AD920+AD632</f>
        <v>10647885.359999999</v>
      </c>
      <c r="E1147" s="67">
        <f>AE321+AE548+AE632+AE713+AE920+AE803</f>
        <v>0</v>
      </c>
      <c r="F1147" s="67">
        <f>AF321+AF548+AF632+AF713+AF920+AF803</f>
        <v>0</v>
      </c>
      <c r="G1147" s="67"/>
      <c r="H1147" s="67">
        <f>AG321+AG548+AG632+AG713+AG920+AG803</f>
        <v>0</v>
      </c>
      <c r="I1147" s="67">
        <f>AI321+AI548+AI632+AI713+AI920</f>
        <v>0</v>
      </c>
      <c r="J1147" s="67">
        <f>AJ321+AJ548+AJ632+AJ713+AJ920</f>
        <v>0</v>
      </c>
      <c r="K1147" s="67">
        <f>AK321+AK548+AK632+AK713+AK920</f>
        <v>0</v>
      </c>
      <c r="L1147" s="67">
        <f>AH321+AH548+AH632+AH713+AH920+AH803</f>
        <v>0</v>
      </c>
      <c r="M1147" s="67"/>
      <c r="N1147" s="67">
        <f>AI321+AI548+AI632+AI713+AI920+AI803</f>
        <v>0</v>
      </c>
      <c r="O1147" s="67">
        <f>AJ803+AJ321+AJ548+AJ713+AJ920+AJ632</f>
        <v>0</v>
      </c>
      <c r="P1147" s="67">
        <f>AK803+AK321+AK548+AK713+AK920+AK632</f>
        <v>0</v>
      </c>
      <c r="Q1147" s="67"/>
      <c r="R1147" s="67">
        <f>AL803+AL321+AL548+AL713+AL920+AL632</f>
        <v>0</v>
      </c>
      <c r="S1147" s="67">
        <f>AR308+AR529+AR610+AR692+AR894</f>
        <v>0</v>
      </c>
      <c r="T1147" s="67">
        <f>AS307+AS528+AS609+AS690+AS892</f>
        <v>0</v>
      </c>
      <c r="U1147" s="67">
        <f>AT304+AT525+AT606+AT687+AT889</f>
        <v>0</v>
      </c>
      <c r="V1147" s="67">
        <f>AM803+AM321+AM548+AM713+AM920+AM632</f>
        <v>0</v>
      </c>
      <c r="W1147" s="67"/>
      <c r="X1147" s="67">
        <f t="shared" si="385"/>
        <v>0</v>
      </c>
      <c r="Y1147" s="67">
        <f t="shared" si="386"/>
        <v>0</v>
      </c>
      <c r="Z1147" s="67">
        <f t="shared" si="387"/>
        <v>10647885.359999999</v>
      </c>
      <c r="AA1147" s="67">
        <f>AZ68+AZ114+AZ180+AZ300+AZ409+AZ520+AZ601+AZ687+AZ775+AZ825+AZ888+AZ939+AZ991+AZ1025+AZ1062</f>
        <v>0</v>
      </c>
      <c r="AB1147" s="67">
        <f t="shared" si="388"/>
        <v>10647885.359999999</v>
      </c>
      <c r="AC1147" s="4"/>
    </row>
    <row r="1148" spans="1:43" x14ac:dyDescent="0.25">
      <c r="A1148" s="45"/>
      <c r="B1148" s="23" t="s">
        <v>38</v>
      </c>
      <c r="C1148" s="4"/>
      <c r="D1148" s="67">
        <f>AD64+AD115+AD313+AD423+AD540+AD626+AD712+AD853+AD921+AD973+AD1021+AD801+AD185</f>
        <v>196000965.00999999</v>
      </c>
      <c r="E1148" s="67">
        <f>AE64+AE115+AE313+AE423+AE540+AE626+AE712+AE853+AE921+AE973+AE1021+AE801</f>
        <v>0</v>
      </c>
      <c r="F1148" s="67">
        <f>AF64+AF115+AF313+AF423+AF540+AF626+AF712+AF853+AF921+AF973+AF1021+AF801</f>
        <v>0</v>
      </c>
      <c r="G1148" s="67"/>
      <c r="H1148" s="67">
        <f>AG64+AG115+AG313+AG103+AG540+AG626+AG712+AG853+AG921+AG973+AG1021+AG801</f>
        <v>0</v>
      </c>
      <c r="I1148" s="67" t="e">
        <f>AI64+AI115+AI313+AI423+AI540+AI626+AI712+AI853+AI921+AI973+AI1021</f>
        <v>#VALUE!</v>
      </c>
      <c r="J1148" s="67">
        <f>AJ64+AJ115+AJ313+AJ423+AJ540+AJ626+AJ712+AJ853+AJ921+AJ973+AJ1021</f>
        <v>12994830.15</v>
      </c>
      <c r="K1148" s="67">
        <f>AK64+AK115+AK313+AK423+AK540+AK626+AK712+AK853+AK921+AK973+AK1021</f>
        <v>439720.43999999994</v>
      </c>
      <c r="L1148" s="67" t="e">
        <f>AH64+AH115+AH313+AH423+AH540+AH626+AH712+AH853+AH921+AH973+AH1021+AH801</f>
        <v>#VALUE!</v>
      </c>
      <c r="M1148" s="67"/>
      <c r="N1148" s="67" t="e">
        <f>AI64+AI115+AI313+AI423+AI540+AI626+AI712+AI853+AI921+AI973+AI1021+AI801</f>
        <v>#VALUE!</v>
      </c>
      <c r="O1148" s="67">
        <f>AJ64+AJ115+AJ313+AJ423+AJ540+AJ626+AJ712+AJ853+AJ921+AJ973+AJ1021+AJ801+AJ185</f>
        <v>12994830.15</v>
      </c>
      <c r="P1148" s="67">
        <f>AK64+AK115+AK313+AK423+AK540+AK626+AK712+AK853+AK921+AK973+AK1021+AK801+AK185</f>
        <v>439720.43999999994</v>
      </c>
      <c r="Q1148" s="67"/>
      <c r="R1148" s="67">
        <f>AL64+AL115+AL313+AL423+AL540+AL626+AL712+AL853+AL921+AL973+AL1021+AL801+AL185</f>
        <v>13434550.589999998</v>
      </c>
      <c r="S1148" s="67">
        <f>AR64+AR111+AR300+AR410+AR521+AR603+AR691+AR829+AR895+AR945+AR995</f>
        <v>0</v>
      </c>
      <c r="T1148" s="67">
        <f>AS64+AS111+AS299+AS409+AS520+AS602+AS689+AS827+AS893+AS942+AS992</f>
        <v>0</v>
      </c>
      <c r="U1148" s="67">
        <f>AT63+AT110+AT296+AT406+AT517+AT599+AT686+AT824+AT890+AT939+AT989</f>
        <v>0</v>
      </c>
      <c r="V1148" s="67" t="e">
        <f>AM64+AM115+AM313+AM423+AM540+AM626+AM712+AM853+AM921+AM973+AM1021+AM801+AM185</f>
        <v>#VALUE!</v>
      </c>
      <c r="W1148" s="67"/>
      <c r="X1148" s="67" t="e">
        <f t="shared" si="385"/>
        <v>#VALUE!</v>
      </c>
      <c r="Y1148" s="67">
        <f t="shared" si="386"/>
        <v>13434550.589999998</v>
      </c>
      <c r="Z1148" s="67">
        <f t="shared" si="387"/>
        <v>182566414.41999999</v>
      </c>
      <c r="AA1148" s="67">
        <f>AZ69+AZ115+AZ181+AZ301+AZ410+AZ521+AZ602+AZ688+AZ776+AZ826+AZ889+AZ940+AZ992+AZ1026+AZ1063</f>
        <v>0</v>
      </c>
      <c r="AB1148" s="67" t="e">
        <f t="shared" si="388"/>
        <v>#VALUE!</v>
      </c>
      <c r="AC1148" s="4"/>
    </row>
    <row r="1149" spans="1:43" x14ac:dyDescent="0.25">
      <c r="A1149" s="45"/>
      <c r="B1149" s="35" t="s">
        <v>133</v>
      </c>
      <c r="C1149" s="4"/>
      <c r="D1149" s="68">
        <f>AD118+AD424+AD716+AD802</f>
        <v>10444496.359999999</v>
      </c>
      <c r="E1149" s="68">
        <f>AE118+AE424+AE716+AE802</f>
        <v>8406124</v>
      </c>
      <c r="F1149" s="68">
        <f>AF118+AF424+AF716+AF802</f>
        <v>0</v>
      </c>
      <c r="G1149" s="68"/>
      <c r="H1149" s="68">
        <f>AG118+AG424+AG716+AG802</f>
        <v>8406124</v>
      </c>
      <c r="I1149" s="68" t="e">
        <f t="shared" ref="I1149:K1150" si="393">AI118+AI424+AI716+AI802</f>
        <v>#VALUE!</v>
      </c>
      <c r="J1149" s="68">
        <f t="shared" si="393"/>
        <v>0</v>
      </c>
      <c r="K1149" s="68">
        <f t="shared" si="393"/>
        <v>0</v>
      </c>
      <c r="L1149" s="68" t="e">
        <f>AH118+AH424+AH716+AH802</f>
        <v>#VALUE!</v>
      </c>
      <c r="M1149" s="68"/>
      <c r="N1149" s="68" t="e">
        <f>AI118+AI424+AI716+AI802</f>
        <v>#VALUE!</v>
      </c>
      <c r="O1149" s="68">
        <f>AJ118+AJ424+AJ716+AJ802</f>
        <v>0</v>
      </c>
      <c r="P1149" s="68">
        <f>AK118+AK424+AK716+AK802</f>
        <v>0</v>
      </c>
      <c r="Q1149" s="68"/>
      <c r="R1149" s="68">
        <f>AL118+AL424+AL716+AL802</f>
        <v>0</v>
      </c>
      <c r="S1149" s="68">
        <f>AR115+AR411+AR695+AR780</f>
        <v>0</v>
      </c>
      <c r="T1149" s="68">
        <f>AS115+AS410+AS693+AS778</f>
        <v>0</v>
      </c>
      <c r="U1149" s="68">
        <f>AT114+AT407+AT690+AT775</f>
        <v>0</v>
      </c>
      <c r="V1149" s="68">
        <f>AM118+AM424+AM716+AM802</f>
        <v>0</v>
      </c>
      <c r="W1149" s="68"/>
      <c r="X1149" s="67">
        <f t="shared" si="385"/>
        <v>0</v>
      </c>
      <c r="Y1149" s="67">
        <f t="shared" si="386"/>
        <v>8406124</v>
      </c>
      <c r="Z1149" s="67">
        <f t="shared" si="387"/>
        <v>2038372.3599999994</v>
      </c>
      <c r="AA1149" s="67">
        <f>AZ70+AZ116+AZ182+AZ302+AZ411+AZ522+AZ603+AZ689+AZ777+AZ827+AZ890+AZ941+AZ993+AZ1027+AZ1064</f>
        <v>0</v>
      </c>
      <c r="AB1149" s="67" t="e">
        <f t="shared" si="388"/>
        <v>#VALUE!</v>
      </c>
      <c r="AC1149" s="4"/>
    </row>
    <row r="1150" spans="1:43" x14ac:dyDescent="0.25">
      <c r="A1150" s="45"/>
      <c r="B1150" s="4" t="s">
        <v>291</v>
      </c>
      <c r="C1150" s="4"/>
      <c r="D1150" s="55">
        <f>+AD621+AD796+AD913+AD1054+AD308+AD179+AD967+AD113+AD533</f>
        <v>240939664.65999997</v>
      </c>
      <c r="E1150" s="95">
        <f>+AE308+AE621+AE796+AE913+AE1054+AE179+AE967+AE113+AE533</f>
        <v>173002572.88999999</v>
      </c>
      <c r="F1150" s="68">
        <f>AF308+AF621+AF796+AF913+AF1054+AF179+AF967+AF113+AF533</f>
        <v>17500000</v>
      </c>
      <c r="G1150" s="68"/>
      <c r="H1150" s="68">
        <f>+E1150+F1150</f>
        <v>190502572.88999999</v>
      </c>
      <c r="I1150" s="68" t="e">
        <f t="shared" si="393"/>
        <v>#VALUE!</v>
      </c>
      <c r="J1150" s="68">
        <f t="shared" si="393"/>
        <v>58102490.659999996</v>
      </c>
      <c r="K1150" s="68">
        <f t="shared" si="393"/>
        <v>376617.2</v>
      </c>
      <c r="L1150" s="68">
        <f>AH308+AH621+AH796+AH913+AH1054+AH179+AH967+AH113+AH533</f>
        <v>0</v>
      </c>
      <c r="M1150" s="68"/>
      <c r="N1150" s="68">
        <f>+H1150+L1150</f>
        <v>190502572.88999999</v>
      </c>
      <c r="O1150" s="68">
        <f>AJ308+AJ621+AJ796+AJ913+AJ1054+AJ179+AJ967+AJ113+AJ533</f>
        <v>0</v>
      </c>
      <c r="P1150" s="68">
        <f>AK308+AK621+AK796+AK913+AK1054+AK179+AK967+AK113+AK533</f>
        <v>0</v>
      </c>
      <c r="Q1150" s="68"/>
      <c r="R1150" s="68">
        <f>+O1150+P1150</f>
        <v>0</v>
      </c>
      <c r="S1150" s="68">
        <f>AR116+AR412+AR696+AR781</f>
        <v>0</v>
      </c>
      <c r="T1150" s="68">
        <f>AS116+AS411+AS694+AS779</f>
        <v>0</v>
      </c>
      <c r="U1150" s="68">
        <f>AT115+AT408+AT691+AT776</f>
        <v>0</v>
      </c>
      <c r="V1150" s="68">
        <f>AM308+AM621+AM796+AM913+AM1054+AM179+AM967+AM113+AM533</f>
        <v>0</v>
      </c>
      <c r="W1150" s="68"/>
      <c r="X1150" s="67">
        <f t="shared" si="385"/>
        <v>0</v>
      </c>
      <c r="Y1150" s="67">
        <f t="shared" si="386"/>
        <v>190502572.88999999</v>
      </c>
      <c r="Z1150" s="67">
        <f t="shared" si="387"/>
        <v>50437091.769999981</v>
      </c>
      <c r="AA1150" s="67">
        <f>AZ71+AZ117+AZ183+AZ303+AZ412+AZ523+AZ604+AZ690+AZ778+AZ828+AZ891+AZ942+AZ994+AZ1028+AZ1065</f>
        <v>0</v>
      </c>
      <c r="AB1150" s="67">
        <f t="shared" si="388"/>
        <v>50437091.769999981</v>
      </c>
      <c r="AC1150" s="4"/>
    </row>
    <row r="1151" spans="1:43" x14ac:dyDescent="0.25">
      <c r="A1151" s="46"/>
      <c r="B1151" s="4" t="s">
        <v>56</v>
      </c>
      <c r="D1151" s="67">
        <f>AD116+AD188</f>
        <v>4825000</v>
      </c>
      <c r="E1151" s="67">
        <f>AE116+AE188</f>
        <v>0</v>
      </c>
      <c r="F1151" s="67">
        <f>AF116+AF188</f>
        <v>0</v>
      </c>
      <c r="G1151" s="67"/>
      <c r="H1151" s="67">
        <f>AG116+AG188</f>
        <v>0</v>
      </c>
      <c r="I1151" s="67" t="e">
        <f>AI116+AI188</f>
        <v>#VALUE!</v>
      </c>
      <c r="J1151" s="67">
        <f>AJ116+AJ188</f>
        <v>0</v>
      </c>
      <c r="K1151" s="67">
        <f>AK116+AK188</f>
        <v>0</v>
      </c>
      <c r="L1151" s="67" t="e">
        <f>AH116+AH188</f>
        <v>#VALUE!</v>
      </c>
      <c r="M1151" s="67"/>
      <c r="N1151" s="67" t="e">
        <f>AI116+AI188</f>
        <v>#VALUE!</v>
      </c>
      <c r="O1151" s="67">
        <f>AJ116+AJ188</f>
        <v>0</v>
      </c>
      <c r="P1151" s="67">
        <f>AK116+AK188</f>
        <v>0</v>
      </c>
      <c r="Q1151" s="67"/>
      <c r="R1151" s="67">
        <f>AL116+AL188</f>
        <v>0</v>
      </c>
      <c r="S1151" s="67">
        <f>AR113+AR181</f>
        <v>0</v>
      </c>
      <c r="T1151" s="67">
        <f>AS113+AS181</f>
        <v>0</v>
      </c>
      <c r="U1151" s="67">
        <f>AT111+AT179</f>
        <v>0</v>
      </c>
      <c r="V1151" s="67">
        <f>AM116+AM188</f>
        <v>0</v>
      </c>
      <c r="W1151" s="67"/>
      <c r="X1151" s="67">
        <f t="shared" si="385"/>
        <v>0</v>
      </c>
      <c r="Y1151" s="67">
        <f t="shared" si="386"/>
        <v>0</v>
      </c>
      <c r="Z1151" s="67">
        <f t="shared" si="387"/>
        <v>4825000</v>
      </c>
      <c r="AA1151" s="67">
        <f>AZ71+AZ117+AZ183+AZ303+AZ412+AZ523+AZ604+AZ690+AZ778+AZ828+AZ891+AZ942+AZ994+AZ1028+AZ1065</f>
        <v>0</v>
      </c>
      <c r="AB1151" s="67" t="e">
        <f t="shared" si="388"/>
        <v>#VALUE!</v>
      </c>
    </row>
    <row r="1152" spans="1:43" x14ac:dyDescent="0.25">
      <c r="A1152" s="45"/>
      <c r="B1152" s="23" t="s">
        <v>134</v>
      </c>
      <c r="C1152" s="4"/>
      <c r="D1152" s="67">
        <f>AD66+AD318+AD426+AD545+AD629+AD922+AD1059</f>
        <v>69000000</v>
      </c>
      <c r="E1152" s="67">
        <f>AE66+AE318+AE426+AE545+AE629+AE922+AE1059</f>
        <v>43280837.399999999</v>
      </c>
      <c r="F1152" s="67">
        <f>AF66+AF318+AF426+AF545+AF629+AF922+AF1059</f>
        <v>0</v>
      </c>
      <c r="G1152" s="67"/>
      <c r="H1152" s="67">
        <f>AG66+AG318+AG426+AG545+AG629+AG922+AG1059</f>
        <v>43280837.399999999</v>
      </c>
      <c r="I1152" s="67" t="e">
        <f>AI66+AI318+AI426+AI545+AI629+AI922+AI1059</f>
        <v>#VALUE!</v>
      </c>
      <c r="J1152" s="67">
        <f>AJ66+AJ318+AJ426+AJ545+AJ629+AJ922+AJ1059</f>
        <v>3340889.2</v>
      </c>
      <c r="K1152" s="67" t="e">
        <f>AK66+AK318+AK426+AK545+AK629+AK922+AK1059</f>
        <v>#VALUE!</v>
      </c>
      <c r="L1152" s="67" t="e">
        <f>AH66+AH318+AH426+AH545+AH629+AH922+AH1059</f>
        <v>#VALUE!</v>
      </c>
      <c r="M1152" s="67"/>
      <c r="N1152" s="67" t="e">
        <f>AI66+AI318+AI426+AI545+AI629+AI922+AI1059</f>
        <v>#VALUE!</v>
      </c>
      <c r="O1152" s="67">
        <f>AJ66+AJ318+AJ426+AJ545+AJ629+AJ922+AJ1059</f>
        <v>3340889.2</v>
      </c>
      <c r="P1152" s="67" t="e">
        <f>AK66+AK318+AK426+AK545+AK629+AK922+AK1059</f>
        <v>#VALUE!</v>
      </c>
      <c r="Q1152" s="67"/>
      <c r="R1152" s="67" t="e">
        <f>AL66+AL318+AL426+AL545+AL629+AL922+AL1059</f>
        <v>#VALUE!</v>
      </c>
      <c r="S1152" s="67">
        <f>AR66+AR305+AR413+AR526+AR607+AR897+AR1031</f>
        <v>0</v>
      </c>
      <c r="T1152" s="67">
        <f>AS66+AS304+AS412+AS525+AS606+AS894+AS1028</f>
        <v>0</v>
      </c>
      <c r="U1152" s="67">
        <f>AT65+AT301+AT409+AT522+AT602+AT891+AT1025</f>
        <v>0</v>
      </c>
      <c r="V1152" s="67" t="e">
        <f>AM66+AM318+AM426+AM545+AM629+AM922+AM1059</f>
        <v>#VALUE!</v>
      </c>
      <c r="W1152" s="67"/>
      <c r="X1152" s="67" t="e">
        <f t="shared" si="385"/>
        <v>#VALUE!</v>
      </c>
      <c r="Y1152" s="67" t="e">
        <f t="shared" si="386"/>
        <v>#VALUE!</v>
      </c>
      <c r="Z1152" s="67" t="e">
        <f t="shared" si="387"/>
        <v>#VALUE!</v>
      </c>
      <c r="AA1152" s="67">
        <f>AZ72+AZ118+AZ184+AZ304+AZ413+AZ524+AZ605+AZ691+AZ779+AZ829+AZ892+AZ943+AZ995+AZ1029+AZ1066</f>
        <v>0</v>
      </c>
      <c r="AB1152" s="67" t="e">
        <f t="shared" si="388"/>
        <v>#VALUE!</v>
      </c>
      <c r="AC1152" s="4"/>
    </row>
    <row r="1153" spans="1:43" x14ac:dyDescent="0.25">
      <c r="A1153" s="45"/>
      <c r="B1153" s="23" t="s">
        <v>135</v>
      </c>
      <c r="C1153" s="4"/>
      <c r="D1153" s="67">
        <f>+AD62+AD311+AD421+AD538+AD624+AD710+AD851+AD916+AD971+AD1025+AD1057+AD1100</f>
        <v>1059318134.7099999</v>
      </c>
      <c r="E1153" s="67">
        <f>+AE53+AE62+AE311+AE421+AE538+AE624+AE710+AE851+AE916+AE971+AE1025+AE1057+AE1100</f>
        <v>0</v>
      </c>
      <c r="F1153" s="67">
        <f>+AF53+AF62+AF311+AF421+AF538+AF624+AF710+AF851+AF916+AF971+AF1025+AF1057+AF1100</f>
        <v>0</v>
      </c>
      <c r="G1153" s="67"/>
      <c r="H1153" s="67">
        <f>+AG53+AG62+AG311+AG421+AG538+AG624+AG710+AG851+AG916+AG971+AG1025+AG1057+AG1100</f>
        <v>0</v>
      </c>
      <c r="I1153" s="67">
        <f>AI62+AI311+AI421+AI538+AI624+AI710+AI851+AI916+AI971+AI1025+AI1057+AI1100</f>
        <v>0</v>
      </c>
      <c r="J1153" s="67">
        <f>AJ62+AJ311+AJ421+AJ538+AJ624+AJ710+AJ851+AJ916+AJ971+AJ1025+AJ1057+AJ1100</f>
        <v>48977349.620000005</v>
      </c>
      <c r="K1153" s="67">
        <f>AK62+AK311+AK421+AK538+AK624+AK710+AK851+AK916+AK971+AK1025+AK1057+AK1100</f>
        <v>0</v>
      </c>
      <c r="L1153" s="67">
        <f>+AH53+AH62+AH311+AH421+AH538+AH624+AH710+AH851+AH916+AH971+AH1025+AH1057+AH1100</f>
        <v>0</v>
      </c>
      <c r="M1153" s="67"/>
      <c r="N1153" s="67">
        <f>+AI53+AI62+AI311+AI421+AI538+AI624+AI710+AI851+AI916+AI971+AI1025+AI1057+AI1100</f>
        <v>0</v>
      </c>
      <c r="O1153" s="67">
        <f>+AJ62+AJ311+AJ421+AJ538+AJ624+AJ710+AJ851+AJ916+AJ971+AJ1025+AJ1057+AJ1100</f>
        <v>48977349.620000005</v>
      </c>
      <c r="P1153" s="67">
        <f>+AK62+AK311+AK421+AK538+AK624+AK710+AK851+AK916+AK971+AK1025+AK1057+AK1100</f>
        <v>0</v>
      </c>
      <c r="Q1153" s="67"/>
      <c r="R1153" s="67">
        <f>+AL62+AL311+AL421+AL538+AL624+AL710+AL851+AL916+AL971+AL1025+AL1057+AL1100</f>
        <v>48977349.620000005</v>
      </c>
      <c r="S1153" s="67">
        <f>AR62+AR298+AR408+AR519+AR601+AR689+AR827+AR890+AR943+AR999+AR1029+AR1067</f>
        <v>0</v>
      </c>
      <c r="T1153" s="67">
        <f>AS62+AS297+AS407+AS518+AS600+AS687+AS825+AS888+AS940+AS996+AS1026+AS1064</f>
        <v>0</v>
      </c>
      <c r="U1153" s="67">
        <f>AT61+AT294+AT404+AT515+AT597+AT684+AT822+AT885+AT937+AT993+AT1023+AT1061</f>
        <v>0</v>
      </c>
      <c r="V1153" s="67">
        <f>+AM62+AM311+AM421+AM538+AM624+AM710+AM851+AM916+AM971+AM1025+AM1057+AM1100</f>
        <v>4137609.23</v>
      </c>
      <c r="W1153" s="67"/>
      <c r="X1153" s="67">
        <f t="shared" si="385"/>
        <v>53114958.850000001</v>
      </c>
      <c r="Y1153" s="67">
        <f t="shared" si="386"/>
        <v>48977349.620000005</v>
      </c>
      <c r="Z1153" s="67">
        <f t="shared" si="387"/>
        <v>1010340785.0899999</v>
      </c>
      <c r="AA1153" s="67">
        <f t="shared" ref="AA1153:AA1162" si="394">AZ73+AZ119+AZ185+AZ305+AZ414+AZ525+AZ606+AZ692+AZ780+AZ830+AZ893+AZ945+AZ996+AZ1030+AZ1067</f>
        <v>0</v>
      </c>
      <c r="AB1153" s="67">
        <f t="shared" si="388"/>
        <v>1006203175.8599999</v>
      </c>
      <c r="AC1153" s="4"/>
    </row>
    <row r="1154" spans="1:43" x14ac:dyDescent="0.25">
      <c r="A1154" s="46"/>
      <c r="B1154" s="23" t="s">
        <v>136</v>
      </c>
      <c r="C1154" s="4"/>
      <c r="D1154" s="68">
        <f>AD63+AD312+AD422+AD539+AD625+AD711+AD852+AD917+AD972+AD1058+AD1101</f>
        <v>130133378.15999997</v>
      </c>
      <c r="E1154" s="68">
        <f>AE63+AE312+AE422+AE539+AE625+AE711+AE852+AE917+AE972+AE1058+AE1101</f>
        <v>0</v>
      </c>
      <c r="F1154" s="68">
        <f>AF63+AF312+AF422+AF539+AF625+AF711+AF852+AF917+AF972+AF1058+AF1101</f>
        <v>0</v>
      </c>
      <c r="G1154" s="68"/>
      <c r="H1154" s="68">
        <f>AG63+AG312+AG422+AG539+AG625+AG711+AG852+AG917+AG972+AG1058+AG1101</f>
        <v>0</v>
      </c>
      <c r="I1154" s="68" t="e">
        <f>AI63+AI312+AI422+AI539+AI625+AI711+AI801+AI852+AI917+AI972+AI1058+AI1101</f>
        <v>#VALUE!</v>
      </c>
      <c r="J1154" s="68">
        <f>AJ63+AJ312+AJ422+AJ539+AJ625+AJ711+AJ801+AJ852+AJ917+AJ972+AJ1058+AJ1101</f>
        <v>1690730.04</v>
      </c>
      <c r="K1154" s="68" t="e">
        <f>AK63+AK312+AK422+AK539+AK625+AK711+AK801+AK852+AK917+AK972+AK1058+AK1101</f>
        <v>#VALUE!</v>
      </c>
      <c r="L1154" s="68" t="e">
        <f>AH63+AH312+AH422+AH539+AH625+AH711+AH852+AH917+AH972+AH1058+AH1101</f>
        <v>#VALUE!</v>
      </c>
      <c r="M1154" s="68"/>
      <c r="N1154" s="68" t="e">
        <f>AI63+AI312+AI422+AI539+AI625+AI711+AI852+AI917+AI972+AI1058+AI1101</f>
        <v>#VALUE!</v>
      </c>
      <c r="O1154" s="68">
        <f>AJ63+AJ312+AJ422+AJ539+AJ625+AJ711+AJ852+AJ917+AJ972+AJ1058+AJ1101</f>
        <v>1690730.04</v>
      </c>
      <c r="P1154" s="68" t="e">
        <f>AK63+AK312+AK422+AK539+AK625+AK711+AK852+AK917+AK972+AK1058+AK1101</f>
        <v>#VALUE!</v>
      </c>
      <c r="Q1154" s="68"/>
      <c r="R1154" s="68" t="e">
        <f>AL63+AL312+AL422+AL539+AL625+AL711+AL852+AL917+AL972+AL1058+AL1101</f>
        <v>#VALUE!</v>
      </c>
      <c r="S1154" s="68">
        <f>AR63+AR299+AR409+AR520+AR602+AR690+AR779+AR828+AR891+AR944+AR1030+AR1068</f>
        <v>0</v>
      </c>
      <c r="T1154" s="68">
        <f>AS63+AS298+AS408+AS519+AS601+AS688+AS777+AS826+AS889+AS941+AS1027+AS1065</f>
        <v>0</v>
      </c>
      <c r="U1154" s="68">
        <f>AT62+AT295+AT405+AT516+AT598+AT685+AT774+AT823+AT886+AT938+AT1024+AT1062</f>
        <v>0</v>
      </c>
      <c r="V1154" s="68" t="e">
        <f>AM63+AM312+AM422+AM539+AM625+AM711+AM852+AM917+AM972+AM1058+AM1101</f>
        <v>#VALUE!</v>
      </c>
      <c r="W1154" s="68"/>
      <c r="X1154" s="67" t="e">
        <f t="shared" si="385"/>
        <v>#VALUE!</v>
      </c>
      <c r="Y1154" s="67" t="e">
        <f t="shared" si="386"/>
        <v>#VALUE!</v>
      </c>
      <c r="Z1154" s="67" t="e">
        <f t="shared" si="387"/>
        <v>#VALUE!</v>
      </c>
      <c r="AA1154" s="67">
        <f t="shared" si="394"/>
        <v>0</v>
      </c>
      <c r="AB1154" s="67" t="e">
        <f t="shared" si="388"/>
        <v>#VALUE!</v>
      </c>
      <c r="AC1154" s="4"/>
    </row>
    <row r="1155" spans="1:43" x14ac:dyDescent="0.25">
      <c r="A1155" s="45"/>
      <c r="B1155" s="23" t="s">
        <v>53</v>
      </c>
      <c r="C1155" s="4"/>
      <c r="D1155" s="67">
        <f>AD110+AD183+AD319+AD428+AD546+AD630+AD714+AD799+AD854+AD918+AD974+AD1022+AD1102</f>
        <v>646462494.71000004</v>
      </c>
      <c r="E1155" s="67">
        <f>AE110+AE183+AE319+AE428+AE546+AE630+AE714+AE799+AE854+AE918+AE974+AE1022+AE1102</f>
        <v>95118</v>
      </c>
      <c r="F1155" s="67">
        <f>AF110+AF183+AF319+AF428+AF546+AF630+AF714+AF799+AF854+AF918+AF974+AF1022+AF1102</f>
        <v>8976293.8000000007</v>
      </c>
      <c r="G1155" s="67"/>
      <c r="H1155" s="67">
        <f>AG110+AG183+AG319+AG428+AG546+AG630+AG714+AG799+AG854+AG918+AG974+AG1022+AG1102</f>
        <v>9071411.8000000007</v>
      </c>
      <c r="I1155" s="67" t="e">
        <f>AI110+AI183+AI319+AI428+AI546+AI630+AI714+AI799+AI854+AI918+AI974+AI1022+AI1102</f>
        <v>#VALUE!</v>
      </c>
      <c r="J1155" s="67">
        <f>AJ110+AJ183+AJ319+AJ428+AJ546+AJ630+AJ714+AJ799+AJ854+AJ918+AJ974+AJ1022+AJ1102</f>
        <v>341613812.81999999</v>
      </c>
      <c r="K1155" s="67">
        <f>AK110+AK183+AK319+AK428+AK546+AK630+AK714+AK799+AK854+AK918+AK974+AK1022+AK1102</f>
        <v>0</v>
      </c>
      <c r="L1155" s="67" t="e">
        <f>AH110+AH183+AH319+AH428+AH546+AH630+AH714+AH799+AH854+AH918+AH974+AH1022+AH1102</f>
        <v>#VALUE!</v>
      </c>
      <c r="M1155" s="67"/>
      <c r="N1155" s="67" t="e">
        <f>AI110+AI183+AI319+AI428+AI546+AI630+AI714+AI799+AI854+AI918+AI974+AI1022+AI1102</f>
        <v>#VALUE!</v>
      </c>
      <c r="O1155" s="67">
        <f>AJ110+AJ183+AJ319+AJ428+AJ546+AJ630+AJ714+AJ799+AJ854+AJ918+AJ974+AJ1022+AJ1102</f>
        <v>341613812.81999999</v>
      </c>
      <c r="P1155" s="67">
        <f>AK110+AK183+AK319+AK428+AK546+AK630+AK714+AK799+AK854+AK918+AK974+AK1022+AK1102</f>
        <v>0</v>
      </c>
      <c r="Q1155" s="67"/>
      <c r="R1155" s="67">
        <f>AL110+AL183+AL319+AL428+AL546+AL630+AL714+AL799+AL854+AL918+AL974+AL1022+AL1102</f>
        <v>341613812.81999999</v>
      </c>
      <c r="S1155" s="67">
        <f>AR108+AR175+AR306+AR415+AR527+AR608+AR693+AR777+AR830+AR892+AR946+AR996+AR1069</f>
        <v>0</v>
      </c>
      <c r="T1155" s="67">
        <f>AS108+AS175+AS305+AS414+AS526+AS607+AS691+AS775+AS828+AS890+AS943+AS993+AS1066</f>
        <v>0</v>
      </c>
      <c r="U1155" s="67">
        <f>AT107+AT174+AT302+AT411+AT523+AT603+AT688+AT772+AT825+AT887+AT940+AT990+AT1063</f>
        <v>0</v>
      </c>
      <c r="V1155" s="67">
        <f>AM110+AM183+AM319+AM428+AM546+AM630+AM714+AM799+AM854+AM918+AM974+AM1022+AM1102</f>
        <v>271320</v>
      </c>
      <c r="W1155" s="67"/>
      <c r="X1155" s="67">
        <f t="shared" si="385"/>
        <v>341885132.81999999</v>
      </c>
      <c r="Y1155" s="67">
        <f t="shared" si="386"/>
        <v>350685224.62</v>
      </c>
      <c r="Z1155" s="67">
        <f t="shared" si="387"/>
        <v>295777270.09000003</v>
      </c>
      <c r="AA1155" s="67">
        <f t="shared" si="394"/>
        <v>0</v>
      </c>
      <c r="AB1155" s="67" t="e">
        <f t="shared" si="388"/>
        <v>#VALUE!</v>
      </c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</row>
    <row r="1156" spans="1:43" x14ac:dyDescent="0.25">
      <c r="A1156" s="45"/>
      <c r="B1156" s="23" t="s">
        <v>137</v>
      </c>
      <c r="C1156" s="4"/>
      <c r="D1156" s="67">
        <f>AD111+AD184+AD320+AD431+AD547+AD631+AD715+AD800+AD855+AD919+AD975+AD1023+AD1061+AD1103</f>
        <v>384609503.39999998</v>
      </c>
      <c r="E1156" s="67">
        <f>AE111+AE184+AE320+AE431+AE15+AE631+AE715+AE800+AE855+AE919+AE975+AE1023+AE1061+AE1103</f>
        <v>0</v>
      </c>
      <c r="F1156" s="67">
        <f>AF111+AF184+AF320+AF431+AF15+AF631+AF715+AF800+AF855+AF919+AF975+AF1023+AF1061+AF1103</f>
        <v>0</v>
      </c>
      <c r="G1156" s="67"/>
      <c r="H1156" s="67">
        <f>AG111+AG184+AG320+AG431+AG15+AG631+AG715+AG800+AG855+AG919+AG975+AG1023+AG1061+AG1103</f>
        <v>0</v>
      </c>
      <c r="I1156" s="67" t="e">
        <f>AI111+AI184+AI320+AI431+AI15+AI631+AI715+AI800+AI855+AI919+AI975+AI1023+AI1061+AI1103</f>
        <v>#VALUE!</v>
      </c>
      <c r="J1156" s="67">
        <f>AJ111+AJ184+AJ320+AJ431+AJ15+AJ631+AJ715+AJ800+AJ855+AJ919+AJ975+AJ1023+AJ1061+AJ1103</f>
        <v>335062188.13999993</v>
      </c>
      <c r="K1156" s="67">
        <f>AK111+AK184+AK320+AK431+AK15+AK631+AK715+AK800+AK855+AK919+AK975+AK1023+AK1061+AK1103</f>
        <v>-5603896.2599999998</v>
      </c>
      <c r="L1156" s="67" t="e">
        <f>AH111+AH184+AH320+AH431+AH15+AH631+AH715+AH800+AH855+AH919+AH975+AH1023+AH1061+AH1103</f>
        <v>#VALUE!</v>
      </c>
      <c r="M1156" s="67"/>
      <c r="N1156" s="67" t="e">
        <f>AI111+AI184+AI320+AI431+AI15+AI631+AI715+AI800+AI855+AI919+AI975+AI1023+AI1061+AI1103</f>
        <v>#VALUE!</v>
      </c>
      <c r="O1156" s="67">
        <f>AJ111+AJ184+AJ320+AJ431+AJ547+AJ631+AJ715+AJ800+AJ855+AJ919+AJ975+AJ1023+AJ1061+AJ1103</f>
        <v>372854391.19999993</v>
      </c>
      <c r="P1156" s="67">
        <f>AK111+AK184+AK320+AK431+AK547+AK631+AK715+AK800+AK855+AK919+AK975+AK1023+AK1061+AK1103</f>
        <v>-5603896.2599999998</v>
      </c>
      <c r="Q1156" s="67"/>
      <c r="R1156" s="67">
        <f>AL111+AL184+AL320+AL431+AL547+AL631+AL715+AL800+AL855+AL919+AL975+AL1023+AL1061+AL1103</f>
        <v>367250494.93999994</v>
      </c>
      <c r="S1156" s="67">
        <f>AR109+AR177+AR307+AR416+AR15+AR609+AR694+AR778+AR831+AR893+AR947+AR997+AR1033+AR1070</f>
        <v>0</v>
      </c>
      <c r="T1156" s="67">
        <f>AS109+AS177+AS306+AS415+AS15+AS608+AS692+AS776+AS829+AS891+AS944+AS994+AS1030+AS1067</f>
        <v>0</v>
      </c>
      <c r="U1156" s="67">
        <f>AT108+AT175+AT303+AT412+AT15+AT605+AT689+AT773+AT826+AT888+AT941+AT991+AT1027+AT1064</f>
        <v>0</v>
      </c>
      <c r="V1156" s="67">
        <f>AM111+AM184+AM320+AM431+AM547+AM631+AM715+AM800+AM855+AM919+AM975+AM1023+AM1061+AM1103</f>
        <v>0</v>
      </c>
      <c r="W1156" s="67"/>
      <c r="X1156" s="67">
        <f t="shared" si="385"/>
        <v>367250494.93999994</v>
      </c>
      <c r="Y1156" s="67">
        <f t="shared" si="386"/>
        <v>367250494.93999994</v>
      </c>
      <c r="Z1156" s="67">
        <f t="shared" si="387"/>
        <v>17359008.460000038</v>
      </c>
      <c r="AA1156" s="67">
        <f t="shared" si="394"/>
        <v>0</v>
      </c>
      <c r="AB1156" s="67" t="e">
        <f t="shared" si="388"/>
        <v>#VALUE!</v>
      </c>
      <c r="AC1156" s="4"/>
    </row>
    <row r="1157" spans="1:43" x14ac:dyDescent="0.25">
      <c r="A1157" s="45"/>
      <c r="B1157" s="4" t="s">
        <v>245</v>
      </c>
      <c r="C1157" s="4"/>
      <c r="D1157" s="55">
        <f>+AD187</f>
        <v>434405</v>
      </c>
      <c r="E1157" s="55">
        <f>+AE187</f>
        <v>0</v>
      </c>
      <c r="F1157" s="55">
        <f>+AF187</f>
        <v>0</v>
      </c>
      <c r="G1157" s="55"/>
      <c r="H1157" s="55">
        <f>+AG187</f>
        <v>0</v>
      </c>
      <c r="I1157" s="55">
        <f>+AI187</f>
        <v>0</v>
      </c>
      <c r="J1157" s="55">
        <f>+AJ187</f>
        <v>0</v>
      </c>
      <c r="K1157" s="55">
        <f>+AK187</f>
        <v>0</v>
      </c>
      <c r="L1157" s="55">
        <f>+AH187</f>
        <v>0</v>
      </c>
      <c r="M1157" s="55"/>
      <c r="N1157" s="55">
        <f>+AI187</f>
        <v>0</v>
      </c>
      <c r="O1157" s="55">
        <f>+AJ187</f>
        <v>0</v>
      </c>
      <c r="P1157" s="55">
        <f>+AK187</f>
        <v>0</v>
      </c>
      <c r="Q1157" s="55"/>
      <c r="R1157" s="55">
        <f>+AL187</f>
        <v>0</v>
      </c>
      <c r="S1157" s="55">
        <f>+AR180</f>
        <v>0</v>
      </c>
      <c r="T1157" s="55">
        <f>+AS180</f>
        <v>0</v>
      </c>
      <c r="U1157" s="55">
        <f>+AT178</f>
        <v>0</v>
      </c>
      <c r="V1157" s="55">
        <f>+AM187</f>
        <v>0</v>
      </c>
      <c r="W1157" s="55"/>
      <c r="X1157" s="67">
        <f t="shared" si="385"/>
        <v>0</v>
      </c>
      <c r="Y1157" s="67">
        <f t="shared" si="386"/>
        <v>0</v>
      </c>
      <c r="Z1157" s="67">
        <f t="shared" si="387"/>
        <v>434405</v>
      </c>
      <c r="AA1157" s="67">
        <f t="shared" si="394"/>
        <v>0</v>
      </c>
      <c r="AB1157" s="67">
        <f t="shared" si="388"/>
        <v>434405</v>
      </c>
      <c r="AC1157" s="4"/>
    </row>
    <row r="1158" spans="1:43" x14ac:dyDescent="0.25">
      <c r="A1158" s="45"/>
      <c r="B1158" s="23" t="s">
        <v>144</v>
      </c>
      <c r="C1158" s="4"/>
      <c r="D1158" s="67">
        <f>+AD322</f>
        <v>837838.57</v>
      </c>
      <c r="E1158" s="67">
        <f>+AE322</f>
        <v>837838.57</v>
      </c>
      <c r="F1158" s="67">
        <f>+AF322</f>
        <v>0</v>
      </c>
      <c r="G1158" s="67"/>
      <c r="H1158" s="67">
        <f>+AG322</f>
        <v>837838.57</v>
      </c>
      <c r="I1158" s="67">
        <f>+AI322</f>
        <v>837838.57</v>
      </c>
      <c r="J1158" s="67">
        <f>+AJ322</f>
        <v>0</v>
      </c>
      <c r="K1158" s="67">
        <f>+AK322</f>
        <v>0</v>
      </c>
      <c r="L1158" s="67">
        <f>+AH322</f>
        <v>0</v>
      </c>
      <c r="M1158" s="67"/>
      <c r="N1158" s="67">
        <f>+AI322</f>
        <v>837838.57</v>
      </c>
      <c r="O1158" s="67">
        <f>+AJ322</f>
        <v>0</v>
      </c>
      <c r="P1158" s="67">
        <f>+AK322</f>
        <v>0</v>
      </c>
      <c r="Q1158" s="67"/>
      <c r="R1158" s="67">
        <f>+AL322</f>
        <v>0</v>
      </c>
      <c r="S1158" s="67">
        <f>+AR309</f>
        <v>0</v>
      </c>
      <c r="T1158" s="67">
        <f>+AS308</f>
        <v>0</v>
      </c>
      <c r="U1158" s="67">
        <f>+AT305</f>
        <v>0</v>
      </c>
      <c r="V1158" s="67">
        <f>+AM322</f>
        <v>0</v>
      </c>
      <c r="W1158" s="67"/>
      <c r="X1158" s="67">
        <f t="shared" si="385"/>
        <v>0</v>
      </c>
      <c r="Y1158" s="67">
        <f t="shared" si="386"/>
        <v>837838.57</v>
      </c>
      <c r="Z1158" s="67">
        <f t="shared" si="387"/>
        <v>0</v>
      </c>
      <c r="AA1158" s="67">
        <f t="shared" si="394"/>
        <v>0</v>
      </c>
      <c r="AB1158" s="67">
        <f t="shared" si="388"/>
        <v>0</v>
      </c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</row>
    <row r="1159" spans="1:43" x14ac:dyDescent="0.25">
      <c r="A1159" s="45"/>
      <c r="B1159" s="26" t="s">
        <v>271</v>
      </c>
      <c r="C1159" s="4"/>
      <c r="D1159" s="67">
        <f>AD627+AD924</f>
        <v>4360000</v>
      </c>
      <c r="E1159" s="67">
        <f>AE627+AE924</f>
        <v>4359759.62</v>
      </c>
      <c r="F1159" s="67">
        <f>AF627+AF924</f>
        <v>0</v>
      </c>
      <c r="G1159" s="67"/>
      <c r="H1159" s="67">
        <f>AG627+AG924</f>
        <v>4359759.62</v>
      </c>
      <c r="I1159" s="67">
        <f>AI627+AI924</f>
        <v>4359759.62</v>
      </c>
      <c r="J1159" s="67">
        <f>AJ627+AJ924</f>
        <v>0</v>
      </c>
      <c r="K1159" s="67">
        <f>AK627+AK924</f>
        <v>0</v>
      </c>
      <c r="L1159" s="67">
        <f>AH627+AH924</f>
        <v>0</v>
      </c>
      <c r="M1159" s="67"/>
      <c r="N1159" s="67">
        <f>AI627+AI924</f>
        <v>4359759.62</v>
      </c>
      <c r="O1159" s="67">
        <f>AJ627+AJ924</f>
        <v>0</v>
      </c>
      <c r="P1159" s="67">
        <f>AK627+AK924</f>
        <v>0</v>
      </c>
      <c r="Q1159" s="67"/>
      <c r="R1159" s="67">
        <f>AL627+AL924</f>
        <v>0</v>
      </c>
      <c r="S1159" s="67">
        <f>AR605+AR899</f>
        <v>0</v>
      </c>
      <c r="T1159" s="67">
        <f>AS603+AS897</f>
        <v>0</v>
      </c>
      <c r="U1159" s="67">
        <f>AT600+AT893</f>
        <v>0</v>
      </c>
      <c r="V1159" s="67">
        <f>AM627+AM924</f>
        <v>0</v>
      </c>
      <c r="W1159" s="67"/>
      <c r="X1159" s="67">
        <f t="shared" si="385"/>
        <v>0</v>
      </c>
      <c r="Y1159" s="67">
        <f t="shared" si="386"/>
        <v>4359759.62</v>
      </c>
      <c r="Z1159" s="67">
        <f t="shared" si="387"/>
        <v>240.37999999988824</v>
      </c>
      <c r="AA1159" s="67">
        <f t="shared" si="394"/>
        <v>0</v>
      </c>
      <c r="AB1159" s="67">
        <f t="shared" si="388"/>
        <v>240.37999999988824</v>
      </c>
      <c r="AC1159" s="4"/>
    </row>
    <row r="1160" spans="1:43" x14ac:dyDescent="0.25">
      <c r="A1160" s="45"/>
      <c r="B1160" s="26" t="s">
        <v>256</v>
      </c>
      <c r="C1160" s="4"/>
      <c r="D1160" s="67">
        <f>AD114+AD186</f>
        <v>15425897.060000001</v>
      </c>
      <c r="E1160" s="67">
        <f>AE114+AE186</f>
        <v>15425897.060000001</v>
      </c>
      <c r="F1160" s="67">
        <f>AF114+AF186</f>
        <v>0</v>
      </c>
      <c r="G1160" s="67"/>
      <c r="H1160" s="67">
        <f>AG114+AG186</f>
        <v>15425897.060000001</v>
      </c>
      <c r="I1160" s="67" t="e">
        <f>AI114+AI186</f>
        <v>#VALUE!</v>
      </c>
      <c r="J1160" s="67">
        <f>AJ114+AJ186</f>
        <v>0</v>
      </c>
      <c r="K1160" s="67">
        <f>AK114+AK186</f>
        <v>0</v>
      </c>
      <c r="L1160" s="67" t="e">
        <f>AH114+AH186</f>
        <v>#VALUE!</v>
      </c>
      <c r="M1160" s="67"/>
      <c r="N1160" s="67" t="e">
        <f>AI114+AI186</f>
        <v>#VALUE!</v>
      </c>
      <c r="O1160" s="67">
        <f>AJ114+AJ186</f>
        <v>0</v>
      </c>
      <c r="P1160" s="67">
        <f>AK114+AK186</f>
        <v>0</v>
      </c>
      <c r="Q1160" s="67"/>
      <c r="R1160" s="67">
        <f>AL114+AL186</f>
        <v>0</v>
      </c>
      <c r="S1160" s="67">
        <f>AR110+AR179</f>
        <v>0</v>
      </c>
      <c r="T1160" s="67">
        <f>AS110+AS179</f>
        <v>0</v>
      </c>
      <c r="U1160" s="67">
        <f>AT109+AT177</f>
        <v>0</v>
      </c>
      <c r="V1160" s="67">
        <f>AM114+AM186</f>
        <v>0</v>
      </c>
      <c r="W1160" s="67"/>
      <c r="X1160" s="67">
        <f t="shared" si="385"/>
        <v>0</v>
      </c>
      <c r="Y1160" s="67">
        <f t="shared" si="386"/>
        <v>15425897.060000001</v>
      </c>
      <c r="Z1160" s="67">
        <f t="shared" si="387"/>
        <v>0</v>
      </c>
      <c r="AA1160" s="67">
        <f t="shared" si="394"/>
        <v>0</v>
      </c>
      <c r="AB1160" s="67" t="e">
        <f t="shared" si="388"/>
        <v>#VALUE!</v>
      </c>
      <c r="AC1160" s="4"/>
    </row>
    <row r="1161" spans="1:43" x14ac:dyDescent="0.25">
      <c r="A1161" s="45"/>
      <c r="B1161" s="26" t="s">
        <v>249</v>
      </c>
      <c r="C1161" s="4"/>
      <c r="D1161" s="67">
        <f>+AD425</f>
        <v>28856990.23</v>
      </c>
      <c r="E1161" s="67">
        <f>+AE425</f>
        <v>0</v>
      </c>
      <c r="F1161" s="67">
        <f>+AF425</f>
        <v>0</v>
      </c>
      <c r="G1161" s="67"/>
      <c r="H1161" s="67">
        <f>+AG425</f>
        <v>0</v>
      </c>
      <c r="I1161" s="67">
        <f t="shared" ref="I1161:K1162" si="395">+AI425</f>
        <v>0</v>
      </c>
      <c r="J1161" s="67">
        <f t="shared" si="395"/>
        <v>0</v>
      </c>
      <c r="K1161" s="67">
        <f t="shared" si="395"/>
        <v>0</v>
      </c>
      <c r="L1161" s="67">
        <f>+AH425</f>
        <v>0</v>
      </c>
      <c r="M1161" s="67"/>
      <c r="N1161" s="67">
        <f>+AI425</f>
        <v>0</v>
      </c>
      <c r="O1161" s="67">
        <f>+AJ425</f>
        <v>0</v>
      </c>
      <c r="P1161" s="67">
        <f>+AK425</f>
        <v>0</v>
      </c>
      <c r="Q1161" s="67"/>
      <c r="R1161" s="67">
        <f>+AL425</f>
        <v>0</v>
      </c>
      <c r="S1161" s="67">
        <f>+AR412</f>
        <v>0</v>
      </c>
      <c r="T1161" s="67">
        <f>+AS411</f>
        <v>0</v>
      </c>
      <c r="U1161" s="67">
        <f>+AT408</f>
        <v>0</v>
      </c>
      <c r="V1161" s="67">
        <f>+AM425</f>
        <v>0</v>
      </c>
      <c r="W1161" s="67"/>
      <c r="X1161" s="67">
        <f t="shared" si="385"/>
        <v>0</v>
      </c>
      <c r="Y1161" s="67">
        <f t="shared" si="386"/>
        <v>0</v>
      </c>
      <c r="Z1161" s="67">
        <f t="shared" si="387"/>
        <v>28856990.23</v>
      </c>
      <c r="AA1161" s="67">
        <f t="shared" si="394"/>
        <v>0</v>
      </c>
      <c r="AB1161" s="67">
        <f t="shared" si="388"/>
        <v>28856990.23</v>
      </c>
      <c r="AC1161" s="4"/>
    </row>
    <row r="1162" spans="1:43" x14ac:dyDescent="0.25">
      <c r="B1162" s="4" t="s">
        <v>289</v>
      </c>
      <c r="C1162" s="4"/>
      <c r="D1162" s="55">
        <f>+AD1018</f>
        <v>2000000</v>
      </c>
      <c r="E1162" s="67" t="s">
        <v>145</v>
      </c>
      <c r="F1162" s="67">
        <f>+AF1018</f>
        <v>0</v>
      </c>
      <c r="G1162" s="67"/>
      <c r="H1162" s="67">
        <f>+AG1018</f>
        <v>0</v>
      </c>
      <c r="I1162" s="67">
        <f t="shared" si="395"/>
        <v>5617680.4800000004</v>
      </c>
      <c r="J1162" s="67">
        <f t="shared" si="395"/>
        <v>835222.3</v>
      </c>
      <c r="K1162" s="67">
        <f t="shared" si="395"/>
        <v>0</v>
      </c>
      <c r="L1162" s="67">
        <f>+AH1018</f>
        <v>0</v>
      </c>
      <c r="M1162" s="67"/>
      <c r="N1162" s="67">
        <f>+A1018</f>
        <v>0</v>
      </c>
      <c r="O1162" s="67">
        <f>+AJ1018</f>
        <v>2000000</v>
      </c>
      <c r="P1162" s="67">
        <f>+AK1018</f>
        <v>0</v>
      </c>
      <c r="Q1162" s="67"/>
      <c r="R1162" s="67">
        <f>+AL1018</f>
        <v>2000000</v>
      </c>
      <c r="S1162" s="67">
        <f>+AR413</f>
        <v>0</v>
      </c>
      <c r="T1162" s="67">
        <f>+AS412</f>
        <v>0</v>
      </c>
      <c r="U1162" s="67">
        <f>+AT409</f>
        <v>0</v>
      </c>
      <c r="V1162" s="67">
        <f>+AM1018</f>
        <v>0</v>
      </c>
      <c r="W1162" s="67"/>
      <c r="X1162" s="67">
        <f t="shared" si="385"/>
        <v>2000000</v>
      </c>
      <c r="Y1162" s="67">
        <f t="shared" si="386"/>
        <v>2000000</v>
      </c>
      <c r="Z1162" s="67">
        <f t="shared" si="387"/>
        <v>0</v>
      </c>
      <c r="AA1162" s="67">
        <f t="shared" si="394"/>
        <v>0</v>
      </c>
      <c r="AB1162" s="67">
        <f t="shared" si="388"/>
        <v>0</v>
      </c>
      <c r="AC1162" s="4"/>
    </row>
    <row r="1163" spans="1:43" x14ac:dyDescent="0.25">
      <c r="B1163" s="31"/>
      <c r="C1163" s="4"/>
      <c r="D1163" s="70" t="s">
        <v>40</v>
      </c>
      <c r="E1163" s="70" t="s">
        <v>40</v>
      </c>
      <c r="F1163" s="70" t="s">
        <v>40</v>
      </c>
      <c r="G1163" s="70"/>
      <c r="H1163" s="70" t="s">
        <v>40</v>
      </c>
      <c r="I1163" s="70" t="s">
        <v>40</v>
      </c>
      <c r="J1163" s="70" t="s">
        <v>40</v>
      </c>
      <c r="K1163" s="70" t="s">
        <v>40</v>
      </c>
      <c r="L1163" s="70" t="s">
        <v>40</v>
      </c>
      <c r="M1163" s="70"/>
      <c r="N1163" s="70" t="s">
        <v>40</v>
      </c>
      <c r="O1163" s="70" t="s">
        <v>40</v>
      </c>
      <c r="P1163" s="70" t="s">
        <v>40</v>
      </c>
      <c r="Q1163" s="70"/>
      <c r="R1163" s="70" t="s">
        <v>40</v>
      </c>
      <c r="S1163" s="70" t="s">
        <v>40</v>
      </c>
      <c r="T1163" s="70" t="s">
        <v>40</v>
      </c>
      <c r="U1163" s="70" t="s">
        <v>40</v>
      </c>
      <c r="V1163" s="70" t="s">
        <v>40</v>
      </c>
      <c r="W1163" s="70"/>
      <c r="X1163" s="70" t="s">
        <v>40</v>
      </c>
      <c r="Y1163" s="70" t="s">
        <v>40</v>
      </c>
      <c r="Z1163" s="70" t="s">
        <v>40</v>
      </c>
      <c r="AA1163" s="70" t="s">
        <v>40</v>
      </c>
      <c r="AB1163" s="70" t="s">
        <v>40</v>
      </c>
      <c r="AP1163" t="e">
        <f>+AP1106-Z1106</f>
        <v>#VALUE!</v>
      </c>
    </row>
    <row r="1164" spans="1:43" x14ac:dyDescent="0.25">
      <c r="B1164" s="23" t="s">
        <v>248</v>
      </c>
      <c r="C1164" s="4"/>
      <c r="D1164" s="67">
        <f>SUM(D1131:D1162)</f>
        <v>6602025057.79</v>
      </c>
      <c r="E1164" s="67">
        <f>SUM(E1131:E1162)</f>
        <v>1442510969.536</v>
      </c>
      <c r="F1164" s="67">
        <f>SUM(F1131:F1162)</f>
        <v>117580187.80999999</v>
      </c>
      <c r="G1164" s="67"/>
      <c r="H1164" s="67">
        <f>SUM(H1131:H1162)</f>
        <v>1560091157.3459997</v>
      </c>
      <c r="I1164" s="67" t="e">
        <f>SUM(I1131:I1162)</f>
        <v>#VALUE!</v>
      </c>
      <c r="J1164" s="67">
        <f>SUM(J1131:J1162)</f>
        <v>1002445894.55</v>
      </c>
      <c r="K1164" s="67" t="e">
        <f>SUM(K1131:K1162)</f>
        <v>#VALUE!</v>
      </c>
      <c r="L1164" s="67" t="e">
        <f>SUM(L1131:L1162)</f>
        <v>#VALUE!</v>
      </c>
      <c r="M1164" s="67"/>
      <c r="N1164" s="67" t="e">
        <f>SUM(N1131:N1162)</f>
        <v>#VALUE!</v>
      </c>
      <c r="O1164" s="67">
        <f>SUM(O1131:O1162)</f>
        <v>949541551.3599999</v>
      </c>
      <c r="P1164" s="67" t="e">
        <f>SUM(P1131:P1162)</f>
        <v>#VALUE!</v>
      </c>
      <c r="Q1164" s="67"/>
      <c r="R1164" s="67" t="e">
        <f>SUM(R1131:R1162)</f>
        <v>#VALUE!</v>
      </c>
      <c r="S1164" s="67">
        <f>SUM(S1131:S1162)</f>
        <v>0</v>
      </c>
      <c r="T1164" s="67">
        <f>SUM(T1131:T1162)</f>
        <v>0</v>
      </c>
      <c r="U1164" s="67">
        <f>SUM(U1131:U1162)</f>
        <v>0</v>
      </c>
      <c r="V1164" s="67" t="e">
        <f>SUM(V1131:V1162)</f>
        <v>#VALUE!</v>
      </c>
      <c r="W1164" s="67"/>
      <c r="X1164" s="67" t="e">
        <f>SUM(X1131:X1162)</f>
        <v>#VALUE!</v>
      </c>
      <c r="Y1164" s="67" t="e">
        <f>SUM(Y1131:Y1162)</f>
        <v>#VALUE!</v>
      </c>
      <c r="Z1164" s="67" t="e">
        <f>SUM(Z1131:Z1162)</f>
        <v>#VALUE!</v>
      </c>
      <c r="AA1164" s="67">
        <f>SUM(AA1131:AA1162)</f>
        <v>0</v>
      </c>
      <c r="AB1164" s="67" t="e">
        <f>SUM(AB1131:AB1162)</f>
        <v>#VALUE!</v>
      </c>
      <c r="AC1164" s="4"/>
    </row>
    <row r="1165" spans="1:43" x14ac:dyDescent="0.25">
      <c r="B1165" s="26"/>
      <c r="C1165" s="4"/>
      <c r="D1165" s="70" t="s">
        <v>50</v>
      </c>
      <c r="E1165" s="70" t="s">
        <v>50</v>
      </c>
      <c r="F1165" s="70" t="s">
        <v>50</v>
      </c>
      <c r="G1165" s="70"/>
      <c r="H1165" s="70" t="s">
        <v>50</v>
      </c>
      <c r="I1165" s="70" t="s">
        <v>50</v>
      </c>
      <c r="J1165" s="70" t="s">
        <v>50</v>
      </c>
      <c r="K1165" s="70" t="s">
        <v>50</v>
      </c>
      <c r="L1165" s="70" t="s">
        <v>50</v>
      </c>
      <c r="M1165" s="70"/>
      <c r="N1165" s="70" t="s">
        <v>50</v>
      </c>
      <c r="O1165" s="70" t="s">
        <v>50</v>
      </c>
      <c r="P1165" s="70" t="s">
        <v>50</v>
      </c>
      <c r="Q1165" s="70"/>
      <c r="R1165" s="70" t="s">
        <v>50</v>
      </c>
      <c r="S1165" s="70" t="s">
        <v>50</v>
      </c>
      <c r="T1165" s="70" t="s">
        <v>50</v>
      </c>
      <c r="U1165" s="70" t="s">
        <v>50</v>
      </c>
      <c r="V1165" s="70" t="s">
        <v>50</v>
      </c>
      <c r="W1165" s="70"/>
      <c r="X1165" s="70" t="s">
        <v>50</v>
      </c>
      <c r="Y1165" s="70" t="s">
        <v>50</v>
      </c>
      <c r="Z1165" s="70" t="s">
        <v>50</v>
      </c>
      <c r="AA1165" s="70" t="s">
        <v>50</v>
      </c>
      <c r="AB1165" s="70" t="s">
        <v>50</v>
      </c>
      <c r="AC1165" s="4"/>
    </row>
    <row r="1166" spans="1:43" x14ac:dyDescent="0.25">
      <c r="V1166" s="83"/>
      <c r="W1166" s="142"/>
      <c r="X1166" s="83"/>
      <c r="Y1166" s="83"/>
      <c r="Z1166" s="83"/>
      <c r="AA1166" s="83">
        <f>+AA1106-AA1164</f>
        <v>2278783945.2000003</v>
      </c>
      <c r="AB1166" s="83"/>
    </row>
    <row r="1167" spans="1:43" ht="16.5" thickBot="1" x14ac:dyDescent="0.3">
      <c r="B1167" s="4" t="s">
        <v>294</v>
      </c>
      <c r="D1167" s="87">
        <f>+D1109</f>
        <v>29062497.970000003</v>
      </c>
      <c r="E1167" s="55"/>
      <c r="F1167" s="55"/>
      <c r="G1167" s="55"/>
      <c r="H1167" s="55"/>
      <c r="I1167" s="55"/>
      <c r="J1167" s="55"/>
      <c r="K1167" s="55"/>
      <c r="L1167" s="55"/>
      <c r="M1167" s="55"/>
      <c r="N1167" s="55"/>
      <c r="O1167" s="87">
        <f>+O1109</f>
        <v>24883025.190000001</v>
      </c>
      <c r="P1167" s="87">
        <f>+P1109</f>
        <v>4179472.7800000003</v>
      </c>
      <c r="Q1167" s="55"/>
      <c r="R1167" s="87">
        <f>+O1167+P1167</f>
        <v>29062497.970000003</v>
      </c>
      <c r="S1167" s="55"/>
      <c r="T1167" s="55"/>
      <c r="U1167" s="55"/>
      <c r="V1167" s="87">
        <f>+V338+V1084+V819</f>
        <v>1791882.0899999999</v>
      </c>
      <c r="W1167" s="83"/>
      <c r="X1167" s="83"/>
      <c r="Y1167" s="63"/>
      <c r="Z1167" s="55"/>
    </row>
    <row r="1168" spans="1:43" ht="16.5" thickTop="1" x14ac:dyDescent="0.25">
      <c r="Y1168" s="117"/>
    </row>
    <row r="1170" spans="1:29" x14ac:dyDescent="0.25">
      <c r="A1170" s="45"/>
    </row>
    <row r="1171" spans="1:29" x14ac:dyDescent="0.25">
      <c r="A1171" s="45"/>
    </row>
    <row r="1172" spans="1:29" x14ac:dyDescent="0.25">
      <c r="A1172" s="45"/>
      <c r="C1172" s="4"/>
      <c r="AC1172" s="4"/>
    </row>
    <row r="1173" spans="1:29" x14ac:dyDescent="0.25">
      <c r="A1173" s="45"/>
      <c r="AC1173" s="4"/>
    </row>
    <row r="1174" spans="1:29" x14ac:dyDescent="0.25">
      <c r="A1174" s="45"/>
      <c r="B1174" s="26"/>
      <c r="D1174" s="79" t="s">
        <v>138</v>
      </c>
      <c r="F1174" s="79"/>
      <c r="G1174" s="68"/>
      <c r="H1174" s="68"/>
      <c r="I1174" s="68"/>
      <c r="J1174" s="68"/>
      <c r="K1174" s="79"/>
      <c r="M1174" s="79"/>
      <c r="N1174" s="68" t="s">
        <v>285</v>
      </c>
      <c r="O1174" s="68"/>
      <c r="P1174" s="68"/>
      <c r="Q1174" s="68"/>
      <c r="R1174" s="68"/>
      <c r="S1174" s="68"/>
      <c r="T1174" s="68"/>
      <c r="U1174" s="68"/>
      <c r="W1174" s="79"/>
      <c r="X1174" s="79" t="s">
        <v>288</v>
      </c>
      <c r="Y1174" s="68"/>
      <c r="Z1174" s="68"/>
      <c r="AA1174" s="68"/>
      <c r="AB1174" s="68"/>
      <c r="AC1174" s="4"/>
    </row>
    <row r="1175" spans="1:29" x14ac:dyDescent="0.25">
      <c r="A1175" s="45"/>
      <c r="B1175" s="26"/>
      <c r="D1175" s="79"/>
      <c r="F1175" s="79"/>
      <c r="G1175" s="68"/>
      <c r="H1175" s="68"/>
      <c r="I1175" s="68"/>
      <c r="J1175" s="68"/>
      <c r="K1175" s="79"/>
      <c r="M1175" s="79"/>
      <c r="N1175" s="68"/>
      <c r="O1175" s="68"/>
      <c r="P1175" s="68"/>
      <c r="Q1175" s="68"/>
      <c r="R1175" s="68"/>
      <c r="S1175" s="68"/>
      <c r="T1175" s="68"/>
      <c r="U1175" s="68"/>
      <c r="V1175" s="72"/>
      <c r="W1175" s="79"/>
      <c r="X1175" s="68"/>
      <c r="Y1175" s="68"/>
      <c r="Z1175" s="68"/>
      <c r="AA1175" s="68"/>
      <c r="AB1175" s="68"/>
      <c r="AC1175" s="4"/>
    </row>
    <row r="1176" spans="1:29" x14ac:dyDescent="0.25">
      <c r="B1176" s="26"/>
      <c r="D1176" s="68"/>
      <c r="F1176" s="68"/>
      <c r="G1176" s="68"/>
      <c r="H1176" s="68"/>
      <c r="I1176" s="68"/>
      <c r="J1176" s="68"/>
      <c r="K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4"/>
    </row>
    <row r="1177" spans="1:29" x14ac:dyDescent="0.25">
      <c r="B1177" s="26"/>
      <c r="D1177" s="68"/>
      <c r="F1177" s="68"/>
      <c r="G1177" s="68"/>
      <c r="H1177" s="68"/>
      <c r="I1177" s="68"/>
      <c r="J1177" s="68"/>
      <c r="K1177" s="68"/>
      <c r="M1177" s="68"/>
      <c r="N1177" s="68"/>
      <c r="O1177" s="68"/>
      <c r="P1177" s="68"/>
      <c r="Q1177" s="68"/>
      <c r="R1177" s="73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4"/>
    </row>
    <row r="1178" spans="1:29" x14ac:dyDescent="0.25">
      <c r="A1178" s="45"/>
    </row>
    <row r="1179" spans="1:29" x14ac:dyDescent="0.25">
      <c r="A1179" s="45"/>
    </row>
    <row r="1180" spans="1:29" x14ac:dyDescent="0.25">
      <c r="A1180" s="45"/>
      <c r="B1180" s="26"/>
      <c r="D1180" s="79" t="s">
        <v>147</v>
      </c>
      <c r="F1180" s="68"/>
      <c r="G1180" s="68"/>
      <c r="H1180" s="68"/>
      <c r="I1180" s="79"/>
      <c r="M1180" s="79"/>
      <c r="N1180" s="68" t="s">
        <v>286</v>
      </c>
      <c r="O1180" s="68"/>
      <c r="P1180" s="68"/>
      <c r="Q1180" s="68"/>
      <c r="R1180" s="68"/>
      <c r="S1180" s="68"/>
      <c r="T1180" s="68"/>
      <c r="U1180" s="68"/>
      <c r="V1180" s="68"/>
      <c r="W1180" s="79" t="s">
        <v>149</v>
      </c>
      <c r="Y1180" s="68"/>
      <c r="Z1180" s="68"/>
      <c r="AA1180" s="68"/>
      <c r="AB1180" s="68"/>
      <c r="AC1180" s="4"/>
    </row>
    <row r="1181" spans="1:29" x14ac:dyDescent="0.25">
      <c r="A1181" s="45"/>
      <c r="B1181" s="26"/>
      <c r="D1181" s="79" t="s">
        <v>146</v>
      </c>
      <c r="F1181" s="68"/>
      <c r="G1181" s="68"/>
      <c r="H1181" s="68"/>
      <c r="I1181" s="79"/>
      <c r="M1181" s="79"/>
      <c r="N1181" s="68" t="s">
        <v>287</v>
      </c>
      <c r="O1181" s="68"/>
      <c r="P1181" s="68"/>
      <c r="Q1181" s="68"/>
      <c r="R1181" s="68"/>
      <c r="S1181" s="68"/>
      <c r="T1181" s="68"/>
      <c r="U1181" s="68"/>
      <c r="V1181" s="68"/>
      <c r="W1181" s="79" t="s">
        <v>148</v>
      </c>
      <c r="Y1181" s="68"/>
      <c r="Z1181" s="68"/>
      <c r="AA1181" s="68"/>
      <c r="AB1181" s="68"/>
      <c r="AC1181" s="4"/>
    </row>
    <row r="1182" spans="1:29" x14ac:dyDescent="0.25">
      <c r="A1182" s="45"/>
      <c r="B1182" s="26"/>
      <c r="D1182" s="55"/>
      <c r="E1182" s="55"/>
      <c r="F1182" s="55"/>
      <c r="G1182" s="55"/>
      <c r="H1182" s="55"/>
      <c r="I1182" s="55"/>
      <c r="J1182" s="55"/>
      <c r="K1182" s="55"/>
      <c r="L1182" s="55"/>
      <c r="M1182" s="55"/>
      <c r="N1182" s="55"/>
      <c r="O1182" s="55"/>
      <c r="P1182" s="55"/>
      <c r="Q1182" s="55"/>
      <c r="R1182" s="55"/>
      <c r="S1182" s="55"/>
      <c r="T1182" s="55"/>
      <c r="U1182" s="55"/>
      <c r="V1182" s="55"/>
      <c r="W1182" s="55"/>
      <c r="X1182" s="55"/>
      <c r="Y1182" s="55"/>
      <c r="Z1182" s="55"/>
      <c r="AA1182" s="55"/>
      <c r="AB1182" s="55"/>
      <c r="AC1182" s="4"/>
    </row>
    <row r="1183" spans="1:29" x14ac:dyDescent="0.25">
      <c r="A1183" s="45"/>
      <c r="B1183" s="23"/>
      <c r="C1183" s="4"/>
      <c r="D1183" s="55"/>
      <c r="E1183" s="55"/>
      <c r="F1183" s="55"/>
      <c r="G1183" s="55"/>
      <c r="H1183" s="55"/>
      <c r="I1183" s="55"/>
      <c r="J1183" s="55"/>
      <c r="K1183" s="55"/>
      <c r="L1183" s="55"/>
      <c r="M1183" s="55"/>
      <c r="N1183" s="55"/>
      <c r="O1183" s="55"/>
      <c r="P1183" s="55"/>
      <c r="Q1183" s="55"/>
      <c r="R1183" s="55"/>
      <c r="S1183" s="55"/>
      <c r="T1183" s="55"/>
      <c r="U1183" s="55"/>
      <c r="V1183" s="55"/>
      <c r="W1183" s="55"/>
      <c r="X1183" s="55"/>
      <c r="Y1183" s="55"/>
      <c r="Z1183" s="55"/>
      <c r="AA1183" s="55"/>
      <c r="AB1183" s="55"/>
      <c r="AC1183" s="4"/>
    </row>
    <row r="1184" spans="1:29" x14ac:dyDescent="0.25">
      <c r="A1184" s="45"/>
      <c r="B1184" s="23" t="s">
        <v>301</v>
      </c>
      <c r="C1184" s="4"/>
      <c r="D1184" s="55"/>
      <c r="E1184" s="55"/>
      <c r="F1184" s="55"/>
      <c r="G1184" s="55"/>
      <c r="H1184" s="55"/>
      <c r="I1184" s="55"/>
      <c r="J1184" s="55"/>
      <c r="K1184" s="55"/>
      <c r="L1184" s="55"/>
      <c r="M1184" s="55"/>
      <c r="N1184" s="55"/>
      <c r="O1184" s="55"/>
      <c r="P1184" s="55"/>
      <c r="Q1184" s="55"/>
      <c r="R1184" s="55"/>
      <c r="S1184" s="55"/>
      <c r="T1184" s="55"/>
      <c r="U1184" s="55"/>
      <c r="V1184" s="55"/>
      <c r="W1184" s="55"/>
      <c r="X1184" s="55"/>
      <c r="Y1184" s="55"/>
      <c r="Z1184" s="55"/>
      <c r="AA1184" s="55"/>
      <c r="AB1184" s="55"/>
      <c r="AC1184" s="4"/>
    </row>
    <row r="1185" spans="1:29" x14ac:dyDescent="0.25">
      <c r="A1185" s="45"/>
      <c r="B1185" s="26"/>
      <c r="C1185" s="4"/>
      <c r="D1185" s="55"/>
      <c r="E1185" s="55"/>
      <c r="F1185" s="55"/>
      <c r="G1185" s="55"/>
      <c r="H1185" s="55"/>
      <c r="I1185" s="55"/>
      <c r="J1185" s="55"/>
      <c r="K1185" s="55"/>
      <c r="L1185" s="55"/>
      <c r="M1185" s="55"/>
      <c r="N1185" s="55"/>
      <c r="O1185" s="55"/>
      <c r="P1185" s="55"/>
      <c r="Q1185" s="55"/>
      <c r="R1185" s="55"/>
      <c r="S1185" s="55"/>
      <c r="T1185" s="55"/>
      <c r="U1185" s="55"/>
      <c r="V1185" s="55"/>
      <c r="W1185" s="55"/>
      <c r="X1185" s="55"/>
      <c r="Y1185" s="55"/>
      <c r="Z1185" s="55"/>
      <c r="AA1185" s="55"/>
      <c r="AB1185" s="55"/>
      <c r="AC1185" s="4"/>
    </row>
    <row r="1186" spans="1:29" x14ac:dyDescent="0.25">
      <c r="A1186" s="45"/>
      <c r="B1186" s="23" t="s">
        <v>139</v>
      </c>
      <c r="C1186" s="4"/>
      <c r="D1186" s="55"/>
      <c r="E1186" s="55"/>
      <c r="F1186" s="55"/>
      <c r="G1186" s="55"/>
      <c r="H1186" s="55"/>
      <c r="I1186" s="55"/>
      <c r="J1186" s="55"/>
      <c r="K1186" s="55"/>
      <c r="L1186" s="55"/>
      <c r="M1186" s="55"/>
      <c r="N1186" s="55"/>
      <c r="O1186" s="55"/>
      <c r="P1186" s="55"/>
      <c r="Q1186" s="55"/>
      <c r="R1186" s="55"/>
      <c r="S1186" s="55"/>
      <c r="T1186" s="55"/>
      <c r="U1186" s="55"/>
      <c r="V1186" s="55"/>
      <c r="W1186" s="55"/>
      <c r="X1186" s="58"/>
      <c r="Y1186" s="61"/>
      <c r="Z1186" s="61"/>
      <c r="AA1186" s="55"/>
      <c r="AB1186" s="55"/>
      <c r="AC1186" s="4"/>
    </row>
    <row r="1187" spans="1:29" x14ac:dyDescent="0.25">
      <c r="A1187" s="45"/>
      <c r="B1187" s="35" t="s">
        <v>0</v>
      </c>
      <c r="C1187" s="4"/>
      <c r="D1187" s="55"/>
      <c r="E1187" s="55"/>
      <c r="F1187" s="55"/>
      <c r="G1187" s="55"/>
      <c r="H1187" s="55"/>
      <c r="I1187" s="55"/>
      <c r="J1187" s="55"/>
      <c r="K1187" s="55"/>
      <c r="L1187" s="55"/>
      <c r="M1187" s="55"/>
      <c r="N1187" s="55"/>
      <c r="O1187" s="55"/>
      <c r="P1187" s="55"/>
      <c r="Q1187" s="55"/>
      <c r="R1187" s="55"/>
      <c r="S1187" s="55"/>
      <c r="T1187" s="55"/>
      <c r="U1187" s="55"/>
      <c r="V1187" s="55"/>
      <c r="W1187" s="55"/>
      <c r="X1187" s="55"/>
      <c r="Y1187" s="55"/>
      <c r="Z1187" s="55"/>
      <c r="AA1187" s="55"/>
      <c r="AB1187" s="55"/>
      <c r="AC1187" s="4"/>
    </row>
    <row r="1188" spans="1:29" x14ac:dyDescent="0.25">
      <c r="A1188" s="45"/>
      <c r="B1188" s="35" t="str">
        <f>+B3</f>
        <v>As of JANUARY 31, 2005</v>
      </c>
      <c r="C1188" s="4"/>
      <c r="D1188" s="55"/>
      <c r="E1188" s="55"/>
      <c r="F1188" s="55"/>
      <c r="G1188" s="55"/>
      <c r="H1188" s="55"/>
      <c r="I1188" s="55"/>
      <c r="J1188" s="55"/>
      <c r="K1188" s="55"/>
      <c r="L1188" s="55"/>
      <c r="M1188" s="55"/>
      <c r="N1188" s="55"/>
      <c r="O1188" s="55"/>
      <c r="P1188" s="55"/>
      <c r="Q1188" s="55"/>
      <c r="R1188" s="55"/>
      <c r="S1188" s="55"/>
      <c r="T1188" s="55"/>
      <c r="U1188" s="55"/>
      <c r="V1188" s="55"/>
      <c r="W1188" s="55"/>
      <c r="X1188" s="55"/>
      <c r="Y1188" s="55"/>
      <c r="Z1188" s="55"/>
      <c r="AA1188" s="55"/>
      <c r="AB1188" s="55"/>
      <c r="AC1188" s="4"/>
    </row>
    <row r="1189" spans="1:29" x14ac:dyDescent="0.25">
      <c r="A1189" s="45"/>
      <c r="B1189" s="35"/>
      <c r="C1189" s="4"/>
      <c r="D1189" s="55"/>
      <c r="E1189" s="55"/>
      <c r="F1189" s="55"/>
      <c r="G1189" s="55"/>
      <c r="H1189" s="55"/>
      <c r="I1189" s="55"/>
      <c r="J1189" s="55"/>
      <c r="K1189" s="55"/>
      <c r="L1189" s="55"/>
      <c r="M1189" s="55"/>
      <c r="N1189" s="55"/>
      <c r="O1189" s="55"/>
      <c r="P1189" s="55"/>
      <c r="Q1189" s="55"/>
      <c r="R1189" s="55"/>
      <c r="S1189" s="55"/>
      <c r="T1189" s="55"/>
      <c r="U1189" s="55"/>
      <c r="V1189" s="55"/>
      <c r="W1189" s="55"/>
      <c r="X1189" s="55"/>
      <c r="Y1189" s="55"/>
      <c r="Z1189" s="55"/>
      <c r="AA1189" s="55"/>
      <c r="AB1189" s="55"/>
      <c r="AC1189" s="4"/>
    </row>
    <row r="1190" spans="1:29" x14ac:dyDescent="0.25">
      <c r="A1190" s="45"/>
      <c r="B1190" s="35"/>
      <c r="C1190" s="4"/>
      <c r="D1190" s="55"/>
      <c r="E1190" s="55"/>
      <c r="F1190" s="55"/>
      <c r="G1190" s="55"/>
      <c r="H1190" s="55"/>
      <c r="I1190" s="55"/>
      <c r="J1190" s="55"/>
      <c r="K1190" s="55"/>
      <c r="L1190" s="55"/>
      <c r="M1190" s="55"/>
      <c r="N1190" s="55"/>
      <c r="O1190" s="55"/>
      <c r="P1190" s="55"/>
      <c r="Q1190" s="55"/>
      <c r="R1190" s="55"/>
      <c r="S1190" s="55"/>
      <c r="T1190" s="55"/>
      <c r="U1190" s="55"/>
      <c r="V1190" s="55"/>
      <c r="W1190" s="55"/>
      <c r="X1190" s="55"/>
      <c r="Y1190" s="55"/>
      <c r="Z1190" s="55"/>
      <c r="AA1190" s="55"/>
      <c r="AB1190" s="55"/>
      <c r="AC1190" s="4"/>
    </row>
    <row r="1191" spans="1:29" x14ac:dyDescent="0.25">
      <c r="A1191" s="45"/>
      <c r="B1191" s="35"/>
      <c r="C1191" s="4"/>
      <c r="D1191" s="55"/>
      <c r="E1191" s="55"/>
      <c r="F1191" s="55"/>
      <c r="G1191" s="55"/>
      <c r="H1191" s="55"/>
      <c r="I1191" s="55"/>
      <c r="J1191" s="55"/>
      <c r="K1191" s="55"/>
      <c r="L1191" s="55"/>
      <c r="M1191" s="55"/>
      <c r="N1191" s="55"/>
      <c r="O1191" s="55"/>
      <c r="P1191" s="55"/>
      <c r="Q1191" s="55"/>
      <c r="R1191" s="55"/>
      <c r="S1191" s="55"/>
      <c r="T1191" s="55"/>
      <c r="U1191" s="55"/>
      <c r="V1191" s="55"/>
      <c r="W1191" s="55"/>
      <c r="X1191" s="55"/>
      <c r="Y1191" s="55"/>
      <c r="Z1191" s="55"/>
      <c r="AA1191" s="55"/>
      <c r="AB1191" s="55"/>
      <c r="AC1191" s="4"/>
    </row>
    <row r="1192" spans="1:29" ht="19.5" x14ac:dyDescent="0.35">
      <c r="A1192" s="45"/>
      <c r="B1192" s="40"/>
      <c r="C1192" s="4"/>
      <c r="D1192" s="55"/>
      <c r="E1192" s="55"/>
      <c r="F1192" s="57" t="s">
        <v>1</v>
      </c>
      <c r="G1192" s="57"/>
      <c r="H1192" s="58"/>
      <c r="I1192" s="57" t="s">
        <v>2</v>
      </c>
      <c r="J1192" s="55"/>
      <c r="K1192" s="57" t="s">
        <v>2</v>
      </c>
      <c r="L1192" s="57" t="s">
        <v>3</v>
      </c>
      <c r="M1192" s="57"/>
      <c r="N1192" s="57" t="s">
        <v>4</v>
      </c>
      <c r="O1192" s="55"/>
      <c r="P1192" s="84" t="s">
        <v>5</v>
      </c>
      <c r="Q1192" s="84"/>
      <c r="R1192" s="55"/>
      <c r="S1192" s="55"/>
      <c r="T1192" s="55"/>
      <c r="U1192" s="57" t="s">
        <v>2</v>
      </c>
      <c r="V1192" s="57" t="s">
        <v>3</v>
      </c>
      <c r="W1192" s="57"/>
      <c r="X1192" s="57" t="s">
        <v>6</v>
      </c>
      <c r="Y1192" s="57" t="s">
        <v>7</v>
      </c>
      <c r="Z1192" s="57" t="s">
        <v>8</v>
      </c>
      <c r="AA1192" s="57" t="s">
        <v>3</v>
      </c>
      <c r="AB1192" s="57" t="s">
        <v>8</v>
      </c>
      <c r="AC1192" s="4"/>
    </row>
    <row r="1193" spans="1:29" x14ac:dyDescent="0.25">
      <c r="A1193" s="45"/>
      <c r="B1193" s="26"/>
      <c r="C1193" s="4"/>
      <c r="D1193" s="57" t="s">
        <v>9</v>
      </c>
      <c r="E1193" s="57" t="s">
        <v>10</v>
      </c>
      <c r="F1193" s="57" t="s">
        <v>11</v>
      </c>
      <c r="G1193" s="57"/>
      <c r="H1193" s="58"/>
      <c r="I1193" s="57" t="s">
        <v>12</v>
      </c>
      <c r="J1193" s="57" t="s">
        <v>13</v>
      </c>
      <c r="K1193" s="57" t="s">
        <v>14</v>
      </c>
      <c r="L1193" s="57" t="s">
        <v>1</v>
      </c>
      <c r="M1193" s="57"/>
      <c r="N1193" s="84" t="s">
        <v>15</v>
      </c>
      <c r="O1193" s="57" t="s">
        <v>16</v>
      </c>
      <c r="P1193" s="57" t="s">
        <v>11</v>
      </c>
      <c r="Q1193" s="57"/>
      <c r="R1193" s="58"/>
      <c r="S1193" s="57" t="s">
        <v>2</v>
      </c>
      <c r="T1193" s="57" t="s">
        <v>13</v>
      </c>
      <c r="U1193" s="57" t="s">
        <v>14</v>
      </c>
      <c r="V1193" s="57" t="s">
        <v>17</v>
      </c>
      <c r="W1193" s="57"/>
      <c r="X1193" s="57" t="s">
        <v>11</v>
      </c>
      <c r="Y1193" s="57" t="s">
        <v>11</v>
      </c>
      <c r="Z1193" s="57" t="s">
        <v>18</v>
      </c>
      <c r="AA1193" s="57" t="s">
        <v>11</v>
      </c>
      <c r="AB1193" s="57" t="s">
        <v>18</v>
      </c>
      <c r="AC1193" s="4"/>
    </row>
    <row r="1194" spans="1:29" x14ac:dyDescent="0.25">
      <c r="A1194" s="45"/>
      <c r="B1194" s="103" t="s">
        <v>19</v>
      </c>
      <c r="C1194" s="41"/>
      <c r="D1194" s="60" t="s">
        <v>20</v>
      </c>
      <c r="E1194" s="60" t="str">
        <f>+E7</f>
        <v>AS OF 12/31/05</v>
      </c>
      <c r="F1194" s="60" t="s">
        <v>21</v>
      </c>
      <c r="G1194" s="60"/>
      <c r="H1194" s="60" t="s">
        <v>22</v>
      </c>
      <c r="I1194" s="60" t="s">
        <v>23</v>
      </c>
      <c r="J1194" s="60" t="s">
        <v>24</v>
      </c>
      <c r="K1194" s="60" t="s">
        <v>23</v>
      </c>
      <c r="L1194" s="60" t="s">
        <v>2</v>
      </c>
      <c r="M1194" s="60"/>
      <c r="N1194" s="85" t="s">
        <v>25</v>
      </c>
      <c r="O1194" s="60" t="str">
        <f>+E1194</f>
        <v>AS OF 12/31/05</v>
      </c>
      <c r="P1194" s="60" t="s">
        <v>21</v>
      </c>
      <c r="Q1194" s="60"/>
      <c r="R1194" s="60" t="s">
        <v>26</v>
      </c>
      <c r="S1194" s="60" t="s">
        <v>27</v>
      </c>
      <c r="T1194" s="60" t="s">
        <v>28</v>
      </c>
      <c r="U1194" s="60" t="s">
        <v>23</v>
      </c>
      <c r="V1194" s="60" t="s">
        <v>2</v>
      </c>
      <c r="W1194" s="60"/>
      <c r="X1194" s="60" t="s">
        <v>29</v>
      </c>
      <c r="Y1194" s="60" t="s">
        <v>30</v>
      </c>
      <c r="Z1194" s="60" t="s">
        <v>30</v>
      </c>
      <c r="AA1194" s="60" t="s">
        <v>31</v>
      </c>
      <c r="AB1194" s="60" t="s">
        <v>31</v>
      </c>
      <c r="AC1194" s="4"/>
    </row>
    <row r="1195" spans="1:29" x14ac:dyDescent="0.25">
      <c r="A1195" s="45"/>
      <c r="B1195" s="26"/>
      <c r="C1195" s="115"/>
      <c r="D1195" s="55"/>
      <c r="E1195" s="55"/>
      <c r="F1195" s="55"/>
      <c r="G1195" s="55"/>
      <c r="H1195" s="55"/>
      <c r="I1195" s="55"/>
      <c r="J1195" s="55"/>
      <c r="K1195" s="55"/>
      <c r="L1195" s="55"/>
      <c r="M1195" s="55"/>
      <c r="N1195" s="55"/>
      <c r="O1195" s="55"/>
      <c r="P1195" s="55"/>
      <c r="Q1195" s="55"/>
      <c r="R1195" s="55"/>
      <c r="S1195" s="55"/>
      <c r="T1195" s="55"/>
      <c r="U1195" s="55"/>
      <c r="V1195" s="55"/>
      <c r="W1195" s="55"/>
      <c r="X1195" s="55"/>
      <c r="Y1195" s="55"/>
      <c r="Z1195" s="55"/>
      <c r="AA1195" s="55"/>
      <c r="AB1195" s="55"/>
      <c r="AC1195" s="4"/>
    </row>
    <row r="1196" spans="1:29" x14ac:dyDescent="0.25">
      <c r="A1196" s="45"/>
      <c r="B1196" s="23" t="s">
        <v>33</v>
      </c>
      <c r="C1196" s="4"/>
      <c r="D1196" s="58">
        <f>+D69</f>
        <v>620050285.41999996</v>
      </c>
      <c r="E1196" s="58">
        <f>+E69</f>
        <v>79035351.170000002</v>
      </c>
      <c r="F1196" s="58">
        <f>+F69</f>
        <v>0</v>
      </c>
      <c r="G1196" s="58"/>
      <c r="H1196" s="58">
        <f>+H69</f>
        <v>79035351.170000002</v>
      </c>
      <c r="I1196" s="58">
        <f>+I69</f>
        <v>0</v>
      </c>
      <c r="J1196" s="58">
        <f>+J69</f>
        <v>0</v>
      </c>
      <c r="K1196" s="58">
        <f>+K69</f>
        <v>0</v>
      </c>
      <c r="L1196" s="58">
        <f>+L69</f>
        <v>0</v>
      </c>
      <c r="M1196" s="58"/>
      <c r="N1196" s="58">
        <f>+N69</f>
        <v>79035351.170000002</v>
      </c>
      <c r="O1196" s="58">
        <f>+O69</f>
        <v>28515754.140000001</v>
      </c>
      <c r="P1196" s="58" t="e">
        <f>+P69</f>
        <v>#VALUE!</v>
      </c>
      <c r="Q1196" s="58"/>
      <c r="R1196" s="58">
        <f>+R69</f>
        <v>28515754.140000001</v>
      </c>
      <c r="S1196" s="58">
        <f>+S69</f>
        <v>11620821.859999998</v>
      </c>
      <c r="T1196" s="58">
        <f>+T69</f>
        <v>5298841.96</v>
      </c>
      <c r="U1196" s="58">
        <f>+U69</f>
        <v>0</v>
      </c>
      <c r="V1196" s="58">
        <f>+V69</f>
        <v>6751599.919999999</v>
      </c>
      <c r="W1196" s="58"/>
      <c r="X1196" s="58">
        <f>+X69</f>
        <v>35267354.060000002</v>
      </c>
      <c r="Y1196" s="58">
        <f>+Y69</f>
        <v>107551105.31000002</v>
      </c>
      <c r="Z1196" s="58">
        <f>+Z69</f>
        <v>512499180.10999995</v>
      </c>
      <c r="AA1196" s="58">
        <f>+AA69</f>
        <v>114302705.23</v>
      </c>
      <c r="AB1196" s="58">
        <f>+AB69</f>
        <v>505747580.19</v>
      </c>
      <c r="AC1196" s="4"/>
    </row>
    <row r="1197" spans="1:29" x14ac:dyDescent="0.25">
      <c r="A1197" s="45"/>
      <c r="B1197" s="23"/>
      <c r="C1197" s="4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8"/>
      <c r="AB1197" s="58"/>
      <c r="AC1197" s="4"/>
    </row>
    <row r="1198" spans="1:29" x14ac:dyDescent="0.25">
      <c r="A1198" s="45"/>
      <c r="B1198" s="26" t="s">
        <v>240</v>
      </c>
      <c r="C1198" s="4"/>
      <c r="D1198" s="55">
        <f>+D119</f>
        <v>119814141.23999999</v>
      </c>
      <c r="E1198" s="55">
        <f>+E119</f>
        <v>55991772.310000002</v>
      </c>
      <c r="F1198" s="55">
        <f>+F119</f>
        <v>2500000</v>
      </c>
      <c r="G1198" s="55"/>
      <c r="H1198" s="55">
        <f>+H119</f>
        <v>58491772.310000002</v>
      </c>
      <c r="I1198" s="55">
        <f>+I119</f>
        <v>0</v>
      </c>
      <c r="J1198" s="55">
        <f>+J119</f>
        <v>0</v>
      </c>
      <c r="K1198" s="55">
        <f>+K119</f>
        <v>0</v>
      </c>
      <c r="L1198" s="55">
        <f>+L119</f>
        <v>0</v>
      </c>
      <c r="M1198" s="55"/>
      <c r="N1198" s="55">
        <f>+N119</f>
        <v>58491772.310000002</v>
      </c>
      <c r="O1198" s="55">
        <f>+O119</f>
        <v>47229351.079999998</v>
      </c>
      <c r="P1198" s="55">
        <f>+P119</f>
        <v>0</v>
      </c>
      <c r="Q1198" s="55"/>
      <c r="R1198" s="55">
        <f>+R119</f>
        <v>47229351.079999998</v>
      </c>
      <c r="S1198" s="55">
        <f>+S119</f>
        <v>0</v>
      </c>
      <c r="T1198" s="55">
        <f>+T119</f>
        <v>0</v>
      </c>
      <c r="U1198" s="55">
        <f>+U119</f>
        <v>0</v>
      </c>
      <c r="V1198" s="55">
        <f>+V119</f>
        <v>0</v>
      </c>
      <c r="W1198" s="55"/>
      <c r="X1198" s="55">
        <f>+X119</f>
        <v>47229351.079999998</v>
      </c>
      <c r="Y1198" s="55">
        <f>+Y119</f>
        <v>105721123.39</v>
      </c>
      <c r="Z1198" s="55">
        <f>+Z119</f>
        <v>14093017.849999998</v>
      </c>
      <c r="AA1198" s="55">
        <f>+AA119</f>
        <v>82241680.109999999</v>
      </c>
      <c r="AB1198" s="55">
        <f>+AB119</f>
        <v>14093017.849999998</v>
      </c>
      <c r="AC1198" s="4"/>
    </row>
    <row r="1199" spans="1:29" x14ac:dyDescent="0.25">
      <c r="A1199" s="45"/>
      <c r="B1199" s="23"/>
      <c r="C1199" s="4"/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  <c r="V1199" s="58"/>
      <c r="W1199" s="58"/>
      <c r="X1199" s="58"/>
      <c r="Y1199" s="58"/>
      <c r="Z1199" s="58"/>
      <c r="AA1199" s="58"/>
      <c r="AB1199" s="58"/>
      <c r="AC1199" s="4"/>
    </row>
    <row r="1200" spans="1:29" x14ac:dyDescent="0.25">
      <c r="A1200" s="45"/>
      <c r="B1200" s="23" t="s">
        <v>168</v>
      </c>
      <c r="C1200" s="4"/>
      <c r="D1200" s="58">
        <f>+D189</f>
        <v>352677139.58999997</v>
      </c>
      <c r="E1200" s="58">
        <f>+E189</f>
        <v>98869920.365999997</v>
      </c>
      <c r="F1200" s="58">
        <f>+F189</f>
        <v>1207870.27</v>
      </c>
      <c r="G1200" s="58"/>
      <c r="H1200" s="58">
        <f>+H189</f>
        <v>100077790.63599999</v>
      </c>
      <c r="I1200" s="58">
        <f>+I189</f>
        <v>0</v>
      </c>
      <c r="J1200" s="58">
        <f>+J189</f>
        <v>0</v>
      </c>
      <c r="K1200" s="58">
        <f>+K189</f>
        <v>0</v>
      </c>
      <c r="L1200" s="58">
        <f>+L189</f>
        <v>0</v>
      </c>
      <c r="M1200" s="58"/>
      <c r="N1200" s="58">
        <f>+N189</f>
        <v>100077790.63599999</v>
      </c>
      <c r="O1200" s="58">
        <f>+O189</f>
        <v>113407980</v>
      </c>
      <c r="P1200" s="58">
        <f>+P189</f>
        <v>0</v>
      </c>
      <c r="Q1200" s="58"/>
      <c r="R1200" s="58">
        <f>+R189</f>
        <v>113407980</v>
      </c>
      <c r="S1200" s="58">
        <f>+S189</f>
        <v>0</v>
      </c>
      <c r="T1200" s="58">
        <f>+T189</f>
        <v>0</v>
      </c>
      <c r="U1200" s="58">
        <f>+U189</f>
        <v>0</v>
      </c>
      <c r="V1200" s="58">
        <f>+V189</f>
        <v>411900</v>
      </c>
      <c r="W1200" s="58"/>
      <c r="X1200" s="58">
        <f>+X189</f>
        <v>113819880</v>
      </c>
      <c r="Y1200" s="58">
        <f>+Y189</f>
        <v>213485770.63599998</v>
      </c>
      <c r="Z1200" s="58">
        <f>+Z189</f>
        <v>139191368.954</v>
      </c>
      <c r="AA1200" s="58">
        <f>+AA189</f>
        <v>0</v>
      </c>
      <c r="AB1200" s="58">
        <f>+AB189</f>
        <v>138779468.954</v>
      </c>
      <c r="AC1200" s="4"/>
    </row>
    <row r="1201" spans="1:29" x14ac:dyDescent="0.25">
      <c r="A1201" s="45"/>
      <c r="B1201" s="26"/>
      <c r="C1201" s="4"/>
      <c r="D1201" s="55"/>
      <c r="E1201" s="55"/>
      <c r="F1201" s="55"/>
      <c r="G1201" s="55"/>
      <c r="H1201" s="55"/>
      <c r="I1201" s="55"/>
      <c r="J1201" s="55"/>
      <c r="K1201" s="55"/>
      <c r="L1201" s="55"/>
      <c r="M1201" s="55"/>
      <c r="N1201" s="55"/>
      <c r="O1201" s="55"/>
      <c r="P1201" s="55"/>
      <c r="Q1201" s="55"/>
      <c r="R1201" s="55"/>
      <c r="S1201" s="55"/>
      <c r="T1201" s="55"/>
      <c r="U1201" s="55"/>
      <c r="V1201" s="55"/>
      <c r="W1201" s="55"/>
      <c r="X1201" s="55"/>
      <c r="Y1201" s="55"/>
      <c r="Z1201" s="55"/>
      <c r="AA1201" s="55"/>
      <c r="AB1201" s="55"/>
      <c r="AC1201" s="4"/>
    </row>
    <row r="1202" spans="1:29" x14ac:dyDescent="0.25">
      <c r="A1202" s="45"/>
      <c r="B1202" s="23" t="s">
        <v>58</v>
      </c>
      <c r="C1202" s="4"/>
      <c r="D1202" s="58">
        <f>+D323</f>
        <v>1315267635.5500002</v>
      </c>
      <c r="E1202" s="58">
        <f>+E323</f>
        <v>512490278.19000006</v>
      </c>
      <c r="F1202" s="58">
        <f>+F323</f>
        <v>3882200</v>
      </c>
      <c r="G1202" s="58"/>
      <c r="H1202" s="58">
        <f>+H323</f>
        <v>516372478.19000006</v>
      </c>
      <c r="I1202" s="58">
        <f>+I323</f>
        <v>0</v>
      </c>
      <c r="J1202" s="58">
        <f>+J323</f>
        <v>0</v>
      </c>
      <c r="K1202" s="58">
        <f>+K323</f>
        <v>0</v>
      </c>
      <c r="L1202" s="58">
        <f>+L323</f>
        <v>0</v>
      </c>
      <c r="M1202" s="58"/>
      <c r="N1202" s="58">
        <f>+N323</f>
        <v>516372478.19000006</v>
      </c>
      <c r="O1202" s="58">
        <f>+O323</f>
        <v>152087983.24000001</v>
      </c>
      <c r="P1202" s="58">
        <f>+P323</f>
        <v>141345.20000000001</v>
      </c>
      <c r="Q1202" s="58"/>
      <c r="R1202" s="58">
        <f>+R323</f>
        <v>152229328.44</v>
      </c>
      <c r="S1202" s="58">
        <f>+S323</f>
        <v>1690000.5999999999</v>
      </c>
      <c r="T1202" s="58">
        <f>+T323</f>
        <v>210246.6</v>
      </c>
      <c r="U1202" s="58">
        <f>+U323</f>
        <v>0</v>
      </c>
      <c r="V1202" s="58">
        <f>+V323</f>
        <v>0</v>
      </c>
      <c r="W1202" s="58"/>
      <c r="X1202" s="58">
        <f>+X323</f>
        <v>152229328.44</v>
      </c>
      <c r="Y1202" s="58">
        <f>+Y323</f>
        <v>668601806.63</v>
      </c>
      <c r="Z1202" s="58">
        <f>+Z323</f>
        <v>646665828.92000008</v>
      </c>
      <c r="AA1202" s="58">
        <f>+AA323</f>
        <v>668601806.63</v>
      </c>
      <c r="AB1202" s="58">
        <f>+AB323</f>
        <v>646665828.92000008</v>
      </c>
      <c r="AC1202" s="4"/>
    </row>
    <row r="1203" spans="1:29" x14ac:dyDescent="0.25">
      <c r="A1203" s="45"/>
      <c r="B1203" s="23"/>
      <c r="C1203" s="4"/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  <c r="V1203" s="58"/>
      <c r="W1203" s="58"/>
      <c r="X1203" s="58"/>
      <c r="Y1203" s="58"/>
      <c r="Z1203" s="58"/>
      <c r="AA1203" s="58"/>
      <c r="AB1203" s="58"/>
      <c r="AC1203" s="4"/>
    </row>
    <row r="1204" spans="1:29" x14ac:dyDescent="0.25">
      <c r="A1204" s="45"/>
      <c r="B1204" s="26" t="s">
        <v>178</v>
      </c>
      <c r="C1204" s="4"/>
      <c r="D1204" s="55">
        <f>+D432</f>
        <v>661858388.68999994</v>
      </c>
      <c r="E1204" s="55">
        <f>+E432</f>
        <v>112943068.76000001</v>
      </c>
      <c r="F1204" s="55">
        <f>+F432</f>
        <v>8976293.8000000007</v>
      </c>
      <c r="G1204" s="55"/>
      <c r="H1204" s="55">
        <f>+H432</f>
        <v>121919362.56</v>
      </c>
      <c r="I1204" s="55">
        <f>+I432</f>
        <v>0</v>
      </c>
      <c r="J1204" s="55">
        <f>+J432</f>
        <v>0</v>
      </c>
      <c r="K1204" s="55">
        <f>+K432</f>
        <v>0</v>
      </c>
      <c r="L1204" s="55">
        <f>+L432</f>
        <v>0</v>
      </c>
      <c r="M1204" s="55"/>
      <c r="N1204" s="55">
        <f>+N432</f>
        <v>121919362.56</v>
      </c>
      <c r="O1204" s="55">
        <f>+O432</f>
        <v>170537005.66</v>
      </c>
      <c r="P1204" s="55">
        <f>+P432</f>
        <v>-5603896.2599999998</v>
      </c>
      <c r="Q1204" s="55"/>
      <c r="R1204" s="55">
        <f>+R432</f>
        <v>164933109.40000001</v>
      </c>
      <c r="S1204" s="55">
        <f>+S432</f>
        <v>0</v>
      </c>
      <c r="T1204" s="55">
        <f>+T432</f>
        <v>0</v>
      </c>
      <c r="U1204" s="55">
        <f>+U432</f>
        <v>0</v>
      </c>
      <c r="V1204" s="55">
        <f>+V432</f>
        <v>4137609.23</v>
      </c>
      <c r="W1204" s="55"/>
      <c r="X1204" s="55">
        <f>+X432</f>
        <v>169070718.63</v>
      </c>
      <c r="Y1204" s="55">
        <f>+Y432</f>
        <v>286852471.96000004</v>
      </c>
      <c r="Z1204" s="55">
        <f>+Z432</f>
        <v>375005916.72999996</v>
      </c>
      <c r="AA1204" s="55">
        <f>+AA432</f>
        <v>290990081.19000006</v>
      </c>
      <c r="AB1204" s="55">
        <f>+AB432</f>
        <v>370868307.49999994</v>
      </c>
      <c r="AC1204" s="4"/>
    </row>
    <row r="1205" spans="1:29" x14ac:dyDescent="0.25">
      <c r="A1205" s="45"/>
      <c r="B1205" s="23"/>
      <c r="C1205" s="4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  <c r="V1205" s="58"/>
      <c r="W1205" s="58"/>
      <c r="X1205" s="58"/>
      <c r="Y1205" s="58"/>
      <c r="Z1205" s="58"/>
      <c r="AA1205" s="58"/>
      <c r="AB1205" s="58"/>
      <c r="AC1205" s="4"/>
    </row>
    <row r="1206" spans="1:29" x14ac:dyDescent="0.25">
      <c r="A1206" s="45"/>
      <c r="B1206" s="23" t="s">
        <v>77</v>
      </c>
      <c r="C1206" s="4"/>
      <c r="D1206" s="58">
        <f>+D549</f>
        <v>645051139.41999996</v>
      </c>
      <c r="E1206" s="58">
        <f>+E549</f>
        <v>194822281.36000001</v>
      </c>
      <c r="F1206" s="58">
        <f>+F549</f>
        <v>0</v>
      </c>
      <c r="G1206" s="58"/>
      <c r="H1206" s="58">
        <f>+H549</f>
        <v>194822281.36000001</v>
      </c>
      <c r="I1206" s="58">
        <f>+I549</f>
        <v>0</v>
      </c>
      <c r="J1206" s="58">
        <f>+J549</f>
        <v>0</v>
      </c>
      <c r="K1206" s="58">
        <f>+K549</f>
        <v>0</v>
      </c>
      <c r="L1206" s="58">
        <f>+L549</f>
        <v>0</v>
      </c>
      <c r="M1206" s="58"/>
      <c r="N1206" s="58">
        <f>+N549</f>
        <v>194822281.36000001</v>
      </c>
      <c r="O1206" s="58">
        <f>+O549</f>
        <v>113253223.81999999</v>
      </c>
      <c r="P1206" s="58">
        <f>+P549</f>
        <v>0</v>
      </c>
      <c r="Q1206" s="58"/>
      <c r="R1206" s="58">
        <f>+R549</f>
        <v>113253223.81999999</v>
      </c>
      <c r="S1206" s="58">
        <f>+S549</f>
        <v>52403326.670000002</v>
      </c>
      <c r="T1206" s="58">
        <f>+T549</f>
        <v>14686540.129999999</v>
      </c>
      <c r="U1206" s="58">
        <f>+U549</f>
        <v>0</v>
      </c>
      <c r="V1206" s="58">
        <f>+V549</f>
        <v>2460107.5</v>
      </c>
      <c r="W1206" s="58"/>
      <c r="X1206" s="58">
        <f>+X549</f>
        <v>115713331.31999999</v>
      </c>
      <c r="Y1206" s="58">
        <f>+Y549</f>
        <v>308075505.18000001</v>
      </c>
      <c r="Z1206" s="58">
        <f>+Z549</f>
        <v>336975634.24000001</v>
      </c>
      <c r="AA1206" s="58">
        <f>+AA549</f>
        <v>310535612.68000001</v>
      </c>
      <c r="AB1206" s="58">
        <f>+AB549</f>
        <v>334515526.74000001</v>
      </c>
      <c r="AC1206" s="4"/>
    </row>
    <row r="1207" spans="1:29" x14ac:dyDescent="0.25">
      <c r="A1207" s="45"/>
      <c r="B1207" s="26"/>
      <c r="C1207" s="4"/>
      <c r="D1207" s="55"/>
      <c r="E1207" s="55"/>
      <c r="F1207" s="55"/>
      <c r="G1207" s="55"/>
      <c r="H1207" s="55"/>
      <c r="I1207" s="55"/>
      <c r="J1207" s="55"/>
      <c r="K1207" s="55"/>
      <c r="L1207" s="55"/>
      <c r="M1207" s="55"/>
      <c r="N1207" s="55"/>
      <c r="O1207" s="55"/>
      <c r="P1207" s="55"/>
      <c r="Q1207" s="55"/>
      <c r="R1207" s="55"/>
      <c r="S1207" s="55"/>
      <c r="T1207" s="55"/>
      <c r="U1207" s="55"/>
      <c r="V1207" s="55"/>
      <c r="W1207" s="55"/>
      <c r="X1207" s="55"/>
      <c r="Y1207" s="55"/>
      <c r="Z1207" s="55"/>
      <c r="AA1207" s="58"/>
      <c r="AB1207" s="58"/>
      <c r="AC1207" s="4"/>
    </row>
    <row r="1208" spans="1:29" x14ac:dyDescent="0.25">
      <c r="A1208" s="45"/>
      <c r="B1208" s="23" t="s">
        <v>196</v>
      </c>
      <c r="C1208" s="4"/>
      <c r="D1208" s="58">
        <f>+D633</f>
        <v>596464547.82999992</v>
      </c>
      <c r="E1208" s="58">
        <f>+E633</f>
        <v>143164198.95999998</v>
      </c>
      <c r="F1208" s="58">
        <f>+F633</f>
        <v>101013823.73999999</v>
      </c>
      <c r="G1208" s="58"/>
      <c r="H1208" s="58">
        <f>+H633</f>
        <v>244178022.69999996</v>
      </c>
      <c r="I1208" s="58">
        <f>+I633</f>
        <v>0</v>
      </c>
      <c r="J1208" s="58">
        <f>+J633</f>
        <v>0</v>
      </c>
      <c r="K1208" s="58">
        <f>+K633</f>
        <v>0</v>
      </c>
      <c r="L1208" s="58">
        <f>+L633</f>
        <v>0</v>
      </c>
      <c r="M1208" s="58"/>
      <c r="N1208" s="58">
        <f>+N633</f>
        <v>244178022.69999996</v>
      </c>
      <c r="O1208" s="58">
        <f>+O633</f>
        <v>49212529.969999999</v>
      </c>
      <c r="P1208" s="58">
        <f>+P633</f>
        <v>-843176.8</v>
      </c>
      <c r="Q1208" s="58"/>
      <c r="R1208" s="58">
        <f>+R633</f>
        <v>48369353.170000002</v>
      </c>
      <c r="S1208" s="58">
        <f>+S633</f>
        <v>0</v>
      </c>
      <c r="T1208" s="58">
        <f>+T633</f>
        <v>0</v>
      </c>
      <c r="U1208" s="58">
        <f>+U633</f>
        <v>0</v>
      </c>
      <c r="V1208" s="58">
        <f>+V633</f>
        <v>0</v>
      </c>
      <c r="W1208" s="58"/>
      <c r="X1208" s="58">
        <f>+X633</f>
        <v>48369353.170000002</v>
      </c>
      <c r="Y1208" s="58">
        <f>+Y633</f>
        <v>292547375.87000006</v>
      </c>
      <c r="Z1208" s="58">
        <f>+Z633</f>
        <v>303917171.96000004</v>
      </c>
      <c r="AA1208" s="58">
        <f>+AA633</f>
        <v>292547375.87000006</v>
      </c>
      <c r="AB1208" s="58">
        <f>+AB633</f>
        <v>303917171.96000004</v>
      </c>
      <c r="AC1208" s="4"/>
    </row>
    <row r="1209" spans="1:29" x14ac:dyDescent="0.25">
      <c r="A1209" s="45"/>
      <c r="B1209" s="23"/>
      <c r="C1209" s="4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  <c r="V1209" s="58"/>
      <c r="W1209" s="58"/>
      <c r="X1209" s="58"/>
      <c r="Y1209" s="58"/>
      <c r="Z1209" s="58"/>
      <c r="AA1209" s="58"/>
      <c r="AB1209" s="58"/>
      <c r="AC1209" s="4"/>
    </row>
    <row r="1210" spans="1:29" x14ac:dyDescent="0.25">
      <c r="A1210" s="45"/>
      <c r="B1210" s="26" t="s">
        <v>94</v>
      </c>
      <c r="C1210" s="4"/>
      <c r="D1210" s="55">
        <f>+D717</f>
        <v>179509507.59999999</v>
      </c>
      <c r="E1210" s="55">
        <f>+E717</f>
        <v>32016243.5</v>
      </c>
      <c r="F1210" s="55">
        <f>+F717</f>
        <v>0</v>
      </c>
      <c r="G1210" s="55"/>
      <c r="H1210" s="55">
        <f>+H717</f>
        <v>32016243.5</v>
      </c>
      <c r="I1210" s="55">
        <f>+I717</f>
        <v>0</v>
      </c>
      <c r="J1210" s="55">
        <f>+J717</f>
        <v>0</v>
      </c>
      <c r="K1210" s="55">
        <f>+K717</f>
        <v>0</v>
      </c>
      <c r="L1210" s="55">
        <f>+L717</f>
        <v>0</v>
      </c>
      <c r="M1210" s="55"/>
      <c r="N1210" s="55">
        <f>+N717</f>
        <v>32016243.5</v>
      </c>
      <c r="O1210" s="55">
        <f>+O717</f>
        <v>10873139.58</v>
      </c>
      <c r="P1210" s="55">
        <f>+P717</f>
        <v>376617.2</v>
      </c>
      <c r="Q1210" s="55"/>
      <c r="R1210" s="55">
        <f>+R717</f>
        <v>11249756.779999999</v>
      </c>
      <c r="S1210" s="55">
        <f>+S717</f>
        <v>0</v>
      </c>
      <c r="T1210" s="55">
        <f>+T717</f>
        <v>0</v>
      </c>
      <c r="U1210" s="55">
        <f>+U717</f>
        <v>0</v>
      </c>
      <c r="V1210" s="55">
        <f>+V717</f>
        <v>0</v>
      </c>
      <c r="W1210" s="55"/>
      <c r="X1210" s="55">
        <f>+X717</f>
        <v>11249756.779999999</v>
      </c>
      <c r="Y1210" s="55">
        <f>+Y717</f>
        <v>43266000.280000001</v>
      </c>
      <c r="Z1210" s="55">
        <f>+Z717</f>
        <v>136243507.31999999</v>
      </c>
      <c r="AA1210" s="55">
        <f>+AA717</f>
        <v>43266000.280000001</v>
      </c>
      <c r="AB1210" s="55">
        <f>+AB717</f>
        <v>136243507.31999999</v>
      </c>
      <c r="AC1210" s="4"/>
    </row>
    <row r="1211" spans="1:29" x14ac:dyDescent="0.25">
      <c r="A1211" s="45"/>
      <c r="B1211" s="23"/>
      <c r="C1211" s="4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8"/>
      <c r="AB1211" s="58"/>
      <c r="AC1211" s="4"/>
    </row>
    <row r="1212" spans="1:29" x14ac:dyDescent="0.25">
      <c r="A1212" s="45"/>
      <c r="B1212" s="23" t="s">
        <v>210</v>
      </c>
      <c r="C1212" s="4"/>
      <c r="D1212" s="58">
        <f>+D805</f>
        <v>300113858.15999997</v>
      </c>
      <c r="E1212" s="58">
        <f>+E805</f>
        <v>27263144</v>
      </c>
      <c r="F1212" s="58">
        <f>+F805</f>
        <v>0</v>
      </c>
      <c r="G1212" s="58"/>
      <c r="H1212" s="58">
        <f>+H805</f>
        <v>27263144</v>
      </c>
      <c r="I1212" s="58">
        <f>+I805</f>
        <v>0</v>
      </c>
      <c r="J1212" s="58">
        <f>+J805</f>
        <v>0</v>
      </c>
      <c r="K1212" s="58">
        <f>+K805</f>
        <v>0</v>
      </c>
      <c r="L1212" s="58">
        <f>+L805</f>
        <v>0</v>
      </c>
      <c r="M1212" s="58"/>
      <c r="N1212" s="58">
        <f>+N805</f>
        <v>27263144</v>
      </c>
      <c r="O1212" s="58">
        <f>+O805</f>
        <v>118292617.34</v>
      </c>
      <c r="P1212" s="58">
        <f>+P805</f>
        <v>0</v>
      </c>
      <c r="Q1212" s="58"/>
      <c r="R1212" s="58">
        <f>+R805</f>
        <v>118292617.34</v>
      </c>
      <c r="S1212" s="58">
        <f>+S805</f>
        <v>0</v>
      </c>
      <c r="T1212" s="58">
        <f>+T805</f>
        <v>0</v>
      </c>
      <c r="U1212" s="58">
        <f>+U805</f>
        <v>0</v>
      </c>
      <c r="V1212" s="58">
        <f>+V805</f>
        <v>0</v>
      </c>
      <c r="W1212" s="58"/>
      <c r="X1212" s="58">
        <f>+X805</f>
        <v>118292617.34</v>
      </c>
      <c r="Y1212" s="58">
        <f>+Y805</f>
        <v>145555761.34</v>
      </c>
      <c r="Z1212" s="58">
        <f>+Z805</f>
        <v>154558096.81999999</v>
      </c>
      <c r="AA1212" s="58">
        <f>+AA805</f>
        <v>145555761.34</v>
      </c>
      <c r="AB1212" s="58">
        <f>+AB805</f>
        <v>154558096.81999999</v>
      </c>
      <c r="AC1212" s="4"/>
    </row>
    <row r="1213" spans="1:29" x14ac:dyDescent="0.25">
      <c r="A1213" s="45"/>
      <c r="B1213" s="26"/>
      <c r="C1213" s="4"/>
      <c r="D1213" s="55"/>
      <c r="E1213" s="55"/>
      <c r="F1213" s="55"/>
      <c r="G1213" s="55"/>
      <c r="H1213" s="55"/>
      <c r="I1213" s="55"/>
      <c r="J1213" s="55"/>
      <c r="K1213" s="55"/>
      <c r="L1213" s="55"/>
      <c r="M1213" s="55"/>
      <c r="N1213" s="55"/>
      <c r="O1213" s="55"/>
      <c r="P1213" s="55"/>
      <c r="Q1213" s="55"/>
      <c r="R1213" s="55"/>
      <c r="S1213" s="55"/>
      <c r="T1213" s="55"/>
      <c r="U1213" s="55"/>
      <c r="V1213" s="55"/>
      <c r="W1213" s="55"/>
      <c r="X1213" s="55"/>
      <c r="Y1213" s="55"/>
      <c r="Z1213" s="55"/>
      <c r="AA1213" s="55"/>
      <c r="AB1213" s="55"/>
      <c r="AC1213" s="4"/>
    </row>
    <row r="1214" spans="1:29" x14ac:dyDescent="0.25">
      <c r="A1214" s="45"/>
      <c r="B1214" s="23" t="s">
        <v>105</v>
      </c>
      <c r="C1214" s="4"/>
      <c r="D1214" s="58">
        <f>+D856</f>
        <v>304902043.51999998</v>
      </c>
      <c r="E1214" s="58">
        <f>+E856</f>
        <v>16490894.9</v>
      </c>
      <c r="F1214" s="58">
        <f>+F856</f>
        <v>0</v>
      </c>
      <c r="G1214" s="58"/>
      <c r="H1214" s="58">
        <f>+H856</f>
        <v>16490894.9</v>
      </c>
      <c r="I1214" s="58">
        <f>+I856</f>
        <v>0</v>
      </c>
      <c r="J1214" s="58">
        <f>+J856</f>
        <v>0</v>
      </c>
      <c r="K1214" s="58">
        <f>+K856</f>
        <v>0</v>
      </c>
      <c r="L1214" s="58">
        <f>+L856</f>
        <v>0</v>
      </c>
      <c r="M1214" s="58"/>
      <c r="N1214" s="58">
        <f>+N856</f>
        <v>16490894.9</v>
      </c>
      <c r="O1214" s="58">
        <f>+O856</f>
        <v>8458044.1699999999</v>
      </c>
      <c r="P1214" s="58">
        <f>+P856</f>
        <v>2435103.2599999998</v>
      </c>
      <c r="Q1214" s="58"/>
      <c r="R1214" s="58">
        <f>+R856</f>
        <v>10893147.43</v>
      </c>
      <c r="S1214" s="58">
        <f>+S856</f>
        <v>356118</v>
      </c>
      <c r="T1214" s="58">
        <f>+T856</f>
        <v>0</v>
      </c>
      <c r="U1214" s="58">
        <f>+U856</f>
        <v>0</v>
      </c>
      <c r="V1214" s="58">
        <f>+V856</f>
        <v>0</v>
      </c>
      <c r="W1214" s="58"/>
      <c r="X1214" s="58">
        <f>+X856</f>
        <v>10893147.43</v>
      </c>
      <c r="Y1214" s="58">
        <f>+Y856</f>
        <v>27384042.329999998</v>
      </c>
      <c r="Z1214" s="58">
        <f>+Z856</f>
        <v>277518001.19000006</v>
      </c>
      <c r="AA1214" s="58">
        <f>+AA856</f>
        <v>27384042.329999998</v>
      </c>
      <c r="AB1214" s="58">
        <f>+AB856</f>
        <v>277518001.19000006</v>
      </c>
      <c r="AC1214" s="4"/>
    </row>
    <row r="1215" spans="1:29" x14ac:dyDescent="0.25">
      <c r="A1215" s="45"/>
      <c r="B1215" s="23"/>
      <c r="C1215" s="4"/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  <c r="V1215" s="58"/>
      <c r="W1215" s="58"/>
      <c r="X1215" s="58"/>
      <c r="Y1215" s="58"/>
      <c r="Z1215" s="58"/>
      <c r="AA1215" s="58"/>
      <c r="AB1215" s="58"/>
      <c r="AC1215" s="4"/>
    </row>
    <row r="1216" spans="1:29" x14ac:dyDescent="0.25">
      <c r="A1216" s="45"/>
      <c r="B1216" s="26" t="s">
        <v>223</v>
      </c>
      <c r="C1216" s="4"/>
      <c r="D1216" s="55">
        <f>+D925</f>
        <v>341204342.71999991</v>
      </c>
      <c r="E1216" s="55">
        <f>+E925</f>
        <v>16053773.539999999</v>
      </c>
      <c r="F1216" s="55">
        <f>+F925</f>
        <v>0</v>
      </c>
      <c r="G1216" s="55"/>
      <c r="H1216" s="55">
        <f>+H925</f>
        <v>16053773.539999999</v>
      </c>
      <c r="I1216" s="55">
        <f>+I925</f>
        <v>0</v>
      </c>
      <c r="J1216" s="55">
        <f>+J925</f>
        <v>0</v>
      </c>
      <c r="K1216" s="55">
        <f>+K925</f>
        <v>0</v>
      </c>
      <c r="L1216" s="55">
        <f>+L925</f>
        <v>0</v>
      </c>
      <c r="M1216" s="55"/>
      <c r="N1216" s="55">
        <f>+N925</f>
        <v>16053773.539999999</v>
      </c>
      <c r="O1216" s="55">
        <f>+O925</f>
        <v>52096497.99000001</v>
      </c>
      <c r="P1216" s="55">
        <f>+P925</f>
        <v>906191.84000000008</v>
      </c>
      <c r="Q1216" s="55"/>
      <c r="R1216" s="55">
        <f>+R925</f>
        <v>53002689.829999998</v>
      </c>
      <c r="S1216" s="55">
        <f>+S925</f>
        <v>0</v>
      </c>
      <c r="T1216" s="55">
        <f>+T925</f>
        <v>0</v>
      </c>
      <c r="U1216" s="55">
        <f>+U925</f>
        <v>0</v>
      </c>
      <c r="V1216" s="55">
        <f>+V925</f>
        <v>1018444.61</v>
      </c>
      <c r="W1216" s="55"/>
      <c r="X1216" s="55">
        <f>+X925</f>
        <v>54021134.439999998</v>
      </c>
      <c r="Y1216" s="55">
        <f>+Y925</f>
        <v>69056463.370000005</v>
      </c>
      <c r="Z1216" s="55">
        <f>+Z925</f>
        <v>272147879.35000002</v>
      </c>
      <c r="AA1216" s="55">
        <f>+AA925</f>
        <v>70074907.980000004</v>
      </c>
      <c r="AB1216" s="55">
        <f>+AB925</f>
        <v>271129434.74000001</v>
      </c>
      <c r="AC1216" s="4"/>
    </row>
    <row r="1217" spans="1:29" x14ac:dyDescent="0.25">
      <c r="A1217" s="45"/>
      <c r="B1217" s="23"/>
      <c r="C1217" s="4"/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8"/>
      <c r="AB1217" s="58"/>
      <c r="AC1217" s="4"/>
    </row>
    <row r="1218" spans="1:29" x14ac:dyDescent="0.25">
      <c r="A1218" s="45"/>
      <c r="B1218" s="23" t="s">
        <v>232</v>
      </c>
      <c r="C1218" s="4"/>
      <c r="D1218" s="58">
        <f>+D976</f>
        <v>335117955.5</v>
      </c>
      <c r="E1218" s="58">
        <f>+E976</f>
        <v>28217575.41</v>
      </c>
      <c r="F1218" s="58">
        <f>+F976</f>
        <v>0</v>
      </c>
      <c r="G1218" s="58"/>
      <c r="H1218" s="58">
        <f>+H976</f>
        <v>28217575.41</v>
      </c>
      <c r="I1218" s="58">
        <f>+I976</f>
        <v>0</v>
      </c>
      <c r="J1218" s="58">
        <f>+J976</f>
        <v>0</v>
      </c>
      <c r="K1218" s="58">
        <f>+K976</f>
        <v>0</v>
      </c>
      <c r="L1218" s="58">
        <f>+L976</f>
        <v>0</v>
      </c>
      <c r="M1218" s="58"/>
      <c r="N1218" s="58">
        <f>+N976</f>
        <v>28217575.41</v>
      </c>
      <c r="O1218" s="58">
        <f>+O976</f>
        <v>34357682.770000003</v>
      </c>
      <c r="P1218" s="58">
        <f>+P976</f>
        <v>-73487.98</v>
      </c>
      <c r="Q1218" s="58"/>
      <c r="R1218" s="58">
        <f>+R976</f>
        <v>34284194.790000007</v>
      </c>
      <c r="S1218" s="58">
        <f>+S976</f>
        <v>0</v>
      </c>
      <c r="T1218" s="58">
        <f>+T976</f>
        <v>0</v>
      </c>
      <c r="U1218" s="58">
        <f>+U976</f>
        <v>0</v>
      </c>
      <c r="V1218" s="58">
        <f>+V976</f>
        <v>0</v>
      </c>
      <c r="W1218" s="58"/>
      <c r="X1218" s="58">
        <f>+X976</f>
        <v>34284194.790000007</v>
      </c>
      <c r="Y1218" s="58">
        <f>+Y976</f>
        <v>62501770.200000003</v>
      </c>
      <c r="Z1218" s="58">
        <f>+Z976</f>
        <v>272616185.29999995</v>
      </c>
      <c r="AA1218" s="58">
        <f>+AA976</f>
        <v>62501770.200000003</v>
      </c>
      <c r="AB1218" s="58">
        <f>+AB976</f>
        <v>272616185.29999995</v>
      </c>
      <c r="AC1218" s="4"/>
    </row>
    <row r="1219" spans="1:29" x14ac:dyDescent="0.25">
      <c r="A1219" s="45"/>
      <c r="B1219" s="26"/>
      <c r="C1219" s="4"/>
      <c r="D1219" s="55"/>
      <c r="E1219" s="55"/>
      <c r="F1219" s="55"/>
      <c r="G1219" s="55"/>
      <c r="H1219" s="55"/>
      <c r="I1219" s="55"/>
      <c r="J1219" s="55"/>
      <c r="K1219" s="55"/>
      <c r="L1219" s="55"/>
      <c r="M1219" s="55"/>
      <c r="N1219" s="55"/>
      <c r="O1219" s="55"/>
      <c r="P1219" s="55"/>
      <c r="Q1219" s="55"/>
      <c r="R1219" s="55"/>
      <c r="S1219" s="55"/>
      <c r="T1219" s="55"/>
      <c r="U1219" s="55"/>
      <c r="V1219" s="55"/>
      <c r="W1219" s="55"/>
      <c r="X1219" s="55"/>
      <c r="Y1219" s="55"/>
      <c r="Z1219" s="55"/>
      <c r="AA1219" s="55"/>
      <c r="AB1219" s="55"/>
      <c r="AC1219" s="4"/>
    </row>
    <row r="1220" spans="1:29" x14ac:dyDescent="0.25">
      <c r="A1220" s="45"/>
      <c r="B1220" s="23" t="s">
        <v>250</v>
      </c>
      <c r="C1220" s="4"/>
      <c r="D1220" s="58">
        <f>+D1027</f>
        <v>142553215.25999999</v>
      </c>
      <c r="E1220" s="58">
        <f>+E1027</f>
        <v>31036731.469999999</v>
      </c>
      <c r="F1220" s="58">
        <f>+F1027</f>
        <v>0</v>
      </c>
      <c r="G1220" s="58"/>
      <c r="H1220" s="58">
        <f>+H1027</f>
        <v>31036731.469999999</v>
      </c>
      <c r="I1220" s="58">
        <f>+I1027</f>
        <v>0</v>
      </c>
      <c r="J1220" s="58">
        <f>+J1027</f>
        <v>0</v>
      </c>
      <c r="K1220" s="58">
        <f>+K1027</f>
        <v>0</v>
      </c>
      <c r="L1220" s="58">
        <f>+L1027</f>
        <v>0</v>
      </c>
      <c r="M1220" s="58"/>
      <c r="N1220" s="58">
        <f>+N1027</f>
        <v>31036731.469999999</v>
      </c>
      <c r="O1220" s="58" t="e">
        <f>+O1027</f>
        <v>#VALUE!</v>
      </c>
      <c r="P1220" s="58" t="e">
        <f>+P1027</f>
        <v>#VALUE!</v>
      </c>
      <c r="Q1220" s="58"/>
      <c r="R1220" s="58" t="e">
        <f>+R1027</f>
        <v>#VALUE!</v>
      </c>
      <c r="S1220" s="58">
        <f>+S1027</f>
        <v>108127.75</v>
      </c>
      <c r="T1220" s="58">
        <f>+T1027</f>
        <v>0</v>
      </c>
      <c r="U1220" s="58">
        <f>+U1027</f>
        <v>0</v>
      </c>
      <c r="V1220" s="58" t="e">
        <f>+V1027</f>
        <v>#VALUE!</v>
      </c>
      <c r="W1220" s="58"/>
      <c r="X1220" s="58" t="e">
        <f>+X1027</f>
        <v>#VALUE!</v>
      </c>
      <c r="Y1220" s="58">
        <f>+Y1027</f>
        <v>38626953.340000004</v>
      </c>
      <c r="Z1220" s="58">
        <f>+Z1027</f>
        <v>103926261.92</v>
      </c>
      <c r="AA1220" s="58">
        <f>+AA1027</f>
        <v>33036946.030000001</v>
      </c>
      <c r="AB1220" s="58">
        <f>+AB1027</f>
        <v>103926261.92</v>
      </c>
      <c r="AC1220" s="4"/>
    </row>
    <row r="1221" spans="1:29" x14ac:dyDescent="0.25">
      <c r="A1221" s="45"/>
      <c r="B1221" s="26"/>
      <c r="C1221" s="4"/>
      <c r="D1221" s="61"/>
      <c r="E1221" s="61"/>
      <c r="F1221" s="61"/>
      <c r="G1221" s="61"/>
      <c r="H1221" s="61"/>
      <c r="I1221" s="61"/>
      <c r="J1221" s="61"/>
      <c r="K1221" s="61"/>
      <c r="L1221" s="61"/>
      <c r="M1221" s="61"/>
      <c r="N1221" s="61"/>
      <c r="O1221" s="61"/>
      <c r="P1221" s="61"/>
      <c r="Q1221" s="61"/>
      <c r="R1221" s="61"/>
      <c r="S1221" s="61"/>
      <c r="T1221" s="61"/>
      <c r="U1221" s="61"/>
      <c r="V1221" s="61"/>
      <c r="W1221" s="61"/>
      <c r="X1221" s="61"/>
      <c r="Y1221" s="61"/>
      <c r="Z1221" s="61"/>
      <c r="AA1221" s="61"/>
      <c r="AB1221" s="61"/>
      <c r="AC1221" s="4"/>
    </row>
    <row r="1222" spans="1:29" x14ac:dyDescent="0.25">
      <c r="A1222" s="45"/>
      <c r="B1222" s="26" t="s">
        <v>119</v>
      </c>
      <c r="C1222" s="4"/>
      <c r="D1222" s="55">
        <f>+D1062</f>
        <v>251854514.06999999</v>
      </c>
      <c r="E1222" s="55">
        <f>+E1062</f>
        <v>48699447.689999998</v>
      </c>
      <c r="F1222" s="55">
        <f>+F1062</f>
        <v>0</v>
      </c>
      <c r="G1222" s="55"/>
      <c r="H1222" s="55">
        <f>+H1062</f>
        <v>48699447.689999998</v>
      </c>
      <c r="I1222" s="55">
        <f>+I1062</f>
        <v>0</v>
      </c>
      <c r="J1222" s="55">
        <f>+J1062</f>
        <v>0</v>
      </c>
      <c r="K1222" s="55">
        <f>+K1062</f>
        <v>0</v>
      </c>
      <c r="L1222" s="55">
        <f>+L1062</f>
        <v>0</v>
      </c>
      <c r="M1222" s="55"/>
      <c r="N1222" s="55">
        <f>+N1062</f>
        <v>48699447.689999998</v>
      </c>
      <c r="O1222" s="55">
        <f>+O1062</f>
        <v>22484498.640000001</v>
      </c>
      <c r="P1222" s="55">
        <f>+P1062</f>
        <v>0</v>
      </c>
      <c r="Q1222" s="55"/>
      <c r="R1222" s="55">
        <f>+R1062</f>
        <v>22484498.640000001</v>
      </c>
      <c r="S1222" s="55">
        <f>+S1062</f>
        <v>2594816.6699999995</v>
      </c>
      <c r="T1222" s="55">
        <f>+T1062</f>
        <v>0</v>
      </c>
      <c r="U1222" s="55">
        <f>+U1062</f>
        <v>2125646.8199999998</v>
      </c>
      <c r="V1222" s="55">
        <f>+V1062</f>
        <v>0</v>
      </c>
      <c r="W1222" s="55"/>
      <c r="X1222" s="55">
        <f>+X1062</f>
        <v>22484498.640000001</v>
      </c>
      <c r="Y1222" s="55">
        <f>+Y1062</f>
        <v>71183946.329999998</v>
      </c>
      <c r="Z1222" s="55">
        <f>+Z1062</f>
        <v>180670567.74000001</v>
      </c>
      <c r="AA1222" s="55">
        <f>+AA1062</f>
        <v>71183946.329999998</v>
      </c>
      <c r="AB1222" s="55">
        <f>+AB1062</f>
        <v>180670567.74000001</v>
      </c>
      <c r="AC1222" s="4"/>
    </row>
    <row r="1223" spans="1:29" x14ac:dyDescent="0.25">
      <c r="A1223" s="45"/>
      <c r="B1223" s="23"/>
      <c r="C1223" s="4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8"/>
      <c r="AB1223" s="58"/>
      <c r="AC1223" s="4"/>
    </row>
    <row r="1224" spans="1:29" x14ac:dyDescent="0.25">
      <c r="A1224" s="45"/>
      <c r="B1224" s="26" t="s">
        <v>123</v>
      </c>
      <c r="C1224" s="4"/>
      <c r="D1224" s="86">
        <f>+D1103</f>
        <v>435586343.21999997</v>
      </c>
      <c r="E1224" s="86">
        <f>+E1103</f>
        <v>45416287.910000004</v>
      </c>
      <c r="F1224" s="86">
        <f>+F1103</f>
        <v>0</v>
      </c>
      <c r="G1224" s="86"/>
      <c r="H1224" s="86">
        <f>+H1103</f>
        <v>45416287.910000004</v>
      </c>
      <c r="I1224" s="86">
        <f>+I1103</f>
        <v>0</v>
      </c>
      <c r="J1224" s="86">
        <f>+J1103</f>
        <v>0</v>
      </c>
      <c r="K1224" s="86">
        <f>+K1103</f>
        <v>0</v>
      </c>
      <c r="L1224" s="86">
        <f>+L1103</f>
        <v>0</v>
      </c>
      <c r="M1224" s="86"/>
      <c r="N1224" s="86">
        <f>+N1103</f>
        <v>45416287.910000004</v>
      </c>
      <c r="O1224" s="86">
        <f>+O1103</f>
        <v>21145021.09</v>
      </c>
      <c r="P1224" s="86">
        <f>+P1103</f>
        <v>0</v>
      </c>
      <c r="Q1224" s="86"/>
      <c r="R1224" s="86">
        <f>+R1103</f>
        <v>21145021.09</v>
      </c>
      <c r="S1224" s="86">
        <f>+S1103</f>
        <v>6180303.04</v>
      </c>
      <c r="T1224" s="86">
        <f>+T1103</f>
        <v>4554143.84</v>
      </c>
      <c r="U1224" s="86">
        <f>+U1103</f>
        <v>0</v>
      </c>
      <c r="V1224" s="86">
        <f>+V1103</f>
        <v>0</v>
      </c>
      <c r="W1224" s="86"/>
      <c r="X1224" s="86">
        <f>+X1103</f>
        <v>21145021.09</v>
      </c>
      <c r="Y1224" s="86">
        <f>+Y1103</f>
        <v>66561308.999999993</v>
      </c>
      <c r="Z1224" s="86">
        <f>+Z1103</f>
        <v>369025034.22000003</v>
      </c>
      <c r="AA1224" s="86">
        <f>+AA1103</f>
        <v>66561308.999999993</v>
      </c>
      <c r="AB1224" s="86">
        <f>+AB1103</f>
        <v>369025034.22000003</v>
      </c>
      <c r="AC1224" s="4"/>
    </row>
    <row r="1225" spans="1:29" x14ac:dyDescent="0.25">
      <c r="A1225" s="45"/>
      <c r="B1225" s="26"/>
      <c r="C1225" s="4"/>
      <c r="D1225" s="55"/>
      <c r="E1225" s="55"/>
      <c r="F1225" s="55"/>
      <c r="G1225" s="55"/>
      <c r="H1225" s="55"/>
      <c r="I1225" s="55"/>
      <c r="J1225" s="55"/>
      <c r="K1225" s="55"/>
      <c r="L1225" s="55"/>
      <c r="M1225" s="55"/>
      <c r="N1225" s="55"/>
      <c r="O1225" s="55"/>
      <c r="P1225" s="55"/>
      <c r="Q1225" s="55"/>
      <c r="R1225" s="55"/>
      <c r="S1225" s="55"/>
      <c r="T1225" s="55"/>
      <c r="U1225" s="55"/>
      <c r="V1225" s="55"/>
      <c r="W1225" s="55"/>
      <c r="X1225" s="55"/>
      <c r="Y1225" s="55"/>
      <c r="Z1225" s="55"/>
      <c r="AA1225" s="55"/>
      <c r="AB1225" s="55"/>
      <c r="AC1225" s="4"/>
    </row>
    <row r="1226" spans="1:29" ht="16.5" thickBot="1" x14ac:dyDescent="0.3">
      <c r="A1226" s="45"/>
      <c r="B1226" s="36" t="s">
        <v>3</v>
      </c>
      <c r="C1226" s="4"/>
      <c r="D1226" s="87">
        <f>SUM(D1196:D1224)</f>
        <v>6602025057.7900009</v>
      </c>
      <c r="E1226" s="87">
        <f t="shared" ref="E1226:AB1226" si="396">SUM(E1196:E1224)</f>
        <v>1442510969.5360003</v>
      </c>
      <c r="F1226" s="87">
        <f t="shared" si="396"/>
        <v>117580187.81</v>
      </c>
      <c r="G1226" s="87"/>
      <c r="H1226" s="87">
        <f t="shared" si="396"/>
        <v>1560091157.3460002</v>
      </c>
      <c r="I1226" s="87">
        <f t="shared" si="396"/>
        <v>0</v>
      </c>
      <c r="J1226" s="87">
        <f t="shared" si="396"/>
        <v>0</v>
      </c>
      <c r="K1226" s="87">
        <f t="shared" si="396"/>
        <v>0</v>
      </c>
      <c r="L1226" s="87">
        <f t="shared" si="396"/>
        <v>0</v>
      </c>
      <c r="M1226" s="87"/>
      <c r="N1226" s="87">
        <f t="shared" si="396"/>
        <v>1560091157.3460002</v>
      </c>
      <c r="O1226" s="87" t="e">
        <f t="shared" si="396"/>
        <v>#VALUE!</v>
      </c>
      <c r="P1226" s="87" t="e">
        <f t="shared" si="396"/>
        <v>#VALUE!</v>
      </c>
      <c r="Q1226" s="87"/>
      <c r="R1226" s="87" t="e">
        <f t="shared" si="396"/>
        <v>#VALUE!</v>
      </c>
      <c r="S1226" s="87">
        <f t="shared" si="396"/>
        <v>74953514.590000004</v>
      </c>
      <c r="T1226" s="87">
        <f t="shared" si="396"/>
        <v>24749772.529999997</v>
      </c>
      <c r="U1226" s="87">
        <f t="shared" si="396"/>
        <v>2125646.8199999998</v>
      </c>
      <c r="V1226" s="87" t="e">
        <f t="shared" si="396"/>
        <v>#VALUE!</v>
      </c>
      <c r="W1226" s="87"/>
      <c r="X1226" s="87" t="e">
        <f t="shared" si="396"/>
        <v>#VALUE!</v>
      </c>
      <c r="Y1226" s="87">
        <f t="shared" si="396"/>
        <v>2506971405.1659999</v>
      </c>
      <c r="Z1226" s="87">
        <f t="shared" si="396"/>
        <v>4095053652.6240005</v>
      </c>
      <c r="AA1226" s="87">
        <f t="shared" si="396"/>
        <v>2278783945.2000003</v>
      </c>
      <c r="AB1226" s="87">
        <f t="shared" si="396"/>
        <v>4080273991.3640013</v>
      </c>
      <c r="AC1226" s="4"/>
    </row>
    <row r="1227" spans="1:29" ht="16.5" thickTop="1" x14ac:dyDescent="0.25">
      <c r="A1227" s="45"/>
      <c r="B1227" s="26"/>
      <c r="C1227" s="4"/>
      <c r="D1227" s="55"/>
      <c r="E1227" s="55"/>
      <c r="F1227" s="55"/>
      <c r="G1227" s="55"/>
      <c r="H1227" s="55"/>
      <c r="I1227" s="55"/>
      <c r="J1227" s="55"/>
      <c r="K1227" s="55"/>
      <c r="L1227" s="55"/>
      <c r="M1227" s="55"/>
      <c r="N1227" s="55"/>
      <c r="O1227" s="55"/>
      <c r="P1227" s="55"/>
      <c r="Q1227" s="55"/>
      <c r="R1227" s="55"/>
      <c r="S1227" s="55"/>
      <c r="T1227" s="55"/>
      <c r="U1227" s="55"/>
      <c r="V1227" s="55"/>
      <c r="W1227" s="55"/>
      <c r="X1227" s="55"/>
      <c r="Y1227" s="55"/>
      <c r="Z1227" s="55"/>
      <c r="AA1227" s="55"/>
      <c r="AB1227" s="55"/>
      <c r="AC1227" s="4"/>
    </row>
    <row r="1228" spans="1:29" x14ac:dyDescent="0.25">
      <c r="A1228" s="45"/>
      <c r="X1228" s="83"/>
      <c r="Y1228" s="63"/>
      <c r="Z1228" s="55"/>
      <c r="AA1228" s="55"/>
      <c r="AB1228" s="55"/>
      <c r="AC1228" s="4"/>
    </row>
    <row r="1229" spans="1:29" x14ac:dyDescent="0.25">
      <c r="A1229" s="45"/>
      <c r="B1229" s="30"/>
      <c r="C1229" s="4"/>
      <c r="D1229" s="55"/>
      <c r="E1229" s="55"/>
      <c r="F1229" s="55"/>
      <c r="G1229" s="55"/>
      <c r="H1229" s="55"/>
      <c r="I1229" s="55"/>
      <c r="J1229" s="55"/>
      <c r="K1229" s="55"/>
      <c r="L1229" s="55"/>
      <c r="M1229" s="55"/>
      <c r="N1229" s="55"/>
      <c r="O1229" s="55"/>
      <c r="P1229" s="55"/>
      <c r="Q1229" s="55"/>
      <c r="R1229" s="55"/>
      <c r="S1229" s="55"/>
      <c r="T1229" s="55"/>
      <c r="U1229" s="55"/>
      <c r="V1229" s="55"/>
      <c r="W1229" s="55"/>
      <c r="X1229" s="55"/>
      <c r="Y1229" s="55"/>
      <c r="Z1229" s="55"/>
      <c r="AA1229" s="55"/>
      <c r="AB1229" s="55"/>
      <c r="AC1229" s="4"/>
    </row>
    <row r="1230" spans="1:29" ht="16.5" thickBot="1" x14ac:dyDescent="0.3">
      <c r="A1230" s="45"/>
      <c r="B1230" s="4" t="s">
        <v>322</v>
      </c>
      <c r="D1230" s="87">
        <f>+D1109</f>
        <v>29062497.970000003</v>
      </c>
      <c r="E1230" s="55"/>
      <c r="F1230" s="55"/>
      <c r="G1230" s="55"/>
      <c r="H1230" s="55"/>
      <c r="I1230" s="55"/>
      <c r="J1230" s="55"/>
      <c r="K1230" s="55"/>
      <c r="L1230" s="55"/>
      <c r="M1230" s="55"/>
      <c r="N1230" s="55"/>
      <c r="O1230" s="87">
        <f>+O1167</f>
        <v>24883025.190000001</v>
      </c>
      <c r="P1230" s="87">
        <f>+P1167</f>
        <v>4179472.7800000003</v>
      </c>
      <c r="Q1230" s="55"/>
      <c r="R1230" s="87">
        <f>+O1230+P1230</f>
        <v>29062497.970000003</v>
      </c>
      <c r="S1230" s="55"/>
      <c r="T1230" s="55"/>
      <c r="U1230" s="55"/>
      <c r="V1230" s="87" t="e">
        <f>+V1084+V818+V338</f>
        <v>#VALUE!</v>
      </c>
      <c r="W1230" s="83"/>
      <c r="AC1230" s="4"/>
    </row>
    <row r="1231" spans="1:29" ht="16.5" thickTop="1" x14ac:dyDescent="0.25">
      <c r="A1231" s="45"/>
      <c r="B1231" s="31"/>
      <c r="AC1231" s="4"/>
    </row>
    <row r="1232" spans="1:29" x14ac:dyDescent="0.25">
      <c r="A1232" s="45"/>
      <c r="K1232" s="88" t="s">
        <v>40</v>
      </c>
      <c r="AC1232" s="4"/>
    </row>
    <row r="1233" spans="1:29" x14ac:dyDescent="0.25">
      <c r="A1233" s="45"/>
      <c r="AC1233" s="4"/>
    </row>
    <row r="1234" spans="1:29" x14ac:dyDescent="0.25">
      <c r="A1234" s="45"/>
      <c r="AC1234" s="4"/>
    </row>
    <row r="1235" spans="1:29" x14ac:dyDescent="0.25">
      <c r="A1235" s="45"/>
      <c r="AC1235" s="4"/>
    </row>
    <row r="1236" spans="1:29" x14ac:dyDescent="0.25">
      <c r="A1236" s="45"/>
      <c r="AC1236" s="4"/>
    </row>
    <row r="1237" spans="1:29" x14ac:dyDescent="0.25">
      <c r="A1237" s="45"/>
      <c r="AC1237" s="4"/>
    </row>
    <row r="1238" spans="1:29" x14ac:dyDescent="0.25">
      <c r="A1238" s="45"/>
    </row>
    <row r="1239" spans="1:29" x14ac:dyDescent="0.25">
      <c r="A1239" s="45"/>
    </row>
    <row r="1240" spans="1:29" x14ac:dyDescent="0.25">
      <c r="A1240" s="45"/>
    </row>
    <row r="1241" spans="1:29" x14ac:dyDescent="0.25">
      <c r="A1241" s="45"/>
    </row>
    <row r="1242" spans="1:29" x14ac:dyDescent="0.25">
      <c r="A1242" s="45"/>
    </row>
    <row r="1243" spans="1:29" x14ac:dyDescent="0.25">
      <c r="A1243" s="45"/>
    </row>
    <row r="1244" spans="1:29" x14ac:dyDescent="0.25">
      <c r="A1244" s="45"/>
    </row>
    <row r="1245" spans="1:29" x14ac:dyDescent="0.25">
      <c r="A1245" s="45"/>
    </row>
    <row r="1246" spans="1:29" x14ac:dyDescent="0.25">
      <c r="A1246" s="45"/>
    </row>
    <row r="1247" spans="1:29" x14ac:dyDescent="0.25">
      <c r="A1247" s="45"/>
    </row>
    <row r="1248" spans="1:29" x14ac:dyDescent="0.25">
      <c r="A1248" s="45"/>
    </row>
    <row r="1249" spans="1:1" x14ac:dyDescent="0.25">
      <c r="A1249" s="45"/>
    </row>
    <row r="1250" spans="1:1" x14ac:dyDescent="0.25">
      <c r="A1250" s="45"/>
    </row>
    <row r="1251" spans="1:1" x14ac:dyDescent="0.25">
      <c r="A1251" s="45"/>
    </row>
    <row r="1252" spans="1:1" x14ac:dyDescent="0.25">
      <c r="A1252" s="45"/>
    </row>
    <row r="1253" spans="1:1" x14ac:dyDescent="0.25">
      <c r="A1253" s="45"/>
    </row>
    <row r="1254" spans="1:1" x14ac:dyDescent="0.25">
      <c r="A1254" s="45"/>
    </row>
    <row r="1255" spans="1:1" x14ac:dyDescent="0.25">
      <c r="A1255" s="43"/>
    </row>
    <row r="1256" spans="1:1" x14ac:dyDescent="0.25">
      <c r="A1256" s="43"/>
    </row>
    <row r="1257" spans="1:1" x14ac:dyDescent="0.25">
      <c r="A1257" s="43"/>
    </row>
    <row r="1258" spans="1:1" x14ac:dyDescent="0.25">
      <c r="A1258" s="43"/>
    </row>
    <row r="1259" spans="1:1" x14ac:dyDescent="0.25">
      <c r="A1259" s="43"/>
    </row>
    <row r="1260" spans="1:1" x14ac:dyDescent="0.25">
      <c r="A1260" s="43"/>
    </row>
    <row r="1261" spans="1:1" x14ac:dyDescent="0.25">
      <c r="A1261" s="43"/>
    </row>
    <row r="1262" spans="1:1" x14ac:dyDescent="0.25">
      <c r="A1262" s="43"/>
    </row>
    <row r="1263" spans="1:1" x14ac:dyDescent="0.25">
      <c r="A1263" s="43"/>
    </row>
    <row r="1264" spans="1:1" x14ac:dyDescent="0.25">
      <c r="A1264" s="43"/>
    </row>
    <row r="1265" spans="1:1" x14ac:dyDescent="0.25">
      <c r="A1265" s="43"/>
    </row>
    <row r="1266" spans="1:1" x14ac:dyDescent="0.25">
      <c r="A1266" s="43"/>
    </row>
    <row r="65536" spans="33:33" x14ac:dyDescent="0.25">
      <c r="AG65536" t="s">
        <v>279</v>
      </c>
    </row>
  </sheetData>
  <phoneticPr fontId="15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Q1293"/>
    </sheetView>
  </sheetViews>
  <sheetFormatPr defaultRowHeight="15.75" x14ac:dyDescent="0.25"/>
  <sheetData/>
  <phoneticPr fontId="1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642"/>
  <sheetViews>
    <sheetView view="pageBreakPreview" zoomScale="75" zoomScaleNormal="75" workbookViewId="0">
      <selection activeCell="D20" sqref="D20"/>
    </sheetView>
  </sheetViews>
  <sheetFormatPr defaultRowHeight="15" x14ac:dyDescent="0.2"/>
  <cols>
    <col min="1" max="1" width="5.6640625" style="165" customWidth="1"/>
    <col min="2" max="2" width="18.21875" style="165" customWidth="1"/>
    <col min="3" max="3" width="35.21875" style="165" customWidth="1"/>
    <col min="4" max="4" width="14" style="165" customWidth="1"/>
    <col min="5" max="5" width="15.5546875" style="165" hidden="1" customWidth="1"/>
    <col min="6" max="6" width="16.33203125" style="165" hidden="1" customWidth="1"/>
    <col min="7" max="7" width="8.88671875" style="165" hidden="1" customWidth="1"/>
    <col min="8" max="8" width="14" style="165" customWidth="1"/>
    <col min="9" max="11" width="0" style="165" hidden="1" customWidth="1"/>
    <col min="12" max="12" width="13.6640625" style="165" hidden="1" customWidth="1"/>
    <col min="13" max="13" width="0" style="165" hidden="1" customWidth="1"/>
    <col min="14" max="14" width="16.88671875" style="165" hidden="1" customWidth="1"/>
    <col min="15" max="15" width="16.33203125" style="165" hidden="1" customWidth="1"/>
    <col min="16" max="16" width="12.77734375" style="165" hidden="1" customWidth="1"/>
    <col min="17" max="17" width="0" style="165" hidden="1" customWidth="1"/>
    <col min="18" max="18" width="12.109375" style="165" customWidth="1"/>
    <col min="19" max="21" width="0" style="165" hidden="1" customWidth="1"/>
    <col min="22" max="22" width="12.44140625" style="165" hidden="1" customWidth="1"/>
    <col min="23" max="23" width="0" style="165" hidden="1" customWidth="1"/>
    <col min="24" max="24" width="13.44140625" style="165" hidden="1" customWidth="1"/>
    <col min="25" max="25" width="14.77734375" style="165" customWidth="1"/>
    <col min="26" max="26" width="12.88671875" style="165" customWidth="1"/>
    <col min="27" max="28" width="17" style="165" hidden="1" customWidth="1"/>
    <col min="29" max="29" width="2.88671875" style="165" customWidth="1"/>
    <col min="30" max="30" width="17" style="165" hidden="1" customWidth="1"/>
    <col min="31" max="31" width="4.44140625" style="165" hidden="1" customWidth="1"/>
    <col min="32" max="32" width="15.33203125" style="165" hidden="1" customWidth="1"/>
    <col min="33" max="33" width="13.6640625" style="165" hidden="1" customWidth="1"/>
    <col min="34" max="34" width="11.88671875" style="165" hidden="1" customWidth="1"/>
    <col min="35" max="35" width="13.6640625" style="165" hidden="1" customWidth="1"/>
    <col min="36" max="36" width="9.44140625" style="165" hidden="1" customWidth="1"/>
    <col min="37" max="38" width="11.88671875" style="165" hidden="1" customWidth="1"/>
    <col min="39" max="39" width="9.44140625" style="165" hidden="1" customWidth="1"/>
    <col min="40" max="40" width="11.88671875" style="165" hidden="1" customWidth="1"/>
    <col min="41" max="41" width="9.44140625" style="165" hidden="1" customWidth="1"/>
    <col min="42" max="45" width="11.88671875" style="165" hidden="1" customWidth="1"/>
    <col min="46" max="50" width="0" style="165" hidden="1" customWidth="1"/>
    <col min="51" max="51" width="9.77734375" style="165" bestFit="1" customWidth="1"/>
    <col min="52" max="16384" width="8.88671875" style="165"/>
  </cols>
  <sheetData>
    <row r="1" spans="1:45" ht="18" x14ac:dyDescent="0.25">
      <c r="A1" s="227"/>
      <c r="B1" s="256" t="s">
        <v>141</v>
      </c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</row>
    <row r="2" spans="1:45" ht="18" x14ac:dyDescent="0.25">
      <c r="A2" s="227"/>
      <c r="B2" s="257" t="s">
        <v>0</v>
      </c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</row>
    <row r="3" spans="1:45" ht="18" x14ac:dyDescent="0.25">
      <c r="A3" s="227"/>
      <c r="B3" s="257" t="s">
        <v>488</v>
      </c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</row>
    <row r="4" spans="1:45" x14ac:dyDescent="0.2">
      <c r="D4" s="169" t="s">
        <v>9</v>
      </c>
      <c r="E4" s="169" t="s">
        <v>10</v>
      </c>
      <c r="F4" s="169" t="s">
        <v>11</v>
      </c>
      <c r="G4" s="169"/>
      <c r="H4" s="170"/>
      <c r="I4" s="169" t="s">
        <v>12</v>
      </c>
      <c r="J4" s="169" t="s">
        <v>13</v>
      </c>
      <c r="K4" s="169" t="s">
        <v>14</v>
      </c>
      <c r="L4" s="169" t="s">
        <v>1</v>
      </c>
      <c r="M4" s="169"/>
      <c r="N4" s="169" t="s">
        <v>15</v>
      </c>
      <c r="O4" s="169" t="s">
        <v>16</v>
      </c>
      <c r="P4" s="169" t="s">
        <v>11</v>
      </c>
      <c r="Q4" s="169"/>
      <c r="R4" s="170"/>
      <c r="S4" s="169" t="s">
        <v>2</v>
      </c>
      <c r="T4" s="169" t="s">
        <v>13</v>
      </c>
      <c r="U4" s="169" t="s">
        <v>14</v>
      </c>
      <c r="V4" s="169" t="s">
        <v>17</v>
      </c>
      <c r="W4" s="169"/>
      <c r="X4" s="169" t="s">
        <v>11</v>
      </c>
      <c r="Y4" s="169" t="s">
        <v>7</v>
      </c>
      <c r="Z4" s="169" t="s">
        <v>8</v>
      </c>
      <c r="AA4" s="169" t="s">
        <v>11</v>
      </c>
      <c r="AB4" s="169" t="s">
        <v>18</v>
      </c>
      <c r="AC4" s="169"/>
      <c r="AD4" s="169"/>
      <c r="AF4" s="171" t="s">
        <v>9</v>
      </c>
      <c r="AG4" s="171" t="s">
        <v>10</v>
      </c>
      <c r="AH4" s="171" t="s">
        <v>11</v>
      </c>
      <c r="AI4" s="172"/>
      <c r="AJ4" s="171" t="s">
        <v>1</v>
      </c>
      <c r="AK4" s="171" t="s">
        <v>15</v>
      </c>
      <c r="AL4" s="171" t="s">
        <v>16</v>
      </c>
      <c r="AM4" s="171" t="s">
        <v>11</v>
      </c>
      <c r="AN4" s="172"/>
      <c r="AO4" s="171" t="s">
        <v>17</v>
      </c>
      <c r="AP4" s="171" t="s">
        <v>11</v>
      </c>
      <c r="AQ4" s="171" t="s">
        <v>11</v>
      </c>
      <c r="AR4" s="171" t="s">
        <v>18</v>
      </c>
      <c r="AS4" s="171" t="s">
        <v>18</v>
      </c>
    </row>
    <row r="5" spans="1:45" x14ac:dyDescent="0.2">
      <c r="B5" s="173"/>
      <c r="C5" s="174"/>
      <c r="D5" s="175" t="s">
        <v>359</v>
      </c>
      <c r="E5" s="175" t="s">
        <v>357</v>
      </c>
      <c r="F5" s="175" t="s">
        <v>21</v>
      </c>
      <c r="G5" s="175"/>
      <c r="H5" s="176" t="s">
        <v>391</v>
      </c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 t="s">
        <v>27</v>
      </c>
      <c r="T5" s="175" t="s">
        <v>28</v>
      </c>
      <c r="U5" s="175" t="s">
        <v>23</v>
      </c>
      <c r="V5" s="175" t="s">
        <v>2</v>
      </c>
      <c r="W5" s="175"/>
      <c r="X5" s="175" t="s">
        <v>29</v>
      </c>
      <c r="Y5" s="169" t="s">
        <v>11</v>
      </c>
      <c r="Z5" s="175" t="s">
        <v>18</v>
      </c>
      <c r="AA5" s="175" t="s">
        <v>31</v>
      </c>
      <c r="AB5" s="175" t="s">
        <v>31</v>
      </c>
      <c r="AC5" s="175"/>
      <c r="AD5" s="175"/>
      <c r="AF5" s="173" t="s">
        <v>20</v>
      </c>
      <c r="AG5" s="173">
        <f>+O5</f>
        <v>0</v>
      </c>
      <c r="AH5" s="173" t="s">
        <v>21</v>
      </c>
      <c r="AI5" s="173" t="s">
        <v>22</v>
      </c>
      <c r="AJ5" s="173" t="s">
        <v>2</v>
      </c>
      <c r="AK5" s="173" t="s">
        <v>25</v>
      </c>
      <c r="AL5" s="173" t="str">
        <f>+E5</f>
        <v>AS OF 11/30/05</v>
      </c>
      <c r="AM5" s="173" t="s">
        <v>21</v>
      </c>
      <c r="AN5" s="173" t="s">
        <v>26</v>
      </c>
      <c r="AO5" s="173" t="s">
        <v>2</v>
      </c>
      <c r="AP5" s="173" t="s">
        <v>29</v>
      </c>
      <c r="AQ5" s="173" t="s">
        <v>30</v>
      </c>
      <c r="AR5" s="173" t="s">
        <v>30</v>
      </c>
      <c r="AS5" s="173" t="s">
        <v>31</v>
      </c>
    </row>
    <row r="6" spans="1:45" x14ac:dyDescent="0.2">
      <c r="B6" s="177" t="s">
        <v>363</v>
      </c>
      <c r="C6" s="178" t="s">
        <v>362</v>
      </c>
      <c r="D6" s="179" t="s">
        <v>8</v>
      </c>
      <c r="E6" s="179"/>
      <c r="F6" s="179"/>
      <c r="G6" s="179"/>
      <c r="H6" s="179" t="s">
        <v>1</v>
      </c>
      <c r="I6" s="179"/>
      <c r="J6" s="179"/>
      <c r="K6" s="179"/>
      <c r="L6" s="179"/>
      <c r="M6" s="179"/>
      <c r="N6" s="179"/>
      <c r="O6" s="179"/>
      <c r="P6" s="179"/>
      <c r="Q6" s="179"/>
      <c r="R6" s="179" t="s">
        <v>360</v>
      </c>
      <c r="S6" s="179"/>
      <c r="T6" s="179"/>
      <c r="U6" s="179"/>
      <c r="V6" s="179"/>
      <c r="W6" s="179"/>
      <c r="X6" s="179"/>
      <c r="Y6" s="179" t="s">
        <v>30</v>
      </c>
      <c r="Z6" s="179" t="s">
        <v>30</v>
      </c>
      <c r="AA6" s="179" t="s">
        <v>32</v>
      </c>
      <c r="AB6" s="179" t="s">
        <v>252</v>
      </c>
      <c r="AC6" s="175"/>
      <c r="AD6" s="175"/>
      <c r="AF6" s="177" t="s">
        <v>153</v>
      </c>
      <c r="AG6" s="177" t="s">
        <v>154</v>
      </c>
      <c r="AH6" s="177" t="s">
        <v>164</v>
      </c>
      <c r="AI6" s="177" t="s">
        <v>155</v>
      </c>
      <c r="AJ6" s="177" t="s">
        <v>156</v>
      </c>
      <c r="AK6" s="177" t="s">
        <v>157</v>
      </c>
      <c r="AL6" s="177" t="s">
        <v>158</v>
      </c>
      <c r="AM6" s="177" t="s">
        <v>159</v>
      </c>
      <c r="AN6" s="177" t="s">
        <v>160</v>
      </c>
      <c r="AO6" s="177" t="s">
        <v>161</v>
      </c>
      <c r="AP6" s="177" t="s">
        <v>162</v>
      </c>
      <c r="AQ6" s="177" t="s">
        <v>251</v>
      </c>
      <c r="AR6" s="177" t="s">
        <v>163</v>
      </c>
      <c r="AS6" s="177" t="s">
        <v>252</v>
      </c>
    </row>
    <row r="7" spans="1:45" x14ac:dyDescent="0.2"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</row>
    <row r="8" spans="1:45" x14ac:dyDescent="0.2">
      <c r="B8" s="166" t="s">
        <v>33</v>
      </c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</row>
    <row r="9" spans="1:45" x14ac:dyDescent="0.2">
      <c r="B9" s="166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</row>
    <row r="10" spans="1:45" x14ac:dyDescent="0.2">
      <c r="A10" s="180">
        <v>1</v>
      </c>
      <c r="B10" s="166" t="s">
        <v>34</v>
      </c>
      <c r="C10" s="166" t="s">
        <v>35</v>
      </c>
      <c r="D10" s="181">
        <f>101338305/1000</f>
        <v>101338.30499999999</v>
      </c>
      <c r="E10" s="181">
        <f>TOBEPAID!E12/1000</f>
        <v>10000</v>
      </c>
      <c r="F10" s="181">
        <f>TOBEPAID!F12/1000</f>
        <v>0</v>
      </c>
      <c r="G10" s="181">
        <f>TOBEPAID!G12/1000</f>
        <v>0</v>
      </c>
      <c r="H10" s="181">
        <f>101338502/1000</f>
        <v>101338.50199999999</v>
      </c>
      <c r="I10" s="181">
        <f>TOBEPAID!I12/1000</f>
        <v>0</v>
      </c>
      <c r="J10" s="181">
        <f>TOBEPAID!J12/1000</f>
        <v>0</v>
      </c>
      <c r="K10" s="181">
        <f>TOBEPAID!K12/1000</f>
        <v>0</v>
      </c>
      <c r="L10" s="181">
        <f>TOBEPAID!L12/1000</f>
        <v>0</v>
      </c>
      <c r="M10" s="181">
        <f>TOBEPAID!M12/1000</f>
        <v>0</v>
      </c>
      <c r="N10" s="181">
        <f>TOBEPAID!N12/1000</f>
        <v>10000</v>
      </c>
      <c r="O10" s="181">
        <f>TOBEPAID!O12/1000</f>
        <v>0</v>
      </c>
      <c r="P10" s="181">
        <f>TOBEPAID!P12/1000</f>
        <v>0</v>
      </c>
      <c r="Q10" s="181">
        <f>TOBEPAID!Q12/1000</f>
        <v>0</v>
      </c>
      <c r="R10" s="181">
        <v>0</v>
      </c>
      <c r="S10" s="181">
        <f>TOBEPAID!S12/1000</f>
        <v>0</v>
      </c>
      <c r="T10" s="181">
        <f>TOBEPAID!T12/1000</f>
        <v>0</v>
      </c>
      <c r="U10" s="181">
        <f>TOBEPAID!U12/1000</f>
        <v>0</v>
      </c>
      <c r="V10" s="181">
        <f>TOBEPAID!V12/1000</f>
        <v>0</v>
      </c>
      <c r="W10" s="181">
        <f>TOBEPAID!W12/1000</f>
        <v>0</v>
      </c>
      <c r="X10" s="181">
        <f>TOBEPAID!X12/1000</f>
        <v>0</v>
      </c>
      <c r="Y10" s="181">
        <f>+H10+R10</f>
        <v>101338.50199999999</v>
      </c>
      <c r="Z10" s="181">
        <f>+Y10-D10</f>
        <v>0.19700000000011642</v>
      </c>
      <c r="AA10" s="181">
        <f>TOBEPAID!AA12/1000</f>
        <v>10000</v>
      </c>
      <c r="AB10" s="181">
        <f>TOBEPAID!AB12/1000</f>
        <v>32427.115939999996</v>
      </c>
      <c r="AC10" s="181"/>
      <c r="AD10" s="181"/>
    </row>
    <row r="11" spans="1:45" x14ac:dyDescent="0.2">
      <c r="A11" s="180"/>
      <c r="C11" s="168" t="s">
        <v>36</v>
      </c>
      <c r="D11" s="181">
        <f>1485240/1000</f>
        <v>1485.24</v>
      </c>
      <c r="E11" s="181">
        <f>TOBEPAID!E13/1000</f>
        <v>1485.24065</v>
      </c>
      <c r="F11" s="181">
        <f>TOBEPAID!F13/1000</f>
        <v>0</v>
      </c>
      <c r="G11" s="181">
        <f>TOBEPAID!G13/1000</f>
        <v>0</v>
      </c>
      <c r="H11" s="181">
        <f>1485240.65/1000</f>
        <v>1485.24065</v>
      </c>
      <c r="I11" s="181">
        <f>TOBEPAID!I13/1000</f>
        <v>0</v>
      </c>
      <c r="J11" s="181">
        <f>TOBEPAID!J13/1000</f>
        <v>0</v>
      </c>
      <c r="K11" s="181">
        <f>TOBEPAID!K13/1000</f>
        <v>0</v>
      </c>
      <c r="L11" s="181">
        <f>TOBEPAID!L13/1000</f>
        <v>0</v>
      </c>
      <c r="M11" s="181">
        <f>TOBEPAID!M13/1000</f>
        <v>0</v>
      </c>
      <c r="N11" s="181">
        <f>TOBEPAID!N13/1000</f>
        <v>1485.24065</v>
      </c>
      <c r="O11" s="181">
        <f>TOBEPAID!O13/1000</f>
        <v>0</v>
      </c>
      <c r="P11" s="181">
        <f>TOBEPAID!P13/1000</f>
        <v>0</v>
      </c>
      <c r="Q11" s="181">
        <f>TOBEPAID!Q13/1000</f>
        <v>0</v>
      </c>
      <c r="R11" s="181">
        <v>0</v>
      </c>
      <c r="S11" s="181">
        <f>TOBEPAID!S13/1000</f>
        <v>0</v>
      </c>
      <c r="T11" s="181">
        <f>TOBEPAID!T13/1000</f>
        <v>0</v>
      </c>
      <c r="U11" s="181">
        <f>TOBEPAID!U13/1000</f>
        <v>0</v>
      </c>
      <c r="V11" s="181">
        <f>TOBEPAID!V13/1000</f>
        <v>0</v>
      </c>
      <c r="W11" s="181">
        <f>TOBEPAID!W13/1000</f>
        <v>0</v>
      </c>
      <c r="X11" s="181">
        <f>TOBEPAID!X13/1000</f>
        <v>0</v>
      </c>
      <c r="Y11" s="181">
        <f>+H11+R11</f>
        <v>1485.24065</v>
      </c>
      <c r="Z11" s="181">
        <f>+Y11-D11</f>
        <v>6.4999999995052349E-4</v>
      </c>
      <c r="AA11" s="181">
        <f>TOBEPAID!AA13/1000</f>
        <v>1485.24065</v>
      </c>
      <c r="AB11" s="181">
        <f>TOBEPAID!AB13/1000</f>
        <v>0</v>
      </c>
      <c r="AC11" s="181"/>
      <c r="AD11" s="181"/>
    </row>
    <row r="12" spans="1:45" x14ac:dyDescent="0.2">
      <c r="C12" s="165" t="s">
        <v>365</v>
      </c>
      <c r="D12" s="181">
        <f>9158767.1/1000</f>
        <v>9158.7670999999991</v>
      </c>
      <c r="E12" s="181">
        <f>TOBEPAID!E14/1000</f>
        <v>9158.7670999999991</v>
      </c>
      <c r="F12" s="181">
        <f>TOBEPAID!F14/1000</f>
        <v>0</v>
      </c>
      <c r="G12" s="181">
        <f>TOBEPAID!G14/1000</f>
        <v>0</v>
      </c>
      <c r="H12" s="181">
        <f>9158767/1000</f>
        <v>9158.7669999999998</v>
      </c>
      <c r="I12" s="181">
        <f>TOBEPAID!I14/1000</f>
        <v>0</v>
      </c>
      <c r="J12" s="181">
        <f>TOBEPAID!J14/1000</f>
        <v>0</v>
      </c>
      <c r="K12" s="181">
        <f>TOBEPAID!K14/1000</f>
        <v>0</v>
      </c>
      <c r="L12" s="181">
        <f>TOBEPAID!L14/1000</f>
        <v>0</v>
      </c>
      <c r="M12" s="181">
        <f>TOBEPAID!M14/1000</f>
        <v>0</v>
      </c>
      <c r="N12" s="181">
        <f>TOBEPAID!N14/1000</f>
        <v>9158.7670999999991</v>
      </c>
      <c r="O12" s="181">
        <f>TOBEPAID!O14/1000</f>
        <v>0</v>
      </c>
      <c r="P12" s="181">
        <f>TOBEPAID!P14/1000</f>
        <v>0</v>
      </c>
      <c r="Q12" s="181">
        <f>TOBEPAID!Q14/1000</f>
        <v>0</v>
      </c>
      <c r="R12" s="181">
        <v>0</v>
      </c>
      <c r="S12" s="181">
        <f>TOBEPAID!S14/1000</f>
        <v>0</v>
      </c>
      <c r="T12" s="181">
        <f>TOBEPAID!T14/1000</f>
        <v>0</v>
      </c>
      <c r="U12" s="181">
        <f>TOBEPAID!U14/1000</f>
        <v>0</v>
      </c>
      <c r="V12" s="181">
        <f>TOBEPAID!V14/1000</f>
        <v>0</v>
      </c>
      <c r="W12" s="181">
        <f>TOBEPAID!W14/1000</f>
        <v>0</v>
      </c>
      <c r="X12" s="181">
        <f>TOBEPAID!X14/1000</f>
        <v>0</v>
      </c>
      <c r="Y12" s="181">
        <f>+H12+R12</f>
        <v>9158.7669999999998</v>
      </c>
      <c r="Z12" s="181">
        <f>+D12-Y12</f>
        <v>9.999999929277692E-5</v>
      </c>
      <c r="AA12" s="181">
        <f>TOBEPAID!AA14/1000</f>
        <v>9158.7670999999991</v>
      </c>
      <c r="AB12" s="181">
        <f>TOBEPAID!AB14/1000</f>
        <v>0</v>
      </c>
      <c r="AC12" s="181"/>
      <c r="AD12" s="181"/>
    </row>
    <row r="13" spans="1:45" x14ac:dyDescent="0.2">
      <c r="A13" s="180"/>
      <c r="C13" s="166" t="s">
        <v>37</v>
      </c>
      <c r="D13" s="181">
        <v>0</v>
      </c>
      <c r="E13" s="181">
        <f>TOBEPAID!E15/1000</f>
        <v>0</v>
      </c>
      <c r="F13" s="181">
        <f>TOBEPAID!F15/1000</f>
        <v>0</v>
      </c>
      <c r="G13" s="181">
        <f>TOBEPAID!G15/1000</f>
        <v>0</v>
      </c>
      <c r="H13" s="181">
        <f>TOBEPAID!H15/1000</f>
        <v>0</v>
      </c>
      <c r="I13" s="181">
        <f>TOBEPAID!I15/1000</f>
        <v>0</v>
      </c>
      <c r="J13" s="181">
        <f>TOBEPAID!J15/1000</f>
        <v>0</v>
      </c>
      <c r="K13" s="181">
        <f>TOBEPAID!K15/1000</f>
        <v>0</v>
      </c>
      <c r="L13" s="181">
        <f>TOBEPAID!L15/1000</f>
        <v>0</v>
      </c>
      <c r="M13" s="181">
        <f>TOBEPAID!M15/1000</f>
        <v>0</v>
      </c>
      <c r="N13" s="181">
        <f>TOBEPAID!N15/1000</f>
        <v>0</v>
      </c>
      <c r="O13" s="181">
        <f>TOBEPAID!O15/1000</f>
        <v>0</v>
      </c>
      <c r="P13" s="181">
        <f>TOBEPAID!P15/1000</f>
        <v>0</v>
      </c>
      <c r="Q13" s="181">
        <f>TOBEPAID!Q15/1000</f>
        <v>0</v>
      </c>
      <c r="R13" s="181">
        <v>0</v>
      </c>
      <c r="S13" s="181">
        <f>TOBEPAID!S15/1000</f>
        <v>0</v>
      </c>
      <c r="T13" s="181">
        <f>TOBEPAID!T15/1000</f>
        <v>0</v>
      </c>
      <c r="U13" s="181">
        <f>TOBEPAID!U15/1000</f>
        <v>0</v>
      </c>
      <c r="V13" s="181">
        <f>TOBEPAID!V15/1000</f>
        <v>0</v>
      </c>
      <c r="W13" s="181">
        <f>TOBEPAID!W15/1000</f>
        <v>0</v>
      </c>
      <c r="X13" s="181">
        <f>TOBEPAID!X15/1000</f>
        <v>0</v>
      </c>
      <c r="Y13" s="181">
        <f>+H13+R13</f>
        <v>0</v>
      </c>
      <c r="Z13" s="181">
        <f>+D13-Y13</f>
        <v>0</v>
      </c>
      <c r="AA13" s="181">
        <f>TOBEPAID!AA15/1000</f>
        <v>0</v>
      </c>
      <c r="AB13" s="181">
        <f>TOBEPAID!AB15/1000</f>
        <v>49699.845500000003</v>
      </c>
      <c r="AC13" s="181"/>
      <c r="AD13" s="181"/>
    </row>
    <row r="14" spans="1:45" x14ac:dyDescent="0.2">
      <c r="A14" s="180"/>
      <c r="C14" s="166" t="s">
        <v>38</v>
      </c>
      <c r="D14" s="181">
        <v>0</v>
      </c>
      <c r="E14" s="181">
        <f>TOBEPAID!E16/1000</f>
        <v>0</v>
      </c>
      <c r="F14" s="181">
        <f>TOBEPAID!F16/1000</f>
        <v>0</v>
      </c>
      <c r="G14" s="181">
        <f>TOBEPAID!G16/1000</f>
        <v>0</v>
      </c>
      <c r="H14" s="181">
        <f>TOBEPAID!H16/1000</f>
        <v>0</v>
      </c>
      <c r="I14" s="181">
        <f>TOBEPAID!I16/1000</f>
        <v>0</v>
      </c>
      <c r="J14" s="181">
        <f>TOBEPAID!J16/1000</f>
        <v>0</v>
      </c>
      <c r="K14" s="181">
        <f>TOBEPAID!K16/1000</f>
        <v>0</v>
      </c>
      <c r="L14" s="181">
        <f>TOBEPAID!L16/1000</f>
        <v>0</v>
      </c>
      <c r="M14" s="181">
        <f>TOBEPAID!M16/1000</f>
        <v>0</v>
      </c>
      <c r="N14" s="181">
        <f>TOBEPAID!N16/1000</f>
        <v>0</v>
      </c>
      <c r="O14" s="181">
        <f>TOBEPAID!O16/1000</f>
        <v>0</v>
      </c>
      <c r="P14" s="181">
        <f>TOBEPAID!P16/1000</f>
        <v>0</v>
      </c>
      <c r="Q14" s="181">
        <f>TOBEPAID!Q16/1000</f>
        <v>0</v>
      </c>
      <c r="R14" s="181">
        <v>0</v>
      </c>
      <c r="S14" s="181">
        <f>TOBEPAID!S16/1000</f>
        <v>0</v>
      </c>
      <c r="T14" s="181">
        <f>TOBEPAID!T16/1000</f>
        <v>0</v>
      </c>
      <c r="U14" s="181">
        <f>TOBEPAID!U16/1000</f>
        <v>0</v>
      </c>
      <c r="V14" s="181">
        <f>TOBEPAID!V16/1000</f>
        <v>0</v>
      </c>
      <c r="W14" s="181">
        <f>TOBEPAID!W16/1000</f>
        <v>0</v>
      </c>
      <c r="X14" s="181">
        <f>TOBEPAID!X16/1000</f>
        <v>0</v>
      </c>
      <c r="Y14" s="181">
        <f>+H14+R14</f>
        <v>0</v>
      </c>
      <c r="Z14" s="181">
        <f>+D14-Y14</f>
        <v>0</v>
      </c>
      <c r="AA14" s="181">
        <f>TOBEPAID!AA16/1000</f>
        <v>0</v>
      </c>
      <c r="AB14" s="181">
        <f>TOBEPAID!AB16/1000</f>
        <v>3930</v>
      </c>
      <c r="AC14" s="181"/>
      <c r="AD14" s="181"/>
    </row>
    <row r="15" spans="1:45" x14ac:dyDescent="0.2">
      <c r="A15" s="180"/>
      <c r="C15" s="166" t="s">
        <v>39</v>
      </c>
      <c r="D15" s="181">
        <v>0</v>
      </c>
      <c r="E15" s="181">
        <f>TOBEPAID!E17/1000</f>
        <v>0</v>
      </c>
      <c r="F15" s="181">
        <f>TOBEPAID!F17/1000</f>
        <v>0</v>
      </c>
      <c r="G15" s="181">
        <f>TOBEPAID!G17/1000</f>
        <v>0</v>
      </c>
      <c r="H15" s="181">
        <f>TOBEPAID!H17/1000</f>
        <v>0</v>
      </c>
      <c r="I15" s="181">
        <f>TOBEPAID!I17/1000</f>
        <v>0</v>
      </c>
      <c r="J15" s="181">
        <f>TOBEPAID!J17/1000</f>
        <v>0</v>
      </c>
      <c r="K15" s="181">
        <f>TOBEPAID!K17/1000</f>
        <v>0</v>
      </c>
      <c r="L15" s="181">
        <f>TOBEPAID!L17/1000</f>
        <v>0</v>
      </c>
      <c r="M15" s="181">
        <f>TOBEPAID!M17/1000</f>
        <v>0</v>
      </c>
      <c r="N15" s="181">
        <f>TOBEPAID!N17/1000</f>
        <v>0</v>
      </c>
      <c r="O15" s="181">
        <f>TOBEPAID!O17/1000</f>
        <v>0</v>
      </c>
      <c r="P15" s="181">
        <f>TOBEPAID!P17/1000</f>
        <v>0</v>
      </c>
      <c r="Q15" s="181">
        <f>TOBEPAID!Q17/1000</f>
        <v>0</v>
      </c>
      <c r="R15" s="181">
        <v>0</v>
      </c>
      <c r="S15" s="181">
        <f>TOBEPAID!S17/1000</f>
        <v>0</v>
      </c>
      <c r="T15" s="181">
        <f>TOBEPAID!T17/1000</f>
        <v>0</v>
      </c>
      <c r="U15" s="181">
        <f>TOBEPAID!U17/1000</f>
        <v>0</v>
      </c>
      <c r="V15" s="181">
        <f>TOBEPAID!V17/1000</f>
        <v>0</v>
      </c>
      <c r="W15" s="181">
        <f>TOBEPAID!W17/1000</f>
        <v>0</v>
      </c>
      <c r="X15" s="181">
        <f>TOBEPAID!X17/1000</f>
        <v>0</v>
      </c>
      <c r="Y15" s="181">
        <f>TOBEPAID!Y17/1000</f>
        <v>0</v>
      </c>
      <c r="Z15" s="181">
        <f>+D15-Y15</f>
        <v>0</v>
      </c>
      <c r="AA15" s="181">
        <f>TOBEPAID!AA17/1000</f>
        <v>0</v>
      </c>
      <c r="AB15" s="181">
        <f>TOBEPAID!AB17/1000</f>
        <v>5281.3445499999998</v>
      </c>
      <c r="AC15" s="181"/>
      <c r="AD15" s="181"/>
    </row>
    <row r="16" spans="1:45" x14ac:dyDescent="0.2">
      <c r="A16" s="180"/>
      <c r="D16" s="182" t="s">
        <v>40</v>
      </c>
      <c r="E16" s="182" t="s">
        <v>40</v>
      </c>
      <c r="F16" s="182" t="s">
        <v>40</v>
      </c>
      <c r="G16" s="182"/>
      <c r="H16" s="182" t="s">
        <v>40</v>
      </c>
      <c r="I16" s="182" t="s">
        <v>40</v>
      </c>
      <c r="J16" s="182" t="s">
        <v>40</v>
      </c>
      <c r="K16" s="182" t="s">
        <v>40</v>
      </c>
      <c r="L16" s="182" t="s">
        <v>40</v>
      </c>
      <c r="M16" s="182"/>
      <c r="N16" s="182" t="s">
        <v>40</v>
      </c>
      <c r="O16" s="182" t="s">
        <v>40</v>
      </c>
      <c r="P16" s="182" t="s">
        <v>40</v>
      </c>
      <c r="Q16" s="182"/>
      <c r="R16" s="182" t="s">
        <v>40</v>
      </c>
      <c r="S16" s="182" t="s">
        <v>40</v>
      </c>
      <c r="T16" s="182" t="s">
        <v>40</v>
      </c>
      <c r="U16" s="182" t="s">
        <v>40</v>
      </c>
      <c r="V16" s="182" t="s">
        <v>40</v>
      </c>
      <c r="W16" s="182"/>
      <c r="X16" s="182" t="s">
        <v>40</v>
      </c>
      <c r="Y16" s="182" t="s">
        <v>40</v>
      </c>
      <c r="Z16" s="182" t="s">
        <v>40</v>
      </c>
      <c r="AA16" s="182" t="s">
        <v>40</v>
      </c>
      <c r="AB16" s="182" t="s">
        <v>40</v>
      </c>
      <c r="AC16" s="182"/>
      <c r="AD16" s="182"/>
    </row>
    <row r="17" spans="1:30" x14ac:dyDescent="0.2">
      <c r="A17" s="180"/>
      <c r="D17" s="181">
        <f>SUM(D10:D15)</f>
        <v>111982.3121</v>
      </c>
      <c r="E17" s="181">
        <f>SUM(E10:E15)</f>
        <v>20644.007749999997</v>
      </c>
      <c r="F17" s="181">
        <f>SUM(F10:F15)</f>
        <v>0</v>
      </c>
      <c r="G17" s="181"/>
      <c r="H17" s="181">
        <f>SUM(H10:H15)</f>
        <v>111982.50964999999</v>
      </c>
      <c r="I17" s="181">
        <f>SUM(I10:I15)</f>
        <v>0</v>
      </c>
      <c r="J17" s="181">
        <f>SUM(J10:J15)</f>
        <v>0</v>
      </c>
      <c r="K17" s="181">
        <f>SUM(K10:K15)</f>
        <v>0</v>
      </c>
      <c r="L17" s="181">
        <f>SUM(L10:L15)</f>
        <v>0</v>
      </c>
      <c r="M17" s="181"/>
      <c r="N17" s="181">
        <f>SUM(N10:N15)</f>
        <v>20644.007749999997</v>
      </c>
      <c r="O17" s="181">
        <f>SUM(O10:O15)</f>
        <v>0</v>
      </c>
      <c r="P17" s="181">
        <f>SUM(P10:P15)</f>
        <v>0</v>
      </c>
      <c r="Q17" s="181"/>
      <c r="R17" s="181">
        <f>SUM(R10:R15)</f>
        <v>0</v>
      </c>
      <c r="S17" s="181">
        <f>SUM(S10:S15)</f>
        <v>0</v>
      </c>
      <c r="T17" s="181">
        <f>SUM(T10:T15)</f>
        <v>0</v>
      </c>
      <c r="U17" s="181">
        <f>SUM(U10:U15)</f>
        <v>0</v>
      </c>
      <c r="V17" s="181">
        <f>SUM(V10:V15)</f>
        <v>0</v>
      </c>
      <c r="W17" s="181"/>
      <c r="X17" s="181">
        <f>SUM(X10:X15)</f>
        <v>0</v>
      </c>
      <c r="Y17" s="181">
        <f>SUM(Y10:Y15)</f>
        <v>111982.50964999999</v>
      </c>
      <c r="Z17" s="181">
        <f>SUM(Z10:Z15)</f>
        <v>0.19774999999935972</v>
      </c>
      <c r="AA17" s="181">
        <f>SUM(AA10:AA15)</f>
        <v>20644.007749999997</v>
      </c>
      <c r="AB17" s="181">
        <f>SUM(AB10:AB15)</f>
        <v>91338.305989999993</v>
      </c>
      <c r="AC17" s="181"/>
      <c r="AD17" s="181"/>
    </row>
    <row r="18" spans="1:30" x14ac:dyDescent="0.2">
      <c r="A18" s="180"/>
      <c r="B18" s="165" t="str">
        <f>+B10</f>
        <v>ILOCOS NORTE</v>
      </c>
      <c r="D18" s="182" t="s">
        <v>40</v>
      </c>
      <c r="E18" s="182" t="s">
        <v>40</v>
      </c>
      <c r="F18" s="182" t="s">
        <v>40</v>
      </c>
      <c r="G18" s="182"/>
      <c r="H18" s="182" t="s">
        <v>40</v>
      </c>
      <c r="I18" s="182" t="s">
        <v>40</v>
      </c>
      <c r="J18" s="182" t="s">
        <v>40</v>
      </c>
      <c r="K18" s="182" t="s">
        <v>40</v>
      </c>
      <c r="L18" s="182" t="s">
        <v>40</v>
      </c>
      <c r="M18" s="182"/>
      <c r="N18" s="182" t="s">
        <v>40</v>
      </c>
      <c r="O18" s="182" t="s">
        <v>40</v>
      </c>
      <c r="P18" s="182" t="s">
        <v>40</v>
      </c>
      <c r="Q18" s="182"/>
      <c r="R18" s="182" t="s">
        <v>40</v>
      </c>
      <c r="S18" s="182" t="s">
        <v>40</v>
      </c>
      <c r="T18" s="182" t="s">
        <v>40</v>
      </c>
      <c r="U18" s="182" t="s">
        <v>40</v>
      </c>
      <c r="V18" s="182" t="s">
        <v>40</v>
      </c>
      <c r="W18" s="182"/>
      <c r="X18" s="182" t="s">
        <v>40</v>
      </c>
      <c r="Y18" s="182" t="s">
        <v>40</v>
      </c>
      <c r="Z18" s="182" t="s">
        <v>40</v>
      </c>
      <c r="AA18" s="182" t="s">
        <v>40</v>
      </c>
      <c r="AB18" s="182" t="s">
        <v>40</v>
      </c>
      <c r="AC18" s="182"/>
      <c r="AD18" s="182"/>
    </row>
    <row r="19" spans="1:30" ht="15.75" thickBot="1" x14ac:dyDescent="0.25">
      <c r="A19" s="180"/>
      <c r="B19" s="183" t="s">
        <v>292</v>
      </c>
      <c r="D19" s="184">
        <f>TOBEPAID!D21/1000</f>
        <v>467.40695999999997</v>
      </c>
      <c r="E19" s="181">
        <f>TOBEPAID!E21/1000</f>
        <v>0</v>
      </c>
      <c r="F19" s="181">
        <f>TOBEPAID!F21/1000</f>
        <v>0</v>
      </c>
      <c r="G19" s="181">
        <f>TOBEPAID!G21/1000</f>
        <v>0</v>
      </c>
      <c r="H19" s="181"/>
      <c r="I19" s="181">
        <f>TOBEPAID!I21/1000</f>
        <v>0</v>
      </c>
      <c r="J19" s="181">
        <f>TOBEPAID!J21/1000</f>
        <v>0</v>
      </c>
      <c r="K19" s="181">
        <f>TOBEPAID!K21/1000</f>
        <v>0</v>
      </c>
      <c r="L19" s="181">
        <f>TOBEPAID!L21/1000</f>
        <v>0</v>
      </c>
      <c r="M19" s="181">
        <f>TOBEPAID!M21/1000</f>
        <v>0</v>
      </c>
      <c r="N19" s="181">
        <f>TOBEPAID!N21/1000</f>
        <v>0</v>
      </c>
      <c r="O19" s="181">
        <f>TOBEPAID!O21/1000</f>
        <v>467.40695999999997</v>
      </c>
      <c r="P19" s="181">
        <f>TOBEPAID!P21/1000</f>
        <v>0</v>
      </c>
      <c r="Q19" s="181">
        <f>TOBEPAID!Q21/1000</f>
        <v>0</v>
      </c>
      <c r="R19" s="184">
        <f>TOBEPAID!R21/1000</f>
        <v>467.40695999999997</v>
      </c>
      <c r="S19" s="181">
        <f>TOBEPAID!S21/1000</f>
        <v>0</v>
      </c>
      <c r="T19" s="181">
        <f>TOBEPAID!T21/1000</f>
        <v>0</v>
      </c>
      <c r="U19" s="181">
        <f>TOBEPAID!U21/1000</f>
        <v>0</v>
      </c>
      <c r="V19" s="181">
        <f>TOBEPAID!V21/1000</f>
        <v>0</v>
      </c>
      <c r="W19" s="181">
        <f>TOBEPAID!W21/1000</f>
        <v>0</v>
      </c>
      <c r="X19" s="181">
        <f>TOBEPAID!X21/1000</f>
        <v>0</v>
      </c>
      <c r="Y19" s="184">
        <f>+H19+R19</f>
        <v>467.40695999999997</v>
      </c>
      <c r="Z19" s="184">
        <f>TOBEPAID!Z21/1000</f>
        <v>0</v>
      </c>
      <c r="AA19" s="181">
        <f>TOBEPAID!AA21/1000</f>
        <v>0</v>
      </c>
      <c r="AB19" s="181">
        <f>TOBEPAID!AB21/1000</f>
        <v>0</v>
      </c>
      <c r="AC19" s="181"/>
      <c r="AD19" s="181"/>
    </row>
    <row r="20" spans="1:30" ht="26.25" customHeight="1" thickTop="1" x14ac:dyDescent="0.2">
      <c r="A20" s="180">
        <v>2</v>
      </c>
      <c r="B20" s="166" t="s">
        <v>41</v>
      </c>
      <c r="C20" s="166" t="s">
        <v>35</v>
      </c>
      <c r="D20" s="181">
        <f>65491730/1000</f>
        <v>65491.73</v>
      </c>
      <c r="E20" s="181">
        <f>TOBEPAID!E22/1000</f>
        <v>0</v>
      </c>
      <c r="F20" s="181">
        <f>TOBEPAID!F22/1000</f>
        <v>0</v>
      </c>
      <c r="G20" s="181">
        <f>TOBEPAID!G22/1000</f>
        <v>0</v>
      </c>
      <c r="H20" s="181">
        <v>0</v>
      </c>
      <c r="I20" s="181">
        <f>TOBEPAID!I22/1000</f>
        <v>0</v>
      </c>
      <c r="J20" s="181">
        <f>TOBEPAID!J22/1000</f>
        <v>0</v>
      </c>
      <c r="K20" s="181">
        <f>TOBEPAID!K22/1000</f>
        <v>0</v>
      </c>
      <c r="L20" s="181">
        <f>TOBEPAID!L22/1000</f>
        <v>0</v>
      </c>
      <c r="M20" s="181">
        <f>TOBEPAID!M22/1000</f>
        <v>0</v>
      </c>
      <c r="N20" s="181">
        <f>TOBEPAID!N22/1000</f>
        <v>0</v>
      </c>
      <c r="O20" s="181">
        <f>TOBEPAID!O22/1000</f>
        <v>0</v>
      </c>
      <c r="P20" s="181">
        <f>TOBEPAID!P22/1000</f>
        <v>0</v>
      </c>
      <c r="Q20" s="181">
        <f>TOBEPAID!Q22/1000</f>
        <v>0</v>
      </c>
      <c r="R20" s="181">
        <v>0</v>
      </c>
      <c r="S20" s="181">
        <f>TOBEPAID!S22/1000</f>
        <v>0</v>
      </c>
      <c r="T20" s="181">
        <f>TOBEPAID!T22/1000</f>
        <v>0</v>
      </c>
      <c r="U20" s="181">
        <f>TOBEPAID!U22/1000</f>
        <v>0</v>
      </c>
      <c r="V20" s="181">
        <f>TOBEPAID!V22/1000</f>
        <v>0</v>
      </c>
      <c r="W20" s="181">
        <f>TOBEPAID!W22/1000</f>
        <v>0</v>
      </c>
      <c r="X20" s="181">
        <f>TOBEPAID!X22/1000</f>
        <v>0</v>
      </c>
      <c r="Y20" s="181">
        <f>+H20+R20</f>
        <v>0</v>
      </c>
      <c r="Z20" s="181">
        <f>+D20-Y20</f>
        <v>65491.73</v>
      </c>
      <c r="AA20" s="181">
        <f>TOBEPAID!AA22/1000</f>
        <v>0</v>
      </c>
      <c r="AB20" s="181">
        <f>TOBEPAID!AB22/1000</f>
        <v>65491.730499999998</v>
      </c>
      <c r="AC20" s="181"/>
      <c r="AD20" s="181"/>
    </row>
    <row r="21" spans="1:30" x14ac:dyDescent="0.2">
      <c r="A21" s="180"/>
      <c r="C21" s="168" t="s">
        <v>36</v>
      </c>
      <c r="D21" s="181">
        <f>2264731/1000</f>
        <v>2264.7310000000002</v>
      </c>
      <c r="E21" s="181">
        <f>TOBEPAID!E23/1000</f>
        <v>2264.7312599999996</v>
      </c>
      <c r="F21" s="181">
        <f>TOBEPAID!F23/1000</f>
        <v>0</v>
      </c>
      <c r="G21" s="181">
        <f>TOBEPAID!G23/1000</f>
        <v>0</v>
      </c>
      <c r="H21" s="181">
        <f>2264731/1000</f>
        <v>2264.7310000000002</v>
      </c>
      <c r="I21" s="181">
        <f>TOBEPAID!I23/1000</f>
        <v>0</v>
      </c>
      <c r="J21" s="181">
        <f>TOBEPAID!J23/1000</f>
        <v>0</v>
      </c>
      <c r="K21" s="181">
        <f>TOBEPAID!K23/1000</f>
        <v>0</v>
      </c>
      <c r="L21" s="181">
        <f>TOBEPAID!L23/1000</f>
        <v>0</v>
      </c>
      <c r="M21" s="181">
        <f>TOBEPAID!M23/1000</f>
        <v>0</v>
      </c>
      <c r="N21" s="181">
        <f>TOBEPAID!N23/1000</f>
        <v>2264.7312599999996</v>
      </c>
      <c r="O21" s="181">
        <f>TOBEPAID!O23/1000</f>
        <v>0</v>
      </c>
      <c r="P21" s="181">
        <f>TOBEPAID!P23/1000</f>
        <v>0</v>
      </c>
      <c r="Q21" s="181">
        <f>TOBEPAID!Q23/1000</f>
        <v>0</v>
      </c>
      <c r="R21" s="181">
        <v>0</v>
      </c>
      <c r="S21" s="181">
        <f>TOBEPAID!S23/1000</f>
        <v>0</v>
      </c>
      <c r="T21" s="181">
        <f>TOBEPAID!T23/1000</f>
        <v>0</v>
      </c>
      <c r="U21" s="181">
        <f>TOBEPAID!U23/1000</f>
        <v>0</v>
      </c>
      <c r="V21" s="181">
        <f>TOBEPAID!V23/1000</f>
        <v>0</v>
      </c>
      <c r="W21" s="181">
        <f>TOBEPAID!W23/1000</f>
        <v>0</v>
      </c>
      <c r="X21" s="181">
        <f>TOBEPAID!X23/1000</f>
        <v>0</v>
      </c>
      <c r="Y21" s="181">
        <f>+H21+R21</f>
        <v>2264.7310000000002</v>
      </c>
      <c r="Z21" s="181">
        <f>+D21-Y21</f>
        <v>0</v>
      </c>
      <c r="AA21" s="181">
        <f>TOBEPAID!AA23/1000</f>
        <v>2264.7312599999996</v>
      </c>
      <c r="AB21" s="181">
        <f>TOBEPAID!AB23/1000</f>
        <v>0</v>
      </c>
      <c r="AC21" s="181"/>
      <c r="AD21" s="181"/>
    </row>
    <row r="22" spans="1:30" x14ac:dyDescent="0.2">
      <c r="A22" s="180"/>
      <c r="C22" s="166" t="s">
        <v>37</v>
      </c>
      <c r="D22" s="181">
        <f>75920788/1000</f>
        <v>75920.788</v>
      </c>
      <c r="E22" s="181">
        <f>TOBEPAID!E24/1000</f>
        <v>0</v>
      </c>
      <c r="F22" s="181">
        <f>TOBEPAID!F24/1000</f>
        <v>0</v>
      </c>
      <c r="G22" s="181">
        <f>TOBEPAID!G24/1000</f>
        <v>0</v>
      </c>
      <c r="H22" s="181">
        <v>0</v>
      </c>
      <c r="I22" s="181">
        <f>TOBEPAID!I24/1000</f>
        <v>0</v>
      </c>
      <c r="J22" s="181">
        <f>TOBEPAID!J24/1000</f>
        <v>0</v>
      </c>
      <c r="K22" s="181">
        <f>TOBEPAID!K24/1000</f>
        <v>0</v>
      </c>
      <c r="L22" s="181">
        <f>TOBEPAID!L24/1000</f>
        <v>0</v>
      </c>
      <c r="M22" s="181">
        <f>TOBEPAID!M24/1000</f>
        <v>0</v>
      </c>
      <c r="N22" s="181">
        <f>TOBEPAID!N24/1000</f>
        <v>0</v>
      </c>
      <c r="O22" s="181">
        <f>TOBEPAID!O24/1000</f>
        <v>0</v>
      </c>
      <c r="P22" s="181">
        <f>TOBEPAID!P24/1000</f>
        <v>0</v>
      </c>
      <c r="Q22" s="181">
        <f>TOBEPAID!Q24/1000</f>
        <v>0</v>
      </c>
      <c r="R22" s="181">
        <v>0</v>
      </c>
      <c r="S22" s="181">
        <f>TOBEPAID!S24/1000</f>
        <v>0</v>
      </c>
      <c r="T22" s="181">
        <f>TOBEPAID!T24/1000</f>
        <v>0</v>
      </c>
      <c r="U22" s="181">
        <f>TOBEPAID!U24/1000</f>
        <v>0</v>
      </c>
      <c r="V22" s="181">
        <f>TOBEPAID!V24/1000</f>
        <v>0</v>
      </c>
      <c r="W22" s="181">
        <f>TOBEPAID!W24/1000</f>
        <v>0</v>
      </c>
      <c r="X22" s="181">
        <f>TOBEPAID!X24/1000</f>
        <v>0</v>
      </c>
      <c r="Y22" s="181">
        <f>+H22+R22</f>
        <v>0</v>
      </c>
      <c r="Z22" s="181">
        <f>+D22-Y22</f>
        <v>75920.788</v>
      </c>
      <c r="AA22" s="181">
        <f>TOBEPAID!AA24/1000</f>
        <v>0</v>
      </c>
      <c r="AB22" s="181">
        <f>TOBEPAID!AB24/1000</f>
        <v>75920.788530000005</v>
      </c>
      <c r="AC22" s="181"/>
      <c r="AD22" s="181"/>
    </row>
    <row r="23" spans="1:30" x14ac:dyDescent="0.2">
      <c r="A23" s="180"/>
      <c r="C23" s="166" t="s">
        <v>39</v>
      </c>
      <c r="D23" s="181">
        <f>2636031/1000</f>
        <v>2636.0309999999999</v>
      </c>
      <c r="E23" s="181">
        <f>TOBEPAID!E25/1000</f>
        <v>0</v>
      </c>
      <c r="F23" s="181">
        <f>TOBEPAID!F25/1000</f>
        <v>0</v>
      </c>
      <c r="G23" s="181">
        <f>TOBEPAID!G25/1000</f>
        <v>0</v>
      </c>
      <c r="H23" s="181">
        <v>0</v>
      </c>
      <c r="I23" s="181">
        <f>TOBEPAID!I25/1000</f>
        <v>0</v>
      </c>
      <c r="J23" s="181">
        <f>TOBEPAID!J25/1000</f>
        <v>0</v>
      </c>
      <c r="K23" s="181">
        <f>TOBEPAID!K25/1000</f>
        <v>0</v>
      </c>
      <c r="L23" s="181">
        <f>TOBEPAID!L25/1000</f>
        <v>0</v>
      </c>
      <c r="M23" s="181">
        <f>TOBEPAID!M25/1000</f>
        <v>0</v>
      </c>
      <c r="N23" s="181">
        <f>TOBEPAID!N25/1000</f>
        <v>0</v>
      </c>
      <c r="O23" s="181">
        <f>TOBEPAID!O25/1000</f>
        <v>0</v>
      </c>
      <c r="P23" s="181">
        <f>TOBEPAID!P25/1000</f>
        <v>0</v>
      </c>
      <c r="Q23" s="181">
        <f>TOBEPAID!Q25/1000</f>
        <v>0</v>
      </c>
      <c r="R23" s="181">
        <v>0</v>
      </c>
      <c r="S23" s="181">
        <f>TOBEPAID!S25/1000</f>
        <v>0</v>
      </c>
      <c r="T23" s="181">
        <f>TOBEPAID!T25/1000</f>
        <v>0</v>
      </c>
      <c r="U23" s="181">
        <f>TOBEPAID!U25/1000</f>
        <v>0</v>
      </c>
      <c r="V23" s="181">
        <f>TOBEPAID!V25/1000</f>
        <v>0</v>
      </c>
      <c r="W23" s="181">
        <f>TOBEPAID!W25/1000</f>
        <v>0</v>
      </c>
      <c r="X23" s="181">
        <f>TOBEPAID!X25/1000</f>
        <v>0</v>
      </c>
      <c r="Y23" s="181">
        <f>+H23+R23</f>
        <v>0</v>
      </c>
      <c r="Z23" s="181">
        <f>+D23-Y23</f>
        <v>2636.0309999999999</v>
      </c>
      <c r="AA23" s="181">
        <f>TOBEPAID!AA25/1000</f>
        <v>0</v>
      </c>
      <c r="AB23" s="181">
        <f>TOBEPAID!AB25/1000</f>
        <v>2636.0314100000001</v>
      </c>
      <c r="AC23" s="181"/>
      <c r="AD23" s="181"/>
    </row>
    <row r="24" spans="1:30" x14ac:dyDescent="0.2">
      <c r="A24" s="180"/>
      <c r="D24" s="182" t="s">
        <v>40</v>
      </c>
      <c r="E24" s="182" t="s">
        <v>40</v>
      </c>
      <c r="F24" s="182" t="s">
        <v>40</v>
      </c>
      <c r="G24" s="182"/>
      <c r="H24" s="182" t="s">
        <v>40</v>
      </c>
      <c r="I24" s="182" t="s">
        <v>40</v>
      </c>
      <c r="J24" s="182" t="s">
        <v>40</v>
      </c>
      <c r="K24" s="182" t="s">
        <v>40</v>
      </c>
      <c r="L24" s="182" t="s">
        <v>40</v>
      </c>
      <c r="M24" s="182"/>
      <c r="N24" s="182" t="s">
        <v>40</v>
      </c>
      <c r="O24" s="182" t="s">
        <v>40</v>
      </c>
      <c r="P24" s="182" t="s">
        <v>40</v>
      </c>
      <c r="Q24" s="182"/>
      <c r="R24" s="182" t="s">
        <v>40</v>
      </c>
      <c r="S24" s="182" t="s">
        <v>40</v>
      </c>
      <c r="T24" s="182" t="s">
        <v>40</v>
      </c>
      <c r="U24" s="182" t="s">
        <v>40</v>
      </c>
      <c r="V24" s="182" t="s">
        <v>40</v>
      </c>
      <c r="W24" s="182"/>
      <c r="X24" s="182" t="s">
        <v>40</v>
      </c>
      <c r="Y24" s="182" t="s">
        <v>40</v>
      </c>
      <c r="Z24" s="182" t="s">
        <v>40</v>
      </c>
      <c r="AA24" s="182" t="s">
        <v>40</v>
      </c>
      <c r="AB24" s="182" t="s">
        <v>40</v>
      </c>
      <c r="AC24" s="182"/>
      <c r="AD24" s="182"/>
    </row>
    <row r="25" spans="1:30" x14ac:dyDescent="0.2">
      <c r="A25" s="180"/>
      <c r="D25" s="181">
        <f t="shared" ref="D25:AB25" si="0">SUM(D20:D23)</f>
        <v>146313.28</v>
      </c>
      <c r="E25" s="181">
        <f t="shared" si="0"/>
        <v>2264.7312599999996</v>
      </c>
      <c r="F25" s="181">
        <f t="shared" si="0"/>
        <v>0</v>
      </c>
      <c r="G25" s="181"/>
      <c r="H25" s="181">
        <f t="shared" si="0"/>
        <v>2264.7310000000002</v>
      </c>
      <c r="I25" s="181">
        <f t="shared" si="0"/>
        <v>0</v>
      </c>
      <c r="J25" s="181">
        <f t="shared" si="0"/>
        <v>0</v>
      </c>
      <c r="K25" s="181">
        <f t="shared" si="0"/>
        <v>0</v>
      </c>
      <c r="L25" s="181">
        <f t="shared" si="0"/>
        <v>0</v>
      </c>
      <c r="M25" s="181"/>
      <c r="N25" s="181">
        <f t="shared" si="0"/>
        <v>2264.7312599999996</v>
      </c>
      <c r="O25" s="181">
        <f t="shared" si="0"/>
        <v>0</v>
      </c>
      <c r="P25" s="181">
        <f t="shared" si="0"/>
        <v>0</v>
      </c>
      <c r="Q25" s="181"/>
      <c r="R25" s="181">
        <f t="shared" si="0"/>
        <v>0</v>
      </c>
      <c r="S25" s="181">
        <f t="shared" si="0"/>
        <v>0</v>
      </c>
      <c r="T25" s="181">
        <f t="shared" si="0"/>
        <v>0</v>
      </c>
      <c r="U25" s="181">
        <f t="shared" si="0"/>
        <v>0</v>
      </c>
      <c r="V25" s="181">
        <f t="shared" si="0"/>
        <v>0</v>
      </c>
      <c r="W25" s="181"/>
      <c r="X25" s="181">
        <f t="shared" si="0"/>
        <v>0</v>
      </c>
      <c r="Y25" s="181">
        <f t="shared" si="0"/>
        <v>2264.7310000000002</v>
      </c>
      <c r="Z25" s="181">
        <f t="shared" si="0"/>
        <v>144048.549</v>
      </c>
      <c r="AA25" s="181">
        <f t="shared" si="0"/>
        <v>2264.7312599999996</v>
      </c>
      <c r="AB25" s="181">
        <f t="shared" si="0"/>
        <v>144048.55043999999</v>
      </c>
      <c r="AC25" s="181"/>
      <c r="AD25" s="181"/>
    </row>
    <row r="26" spans="1:30" x14ac:dyDescent="0.2">
      <c r="A26" s="180"/>
      <c r="B26" s="165" t="str">
        <f>+B18</f>
        <v>ILOCOS NORTE</v>
      </c>
      <c r="D26" s="182" t="s">
        <v>40</v>
      </c>
      <c r="E26" s="182" t="s">
        <v>40</v>
      </c>
      <c r="F26" s="182" t="s">
        <v>40</v>
      </c>
      <c r="G26" s="182"/>
      <c r="H26" s="182" t="s">
        <v>40</v>
      </c>
      <c r="I26" s="182" t="s">
        <v>40</v>
      </c>
      <c r="J26" s="182" t="s">
        <v>40</v>
      </c>
      <c r="K26" s="182" t="s">
        <v>40</v>
      </c>
      <c r="L26" s="182" t="s">
        <v>40</v>
      </c>
      <c r="M26" s="182"/>
      <c r="N26" s="182" t="s">
        <v>40</v>
      </c>
      <c r="O26" s="182" t="s">
        <v>40</v>
      </c>
      <c r="P26" s="182" t="s">
        <v>40</v>
      </c>
      <c r="Q26" s="182"/>
      <c r="R26" s="182" t="s">
        <v>40</v>
      </c>
      <c r="S26" s="182" t="s">
        <v>40</v>
      </c>
      <c r="T26" s="182" t="s">
        <v>40</v>
      </c>
      <c r="U26" s="182" t="s">
        <v>40</v>
      </c>
      <c r="V26" s="182" t="s">
        <v>40</v>
      </c>
      <c r="W26" s="182"/>
      <c r="X26" s="182" t="s">
        <v>40</v>
      </c>
      <c r="Y26" s="182" t="s">
        <v>40</v>
      </c>
      <c r="Z26" s="182" t="s">
        <v>40</v>
      </c>
      <c r="AA26" s="182" t="s">
        <v>40</v>
      </c>
      <c r="AB26" s="182" t="s">
        <v>40</v>
      </c>
      <c r="AC26" s="182"/>
      <c r="AD26" s="182"/>
    </row>
    <row r="27" spans="1:30" ht="15.75" thickBot="1" x14ac:dyDescent="0.25">
      <c r="A27" s="180"/>
      <c r="B27" s="183" t="s">
        <v>292</v>
      </c>
      <c r="D27" s="185">
        <f>376846/1000</f>
        <v>376.846</v>
      </c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5">
        <f>376846/1000</f>
        <v>376.846</v>
      </c>
      <c r="S27" s="182"/>
      <c r="T27" s="182"/>
      <c r="U27" s="182"/>
      <c r="V27" s="182"/>
      <c r="W27" s="182"/>
      <c r="X27" s="182"/>
      <c r="Y27" s="185">
        <f>376846/1000</f>
        <v>376.846</v>
      </c>
      <c r="Z27" s="185">
        <f>+D27-R27</f>
        <v>0</v>
      </c>
      <c r="AA27" s="182"/>
      <c r="AB27" s="182"/>
      <c r="AC27" s="182"/>
      <c r="AD27" s="182"/>
    </row>
    <row r="28" spans="1:30" ht="15.75" thickTop="1" x14ac:dyDescent="0.2">
      <c r="A28" s="180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</row>
    <row r="29" spans="1:30" x14ac:dyDescent="0.2">
      <c r="A29" s="180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</row>
    <row r="30" spans="1:30" x14ac:dyDescent="0.2">
      <c r="A30" s="180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</row>
    <row r="31" spans="1:30" x14ac:dyDescent="0.2">
      <c r="A31" s="180">
        <v>3</v>
      </c>
      <c r="B31" s="166" t="s">
        <v>42</v>
      </c>
      <c r="C31" s="166" t="s">
        <v>35</v>
      </c>
      <c r="D31" s="181">
        <f>66353447.54/1000</f>
        <v>66353.447539999994</v>
      </c>
      <c r="E31" s="181">
        <f>TOBEPAID!E30/1000</f>
        <v>0</v>
      </c>
      <c r="F31" s="181">
        <f>TOBEPAID!F30/1000</f>
        <v>0</v>
      </c>
      <c r="G31" s="181">
        <f>TOBEPAID!G30/1000</f>
        <v>0</v>
      </c>
      <c r="H31" s="181">
        <f>65635364/1000</f>
        <v>65635.364000000001</v>
      </c>
      <c r="I31" s="181">
        <f>TOBEPAID!I30/1000</f>
        <v>0</v>
      </c>
      <c r="J31" s="181">
        <f>TOBEPAID!J30/1000</f>
        <v>0</v>
      </c>
      <c r="K31" s="181">
        <f>TOBEPAID!K30/1000</f>
        <v>0</v>
      </c>
      <c r="L31" s="181">
        <f>TOBEPAID!L30/1000</f>
        <v>0</v>
      </c>
      <c r="M31" s="181">
        <f>TOBEPAID!M30/1000</f>
        <v>0</v>
      </c>
      <c r="N31" s="181">
        <f>TOBEPAID!N30/1000</f>
        <v>0</v>
      </c>
      <c r="O31" s="181">
        <f>TOBEPAID!O30/1000</f>
        <v>194.94681</v>
      </c>
      <c r="P31" s="181">
        <f>TOBEPAID!P30/1000</f>
        <v>522.8424</v>
      </c>
      <c r="Q31" s="181">
        <f>TOBEPAID!Q30/1000</f>
        <v>0</v>
      </c>
      <c r="R31" s="181">
        <f>718053/1000</f>
        <v>718.053</v>
      </c>
      <c r="S31" s="181">
        <f>TOBEPAID!S30/1000</f>
        <v>0</v>
      </c>
      <c r="T31" s="181">
        <f>TOBEPAID!T30/1000</f>
        <v>0</v>
      </c>
      <c r="U31" s="181">
        <f>TOBEPAID!U30/1000</f>
        <v>0</v>
      </c>
      <c r="V31" s="181">
        <f>TOBEPAID!V30/1000</f>
        <v>0</v>
      </c>
      <c r="W31" s="181">
        <f>TOBEPAID!W30/1000</f>
        <v>0</v>
      </c>
      <c r="X31" s="181">
        <f>TOBEPAID!X30/1000</f>
        <v>717.78920999999991</v>
      </c>
      <c r="Y31" s="181">
        <f>+H31+R31</f>
        <v>66353.417000000001</v>
      </c>
      <c r="Z31" s="181">
        <f>+D31-Y31</f>
        <v>3.0539999992470257E-2</v>
      </c>
      <c r="AA31" s="181">
        <f>TOBEPAID!AA30/1000</f>
        <v>717.78920999999991</v>
      </c>
      <c r="AB31" s="181">
        <f>TOBEPAID!AB30/1000</f>
        <v>18817.672069999997</v>
      </c>
      <c r="AC31" s="181"/>
      <c r="AD31" s="181"/>
    </row>
    <row r="32" spans="1:30" x14ac:dyDescent="0.2">
      <c r="A32" s="180"/>
      <c r="C32" s="168" t="s">
        <v>36</v>
      </c>
      <c r="D32" s="181">
        <f>1714794/1000</f>
        <v>1714.7940000000001</v>
      </c>
      <c r="E32" s="181">
        <f>TOBEPAID!E31/1000</f>
        <v>1714.79459</v>
      </c>
      <c r="F32" s="181">
        <f>TOBEPAID!F31/1000</f>
        <v>0</v>
      </c>
      <c r="G32" s="181">
        <f>TOBEPAID!G31/1000</f>
        <v>0</v>
      </c>
      <c r="H32" s="181">
        <f>1714794/1000</f>
        <v>1714.7940000000001</v>
      </c>
      <c r="I32" s="181">
        <f>TOBEPAID!I31/1000</f>
        <v>0</v>
      </c>
      <c r="J32" s="181">
        <f>TOBEPAID!J31/1000</f>
        <v>0</v>
      </c>
      <c r="K32" s="181">
        <f>TOBEPAID!K31/1000</f>
        <v>0</v>
      </c>
      <c r="L32" s="181">
        <f>TOBEPAID!L31/1000</f>
        <v>0</v>
      </c>
      <c r="M32" s="181">
        <f>TOBEPAID!M31/1000</f>
        <v>0</v>
      </c>
      <c r="N32" s="181">
        <f>TOBEPAID!N31/1000</f>
        <v>1714.79459</v>
      </c>
      <c r="O32" s="181">
        <f>TOBEPAID!O31/1000</f>
        <v>0</v>
      </c>
      <c r="P32" s="181">
        <f>TOBEPAID!P31/1000</f>
        <v>0</v>
      </c>
      <c r="Q32" s="181">
        <f>TOBEPAID!Q31/1000</f>
        <v>0</v>
      </c>
      <c r="R32" s="181">
        <v>0</v>
      </c>
      <c r="S32" s="181">
        <f>TOBEPAID!S31/1000</f>
        <v>0</v>
      </c>
      <c r="T32" s="181">
        <f>TOBEPAID!T31/1000</f>
        <v>0</v>
      </c>
      <c r="U32" s="181">
        <f>TOBEPAID!U31/1000</f>
        <v>0</v>
      </c>
      <c r="V32" s="181">
        <f>TOBEPAID!V31/1000</f>
        <v>0</v>
      </c>
      <c r="W32" s="181">
        <f>TOBEPAID!W31/1000</f>
        <v>0</v>
      </c>
      <c r="X32" s="181">
        <f>TOBEPAID!X31/1000</f>
        <v>0</v>
      </c>
      <c r="Y32" s="181">
        <f t="shared" ref="Y32:Y46" si="1">+H32+R32</f>
        <v>1714.7940000000001</v>
      </c>
      <c r="Z32" s="181">
        <f t="shared" ref="Z32:Z46" si="2">+D32-Y32</f>
        <v>0</v>
      </c>
      <c r="AA32" s="181">
        <f>TOBEPAID!AA31/1000</f>
        <v>1714.79459</v>
      </c>
      <c r="AB32" s="181">
        <f>TOBEPAID!AB31/1000</f>
        <v>0</v>
      </c>
      <c r="AC32" s="181"/>
      <c r="AD32" s="181"/>
    </row>
    <row r="33" spans="1:30" x14ac:dyDescent="0.2">
      <c r="A33" s="180"/>
      <c r="C33" s="168" t="s">
        <v>43</v>
      </c>
      <c r="D33" s="181">
        <f>1763926/1000</f>
        <v>1763.9259999999999</v>
      </c>
      <c r="E33" s="181">
        <f>TOBEPAID!E32/1000</f>
        <v>1763.9260200000001</v>
      </c>
      <c r="F33" s="181">
        <f>TOBEPAID!F32/1000</f>
        <v>0</v>
      </c>
      <c r="G33" s="181">
        <f>TOBEPAID!G32/1000</f>
        <v>0</v>
      </c>
      <c r="H33" s="181">
        <f>1763926/1000</f>
        <v>1763.9259999999999</v>
      </c>
      <c r="I33" s="181">
        <f>TOBEPAID!I32/1000</f>
        <v>0</v>
      </c>
      <c r="J33" s="181">
        <f>TOBEPAID!J32/1000</f>
        <v>0</v>
      </c>
      <c r="K33" s="181">
        <f>TOBEPAID!K32/1000</f>
        <v>0</v>
      </c>
      <c r="L33" s="181">
        <f>TOBEPAID!L32/1000</f>
        <v>0</v>
      </c>
      <c r="M33" s="181">
        <f>TOBEPAID!M32/1000</f>
        <v>0</v>
      </c>
      <c r="N33" s="181">
        <f>TOBEPAID!N32/1000</f>
        <v>1763.9260200000001</v>
      </c>
      <c r="O33" s="181">
        <f>TOBEPAID!O32/1000</f>
        <v>0</v>
      </c>
      <c r="P33" s="181">
        <f>TOBEPAID!P32/1000</f>
        <v>0</v>
      </c>
      <c r="Q33" s="181">
        <f>TOBEPAID!Q32/1000</f>
        <v>0</v>
      </c>
      <c r="R33" s="181">
        <v>0</v>
      </c>
      <c r="S33" s="181">
        <f>TOBEPAID!S32/1000</f>
        <v>0</v>
      </c>
      <c r="T33" s="181">
        <f>TOBEPAID!T32/1000</f>
        <v>0</v>
      </c>
      <c r="U33" s="181">
        <f>TOBEPAID!U32/1000</f>
        <v>0</v>
      </c>
      <c r="V33" s="181">
        <f>TOBEPAID!V32/1000</f>
        <v>0</v>
      </c>
      <c r="W33" s="181">
        <f>TOBEPAID!W32/1000</f>
        <v>0</v>
      </c>
      <c r="X33" s="181">
        <f>TOBEPAID!X32/1000</f>
        <v>0</v>
      </c>
      <c r="Y33" s="181">
        <f t="shared" si="1"/>
        <v>1763.9259999999999</v>
      </c>
      <c r="Z33" s="181">
        <f t="shared" si="2"/>
        <v>0</v>
      </c>
      <c r="AA33" s="181">
        <f>TOBEPAID!AA32/1000</f>
        <v>1763.9260200000001</v>
      </c>
      <c r="AB33" s="181">
        <f>TOBEPAID!AB32/1000</f>
        <v>0</v>
      </c>
      <c r="AC33" s="181"/>
      <c r="AD33" s="181"/>
    </row>
    <row r="34" spans="1:30" x14ac:dyDescent="0.2">
      <c r="A34" s="180"/>
      <c r="C34" s="168" t="s">
        <v>487</v>
      </c>
      <c r="D34" s="181">
        <f>193365000/1000</f>
        <v>193365</v>
      </c>
      <c r="E34" s="181"/>
      <c r="F34" s="181"/>
      <c r="G34" s="181"/>
      <c r="H34" s="181">
        <v>0</v>
      </c>
      <c r="I34" s="181"/>
      <c r="J34" s="181"/>
      <c r="K34" s="181"/>
      <c r="L34" s="181"/>
      <c r="M34" s="181"/>
      <c r="N34" s="181"/>
      <c r="O34" s="181"/>
      <c r="P34" s="181"/>
      <c r="Q34" s="181"/>
      <c r="R34" s="181">
        <v>0</v>
      </c>
      <c r="S34" s="181"/>
      <c r="T34" s="181"/>
      <c r="U34" s="181"/>
      <c r="V34" s="181"/>
      <c r="W34" s="181"/>
      <c r="X34" s="181"/>
      <c r="Y34" s="181">
        <f>+H34+R34</f>
        <v>0</v>
      </c>
      <c r="Z34" s="181">
        <f>+D34-Y34</f>
        <v>193365</v>
      </c>
      <c r="AA34" s="181"/>
      <c r="AB34" s="181"/>
      <c r="AC34" s="181"/>
      <c r="AD34" s="181"/>
    </row>
    <row r="35" spans="1:30" x14ac:dyDescent="0.2">
      <c r="C35" s="165" t="s">
        <v>375</v>
      </c>
      <c r="D35" s="181">
        <f>5589954/1000</f>
        <v>5589.9539999999997</v>
      </c>
      <c r="E35" s="181">
        <f>TOBEPAID!E33/1000</f>
        <v>5589.9542499999998</v>
      </c>
      <c r="F35" s="181">
        <f>TOBEPAID!F33/1000</f>
        <v>0</v>
      </c>
      <c r="G35" s="181">
        <f>TOBEPAID!G33/1000</f>
        <v>0</v>
      </c>
      <c r="H35" s="181">
        <f>5589954/1000</f>
        <v>5589.9539999999997</v>
      </c>
      <c r="I35" s="181">
        <f>TOBEPAID!I33/1000</f>
        <v>0</v>
      </c>
      <c r="J35" s="181">
        <f>TOBEPAID!J33/1000</f>
        <v>0</v>
      </c>
      <c r="K35" s="181">
        <f>TOBEPAID!K33/1000</f>
        <v>0</v>
      </c>
      <c r="L35" s="181">
        <f>TOBEPAID!L33/1000</f>
        <v>0</v>
      </c>
      <c r="M35" s="181">
        <f>TOBEPAID!M33/1000</f>
        <v>0</v>
      </c>
      <c r="N35" s="181">
        <f>TOBEPAID!N33/1000</f>
        <v>5589.9542499999998</v>
      </c>
      <c r="O35" s="181">
        <f>TOBEPAID!O33/1000</f>
        <v>0</v>
      </c>
      <c r="P35" s="181">
        <f>TOBEPAID!P33/1000</f>
        <v>0</v>
      </c>
      <c r="Q35" s="181">
        <f>TOBEPAID!Q33/1000</f>
        <v>0</v>
      </c>
      <c r="R35" s="181">
        <v>0</v>
      </c>
      <c r="S35" s="181">
        <f>TOBEPAID!S33/1000</f>
        <v>0</v>
      </c>
      <c r="T35" s="181">
        <f>TOBEPAID!T33/1000</f>
        <v>0</v>
      </c>
      <c r="U35" s="181">
        <f>TOBEPAID!U33/1000</f>
        <v>0</v>
      </c>
      <c r="V35" s="181">
        <f>TOBEPAID!V33/1000</f>
        <v>0</v>
      </c>
      <c r="W35" s="181">
        <f>TOBEPAID!W33/1000</f>
        <v>0</v>
      </c>
      <c r="X35" s="181">
        <f>TOBEPAID!X33/1000</f>
        <v>0</v>
      </c>
      <c r="Y35" s="181">
        <f t="shared" si="1"/>
        <v>5589.9539999999997</v>
      </c>
      <c r="Z35" s="181">
        <f t="shared" si="2"/>
        <v>0</v>
      </c>
      <c r="AA35" s="181">
        <f>TOBEPAID!AA33/1000</f>
        <v>5589.9542499999998</v>
      </c>
      <c r="AB35" s="181">
        <f>TOBEPAID!AB33/1000</f>
        <v>0</v>
      </c>
      <c r="AC35" s="181"/>
      <c r="AD35" s="181"/>
    </row>
    <row r="36" spans="1:30" x14ac:dyDescent="0.2">
      <c r="C36" s="165" t="s">
        <v>413</v>
      </c>
      <c r="D36" s="181">
        <f>12000000/1000</f>
        <v>12000</v>
      </c>
      <c r="E36" s="181"/>
      <c r="F36" s="181"/>
      <c r="G36" s="181"/>
      <c r="H36" s="181">
        <f>12000000/1000</f>
        <v>12000</v>
      </c>
      <c r="I36" s="181"/>
      <c r="J36" s="181"/>
      <c r="K36" s="181"/>
      <c r="L36" s="181"/>
      <c r="M36" s="181"/>
      <c r="N36" s="181"/>
      <c r="O36" s="181"/>
      <c r="P36" s="181"/>
      <c r="Q36" s="181"/>
      <c r="R36" s="181">
        <v>0</v>
      </c>
      <c r="S36" s="181"/>
      <c r="T36" s="181"/>
      <c r="U36" s="181"/>
      <c r="V36" s="181"/>
      <c r="W36" s="181"/>
      <c r="X36" s="181"/>
      <c r="Y36" s="181">
        <f>+H36+R36</f>
        <v>12000</v>
      </c>
      <c r="Z36" s="181">
        <f>+D36-Y36</f>
        <v>0</v>
      </c>
      <c r="AA36" s="181"/>
      <c r="AB36" s="181"/>
      <c r="AC36" s="181"/>
      <c r="AD36" s="181"/>
    </row>
    <row r="37" spans="1:30" x14ac:dyDescent="0.2">
      <c r="C37" s="165" t="s">
        <v>450</v>
      </c>
      <c r="D37" s="181">
        <f>24000000/1000</f>
        <v>24000</v>
      </c>
      <c r="E37" s="181"/>
      <c r="F37" s="181"/>
      <c r="G37" s="181"/>
      <c r="H37" s="181">
        <f>24000000/1000</f>
        <v>24000</v>
      </c>
      <c r="I37" s="181"/>
      <c r="J37" s="181"/>
      <c r="K37" s="181"/>
      <c r="L37" s="181"/>
      <c r="M37" s="181"/>
      <c r="N37" s="181"/>
      <c r="O37" s="181"/>
      <c r="P37" s="181"/>
      <c r="Q37" s="181"/>
      <c r="R37" s="181">
        <v>0</v>
      </c>
      <c r="S37" s="181"/>
      <c r="T37" s="181"/>
      <c r="U37" s="181"/>
      <c r="V37" s="181"/>
      <c r="W37" s="181"/>
      <c r="X37" s="181"/>
      <c r="Y37" s="181">
        <f>+H37+R37</f>
        <v>24000</v>
      </c>
      <c r="Z37" s="181">
        <f>+D37-Y37</f>
        <v>0</v>
      </c>
      <c r="AA37" s="181"/>
      <c r="AB37" s="181"/>
      <c r="AC37" s="181"/>
      <c r="AD37" s="181"/>
    </row>
    <row r="38" spans="1:30" x14ac:dyDescent="0.2">
      <c r="C38" s="165" t="s">
        <v>454</v>
      </c>
      <c r="D38" s="181">
        <f>12450000/1000</f>
        <v>12450</v>
      </c>
      <c r="E38" s="181"/>
      <c r="F38" s="181"/>
      <c r="G38" s="181"/>
      <c r="H38" s="181">
        <f>12450000/1000</f>
        <v>12450</v>
      </c>
      <c r="I38" s="181"/>
      <c r="J38" s="181"/>
      <c r="K38" s="181"/>
      <c r="L38" s="181"/>
      <c r="M38" s="181"/>
      <c r="N38" s="181"/>
      <c r="O38" s="181"/>
      <c r="P38" s="181"/>
      <c r="Q38" s="181"/>
      <c r="R38" s="181">
        <v>0</v>
      </c>
      <c r="S38" s="181"/>
      <c r="T38" s="181"/>
      <c r="U38" s="181"/>
      <c r="V38" s="181"/>
      <c r="W38" s="181"/>
      <c r="X38" s="181"/>
      <c r="Y38" s="181">
        <f>+H38+R38</f>
        <v>12450</v>
      </c>
      <c r="Z38" s="181">
        <f>+D38-Y38</f>
        <v>0</v>
      </c>
      <c r="AA38" s="181"/>
      <c r="AB38" s="181"/>
      <c r="AC38" s="181"/>
      <c r="AD38" s="181"/>
    </row>
    <row r="39" spans="1:30" x14ac:dyDescent="0.2">
      <c r="C39" s="165" t="s">
        <v>468</v>
      </c>
      <c r="D39" s="181">
        <f>15000000/1000</f>
        <v>15000</v>
      </c>
      <c r="E39" s="181"/>
      <c r="F39" s="181"/>
      <c r="G39" s="181"/>
      <c r="H39" s="181">
        <f>15000000/1000</f>
        <v>15000</v>
      </c>
      <c r="I39" s="181"/>
      <c r="J39" s="181"/>
      <c r="K39" s="181"/>
      <c r="L39" s="181"/>
      <c r="M39" s="181"/>
      <c r="N39" s="181"/>
      <c r="O39" s="181"/>
      <c r="P39" s="181"/>
      <c r="Q39" s="181"/>
      <c r="R39" s="181">
        <v>0</v>
      </c>
      <c r="S39" s="181"/>
      <c r="T39" s="181"/>
      <c r="U39" s="181"/>
      <c r="V39" s="181"/>
      <c r="W39" s="181"/>
      <c r="X39" s="181"/>
      <c r="Y39" s="181">
        <f>+H39+R39</f>
        <v>15000</v>
      </c>
      <c r="Z39" s="181">
        <f>+D39-Y39</f>
        <v>0</v>
      </c>
      <c r="AA39" s="181"/>
      <c r="AB39" s="181"/>
      <c r="AC39" s="181"/>
      <c r="AD39" s="181"/>
    </row>
    <row r="40" spans="1:30" x14ac:dyDescent="0.2">
      <c r="C40" s="165" t="s">
        <v>290</v>
      </c>
      <c r="D40" s="165">
        <f>2714883279.76/1000</f>
        <v>2714883.2797600003</v>
      </c>
      <c r="H40" s="165">
        <f>2714883279.76/1000</f>
        <v>2714883.2797600003</v>
      </c>
      <c r="R40" s="181">
        <v>0</v>
      </c>
      <c r="Y40" s="181">
        <f t="shared" si="1"/>
        <v>2714883.2797600003</v>
      </c>
      <c r="Z40" s="181">
        <f t="shared" si="2"/>
        <v>0</v>
      </c>
    </row>
    <row r="41" spans="1:30" x14ac:dyDescent="0.2">
      <c r="C41" s="165" t="s">
        <v>397</v>
      </c>
      <c r="D41" s="165">
        <f>17858584/1000</f>
        <v>17858.583999999999</v>
      </c>
      <c r="H41" s="165">
        <f>17858584/1000</f>
        <v>17858.583999999999</v>
      </c>
      <c r="R41" s="181">
        <v>0</v>
      </c>
      <c r="Y41" s="181">
        <f t="shared" si="1"/>
        <v>17858.583999999999</v>
      </c>
      <c r="Z41" s="181">
        <f t="shared" si="2"/>
        <v>0</v>
      </c>
    </row>
    <row r="42" spans="1:30" x14ac:dyDescent="0.2">
      <c r="C42" s="165" t="s">
        <v>430</v>
      </c>
      <c r="D42" s="165">
        <f>15024182/1000</f>
        <v>15024.182000000001</v>
      </c>
      <c r="H42" s="165">
        <f>15024182/1000</f>
        <v>15024.182000000001</v>
      </c>
      <c r="R42" s="181">
        <v>0</v>
      </c>
      <c r="Y42" s="181">
        <f t="shared" si="1"/>
        <v>15024.182000000001</v>
      </c>
      <c r="Z42" s="181">
        <f t="shared" si="2"/>
        <v>0</v>
      </c>
    </row>
    <row r="43" spans="1:30" x14ac:dyDescent="0.2">
      <c r="A43" s="180"/>
      <c r="C43" s="168" t="s">
        <v>44</v>
      </c>
      <c r="D43" s="181">
        <f>8704000/1000</f>
        <v>8704</v>
      </c>
      <c r="E43" s="181">
        <f>TOBEPAID!E34/1000</f>
        <v>8704</v>
      </c>
      <c r="F43" s="181">
        <f>TOBEPAID!F34/1000</f>
        <v>0</v>
      </c>
      <c r="G43" s="181">
        <f>TOBEPAID!G34/1000</f>
        <v>0</v>
      </c>
      <c r="H43" s="181">
        <f>8704000/1000</f>
        <v>8704</v>
      </c>
      <c r="I43" s="181">
        <f>TOBEPAID!I34/1000</f>
        <v>0</v>
      </c>
      <c r="J43" s="181">
        <f>TOBEPAID!J34/1000</f>
        <v>0</v>
      </c>
      <c r="K43" s="181">
        <f>TOBEPAID!K34/1000</f>
        <v>0</v>
      </c>
      <c r="L43" s="181">
        <f>TOBEPAID!L34/1000</f>
        <v>0</v>
      </c>
      <c r="M43" s="181">
        <f>TOBEPAID!M34/1000</f>
        <v>0</v>
      </c>
      <c r="N43" s="181">
        <f>TOBEPAID!N34/1000</f>
        <v>8704</v>
      </c>
      <c r="O43" s="181">
        <f>TOBEPAID!O34/1000</f>
        <v>0</v>
      </c>
      <c r="P43" s="181">
        <f>TOBEPAID!P34/1000</f>
        <v>0</v>
      </c>
      <c r="Q43" s="181">
        <f>TOBEPAID!Q34/1000</f>
        <v>0</v>
      </c>
      <c r="R43" s="181">
        <v>0</v>
      </c>
      <c r="S43" s="181">
        <f>TOBEPAID!S34/1000</f>
        <v>0</v>
      </c>
      <c r="T43" s="181">
        <f>TOBEPAID!T34/1000</f>
        <v>0</v>
      </c>
      <c r="U43" s="181">
        <f>TOBEPAID!U34/1000</f>
        <v>0</v>
      </c>
      <c r="V43" s="181">
        <f>TOBEPAID!V34/1000</f>
        <v>0</v>
      </c>
      <c r="W43" s="181">
        <f>TOBEPAID!W34/1000</f>
        <v>0</v>
      </c>
      <c r="X43" s="181">
        <f>TOBEPAID!X34/1000</f>
        <v>0</v>
      </c>
      <c r="Y43" s="181">
        <f t="shared" si="1"/>
        <v>8704</v>
      </c>
      <c r="Z43" s="181">
        <f t="shared" si="2"/>
        <v>0</v>
      </c>
      <c r="AA43" s="181">
        <f>TOBEPAID!AA34/1000</f>
        <v>8704</v>
      </c>
      <c r="AB43" s="181">
        <f>TOBEPAID!AB34/1000</f>
        <v>0</v>
      </c>
      <c r="AC43" s="181"/>
      <c r="AD43" s="181"/>
    </row>
    <row r="44" spans="1:30" x14ac:dyDescent="0.2">
      <c r="A44" s="180"/>
      <c r="C44" s="166" t="s">
        <v>37</v>
      </c>
      <c r="D44" s="181">
        <v>0</v>
      </c>
      <c r="E44" s="181">
        <f>TOBEPAID!E35/1000</f>
        <v>0</v>
      </c>
      <c r="F44" s="181">
        <f>TOBEPAID!F35/1000</f>
        <v>0</v>
      </c>
      <c r="G44" s="181">
        <f>TOBEPAID!G35/1000</f>
        <v>0</v>
      </c>
      <c r="H44" s="181">
        <v>0</v>
      </c>
      <c r="I44" s="181">
        <f>TOBEPAID!I35/1000</f>
        <v>0</v>
      </c>
      <c r="J44" s="181">
        <f>TOBEPAID!J35/1000</f>
        <v>0</v>
      </c>
      <c r="K44" s="181">
        <f>TOBEPAID!K35/1000</f>
        <v>0</v>
      </c>
      <c r="L44" s="181">
        <f>TOBEPAID!L35/1000</f>
        <v>0</v>
      </c>
      <c r="M44" s="181">
        <f>TOBEPAID!M35/1000</f>
        <v>0</v>
      </c>
      <c r="N44" s="181">
        <f>TOBEPAID!N35/1000</f>
        <v>0</v>
      </c>
      <c r="O44" s="181">
        <f>TOBEPAID!O35/1000</f>
        <v>0</v>
      </c>
      <c r="P44" s="181">
        <f>TOBEPAID!P35/1000</f>
        <v>0</v>
      </c>
      <c r="Q44" s="181">
        <f>TOBEPAID!Q35/1000</f>
        <v>0</v>
      </c>
      <c r="R44" s="181">
        <v>0</v>
      </c>
      <c r="S44" s="181">
        <f>TOBEPAID!S35/1000</f>
        <v>0</v>
      </c>
      <c r="T44" s="181">
        <f>TOBEPAID!T35/1000</f>
        <v>0</v>
      </c>
      <c r="U44" s="181">
        <f>TOBEPAID!U35/1000</f>
        <v>0</v>
      </c>
      <c r="V44" s="181">
        <f>TOBEPAID!V35/1000</f>
        <v>0</v>
      </c>
      <c r="W44" s="181">
        <f>TOBEPAID!W35/1000</f>
        <v>0</v>
      </c>
      <c r="X44" s="181">
        <f>TOBEPAID!X35/1000</f>
        <v>0</v>
      </c>
      <c r="Y44" s="181">
        <f t="shared" si="1"/>
        <v>0</v>
      </c>
      <c r="Z44" s="181">
        <f t="shared" si="2"/>
        <v>0</v>
      </c>
      <c r="AA44" s="181">
        <f>TOBEPAID!AA35/1000</f>
        <v>0</v>
      </c>
      <c r="AB44" s="181">
        <f>TOBEPAID!AB35/1000</f>
        <v>22797.780879999998</v>
      </c>
      <c r="AC44" s="181"/>
      <c r="AD44" s="181"/>
    </row>
    <row r="45" spans="1:30" x14ac:dyDescent="0.2">
      <c r="A45" s="180"/>
      <c r="C45" s="166" t="s">
        <v>38</v>
      </c>
      <c r="D45" s="181">
        <v>0</v>
      </c>
      <c r="E45" s="181">
        <f>TOBEPAID!E36/1000</f>
        <v>0</v>
      </c>
      <c r="F45" s="181">
        <f>TOBEPAID!F36/1000</f>
        <v>0</v>
      </c>
      <c r="G45" s="181">
        <f>TOBEPAID!G36/1000</f>
        <v>0</v>
      </c>
      <c r="H45" s="181">
        <v>0</v>
      </c>
      <c r="I45" s="181">
        <f>TOBEPAID!I36/1000</f>
        <v>0</v>
      </c>
      <c r="J45" s="181">
        <f>TOBEPAID!J36/1000</f>
        <v>0</v>
      </c>
      <c r="K45" s="181">
        <f>TOBEPAID!K36/1000</f>
        <v>0</v>
      </c>
      <c r="L45" s="181">
        <f>TOBEPAID!L36/1000</f>
        <v>0</v>
      </c>
      <c r="M45" s="181">
        <f>TOBEPAID!M36/1000</f>
        <v>0</v>
      </c>
      <c r="N45" s="181">
        <f>TOBEPAID!N36/1000</f>
        <v>0</v>
      </c>
      <c r="O45" s="181">
        <f>TOBEPAID!O36/1000</f>
        <v>0</v>
      </c>
      <c r="P45" s="181">
        <f>TOBEPAID!P36/1000</f>
        <v>0</v>
      </c>
      <c r="Q45" s="181">
        <f>TOBEPAID!Q36/1000</f>
        <v>0</v>
      </c>
      <c r="R45" s="181">
        <v>0</v>
      </c>
      <c r="S45" s="181">
        <f>TOBEPAID!S36/1000</f>
        <v>0</v>
      </c>
      <c r="T45" s="181">
        <f>TOBEPAID!T36/1000</f>
        <v>0</v>
      </c>
      <c r="U45" s="181">
        <f>TOBEPAID!U36/1000</f>
        <v>0</v>
      </c>
      <c r="V45" s="181">
        <f>TOBEPAID!V36/1000</f>
        <v>0</v>
      </c>
      <c r="W45" s="181">
        <f>TOBEPAID!W36/1000</f>
        <v>0</v>
      </c>
      <c r="X45" s="181">
        <f>TOBEPAID!X36/1000</f>
        <v>0</v>
      </c>
      <c r="Y45" s="181">
        <f t="shared" si="1"/>
        <v>0</v>
      </c>
      <c r="Z45" s="181">
        <f t="shared" si="2"/>
        <v>0</v>
      </c>
      <c r="AA45" s="181">
        <f>TOBEPAID!AA36/1000</f>
        <v>0</v>
      </c>
      <c r="AB45" s="181">
        <f>TOBEPAID!AB36/1000</f>
        <v>19579.16158</v>
      </c>
      <c r="AC45" s="181"/>
      <c r="AD45" s="181"/>
    </row>
    <row r="46" spans="1:30" x14ac:dyDescent="0.2">
      <c r="A46" s="180"/>
      <c r="C46" s="166" t="s">
        <v>39</v>
      </c>
      <c r="D46" s="181">
        <v>0</v>
      </c>
      <c r="E46" s="181">
        <f>TOBEPAID!E37/1000</f>
        <v>0</v>
      </c>
      <c r="F46" s="181">
        <f>TOBEPAID!F37/1000</f>
        <v>0</v>
      </c>
      <c r="G46" s="181">
        <f>TOBEPAID!G37/1000</f>
        <v>0</v>
      </c>
      <c r="H46" s="181">
        <v>0</v>
      </c>
      <c r="I46" s="181">
        <f>TOBEPAID!I37/1000</f>
        <v>0</v>
      </c>
      <c r="J46" s="181">
        <f>TOBEPAID!J37/1000</f>
        <v>0</v>
      </c>
      <c r="K46" s="181">
        <f>TOBEPAID!K37/1000</f>
        <v>0</v>
      </c>
      <c r="L46" s="181">
        <f>TOBEPAID!L37/1000</f>
        <v>0</v>
      </c>
      <c r="M46" s="181">
        <f>TOBEPAID!M37/1000</f>
        <v>0</v>
      </c>
      <c r="N46" s="181">
        <f>TOBEPAID!N37/1000</f>
        <v>0</v>
      </c>
      <c r="O46" s="181">
        <f>TOBEPAID!O37/1000</f>
        <v>0</v>
      </c>
      <c r="P46" s="181">
        <f>TOBEPAID!P37/1000</f>
        <v>0</v>
      </c>
      <c r="Q46" s="181">
        <f>TOBEPAID!Q37/1000</f>
        <v>0</v>
      </c>
      <c r="R46" s="181">
        <v>0</v>
      </c>
      <c r="S46" s="181">
        <f>TOBEPAID!S37/1000</f>
        <v>0</v>
      </c>
      <c r="T46" s="181">
        <f>TOBEPAID!T37/1000</f>
        <v>0</v>
      </c>
      <c r="U46" s="181">
        <f>TOBEPAID!U37/1000</f>
        <v>0</v>
      </c>
      <c r="V46" s="181">
        <f>TOBEPAID!V37/1000</f>
        <v>0</v>
      </c>
      <c r="W46" s="181">
        <f>TOBEPAID!W37/1000</f>
        <v>0</v>
      </c>
      <c r="X46" s="181">
        <f>TOBEPAID!X37/1000</f>
        <v>0</v>
      </c>
      <c r="Y46" s="181">
        <f t="shared" si="1"/>
        <v>0</v>
      </c>
      <c r="Z46" s="181">
        <f t="shared" si="2"/>
        <v>0</v>
      </c>
      <c r="AA46" s="181">
        <f>TOBEPAID!AA37/1000</f>
        <v>0</v>
      </c>
      <c r="AB46" s="181">
        <f>TOBEPAID!AB37/1000</f>
        <v>4441.0437999999995</v>
      </c>
      <c r="AC46" s="181"/>
      <c r="AD46" s="181"/>
    </row>
    <row r="47" spans="1:30" x14ac:dyDescent="0.2">
      <c r="A47" s="180"/>
      <c r="D47" s="182" t="s">
        <v>40</v>
      </c>
      <c r="E47" s="182" t="s">
        <v>40</v>
      </c>
      <c r="F47" s="182" t="s">
        <v>40</v>
      </c>
      <c r="G47" s="182"/>
      <c r="H47" s="182" t="s">
        <v>40</v>
      </c>
      <c r="I47" s="182" t="s">
        <v>40</v>
      </c>
      <c r="J47" s="182" t="s">
        <v>40</v>
      </c>
      <c r="K47" s="182" t="s">
        <v>40</v>
      </c>
      <c r="L47" s="182" t="s">
        <v>40</v>
      </c>
      <c r="M47" s="182"/>
      <c r="N47" s="182" t="s">
        <v>40</v>
      </c>
      <c r="O47" s="182" t="s">
        <v>40</v>
      </c>
      <c r="P47" s="182" t="s">
        <v>40</v>
      </c>
      <c r="Q47" s="182"/>
      <c r="R47" s="182" t="s">
        <v>40</v>
      </c>
      <c r="S47" s="182" t="s">
        <v>40</v>
      </c>
      <c r="T47" s="182" t="s">
        <v>40</v>
      </c>
      <c r="U47" s="182" t="s">
        <v>40</v>
      </c>
      <c r="V47" s="182" t="s">
        <v>40</v>
      </c>
      <c r="W47" s="182"/>
      <c r="X47" s="182" t="s">
        <v>40</v>
      </c>
      <c r="Y47" s="182" t="s">
        <v>40</v>
      </c>
      <c r="Z47" s="182" t="s">
        <v>40</v>
      </c>
      <c r="AA47" s="182" t="s">
        <v>40</v>
      </c>
      <c r="AB47" s="182" t="s">
        <v>40</v>
      </c>
      <c r="AC47" s="182"/>
      <c r="AD47" s="182"/>
    </row>
    <row r="48" spans="1:30" x14ac:dyDescent="0.2">
      <c r="A48" s="180"/>
      <c r="D48" s="181">
        <f>SUM(D31:D46)</f>
        <v>3088707.1673000003</v>
      </c>
      <c r="E48" s="181">
        <f>SUM(E31:E46)</f>
        <v>17772.674859999999</v>
      </c>
      <c r="F48" s="181">
        <f>SUM(F31:F46)</f>
        <v>0</v>
      </c>
      <c r="G48" s="181"/>
      <c r="H48" s="181">
        <f>SUM(H31:H46)</f>
        <v>2894624.0837600003</v>
      </c>
      <c r="I48" s="181">
        <f>SUM(I31:I46)</f>
        <v>0</v>
      </c>
      <c r="J48" s="181">
        <f>SUM(J31:J46)</f>
        <v>0</v>
      </c>
      <c r="K48" s="181">
        <f>SUM(K31:K46)</f>
        <v>0</v>
      </c>
      <c r="L48" s="181">
        <f>SUM(L31:L46)</f>
        <v>0</v>
      </c>
      <c r="M48" s="181"/>
      <c r="N48" s="181">
        <f>SUM(N31:N46)</f>
        <v>17772.674859999999</v>
      </c>
      <c r="O48" s="181">
        <f>SUM(O31:O46)</f>
        <v>194.94681</v>
      </c>
      <c r="P48" s="181">
        <f>SUM(P31:P46)</f>
        <v>522.8424</v>
      </c>
      <c r="Q48" s="181"/>
      <c r="R48" s="181">
        <f>SUM(R31:R46)</f>
        <v>718.053</v>
      </c>
      <c r="S48" s="181">
        <f>SUM(S31:S46)</f>
        <v>0</v>
      </c>
      <c r="T48" s="181">
        <f>SUM(T31:T46)</f>
        <v>0</v>
      </c>
      <c r="U48" s="181">
        <f>SUM(U31:U46)</f>
        <v>0</v>
      </c>
      <c r="V48" s="181">
        <f>SUM(V31:V46)</f>
        <v>0</v>
      </c>
      <c r="W48" s="181"/>
      <c r="X48" s="181">
        <f>SUM(X31:X46)</f>
        <v>717.78920999999991</v>
      </c>
      <c r="Y48" s="181">
        <f>SUM(Y31:Y46)</f>
        <v>2895342.1367600001</v>
      </c>
      <c r="Z48" s="181">
        <f>SUM(Z31:Z46)</f>
        <v>193365.03054000001</v>
      </c>
      <c r="AA48" s="181">
        <f>SUM(AA31:AA46)</f>
        <v>18490.464070000002</v>
      </c>
      <c r="AB48" s="181">
        <f>SUM(AB31:AB46)</f>
        <v>65635.658329999991</v>
      </c>
      <c r="AC48" s="181"/>
      <c r="AD48" s="181"/>
    </row>
    <row r="49" spans="1:45" x14ac:dyDescent="0.2">
      <c r="A49" s="180"/>
      <c r="B49" s="165" t="s">
        <v>42</v>
      </c>
      <c r="D49" s="182" t="s">
        <v>40</v>
      </c>
      <c r="E49" s="182" t="s">
        <v>40</v>
      </c>
      <c r="F49" s="182" t="s">
        <v>40</v>
      </c>
      <c r="G49" s="182"/>
      <c r="H49" s="182" t="s">
        <v>40</v>
      </c>
      <c r="I49" s="182" t="s">
        <v>40</v>
      </c>
      <c r="J49" s="182" t="s">
        <v>40</v>
      </c>
      <c r="K49" s="182" t="s">
        <v>40</v>
      </c>
      <c r="L49" s="182" t="s">
        <v>40</v>
      </c>
      <c r="M49" s="182"/>
      <c r="N49" s="182" t="s">
        <v>40</v>
      </c>
      <c r="O49" s="182" t="s">
        <v>40</v>
      </c>
      <c r="P49" s="182" t="s">
        <v>40</v>
      </c>
      <c r="Q49" s="182"/>
      <c r="R49" s="182" t="s">
        <v>40</v>
      </c>
      <c r="S49" s="182" t="s">
        <v>40</v>
      </c>
      <c r="T49" s="182" t="s">
        <v>40</v>
      </c>
      <c r="U49" s="182" t="s">
        <v>40</v>
      </c>
      <c r="V49" s="182" t="s">
        <v>40</v>
      </c>
      <c r="W49" s="182"/>
      <c r="X49" s="182" t="s">
        <v>40</v>
      </c>
      <c r="Y49" s="182" t="s">
        <v>40</v>
      </c>
      <c r="Z49" s="182" t="s">
        <v>40</v>
      </c>
      <c r="AA49" s="182" t="s">
        <v>40</v>
      </c>
      <c r="AB49" s="182" t="s">
        <v>40</v>
      </c>
      <c r="AC49" s="182"/>
      <c r="AD49" s="182"/>
      <c r="AS49" s="186"/>
    </row>
    <row r="50" spans="1:45" ht="16.5" customHeight="1" thickBot="1" x14ac:dyDescent="0.25">
      <c r="A50" s="187"/>
      <c r="B50" s="183" t="s">
        <v>292</v>
      </c>
      <c r="C50" s="186"/>
      <c r="D50" s="184">
        <f>TOBEPAID!D41/1000</f>
        <v>1024.9293500000001</v>
      </c>
      <c r="E50" s="181">
        <f>TOBEPAID!E41/1000</f>
        <v>0</v>
      </c>
      <c r="F50" s="181">
        <f>TOBEPAID!F41/1000</f>
        <v>0</v>
      </c>
      <c r="G50" s="181">
        <f>TOBEPAID!G41/1000</f>
        <v>0</v>
      </c>
      <c r="H50" s="181"/>
      <c r="I50" s="181">
        <f>TOBEPAID!I41/1000</f>
        <v>0</v>
      </c>
      <c r="J50" s="181">
        <f>TOBEPAID!J41/1000</f>
        <v>0</v>
      </c>
      <c r="K50" s="181">
        <f>TOBEPAID!K41/1000</f>
        <v>0</v>
      </c>
      <c r="L50" s="181">
        <f>TOBEPAID!L41/1000</f>
        <v>0</v>
      </c>
      <c r="M50" s="181">
        <f>TOBEPAID!M41/1000</f>
        <v>0</v>
      </c>
      <c r="N50" s="181">
        <f>TOBEPAID!N41/1000</f>
        <v>0</v>
      </c>
      <c r="O50" s="181">
        <f>TOBEPAID!O41/1000</f>
        <v>1024.9293500000001</v>
      </c>
      <c r="P50" s="181">
        <f>TOBEPAID!P41/1000</f>
        <v>0</v>
      </c>
      <c r="Q50" s="181">
        <f>TOBEPAID!Q41/1000</f>
        <v>0</v>
      </c>
      <c r="R50" s="184">
        <f>TOBEPAID!R41/1000</f>
        <v>1024.9293500000001</v>
      </c>
      <c r="S50" s="184">
        <f>TOBEPAID!S41/1000</f>
        <v>0</v>
      </c>
      <c r="T50" s="184">
        <f>TOBEPAID!T41/1000</f>
        <v>0</v>
      </c>
      <c r="U50" s="184">
        <f>TOBEPAID!U41/1000</f>
        <v>0</v>
      </c>
      <c r="V50" s="184">
        <f>TOBEPAID!V41/1000</f>
        <v>0</v>
      </c>
      <c r="W50" s="184">
        <f>TOBEPAID!W41/1000</f>
        <v>0</v>
      </c>
      <c r="X50" s="184">
        <f>TOBEPAID!X41/1000</f>
        <v>0</v>
      </c>
      <c r="Y50" s="184">
        <f>+H50+R50</f>
        <v>1024.9293500000001</v>
      </c>
      <c r="Z50" s="184">
        <f>TOBEPAID!Z41/1000</f>
        <v>0</v>
      </c>
      <c r="AA50" s="181">
        <f>TOBEPAID!AA41/1000</f>
        <v>0</v>
      </c>
      <c r="AB50" s="181">
        <f>TOBEPAID!AB41/1000</f>
        <v>0</v>
      </c>
      <c r="AC50" s="181"/>
      <c r="AD50" s="181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</row>
    <row r="51" spans="1:45" ht="25.5" customHeight="1" thickTop="1" x14ac:dyDescent="0.2">
      <c r="A51" s="180">
        <v>4</v>
      </c>
      <c r="B51" s="166" t="s">
        <v>45</v>
      </c>
      <c r="C51" s="166" t="s">
        <v>35</v>
      </c>
      <c r="D51" s="181">
        <f>19316346/1000</f>
        <v>19316.346000000001</v>
      </c>
      <c r="E51" s="181">
        <f>TOBEPAID!E42/1000</f>
        <v>0</v>
      </c>
      <c r="F51" s="181">
        <f>TOBEPAID!F42/1000</f>
        <v>0</v>
      </c>
      <c r="G51" s="181">
        <f>TOBEPAID!G42/1000</f>
        <v>0</v>
      </c>
      <c r="H51" s="181">
        <v>0</v>
      </c>
      <c r="I51" s="181">
        <f>TOBEPAID!I42/1000</f>
        <v>0</v>
      </c>
      <c r="J51" s="181">
        <f>TOBEPAID!J42/1000</f>
        <v>0</v>
      </c>
      <c r="K51" s="181">
        <f>TOBEPAID!K42/1000</f>
        <v>0</v>
      </c>
      <c r="L51" s="181">
        <f>TOBEPAID!L42/1000</f>
        <v>0</v>
      </c>
      <c r="M51" s="181">
        <f>TOBEPAID!M42/1000</f>
        <v>0</v>
      </c>
      <c r="N51" s="181">
        <f>TOBEPAID!N42/1000</f>
        <v>0</v>
      </c>
      <c r="O51" s="181">
        <f>TOBEPAID!O42/1000</f>
        <v>181.75254999999999</v>
      </c>
      <c r="P51" s="181">
        <f>TOBEPAID!P42/1000</f>
        <v>0</v>
      </c>
      <c r="Q51" s="181">
        <f>TOBEPAID!Q42/1000</f>
        <v>0</v>
      </c>
      <c r="R51" s="181">
        <v>0</v>
      </c>
      <c r="S51" s="181">
        <f>TOBEPAID!S42/1000</f>
        <v>39.241199999999999</v>
      </c>
      <c r="T51" s="181">
        <f>TOBEPAID!T42/1000</f>
        <v>0</v>
      </c>
      <c r="U51" s="181">
        <f>TOBEPAID!U42/1000</f>
        <v>0</v>
      </c>
      <c r="V51" s="181">
        <f>TOBEPAID!V42/1000</f>
        <v>0</v>
      </c>
      <c r="W51" s="181">
        <f>TOBEPAID!W42/1000</f>
        <v>0</v>
      </c>
      <c r="X51" s="181">
        <f>TOBEPAID!X42/1000</f>
        <v>181.75254999999999</v>
      </c>
      <c r="Y51" s="181">
        <f>+H51+R51</f>
        <v>0</v>
      </c>
      <c r="Z51" s="181">
        <f>+D51-Y51</f>
        <v>19316.346000000001</v>
      </c>
      <c r="AA51" s="181">
        <f>TOBEPAID!AA42/1000</f>
        <v>181.75254999999999</v>
      </c>
      <c r="AB51" s="181">
        <f>TOBEPAID!AB42/1000</f>
        <v>19134.594399999998</v>
      </c>
      <c r="AC51" s="181"/>
      <c r="AD51" s="181"/>
    </row>
    <row r="52" spans="1:45" x14ac:dyDescent="0.2">
      <c r="A52" s="180"/>
      <c r="C52" s="168" t="s">
        <v>36</v>
      </c>
      <c r="D52" s="181">
        <f>1977546/1000</f>
        <v>1977.546</v>
      </c>
      <c r="E52" s="181">
        <f>TOBEPAID!E43/1000</f>
        <v>1977.54691</v>
      </c>
      <c r="F52" s="181">
        <f>TOBEPAID!F43/1000</f>
        <v>0</v>
      </c>
      <c r="G52" s="181">
        <f>TOBEPAID!G43/1000</f>
        <v>0</v>
      </c>
      <c r="H52" s="181">
        <f>1977546/1000</f>
        <v>1977.546</v>
      </c>
      <c r="I52" s="181">
        <f>TOBEPAID!I43/1000</f>
        <v>0</v>
      </c>
      <c r="J52" s="181">
        <f>TOBEPAID!J43/1000</f>
        <v>0</v>
      </c>
      <c r="K52" s="181">
        <f>TOBEPAID!K43/1000</f>
        <v>0</v>
      </c>
      <c r="L52" s="181">
        <f>TOBEPAID!L43/1000</f>
        <v>0</v>
      </c>
      <c r="M52" s="181">
        <f>TOBEPAID!M43/1000</f>
        <v>0</v>
      </c>
      <c r="N52" s="181">
        <f>TOBEPAID!N43/1000</f>
        <v>1977.54691</v>
      </c>
      <c r="O52" s="181">
        <f>TOBEPAID!O43/1000</f>
        <v>0</v>
      </c>
      <c r="P52" s="181">
        <f>TOBEPAID!P43/1000</f>
        <v>0</v>
      </c>
      <c r="Q52" s="181">
        <f>TOBEPAID!Q43/1000</f>
        <v>0</v>
      </c>
      <c r="R52" s="181">
        <v>0</v>
      </c>
      <c r="S52" s="181">
        <f>TOBEPAID!S43/1000</f>
        <v>0</v>
      </c>
      <c r="T52" s="181">
        <f>TOBEPAID!T43/1000</f>
        <v>0</v>
      </c>
      <c r="U52" s="181">
        <f>TOBEPAID!U43/1000</f>
        <v>0</v>
      </c>
      <c r="V52" s="181">
        <f>TOBEPAID!V43/1000</f>
        <v>0</v>
      </c>
      <c r="W52" s="181">
        <f>TOBEPAID!W43/1000</f>
        <v>0</v>
      </c>
      <c r="X52" s="181">
        <f>TOBEPAID!X43/1000</f>
        <v>0</v>
      </c>
      <c r="Y52" s="181">
        <f>+H52+R52</f>
        <v>1977.546</v>
      </c>
      <c r="Z52" s="181">
        <f>+D52-Y52</f>
        <v>0</v>
      </c>
      <c r="AA52" s="181">
        <f>TOBEPAID!AA43/1000</f>
        <v>1977.54691</v>
      </c>
      <c r="AB52" s="181">
        <f>TOBEPAID!AB43/1000</f>
        <v>0</v>
      </c>
      <c r="AC52" s="181"/>
      <c r="AD52" s="181"/>
    </row>
    <row r="53" spans="1:45" x14ac:dyDescent="0.2">
      <c r="C53" s="165" t="s">
        <v>317</v>
      </c>
      <c r="D53" s="181">
        <f>6975852/1000</f>
        <v>6975.8519999999999</v>
      </c>
      <c r="E53" s="181">
        <f>TOBEPAID!E44/1000</f>
        <v>6975.8519999999999</v>
      </c>
      <c r="F53" s="181">
        <f>TOBEPAID!F44/1000</f>
        <v>0</v>
      </c>
      <c r="G53" s="181">
        <f>TOBEPAID!G44/1000</f>
        <v>0</v>
      </c>
      <c r="H53" s="181">
        <f>6975852/1000</f>
        <v>6975.8519999999999</v>
      </c>
      <c r="I53" s="181">
        <f>TOBEPAID!I44/1000</f>
        <v>0</v>
      </c>
      <c r="J53" s="181">
        <f>TOBEPAID!J44/1000</f>
        <v>0</v>
      </c>
      <c r="K53" s="181">
        <f>TOBEPAID!K44/1000</f>
        <v>0</v>
      </c>
      <c r="L53" s="181">
        <f>TOBEPAID!L44/1000</f>
        <v>0</v>
      </c>
      <c r="M53" s="181">
        <f>TOBEPAID!M44/1000</f>
        <v>0</v>
      </c>
      <c r="N53" s="181">
        <f>TOBEPAID!N44/1000</f>
        <v>6975.8519999999999</v>
      </c>
      <c r="O53" s="181">
        <f>TOBEPAID!O44/1000</f>
        <v>0</v>
      </c>
      <c r="P53" s="181">
        <f>TOBEPAID!P44/1000</f>
        <v>0</v>
      </c>
      <c r="Q53" s="181">
        <f>TOBEPAID!Q44/1000</f>
        <v>0</v>
      </c>
      <c r="R53" s="181">
        <v>0</v>
      </c>
      <c r="S53" s="181">
        <f>TOBEPAID!S44/1000</f>
        <v>0</v>
      </c>
      <c r="T53" s="181">
        <f>TOBEPAID!T44/1000</f>
        <v>0</v>
      </c>
      <c r="U53" s="181">
        <f>TOBEPAID!U44/1000</f>
        <v>0</v>
      </c>
      <c r="V53" s="181">
        <f>TOBEPAID!V44/1000</f>
        <v>0</v>
      </c>
      <c r="W53" s="181">
        <f>TOBEPAID!W44/1000</f>
        <v>0</v>
      </c>
      <c r="X53" s="181">
        <f>TOBEPAID!X44/1000</f>
        <v>0</v>
      </c>
      <c r="Y53" s="181">
        <f>+H53+R53</f>
        <v>6975.8519999999999</v>
      </c>
      <c r="Z53" s="181">
        <f>+D53-Y53</f>
        <v>0</v>
      </c>
      <c r="AA53" s="181">
        <f>TOBEPAID!AA44/1000</f>
        <v>6975.8519999999999</v>
      </c>
      <c r="AB53" s="181">
        <f>TOBEPAID!AB44/1000</f>
        <v>0</v>
      </c>
      <c r="AC53" s="181"/>
      <c r="AD53" s="181"/>
    </row>
    <row r="54" spans="1:45" x14ac:dyDescent="0.2">
      <c r="A54" s="180"/>
      <c r="C54" s="166" t="s">
        <v>37</v>
      </c>
      <c r="D54" s="181">
        <f>2485399/1000</f>
        <v>2485.3989999999999</v>
      </c>
      <c r="E54" s="181">
        <f>TOBEPAID!E45/1000</f>
        <v>0</v>
      </c>
      <c r="F54" s="181">
        <f>TOBEPAID!F45/1000</f>
        <v>0</v>
      </c>
      <c r="G54" s="181">
        <f>TOBEPAID!G45/1000</f>
        <v>0</v>
      </c>
      <c r="H54" s="181">
        <v>0</v>
      </c>
      <c r="I54" s="181">
        <f>TOBEPAID!I45/1000</f>
        <v>0</v>
      </c>
      <c r="J54" s="181">
        <f>TOBEPAID!J45/1000</f>
        <v>0</v>
      </c>
      <c r="K54" s="181">
        <f>TOBEPAID!K45/1000</f>
        <v>0</v>
      </c>
      <c r="L54" s="181">
        <f>TOBEPAID!L45/1000</f>
        <v>0</v>
      </c>
      <c r="M54" s="181">
        <f>TOBEPAID!M45/1000</f>
        <v>0</v>
      </c>
      <c r="N54" s="181">
        <f>TOBEPAID!N45/1000</f>
        <v>0</v>
      </c>
      <c r="O54" s="181">
        <f>TOBEPAID!O45/1000</f>
        <v>0</v>
      </c>
      <c r="P54" s="181">
        <f>TOBEPAID!P45/1000</f>
        <v>0</v>
      </c>
      <c r="Q54" s="181">
        <f>TOBEPAID!Q45/1000</f>
        <v>0</v>
      </c>
      <c r="R54" s="181">
        <v>0</v>
      </c>
      <c r="S54" s="181">
        <f>TOBEPAID!S45/1000</f>
        <v>0</v>
      </c>
      <c r="T54" s="181">
        <f>TOBEPAID!T45/1000</f>
        <v>0</v>
      </c>
      <c r="U54" s="181">
        <f>TOBEPAID!U45/1000</f>
        <v>0</v>
      </c>
      <c r="V54" s="181">
        <f>TOBEPAID!V45/1000</f>
        <v>0</v>
      </c>
      <c r="W54" s="181">
        <f>TOBEPAID!W45/1000</f>
        <v>0</v>
      </c>
      <c r="X54" s="181">
        <f>TOBEPAID!X45/1000</f>
        <v>0</v>
      </c>
      <c r="Y54" s="181">
        <f>+H54+R54</f>
        <v>0</v>
      </c>
      <c r="Z54" s="181">
        <f>+D54-Y54</f>
        <v>2485.3989999999999</v>
      </c>
      <c r="AA54" s="181">
        <f>TOBEPAID!AA45/1000</f>
        <v>0</v>
      </c>
      <c r="AB54" s="181">
        <f>TOBEPAID!AB45/1000</f>
        <v>2485.3994600000001</v>
      </c>
      <c r="AC54" s="181"/>
      <c r="AD54" s="181"/>
    </row>
    <row r="55" spans="1:45" x14ac:dyDescent="0.2">
      <c r="A55" s="180"/>
      <c r="D55" s="182" t="s">
        <v>40</v>
      </c>
      <c r="E55" s="182" t="s">
        <v>40</v>
      </c>
      <c r="F55" s="182" t="s">
        <v>40</v>
      </c>
      <c r="G55" s="182"/>
      <c r="H55" s="182" t="s">
        <v>40</v>
      </c>
      <c r="I55" s="182" t="s">
        <v>40</v>
      </c>
      <c r="J55" s="182" t="s">
        <v>40</v>
      </c>
      <c r="K55" s="182" t="s">
        <v>40</v>
      </c>
      <c r="L55" s="182" t="s">
        <v>40</v>
      </c>
      <c r="M55" s="182"/>
      <c r="N55" s="182" t="s">
        <v>40</v>
      </c>
      <c r="O55" s="182" t="s">
        <v>40</v>
      </c>
      <c r="P55" s="182" t="s">
        <v>40</v>
      </c>
      <c r="Q55" s="182"/>
      <c r="R55" s="182" t="s">
        <v>40</v>
      </c>
      <c r="S55" s="182" t="s">
        <v>40</v>
      </c>
      <c r="T55" s="182" t="s">
        <v>40</v>
      </c>
      <c r="U55" s="182" t="s">
        <v>40</v>
      </c>
      <c r="V55" s="182" t="s">
        <v>40</v>
      </c>
      <c r="W55" s="182"/>
      <c r="X55" s="182" t="s">
        <v>40</v>
      </c>
      <c r="Y55" s="182" t="s">
        <v>40</v>
      </c>
      <c r="Z55" s="182" t="s">
        <v>40</v>
      </c>
      <c r="AA55" s="182" t="s">
        <v>40</v>
      </c>
      <c r="AB55" s="182" t="s">
        <v>40</v>
      </c>
      <c r="AC55" s="182"/>
      <c r="AD55" s="182"/>
    </row>
    <row r="56" spans="1:45" x14ac:dyDescent="0.2">
      <c r="A56" s="180"/>
      <c r="D56" s="181">
        <f>SUM(D51:D54)</f>
        <v>30755.143</v>
      </c>
      <c r="E56" s="181">
        <f>SUM(E51:E54)</f>
        <v>8953.3989099999999</v>
      </c>
      <c r="F56" s="181">
        <f>SUM(F51:F54)</f>
        <v>0</v>
      </c>
      <c r="G56" s="181"/>
      <c r="H56" s="181">
        <f>SUM(H51:H54)</f>
        <v>8953.3979999999992</v>
      </c>
      <c r="I56" s="181">
        <f>SUM(I51:I54)</f>
        <v>0</v>
      </c>
      <c r="J56" s="181">
        <f>SUM(J51:J54)</f>
        <v>0</v>
      </c>
      <c r="K56" s="181">
        <f>SUM(K51:K54)</f>
        <v>0</v>
      </c>
      <c r="L56" s="181">
        <f>SUM(L51:L54)</f>
        <v>0</v>
      </c>
      <c r="M56" s="181"/>
      <c r="N56" s="181">
        <f>SUM(N51:N54)</f>
        <v>8953.3989099999999</v>
      </c>
      <c r="O56" s="181">
        <f>SUM(O51:O54)</f>
        <v>181.75254999999999</v>
      </c>
      <c r="P56" s="181">
        <f>SUM(P51:P54)</f>
        <v>0</v>
      </c>
      <c r="Q56" s="181"/>
      <c r="R56" s="181">
        <f>SUM(R51:R54)</f>
        <v>0</v>
      </c>
      <c r="S56" s="181">
        <f>SUM(S51:S54)</f>
        <v>39.241199999999999</v>
      </c>
      <c r="T56" s="181">
        <f>SUM(T51:T54)</f>
        <v>0</v>
      </c>
      <c r="U56" s="181">
        <f>SUM(U51:U54)</f>
        <v>0</v>
      </c>
      <c r="V56" s="181">
        <f>SUM(V51:V54)</f>
        <v>0</v>
      </c>
      <c r="W56" s="181"/>
      <c r="X56" s="181">
        <f>SUM(X51:X54)</f>
        <v>181.75254999999999</v>
      </c>
      <c r="Y56" s="181">
        <f>SUM(Y51:Y54)</f>
        <v>8953.3979999999992</v>
      </c>
      <c r="Z56" s="181">
        <f>SUM(Z51:Z54)</f>
        <v>21801.745000000003</v>
      </c>
      <c r="AA56" s="181">
        <f>SUM(AA51:AA54)</f>
        <v>9135.151460000001</v>
      </c>
      <c r="AB56" s="181">
        <f>SUM(AB51:AB54)</f>
        <v>21619.993859999999</v>
      </c>
      <c r="AC56" s="181"/>
      <c r="AD56" s="181"/>
    </row>
    <row r="57" spans="1:45" x14ac:dyDescent="0.2">
      <c r="A57" s="180"/>
      <c r="D57" s="182" t="s">
        <v>40</v>
      </c>
      <c r="E57" s="182" t="s">
        <v>40</v>
      </c>
      <c r="F57" s="182" t="s">
        <v>40</v>
      </c>
      <c r="G57" s="182"/>
      <c r="H57" s="182" t="s">
        <v>40</v>
      </c>
      <c r="I57" s="182" t="s">
        <v>40</v>
      </c>
      <c r="J57" s="182" t="s">
        <v>40</v>
      </c>
      <c r="K57" s="182" t="s">
        <v>40</v>
      </c>
      <c r="L57" s="182" t="s">
        <v>40</v>
      </c>
      <c r="M57" s="182"/>
      <c r="N57" s="182" t="s">
        <v>40</v>
      </c>
      <c r="O57" s="182" t="s">
        <v>40</v>
      </c>
      <c r="P57" s="182" t="s">
        <v>40</v>
      </c>
      <c r="Q57" s="182"/>
      <c r="R57" s="182" t="s">
        <v>40</v>
      </c>
      <c r="S57" s="182" t="s">
        <v>40</v>
      </c>
      <c r="T57" s="182" t="s">
        <v>40</v>
      </c>
      <c r="U57" s="182" t="s">
        <v>40</v>
      </c>
      <c r="V57" s="182" t="s">
        <v>40</v>
      </c>
      <c r="W57" s="182"/>
      <c r="X57" s="182" t="s">
        <v>40</v>
      </c>
      <c r="Y57" s="182" t="s">
        <v>40</v>
      </c>
      <c r="Z57" s="182" t="s">
        <v>40</v>
      </c>
      <c r="AA57" s="182" t="s">
        <v>40</v>
      </c>
      <c r="AB57" s="182" t="s">
        <v>40</v>
      </c>
      <c r="AC57" s="182"/>
      <c r="AD57" s="182"/>
    </row>
    <row r="58" spans="1:45" x14ac:dyDescent="0.2">
      <c r="A58" s="180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8"/>
      <c r="P58" s="189"/>
      <c r="Q58" s="190"/>
      <c r="R58" s="191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</row>
    <row r="59" spans="1:45" x14ac:dyDescent="0.2">
      <c r="A59" s="180">
        <v>5</v>
      </c>
      <c r="B59" s="168" t="s">
        <v>46</v>
      </c>
      <c r="C59" s="166" t="s">
        <v>35</v>
      </c>
      <c r="D59" s="181">
        <f>25823073.05/1000</f>
        <v>25823.073049999999</v>
      </c>
      <c r="E59" s="181">
        <f>TOBEPAID!E50/1000</f>
        <v>0</v>
      </c>
      <c r="F59" s="181">
        <f>TOBEPAID!F50/1000</f>
        <v>0</v>
      </c>
      <c r="G59" s="181">
        <f>TOBEPAID!G50/1000</f>
        <v>0</v>
      </c>
      <c r="H59" s="181">
        <f>2000000/1000</f>
        <v>2000</v>
      </c>
      <c r="I59" s="181">
        <f>TOBEPAID!I50/1000</f>
        <v>0</v>
      </c>
      <c r="J59" s="181">
        <f>TOBEPAID!J50/1000</f>
        <v>0</v>
      </c>
      <c r="K59" s="181">
        <f>TOBEPAID!K50/1000</f>
        <v>0</v>
      </c>
      <c r="L59" s="181">
        <f>TOBEPAID!L50/1000</f>
        <v>0</v>
      </c>
      <c r="M59" s="181">
        <f>TOBEPAID!M50/1000</f>
        <v>0</v>
      </c>
      <c r="N59" s="181">
        <f>TOBEPAID!N50/1000</f>
        <v>0</v>
      </c>
      <c r="O59" s="181">
        <f>TOBEPAID!O50/1000</f>
        <v>23528.628100000002</v>
      </c>
      <c r="P59" s="181">
        <f>TOBEPAID!P50/1000</f>
        <v>0</v>
      </c>
      <c r="Q59" s="181">
        <f>TOBEPAID!Q50/1000</f>
        <v>0</v>
      </c>
      <c r="R59" s="181">
        <f>23528628/1000</f>
        <v>23528.628000000001</v>
      </c>
      <c r="S59" s="181">
        <f>TOBEPAID!S50/1000</f>
        <v>10110.608039999999</v>
      </c>
      <c r="T59" s="181">
        <f>TOBEPAID!T50/1000</f>
        <v>5298.8419599999997</v>
      </c>
      <c r="U59" s="181">
        <f>TOBEPAID!U50/1000</f>
        <v>0</v>
      </c>
      <c r="V59" s="181">
        <f>TOBEPAID!V50/1000</f>
        <v>0</v>
      </c>
      <c r="W59" s="181">
        <f>TOBEPAID!W50/1000</f>
        <v>0</v>
      </c>
      <c r="X59" s="181">
        <f>TOBEPAID!X50/1000</f>
        <v>23528.628100000002</v>
      </c>
      <c r="Y59" s="181">
        <f>+H59+R59</f>
        <v>25528.628000000001</v>
      </c>
      <c r="Z59" s="181">
        <f>+D59-Y59</f>
        <v>294.44504999999845</v>
      </c>
      <c r="AA59" s="181">
        <f>TOBEPAID!AA50/1000</f>
        <v>23528.628100000002</v>
      </c>
      <c r="AB59" s="181">
        <f>TOBEPAID!AB50/1000</f>
        <v>-1.0000000149011611E-4</v>
      </c>
      <c r="AC59" s="181"/>
      <c r="AD59" s="181"/>
    </row>
    <row r="60" spans="1:45" x14ac:dyDescent="0.2">
      <c r="A60" s="180"/>
      <c r="C60" s="168" t="s">
        <v>36</v>
      </c>
      <c r="D60" s="181">
        <f>3180311/1000</f>
        <v>3180.3110000000001</v>
      </c>
      <c r="E60" s="181">
        <f>TOBEPAID!E51/1000</f>
        <v>3180.31169</v>
      </c>
      <c r="F60" s="181">
        <f>TOBEPAID!F51/1000</f>
        <v>0</v>
      </c>
      <c r="G60" s="181">
        <f>TOBEPAID!G51/1000</f>
        <v>0</v>
      </c>
      <c r="H60" s="181">
        <f>3180311/1000</f>
        <v>3180.3110000000001</v>
      </c>
      <c r="I60" s="181">
        <f>TOBEPAID!I51/1000</f>
        <v>0</v>
      </c>
      <c r="J60" s="181">
        <f>TOBEPAID!J51/1000</f>
        <v>0</v>
      </c>
      <c r="K60" s="181">
        <f>TOBEPAID!K51/1000</f>
        <v>0</v>
      </c>
      <c r="L60" s="181">
        <f>TOBEPAID!L51/1000</f>
        <v>0</v>
      </c>
      <c r="M60" s="181">
        <f>TOBEPAID!M51/1000</f>
        <v>0</v>
      </c>
      <c r="N60" s="181">
        <f>TOBEPAID!N51/1000</f>
        <v>3180.31169</v>
      </c>
      <c r="O60" s="181">
        <f>TOBEPAID!O51/1000</f>
        <v>0</v>
      </c>
      <c r="P60" s="181">
        <f>TOBEPAID!P51/1000</f>
        <v>0</v>
      </c>
      <c r="Q60" s="181">
        <f>TOBEPAID!Q51/1000</f>
        <v>0</v>
      </c>
      <c r="R60" s="181">
        <v>0</v>
      </c>
      <c r="S60" s="181">
        <f>TOBEPAID!S51/1000</f>
        <v>0</v>
      </c>
      <c r="T60" s="181">
        <f>TOBEPAID!T51/1000</f>
        <v>0</v>
      </c>
      <c r="U60" s="181">
        <f>TOBEPAID!U51/1000</f>
        <v>0</v>
      </c>
      <c r="V60" s="181">
        <f>TOBEPAID!V51/1000</f>
        <v>0</v>
      </c>
      <c r="W60" s="181">
        <f>TOBEPAID!W51/1000</f>
        <v>0</v>
      </c>
      <c r="X60" s="181">
        <f>TOBEPAID!X51/1000</f>
        <v>0</v>
      </c>
      <c r="Y60" s="181">
        <f t="shared" ref="Y60:Y79" si="3">+H60+R60</f>
        <v>3180.3110000000001</v>
      </c>
      <c r="Z60" s="181">
        <f t="shared" ref="Z60:Z79" si="4">+D60-Y60</f>
        <v>0</v>
      </c>
      <c r="AA60" s="181">
        <f>TOBEPAID!AA51/1000</f>
        <v>3180.31169</v>
      </c>
      <c r="AB60" s="181">
        <f>TOBEPAID!AB51/1000</f>
        <v>0</v>
      </c>
      <c r="AC60" s="181"/>
      <c r="AD60" s="181"/>
    </row>
    <row r="61" spans="1:45" x14ac:dyDescent="0.2">
      <c r="A61" s="180"/>
      <c r="C61" s="168" t="s">
        <v>454</v>
      </c>
      <c r="D61" s="181">
        <f>23000000/1000</f>
        <v>23000</v>
      </c>
      <c r="E61" s="181"/>
      <c r="F61" s="181"/>
      <c r="G61" s="181"/>
      <c r="H61" s="181">
        <f>23000000/1000</f>
        <v>23000</v>
      </c>
      <c r="I61" s="181"/>
      <c r="J61" s="181"/>
      <c r="K61" s="181"/>
      <c r="L61" s="181"/>
      <c r="M61" s="181"/>
      <c r="N61" s="181"/>
      <c r="O61" s="181"/>
      <c r="P61" s="181"/>
      <c r="Q61" s="181"/>
      <c r="R61" s="181">
        <v>0</v>
      </c>
      <c r="S61" s="181"/>
      <c r="T61" s="181"/>
      <c r="U61" s="181"/>
      <c r="V61" s="181"/>
      <c r="W61" s="181"/>
      <c r="X61" s="181"/>
      <c r="Y61" s="181">
        <f>+H61+R61</f>
        <v>23000</v>
      </c>
      <c r="Z61" s="181">
        <f>+D61-Y61</f>
        <v>0</v>
      </c>
      <c r="AA61" s="181"/>
      <c r="AB61" s="181"/>
      <c r="AC61" s="181"/>
      <c r="AD61" s="181"/>
    </row>
    <row r="62" spans="1:45" x14ac:dyDescent="0.2">
      <c r="A62" s="180"/>
      <c r="C62" s="168" t="s">
        <v>468</v>
      </c>
      <c r="D62" s="181">
        <f>40000000/1000</f>
        <v>40000</v>
      </c>
      <c r="E62" s="181"/>
      <c r="F62" s="181"/>
      <c r="G62" s="181"/>
      <c r="H62" s="181">
        <f>40000000/1000</f>
        <v>40000</v>
      </c>
      <c r="I62" s="181"/>
      <c r="J62" s="181"/>
      <c r="K62" s="181"/>
      <c r="L62" s="181"/>
      <c r="M62" s="181"/>
      <c r="N62" s="181"/>
      <c r="O62" s="181"/>
      <c r="P62" s="181"/>
      <c r="Q62" s="181"/>
      <c r="R62" s="181">
        <v>0</v>
      </c>
      <c r="S62" s="181"/>
      <c r="T62" s="181"/>
      <c r="U62" s="181"/>
      <c r="V62" s="181"/>
      <c r="W62" s="181"/>
      <c r="X62" s="181"/>
      <c r="Y62" s="181">
        <f>+H62+R62</f>
        <v>40000</v>
      </c>
      <c r="Z62" s="181">
        <f>+D62-Y62</f>
        <v>0</v>
      </c>
      <c r="AA62" s="181"/>
      <c r="AB62" s="181"/>
      <c r="AC62" s="181"/>
      <c r="AD62" s="181"/>
    </row>
    <row r="63" spans="1:45" x14ac:dyDescent="0.2">
      <c r="A63" s="180"/>
      <c r="C63" s="168" t="s">
        <v>458</v>
      </c>
      <c r="D63" s="181">
        <f>58283000/1000</f>
        <v>58283</v>
      </c>
      <c r="E63" s="181"/>
      <c r="F63" s="181"/>
      <c r="G63" s="181"/>
      <c r="H63" s="181">
        <f>14782000/1000</f>
        <v>14782</v>
      </c>
      <c r="I63" s="181"/>
      <c r="J63" s="181"/>
      <c r="K63" s="181"/>
      <c r="L63" s="181"/>
      <c r="M63" s="181"/>
      <c r="N63" s="181"/>
      <c r="O63" s="181"/>
      <c r="P63" s="181"/>
      <c r="Q63" s="181"/>
      <c r="R63" s="181">
        <f>2384353/1000</f>
        <v>2384.3530000000001</v>
      </c>
      <c r="S63" s="181"/>
      <c r="T63" s="181"/>
      <c r="U63" s="181"/>
      <c r="V63" s="181"/>
      <c r="W63" s="181"/>
      <c r="X63" s="181"/>
      <c r="Y63" s="181">
        <f>+H63+R63</f>
        <v>17166.352999999999</v>
      </c>
      <c r="Z63" s="181">
        <f>+D63-Y63</f>
        <v>41116.646999999997</v>
      </c>
      <c r="AA63" s="181"/>
      <c r="AB63" s="181"/>
      <c r="AC63" s="181"/>
      <c r="AD63" s="181"/>
    </row>
    <row r="64" spans="1:45" x14ac:dyDescent="0.2">
      <c r="A64" s="180"/>
      <c r="C64" s="165" t="s">
        <v>365</v>
      </c>
      <c r="D64" s="181">
        <f>4777683/1000</f>
        <v>4777.683</v>
      </c>
      <c r="E64" s="181"/>
      <c r="F64" s="181"/>
      <c r="G64" s="181"/>
      <c r="H64" s="181">
        <f>4777683/1000</f>
        <v>4777.683</v>
      </c>
      <c r="I64" s="181"/>
      <c r="J64" s="181"/>
      <c r="K64" s="181"/>
      <c r="L64" s="181"/>
      <c r="M64" s="181"/>
      <c r="N64" s="181"/>
      <c r="O64" s="181"/>
      <c r="P64" s="181"/>
      <c r="Q64" s="181"/>
      <c r="R64" s="181">
        <v>0</v>
      </c>
      <c r="S64" s="181"/>
      <c r="T64" s="181"/>
      <c r="U64" s="181"/>
      <c r="V64" s="181"/>
      <c r="W64" s="181"/>
      <c r="X64" s="181"/>
      <c r="Y64" s="181">
        <f t="shared" si="3"/>
        <v>4777.683</v>
      </c>
      <c r="Z64" s="181">
        <f t="shared" si="4"/>
        <v>0</v>
      </c>
      <c r="AA64" s="181"/>
      <c r="AB64" s="181"/>
      <c r="AC64" s="181"/>
      <c r="AD64" s="181"/>
    </row>
    <row r="65" spans="1:45" x14ac:dyDescent="0.2">
      <c r="A65" s="180"/>
      <c r="C65" s="165" t="s">
        <v>366</v>
      </c>
      <c r="D65" s="181">
        <f>8013100/1000</f>
        <v>8013.1</v>
      </c>
      <c r="E65" s="181"/>
      <c r="F65" s="181"/>
      <c r="G65" s="181"/>
      <c r="H65" s="181">
        <f>8013100/1000</f>
        <v>8013.1</v>
      </c>
      <c r="I65" s="181"/>
      <c r="J65" s="181"/>
      <c r="K65" s="181"/>
      <c r="L65" s="181"/>
      <c r="M65" s="181"/>
      <c r="N65" s="181"/>
      <c r="O65" s="181"/>
      <c r="P65" s="181"/>
      <c r="Q65" s="181"/>
      <c r="R65" s="181">
        <v>0</v>
      </c>
      <c r="S65" s="181"/>
      <c r="T65" s="181"/>
      <c r="U65" s="181"/>
      <c r="V65" s="181"/>
      <c r="W65" s="181"/>
      <c r="X65" s="181"/>
      <c r="Y65" s="181">
        <f t="shared" si="3"/>
        <v>8013.1</v>
      </c>
      <c r="Z65" s="181">
        <f t="shared" si="4"/>
        <v>0</v>
      </c>
      <c r="AA65" s="181"/>
      <c r="AB65" s="181"/>
      <c r="AC65" s="181"/>
      <c r="AD65" s="181"/>
    </row>
    <row r="66" spans="1:45" x14ac:dyDescent="0.2">
      <c r="A66" s="180"/>
      <c r="C66" s="165" t="s">
        <v>366</v>
      </c>
      <c r="D66" s="181">
        <f>4793793/1000</f>
        <v>4793.7929999999997</v>
      </c>
      <c r="E66" s="181"/>
      <c r="F66" s="181"/>
      <c r="G66" s="181"/>
      <c r="H66" s="181">
        <f>4793793/1000</f>
        <v>4793.7929999999997</v>
      </c>
      <c r="I66" s="181"/>
      <c r="J66" s="181"/>
      <c r="K66" s="181"/>
      <c r="L66" s="181"/>
      <c r="M66" s="181"/>
      <c r="N66" s="181"/>
      <c r="O66" s="181"/>
      <c r="P66" s="181"/>
      <c r="Q66" s="181"/>
      <c r="R66" s="181">
        <v>0</v>
      </c>
      <c r="S66" s="181"/>
      <c r="T66" s="181"/>
      <c r="U66" s="181"/>
      <c r="V66" s="181"/>
      <c r="W66" s="181"/>
      <c r="X66" s="181"/>
      <c r="Y66" s="181">
        <f t="shared" si="3"/>
        <v>4793.7929999999997</v>
      </c>
      <c r="Z66" s="181">
        <f t="shared" si="4"/>
        <v>0</v>
      </c>
      <c r="AA66" s="181"/>
      <c r="AB66" s="181"/>
      <c r="AC66" s="181"/>
      <c r="AD66" s="181"/>
    </row>
    <row r="67" spans="1:45" x14ac:dyDescent="0.2">
      <c r="A67" s="180"/>
      <c r="C67" s="165" t="s">
        <v>387</v>
      </c>
      <c r="D67" s="181">
        <f>12000000/1000</f>
        <v>12000</v>
      </c>
      <c r="E67" s="181"/>
      <c r="F67" s="181"/>
      <c r="G67" s="181"/>
      <c r="H67" s="181">
        <f>12000000/1000</f>
        <v>12000</v>
      </c>
      <c r="I67" s="181"/>
      <c r="J67" s="181"/>
      <c r="K67" s="181"/>
      <c r="L67" s="181"/>
      <c r="M67" s="181"/>
      <c r="N67" s="181"/>
      <c r="O67" s="181"/>
      <c r="P67" s="181"/>
      <c r="Q67" s="181"/>
      <c r="R67" s="181">
        <v>0</v>
      </c>
      <c r="S67" s="181"/>
      <c r="T67" s="181"/>
      <c r="U67" s="181"/>
      <c r="V67" s="181"/>
      <c r="W67" s="181"/>
      <c r="X67" s="181"/>
      <c r="Y67" s="181">
        <f t="shared" si="3"/>
        <v>12000</v>
      </c>
      <c r="Z67" s="181">
        <f t="shared" si="4"/>
        <v>0</v>
      </c>
      <c r="AA67" s="181"/>
      <c r="AB67" s="181"/>
      <c r="AC67" s="181"/>
      <c r="AD67" s="181"/>
    </row>
    <row r="68" spans="1:45" x14ac:dyDescent="0.2">
      <c r="A68" s="180"/>
      <c r="C68" s="165" t="s">
        <v>437</v>
      </c>
      <c r="D68" s="181">
        <f>24000000/1000</f>
        <v>24000</v>
      </c>
      <c r="E68" s="181"/>
      <c r="F68" s="181"/>
      <c r="G68" s="181"/>
      <c r="H68" s="181">
        <f>24000000/1000</f>
        <v>24000</v>
      </c>
      <c r="I68" s="181"/>
      <c r="J68" s="181"/>
      <c r="K68" s="181"/>
      <c r="L68" s="181"/>
      <c r="M68" s="181"/>
      <c r="N68" s="181"/>
      <c r="O68" s="181"/>
      <c r="P68" s="181"/>
      <c r="Q68" s="181"/>
      <c r="R68" s="181">
        <v>0</v>
      </c>
      <c r="S68" s="181"/>
      <c r="T68" s="181"/>
      <c r="U68" s="181"/>
      <c r="V68" s="181"/>
      <c r="W68" s="181"/>
      <c r="X68" s="181"/>
      <c r="Y68" s="181">
        <f t="shared" si="3"/>
        <v>24000</v>
      </c>
      <c r="Z68" s="181">
        <f t="shared" si="4"/>
        <v>0</v>
      </c>
      <c r="AA68" s="181"/>
      <c r="AB68" s="181"/>
      <c r="AC68" s="181"/>
      <c r="AD68" s="181"/>
    </row>
    <row r="69" spans="1:45" x14ac:dyDescent="0.2">
      <c r="C69" s="165" t="s">
        <v>290</v>
      </c>
      <c r="D69" s="181">
        <f>2212000000/1000</f>
        <v>2212000</v>
      </c>
      <c r="E69" s="181">
        <f>TOBEPAID!E53/1000</f>
        <v>0</v>
      </c>
      <c r="F69" s="181">
        <f>TOBEPAID!F53/1000</f>
        <v>30000</v>
      </c>
      <c r="G69" s="181">
        <f>TOBEPAID!G53/1000</f>
        <v>0</v>
      </c>
      <c r="H69" s="181">
        <f>2212000000/1000</f>
        <v>2212000</v>
      </c>
      <c r="I69" s="181">
        <f>TOBEPAID!I53/1000</f>
        <v>0</v>
      </c>
      <c r="J69" s="181">
        <f>TOBEPAID!J53/1000</f>
        <v>0</v>
      </c>
      <c r="K69" s="181">
        <f>TOBEPAID!K53/1000</f>
        <v>0</v>
      </c>
      <c r="L69" s="181">
        <f>TOBEPAID!L53/1000</f>
        <v>0</v>
      </c>
      <c r="M69" s="181">
        <f>TOBEPAID!M53/1000</f>
        <v>0</v>
      </c>
      <c r="N69" s="181">
        <f>TOBEPAID!N53/1000</f>
        <v>30000</v>
      </c>
      <c r="O69" s="181">
        <f>TOBEPAID!O53/1000</f>
        <v>0</v>
      </c>
      <c r="P69" s="181">
        <f>TOBEPAID!P53/1000</f>
        <v>0</v>
      </c>
      <c r="Q69" s="181">
        <f>TOBEPAID!Q53/1000</f>
        <v>0</v>
      </c>
      <c r="R69" s="181">
        <v>0</v>
      </c>
      <c r="S69" s="181">
        <f>TOBEPAID!S53/1000</f>
        <v>0</v>
      </c>
      <c r="T69" s="181">
        <f>TOBEPAID!T53/1000</f>
        <v>0</v>
      </c>
      <c r="U69" s="181">
        <f>TOBEPAID!U53/1000</f>
        <v>0</v>
      </c>
      <c r="V69" s="181">
        <f>TOBEPAID!V53/1000</f>
        <v>0</v>
      </c>
      <c r="W69" s="181">
        <f>TOBEPAID!W53/1000</f>
        <v>0</v>
      </c>
      <c r="X69" s="181">
        <f>TOBEPAID!X53/1000</f>
        <v>0</v>
      </c>
      <c r="Y69" s="181">
        <f t="shared" si="3"/>
        <v>2212000</v>
      </c>
      <c r="Z69" s="181">
        <f t="shared" si="4"/>
        <v>0</v>
      </c>
      <c r="AA69" s="181">
        <f>TOBEPAID!AA53/1000</f>
        <v>30000</v>
      </c>
      <c r="AB69" s="181">
        <f>TOBEPAID!AB53/1000</f>
        <v>0</v>
      </c>
      <c r="AC69" s="181"/>
      <c r="AD69" s="181"/>
    </row>
    <row r="70" spans="1:45" x14ac:dyDescent="0.2">
      <c r="C70" s="165" t="s">
        <v>298</v>
      </c>
      <c r="D70" s="165">
        <f>4600000/1000</f>
        <v>4600</v>
      </c>
      <c r="H70" s="165">
        <f>4600000/1000</f>
        <v>4600</v>
      </c>
      <c r="R70" s="181">
        <v>0</v>
      </c>
      <c r="Y70" s="181">
        <f t="shared" si="3"/>
        <v>4600</v>
      </c>
      <c r="Z70" s="181">
        <f t="shared" si="4"/>
        <v>0</v>
      </c>
    </row>
    <row r="71" spans="1:45" x14ac:dyDescent="0.2">
      <c r="C71" s="165" t="s">
        <v>399</v>
      </c>
      <c r="D71" s="165">
        <f>1014859.76/1000</f>
        <v>1014.8597600000001</v>
      </c>
      <c r="H71" s="165">
        <f>1014859.76/1000</f>
        <v>1014.8597600000001</v>
      </c>
      <c r="R71" s="181">
        <v>0</v>
      </c>
      <c r="Y71" s="181">
        <f t="shared" si="3"/>
        <v>1014.8597600000001</v>
      </c>
      <c r="Z71" s="181">
        <f t="shared" si="4"/>
        <v>0</v>
      </c>
    </row>
    <row r="72" spans="1:45" x14ac:dyDescent="0.2">
      <c r="C72" s="165" t="s">
        <v>397</v>
      </c>
      <c r="D72" s="165">
        <f>25000000/1000</f>
        <v>25000</v>
      </c>
      <c r="H72" s="165">
        <f>25000000/1000</f>
        <v>25000</v>
      </c>
      <c r="R72" s="181">
        <v>0</v>
      </c>
      <c r="Y72" s="181">
        <f t="shared" si="3"/>
        <v>25000</v>
      </c>
      <c r="Z72" s="181">
        <f t="shared" si="4"/>
        <v>0</v>
      </c>
    </row>
    <row r="73" spans="1:45" x14ac:dyDescent="0.2">
      <c r="C73" s="165" t="s">
        <v>415</v>
      </c>
      <c r="D73" s="165">
        <f>20000000/1000</f>
        <v>20000</v>
      </c>
      <c r="H73" s="165">
        <f>20000000/1000</f>
        <v>20000</v>
      </c>
      <c r="R73" s="181">
        <v>0</v>
      </c>
      <c r="Y73" s="181">
        <f t="shared" si="3"/>
        <v>20000</v>
      </c>
      <c r="Z73" s="181">
        <f t="shared" si="4"/>
        <v>0</v>
      </c>
    </row>
    <row r="74" spans="1:45" x14ac:dyDescent="0.2">
      <c r="C74" s="165" t="s">
        <v>430</v>
      </c>
      <c r="D74" s="165">
        <f>4692939/1000</f>
        <v>4692.9390000000003</v>
      </c>
      <c r="H74" s="165">
        <f>4692939/1000</f>
        <v>4692.9390000000003</v>
      </c>
      <c r="R74" s="181">
        <v>0</v>
      </c>
      <c r="Y74" s="181">
        <f t="shared" si="3"/>
        <v>4692.9390000000003</v>
      </c>
      <c r="Z74" s="181">
        <f t="shared" si="4"/>
        <v>0</v>
      </c>
    </row>
    <row r="75" spans="1:45" x14ac:dyDescent="0.2">
      <c r="A75" s="180"/>
      <c r="C75" s="168" t="s">
        <v>44</v>
      </c>
      <c r="D75" s="181">
        <f>13793000/1000</f>
        <v>13793</v>
      </c>
      <c r="E75" s="181">
        <f>TOBEPAID!E54/1000</f>
        <v>13793</v>
      </c>
      <c r="F75" s="181">
        <f>TOBEPAID!F54/1000</f>
        <v>0</v>
      </c>
      <c r="G75" s="181">
        <f>TOBEPAID!G54/1000</f>
        <v>0</v>
      </c>
      <c r="H75" s="181">
        <f>13793000/1000</f>
        <v>13793</v>
      </c>
      <c r="I75" s="181">
        <f>TOBEPAID!I54/1000</f>
        <v>0</v>
      </c>
      <c r="J75" s="181">
        <f>TOBEPAID!J54/1000</f>
        <v>0</v>
      </c>
      <c r="K75" s="181">
        <f>TOBEPAID!K54/1000</f>
        <v>0</v>
      </c>
      <c r="L75" s="181">
        <f>TOBEPAID!L54/1000</f>
        <v>0</v>
      </c>
      <c r="M75" s="181">
        <f>TOBEPAID!M54/1000</f>
        <v>0</v>
      </c>
      <c r="N75" s="181">
        <f>TOBEPAID!N54/1000</f>
        <v>13793</v>
      </c>
      <c r="O75" s="181">
        <f>TOBEPAID!O54/1000</f>
        <v>0</v>
      </c>
      <c r="P75" s="181">
        <f>TOBEPAID!P54/1000</f>
        <v>0</v>
      </c>
      <c r="Q75" s="181">
        <f>TOBEPAID!Q54/1000</f>
        <v>0</v>
      </c>
      <c r="R75" s="181">
        <v>0</v>
      </c>
      <c r="S75" s="181">
        <f>TOBEPAID!S54/1000</f>
        <v>0</v>
      </c>
      <c r="T75" s="181">
        <f>TOBEPAID!T54/1000</f>
        <v>0</v>
      </c>
      <c r="U75" s="181">
        <f>TOBEPAID!U54/1000</f>
        <v>0</v>
      </c>
      <c r="V75" s="181">
        <f>TOBEPAID!V54/1000</f>
        <v>0</v>
      </c>
      <c r="W75" s="181">
        <f>TOBEPAID!W54/1000</f>
        <v>0</v>
      </c>
      <c r="X75" s="181">
        <f>TOBEPAID!X54/1000</f>
        <v>0</v>
      </c>
      <c r="Y75" s="181">
        <f t="shared" si="3"/>
        <v>13793</v>
      </c>
      <c r="Z75" s="181">
        <f t="shared" si="4"/>
        <v>0</v>
      </c>
      <c r="AA75" s="181">
        <f>TOBEPAID!AA54/1000</f>
        <v>13793</v>
      </c>
      <c r="AB75" s="181">
        <f>TOBEPAID!AB54/1000</f>
        <v>0</v>
      </c>
      <c r="AC75" s="181"/>
      <c r="AD75" s="181"/>
    </row>
    <row r="76" spans="1:45" x14ac:dyDescent="0.2">
      <c r="A76" s="180"/>
      <c r="C76" s="168" t="s">
        <v>48</v>
      </c>
      <c r="D76" s="181">
        <f>11432000/1000</f>
        <v>11432</v>
      </c>
      <c r="E76" s="181">
        <f>TOBEPAID!E55/1000</f>
        <v>11432</v>
      </c>
      <c r="F76" s="181">
        <f>TOBEPAID!F55/1000</f>
        <v>0</v>
      </c>
      <c r="G76" s="181">
        <f>TOBEPAID!G55/1000</f>
        <v>0</v>
      </c>
      <c r="H76" s="181">
        <f>11432000/1000</f>
        <v>11432</v>
      </c>
      <c r="I76" s="181">
        <f>TOBEPAID!I55/1000</f>
        <v>0</v>
      </c>
      <c r="J76" s="181">
        <f>TOBEPAID!J55/1000</f>
        <v>0</v>
      </c>
      <c r="K76" s="181">
        <f>TOBEPAID!K55/1000</f>
        <v>0</v>
      </c>
      <c r="L76" s="181">
        <f>TOBEPAID!L55/1000</f>
        <v>0</v>
      </c>
      <c r="M76" s="181">
        <f>TOBEPAID!M55/1000</f>
        <v>0</v>
      </c>
      <c r="N76" s="181">
        <f>TOBEPAID!N55/1000</f>
        <v>11432</v>
      </c>
      <c r="O76" s="181">
        <f>TOBEPAID!O55/1000</f>
        <v>0</v>
      </c>
      <c r="P76" s="181">
        <f>TOBEPAID!P55/1000</f>
        <v>0</v>
      </c>
      <c r="Q76" s="181">
        <f>TOBEPAID!Q55/1000</f>
        <v>0</v>
      </c>
      <c r="R76" s="181">
        <v>0</v>
      </c>
      <c r="S76" s="181">
        <f>TOBEPAID!S55/1000</f>
        <v>0</v>
      </c>
      <c r="T76" s="181">
        <f>TOBEPAID!T55/1000</f>
        <v>0</v>
      </c>
      <c r="U76" s="181">
        <f>TOBEPAID!U55/1000</f>
        <v>0</v>
      </c>
      <c r="V76" s="181">
        <f>TOBEPAID!V55/1000</f>
        <v>0</v>
      </c>
      <c r="W76" s="181">
        <f>TOBEPAID!W55/1000</f>
        <v>0</v>
      </c>
      <c r="X76" s="181">
        <f>TOBEPAID!X55/1000</f>
        <v>0</v>
      </c>
      <c r="Y76" s="181">
        <f t="shared" si="3"/>
        <v>11432</v>
      </c>
      <c r="Z76" s="181">
        <f t="shared" si="4"/>
        <v>0</v>
      </c>
      <c r="AA76" s="181">
        <f>TOBEPAID!AA55/1000</f>
        <v>11432</v>
      </c>
      <c r="AB76" s="181">
        <f>TOBEPAID!AB55/1000</f>
        <v>0</v>
      </c>
      <c r="AC76" s="181"/>
      <c r="AD76" s="181"/>
    </row>
    <row r="77" spans="1:45" x14ac:dyDescent="0.2">
      <c r="C77" s="168" t="s">
        <v>469</v>
      </c>
      <c r="D77" s="181">
        <f>6333987/1000</f>
        <v>6333.9870000000001</v>
      </c>
      <c r="E77" s="181">
        <f>TOBEPAID!E56/1000</f>
        <v>4500</v>
      </c>
      <c r="F77" s="181">
        <f>TOBEPAID!F56/1000</f>
        <v>0</v>
      </c>
      <c r="G77" s="181">
        <f>TOBEPAID!G56/1000</f>
        <v>0</v>
      </c>
      <c r="H77" s="181">
        <f>4500000/1000</f>
        <v>4500</v>
      </c>
      <c r="I77" s="181">
        <f>TOBEPAID!I56/1000</f>
        <v>0</v>
      </c>
      <c r="J77" s="181">
        <f>TOBEPAID!J56/1000</f>
        <v>0</v>
      </c>
      <c r="K77" s="181">
        <f>TOBEPAID!K56/1000</f>
        <v>0</v>
      </c>
      <c r="L77" s="181">
        <f>TOBEPAID!L56/1000</f>
        <v>0</v>
      </c>
      <c r="M77" s="181">
        <f>TOBEPAID!M56/1000</f>
        <v>0</v>
      </c>
      <c r="N77" s="181">
        <f>TOBEPAID!N56/1000</f>
        <v>4500</v>
      </c>
      <c r="O77" s="181">
        <f>TOBEPAID!O56/1000</f>
        <v>1523.7322199999999</v>
      </c>
      <c r="P77" s="181">
        <f>TOBEPAID!P56/1000</f>
        <v>0</v>
      </c>
      <c r="Q77" s="181">
        <f>TOBEPAID!Q56/1000</f>
        <v>0</v>
      </c>
      <c r="R77" s="181">
        <f>1833987.72/1000</f>
        <v>1833.9877200000001</v>
      </c>
      <c r="S77" s="181">
        <f>TOBEPAID!S56/1000</f>
        <v>0</v>
      </c>
      <c r="T77" s="181">
        <f>TOBEPAID!T56/1000</f>
        <v>0</v>
      </c>
      <c r="U77" s="181">
        <f>TOBEPAID!U56/1000</f>
        <v>0</v>
      </c>
      <c r="V77" s="181">
        <f>TOBEPAID!V56/1000</f>
        <v>0</v>
      </c>
      <c r="W77" s="181">
        <f>TOBEPAID!W56/1000</f>
        <v>0</v>
      </c>
      <c r="X77" s="181">
        <f>TOBEPAID!X56/1000</f>
        <v>1523.7322199999999</v>
      </c>
      <c r="Y77" s="181">
        <f t="shared" si="3"/>
        <v>6333.9877200000001</v>
      </c>
      <c r="Z77" s="181">
        <f>+Y77-D77</f>
        <v>7.2000000000116415E-4</v>
      </c>
      <c r="AA77" s="181">
        <f>TOBEPAID!AA56/1000</f>
        <v>6023.7322199999999</v>
      </c>
      <c r="AB77" s="181">
        <f>TOBEPAID!AB56/1000</f>
        <v>8976.2677800000001</v>
      </c>
      <c r="AC77" s="181"/>
      <c r="AD77" s="181"/>
    </row>
    <row r="78" spans="1:45" x14ac:dyDescent="0.2">
      <c r="A78" s="180"/>
      <c r="C78" s="166" t="s">
        <v>37</v>
      </c>
      <c r="D78" s="181">
        <f>356044/1000</f>
        <v>356.04399999999998</v>
      </c>
      <c r="E78" s="181">
        <f>TOBEPAID!E57/1000</f>
        <v>0</v>
      </c>
      <c r="F78" s="181">
        <f>TOBEPAID!F57/1000</f>
        <v>0</v>
      </c>
      <c r="G78" s="181">
        <f>TOBEPAID!G57/1000</f>
        <v>0</v>
      </c>
      <c r="H78" s="181">
        <v>0</v>
      </c>
      <c r="I78" s="181">
        <f>TOBEPAID!I57/1000</f>
        <v>0</v>
      </c>
      <c r="J78" s="181">
        <f>TOBEPAID!J57/1000</f>
        <v>0</v>
      </c>
      <c r="K78" s="181">
        <f>TOBEPAID!K57/1000</f>
        <v>0</v>
      </c>
      <c r="L78" s="181">
        <f>TOBEPAID!L57/1000</f>
        <v>0</v>
      </c>
      <c r="M78" s="181">
        <f>TOBEPAID!M57/1000</f>
        <v>0</v>
      </c>
      <c r="N78" s="181">
        <f>TOBEPAID!N57/1000</f>
        <v>0</v>
      </c>
      <c r="O78" s="181">
        <f>TOBEPAID!O57/1000</f>
        <v>356.04470000000003</v>
      </c>
      <c r="P78" s="181">
        <f>TOBEPAID!P57/1000</f>
        <v>0</v>
      </c>
      <c r="Q78" s="181">
        <f>TOBEPAID!Q57/1000</f>
        <v>0</v>
      </c>
      <c r="R78" s="181">
        <f>356044/1000</f>
        <v>356.04399999999998</v>
      </c>
      <c r="S78" s="181">
        <f>TOBEPAID!S57/1000</f>
        <v>316.73561999999998</v>
      </c>
      <c r="T78" s="181">
        <f>TOBEPAID!T57/1000</f>
        <v>0</v>
      </c>
      <c r="U78" s="181">
        <f>TOBEPAID!U57/1000</f>
        <v>0</v>
      </c>
      <c r="V78" s="181">
        <f>TOBEPAID!V57/1000</f>
        <v>0</v>
      </c>
      <c r="W78" s="181">
        <f>TOBEPAID!W57/1000</f>
        <v>0</v>
      </c>
      <c r="X78" s="181">
        <f>TOBEPAID!X57/1000</f>
        <v>356.04470000000003</v>
      </c>
      <c r="Y78" s="181">
        <f t="shared" si="3"/>
        <v>356.04399999999998</v>
      </c>
      <c r="Z78" s="181">
        <f t="shared" si="4"/>
        <v>0</v>
      </c>
      <c r="AA78" s="181">
        <f>TOBEPAID!AA57/1000</f>
        <v>356.04470000000003</v>
      </c>
      <c r="AB78" s="181">
        <f>TOBEPAID!AB57/1000</f>
        <v>13.622669999999983</v>
      </c>
      <c r="AC78" s="181"/>
      <c r="AD78" s="181"/>
    </row>
    <row r="79" spans="1:45" x14ac:dyDescent="0.2">
      <c r="A79" s="180"/>
      <c r="C79" s="192" t="s">
        <v>39</v>
      </c>
      <c r="D79" s="181">
        <v>25.466999999999999</v>
      </c>
      <c r="E79" s="181">
        <f>TOBEPAID!E58/1000</f>
        <v>0</v>
      </c>
      <c r="F79" s="181">
        <f>TOBEPAID!F58/1000</f>
        <v>0</v>
      </c>
      <c r="G79" s="181">
        <f>TOBEPAID!G58/1000</f>
        <v>0</v>
      </c>
      <c r="H79" s="181">
        <v>0</v>
      </c>
      <c r="I79" s="181">
        <f>TOBEPAID!I58/1000</f>
        <v>0</v>
      </c>
      <c r="J79" s="181">
        <f>TOBEPAID!J58/1000</f>
        <v>0</v>
      </c>
      <c r="K79" s="181">
        <f>TOBEPAID!K58/1000</f>
        <v>0</v>
      </c>
      <c r="L79" s="181">
        <f>TOBEPAID!L58/1000</f>
        <v>0</v>
      </c>
      <c r="M79" s="181">
        <f>TOBEPAID!M58/1000</f>
        <v>0</v>
      </c>
      <c r="N79" s="181">
        <f>TOBEPAID!N58/1000</f>
        <v>0</v>
      </c>
      <c r="O79" s="181">
        <f>TOBEPAID!O58/1000</f>
        <v>25.467500000000001</v>
      </c>
      <c r="P79" s="181">
        <f>TOBEPAID!P58/1000</f>
        <v>0</v>
      </c>
      <c r="Q79" s="181">
        <f>TOBEPAID!Q58/1000</f>
        <v>0</v>
      </c>
      <c r="R79" s="181">
        <v>25.466999999999999</v>
      </c>
      <c r="S79" s="181">
        <f>TOBEPAID!S58/1000</f>
        <v>0</v>
      </c>
      <c r="T79" s="181">
        <f>TOBEPAID!T58/1000</f>
        <v>0</v>
      </c>
      <c r="U79" s="181">
        <f>TOBEPAID!U58/1000</f>
        <v>0</v>
      </c>
      <c r="V79" s="181">
        <f>TOBEPAID!V58/1000</f>
        <v>0</v>
      </c>
      <c r="W79" s="181">
        <f>TOBEPAID!W58/1000</f>
        <v>0</v>
      </c>
      <c r="X79" s="181">
        <f>TOBEPAID!X58/1000</f>
        <v>25.467500000000001</v>
      </c>
      <c r="Y79" s="181">
        <f t="shared" si="3"/>
        <v>25.466999999999999</v>
      </c>
      <c r="Z79" s="181">
        <f t="shared" si="4"/>
        <v>0</v>
      </c>
      <c r="AA79" s="181">
        <f>TOBEPAID!AA58/1000</f>
        <v>25.467500000000001</v>
      </c>
      <c r="AB79" s="181">
        <f>TOBEPAID!AB58/1000</f>
        <v>1405.5946899999999</v>
      </c>
      <c r="AC79" s="181"/>
      <c r="AD79" s="181"/>
    </row>
    <row r="80" spans="1:45" x14ac:dyDescent="0.2">
      <c r="A80" s="180"/>
      <c r="D80" s="182" t="s">
        <v>40</v>
      </c>
      <c r="E80" s="182" t="s">
        <v>40</v>
      </c>
      <c r="F80" s="182" t="s">
        <v>40</v>
      </c>
      <c r="G80" s="182"/>
      <c r="H80" s="182" t="s">
        <v>40</v>
      </c>
      <c r="I80" s="182" t="s">
        <v>40</v>
      </c>
      <c r="J80" s="182" t="s">
        <v>40</v>
      </c>
      <c r="K80" s="182" t="s">
        <v>40</v>
      </c>
      <c r="L80" s="182" t="s">
        <v>40</v>
      </c>
      <c r="M80" s="182"/>
      <c r="N80" s="182" t="s">
        <v>40</v>
      </c>
      <c r="O80" s="182" t="s">
        <v>40</v>
      </c>
      <c r="P80" s="182" t="s">
        <v>40</v>
      </c>
      <c r="Q80" s="182"/>
      <c r="R80" s="182" t="s">
        <v>40</v>
      </c>
      <c r="S80" s="182" t="s">
        <v>40</v>
      </c>
      <c r="T80" s="182" t="s">
        <v>40</v>
      </c>
      <c r="U80" s="182" t="s">
        <v>40</v>
      </c>
      <c r="V80" s="182" t="s">
        <v>40</v>
      </c>
      <c r="W80" s="182"/>
      <c r="X80" s="182" t="s">
        <v>40</v>
      </c>
      <c r="Y80" s="182" t="s">
        <v>40</v>
      </c>
      <c r="Z80" s="182" t="s">
        <v>40</v>
      </c>
      <c r="AA80" s="182" t="s">
        <v>40</v>
      </c>
      <c r="AB80" s="182" t="s">
        <v>40</v>
      </c>
      <c r="AC80" s="182"/>
      <c r="AD80" s="182"/>
      <c r="AS80" s="193" t="e">
        <f>+AF81-AK81-AP81</f>
        <v>#REF!</v>
      </c>
    </row>
    <row r="81" spans="1:45" x14ac:dyDescent="0.2">
      <c r="A81" s="180"/>
      <c r="D81" s="181">
        <f>SUM(D59:D79)</f>
        <v>2503119.2568100002</v>
      </c>
      <c r="E81" s="181">
        <f>SUM(E59:E79)</f>
        <v>32905.311690000002</v>
      </c>
      <c r="F81" s="181">
        <f>SUM(F59:F79)</f>
        <v>30000</v>
      </c>
      <c r="G81" s="181"/>
      <c r="H81" s="181">
        <f>SUM(H59:H79)</f>
        <v>2433579.6857599998</v>
      </c>
      <c r="I81" s="181">
        <f>SUM(I59:I79)</f>
        <v>0</v>
      </c>
      <c r="J81" s="181">
        <f>SUM(J59:J79)</f>
        <v>0</v>
      </c>
      <c r="K81" s="181">
        <f>SUM(K59:K79)</f>
        <v>0</v>
      </c>
      <c r="L81" s="181">
        <f>SUM(L59:L79)</f>
        <v>0</v>
      </c>
      <c r="M81" s="181"/>
      <c r="N81" s="181">
        <f>SUM(N59:N79)</f>
        <v>62905.311690000002</v>
      </c>
      <c r="O81" s="181">
        <f>SUM(O59:O79)</f>
        <v>25433.872519999997</v>
      </c>
      <c r="P81" s="181">
        <f>SUM(P59:P79)</f>
        <v>0</v>
      </c>
      <c r="Q81" s="181"/>
      <c r="R81" s="181">
        <f>SUM(R59:R79)</f>
        <v>28128.479720000003</v>
      </c>
      <c r="S81" s="181">
        <f>SUM(S59:S79)</f>
        <v>10427.343659999999</v>
      </c>
      <c r="T81" s="181">
        <f>SUM(T59:T79)</f>
        <v>5298.8419599999997</v>
      </c>
      <c r="U81" s="181">
        <f>SUM(U59:U79)</f>
        <v>0</v>
      </c>
      <c r="V81" s="181">
        <f>SUM(V59:V79)</f>
        <v>0</v>
      </c>
      <c r="W81" s="181"/>
      <c r="X81" s="181">
        <f>SUM(X59:X79)</f>
        <v>25433.872519999997</v>
      </c>
      <c r="Y81" s="181">
        <f>SUM(Y59:Y79)</f>
        <v>2461708.16548</v>
      </c>
      <c r="Z81" s="181">
        <f>SUM(Z59:Z79)</f>
        <v>41411.092769999988</v>
      </c>
      <c r="AA81" s="181">
        <f>SUM(AA59:AA79)</f>
        <v>88339.184210000007</v>
      </c>
      <c r="AB81" s="181">
        <f>SUM(AB59:AB79)</f>
        <v>10395.48504</v>
      </c>
      <c r="AC81" s="181"/>
      <c r="AD81" s="181"/>
      <c r="AF81" s="193" t="e">
        <f>+#REF!+D85+D53+D12+D35</f>
        <v>#REF!</v>
      </c>
      <c r="AG81" s="193" t="e">
        <f>+#REF!+E85+E53+E12+E35</f>
        <v>#REF!</v>
      </c>
      <c r="AH81" s="193" t="e">
        <f>+#REF!+F85+F53+F12+F35</f>
        <v>#REF!</v>
      </c>
      <c r="AI81" s="193" t="e">
        <f>+AG81+AH81</f>
        <v>#REF!</v>
      </c>
      <c r="AJ81" s="193" t="e">
        <f>+#REF!+L85+L53+L12+L35</f>
        <v>#REF!</v>
      </c>
      <c r="AK81" s="193" t="e">
        <f>+AI81+AJ81</f>
        <v>#REF!</v>
      </c>
      <c r="AL81" s="193" t="e">
        <f>+#REF!+O85+O53+O12+O35</f>
        <v>#REF!</v>
      </c>
      <c r="AM81" s="193">
        <f>+P12</f>
        <v>0</v>
      </c>
      <c r="AN81" s="193" t="e">
        <f>+AL81+AM81</f>
        <v>#REF!</v>
      </c>
      <c r="AO81" s="193">
        <f>+V12</f>
        <v>0</v>
      </c>
      <c r="AP81" s="193" t="e">
        <f>+AN81+AO81</f>
        <v>#REF!</v>
      </c>
      <c r="AQ81" s="193" t="e">
        <f>+AI81+AN81</f>
        <v>#REF!</v>
      </c>
      <c r="AR81" s="193" t="e">
        <f>+AF81-AQ81</f>
        <v>#REF!</v>
      </c>
      <c r="AS81" s="193">
        <f>+AF82-AK82-AP82</f>
        <v>310.25478000000021</v>
      </c>
    </row>
    <row r="82" spans="1:45" x14ac:dyDescent="0.2">
      <c r="A82" s="180"/>
      <c r="D82" s="182" t="s">
        <v>40</v>
      </c>
      <c r="E82" s="182" t="s">
        <v>40</v>
      </c>
      <c r="F82" s="182" t="s">
        <v>40</v>
      </c>
      <c r="G82" s="182"/>
      <c r="H82" s="182" t="s">
        <v>40</v>
      </c>
      <c r="I82" s="182" t="s">
        <v>40</v>
      </c>
      <c r="J82" s="182" t="s">
        <v>40</v>
      </c>
      <c r="K82" s="182" t="s">
        <v>40</v>
      </c>
      <c r="L82" s="182" t="s">
        <v>40</v>
      </c>
      <c r="M82" s="182"/>
      <c r="N82" s="182" t="s">
        <v>40</v>
      </c>
      <c r="O82" s="182" t="s">
        <v>40</v>
      </c>
      <c r="P82" s="182" t="s">
        <v>40</v>
      </c>
      <c r="Q82" s="182"/>
      <c r="R82" s="182" t="s">
        <v>40</v>
      </c>
      <c r="S82" s="182" t="s">
        <v>40</v>
      </c>
      <c r="T82" s="182" t="s">
        <v>40</v>
      </c>
      <c r="U82" s="182" t="s">
        <v>40</v>
      </c>
      <c r="V82" s="182" t="s">
        <v>40</v>
      </c>
      <c r="W82" s="182"/>
      <c r="X82" s="182" t="s">
        <v>40</v>
      </c>
      <c r="Y82" s="182" t="s">
        <v>40</v>
      </c>
      <c r="Z82" s="182" t="s">
        <v>40</v>
      </c>
      <c r="AA82" s="182" t="s">
        <v>40</v>
      </c>
      <c r="AB82" s="182" t="s">
        <v>40</v>
      </c>
      <c r="AC82" s="182"/>
      <c r="AD82" s="182"/>
      <c r="AE82" s="194" t="s">
        <v>317</v>
      </c>
      <c r="AF82" s="193">
        <f>+D77</f>
        <v>6333.9870000000001</v>
      </c>
      <c r="AG82" s="193">
        <f>+E77</f>
        <v>4500</v>
      </c>
      <c r="AH82" s="193">
        <f>+F77</f>
        <v>0</v>
      </c>
      <c r="AI82" s="193">
        <f>+AG82+AH82</f>
        <v>4500</v>
      </c>
      <c r="AJ82" s="193">
        <f>+L77</f>
        <v>0</v>
      </c>
      <c r="AK82" s="193">
        <f>+AI82+AJ82</f>
        <v>4500</v>
      </c>
      <c r="AL82" s="193">
        <f>+O77</f>
        <v>1523.7322199999999</v>
      </c>
      <c r="AM82" s="193">
        <f>+P77</f>
        <v>0</v>
      </c>
      <c r="AN82" s="193">
        <f>+AL82+AM82</f>
        <v>1523.7322199999999</v>
      </c>
      <c r="AO82" s="193">
        <f>+V51</f>
        <v>0</v>
      </c>
      <c r="AP82" s="193">
        <f>+AN82+AO82</f>
        <v>1523.7322199999999</v>
      </c>
      <c r="AQ82" s="193">
        <f>+AI82+AN82</f>
        <v>6023.7322199999999</v>
      </c>
      <c r="AR82" s="193">
        <f>+AF82-AQ82</f>
        <v>310.25478000000021</v>
      </c>
      <c r="AS82" s="195">
        <f>+AF83-AK83-AP83</f>
        <v>355820.68710999994</v>
      </c>
    </row>
    <row r="83" spans="1:45" x14ac:dyDescent="0.2">
      <c r="A83" s="180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96"/>
      <c r="Y83" s="182"/>
      <c r="Z83" s="182"/>
      <c r="AA83" s="182"/>
      <c r="AB83" s="182"/>
      <c r="AC83" s="182"/>
      <c r="AD83" s="182"/>
      <c r="AE83" s="186" t="s">
        <v>297</v>
      </c>
      <c r="AF83" s="195">
        <f>D10+D20+D31+D51+D59+D84</f>
        <v>390333.10026999994</v>
      </c>
      <c r="AG83" s="195">
        <f>E10+E20+E31+E51+E59+E84</f>
        <v>10000</v>
      </c>
      <c r="AH83" s="195">
        <f>F10+F20+F31+F51+F59+F84</f>
        <v>0</v>
      </c>
      <c r="AI83" s="195">
        <f>+AG83+AH83</f>
        <v>10000</v>
      </c>
      <c r="AJ83" s="195">
        <f>L10+L20+L31+L51+L59+L84</f>
        <v>0</v>
      </c>
      <c r="AK83" s="195">
        <f>+AI83+AJ83</f>
        <v>10000</v>
      </c>
      <c r="AL83" s="195">
        <f>O10+O20+O31+O51+O59+O84</f>
        <v>23989.570759999999</v>
      </c>
      <c r="AM83" s="195">
        <f>P10+P20+P31+P51+P59+P84</f>
        <v>522.8424</v>
      </c>
      <c r="AN83" s="195">
        <f>+AL83+AM83</f>
        <v>24512.41316</v>
      </c>
      <c r="AO83" s="195">
        <f>V10+V20+V31+V59+V84</f>
        <v>0</v>
      </c>
      <c r="AP83" s="195">
        <f>+AN83+AO83</f>
        <v>24512.41316</v>
      </c>
      <c r="AQ83" s="195">
        <f>+AI83+AN83</f>
        <v>34512.413159999996</v>
      </c>
      <c r="AR83" s="195">
        <f>+AF83-AQ83+0.2</f>
        <v>355820.88710999995</v>
      </c>
      <c r="AS83" s="195">
        <f>+AF84-AK84-AP84</f>
        <v>2482000</v>
      </c>
    </row>
    <row r="84" spans="1:45" x14ac:dyDescent="0.2">
      <c r="A84" s="180">
        <v>6</v>
      </c>
      <c r="B84" s="166" t="s">
        <v>49</v>
      </c>
      <c r="C84" s="166" t="s">
        <v>35</v>
      </c>
      <c r="D84" s="181">
        <f>TOBEPAID!D63/1000</f>
        <v>112010.19867999999</v>
      </c>
      <c r="E84" s="181">
        <f>TOBEPAID!E63/1000</f>
        <v>0</v>
      </c>
      <c r="F84" s="181">
        <f>TOBEPAID!F63/1000</f>
        <v>0</v>
      </c>
      <c r="G84" s="181">
        <f>TOBEPAID!G63/1000</f>
        <v>0</v>
      </c>
      <c r="H84" s="181">
        <f>TOBEPAID!H63/1000</f>
        <v>0</v>
      </c>
      <c r="I84" s="181">
        <f>TOBEPAID!I63/1000</f>
        <v>0</v>
      </c>
      <c r="J84" s="181">
        <f>TOBEPAID!J63/1000</f>
        <v>0</v>
      </c>
      <c r="K84" s="181">
        <f>TOBEPAID!K63/1000</f>
        <v>0</v>
      </c>
      <c r="L84" s="181">
        <f>TOBEPAID!L63/1000</f>
        <v>0</v>
      </c>
      <c r="M84" s="181">
        <f>TOBEPAID!M63/1000</f>
        <v>0</v>
      </c>
      <c r="N84" s="181">
        <f>TOBEPAID!N63/1000</f>
        <v>0</v>
      </c>
      <c r="O84" s="181">
        <f>TOBEPAID!O63/1000</f>
        <v>84.243300000000005</v>
      </c>
      <c r="P84" s="181">
        <f>TOBEPAID!P63/1000</f>
        <v>0</v>
      </c>
      <c r="Q84" s="181">
        <f>TOBEPAID!Q63/1000</f>
        <v>0</v>
      </c>
      <c r="R84" s="181">
        <f>246961.97/1000</f>
        <v>246.96197000000001</v>
      </c>
      <c r="S84" s="181">
        <f>TOBEPAID!S63/1000</f>
        <v>1154.2370000000001</v>
      </c>
      <c r="T84" s="181">
        <f>TOBEPAID!T63/1000</f>
        <v>0</v>
      </c>
      <c r="U84" s="181">
        <f>TOBEPAID!U63/1000</f>
        <v>0</v>
      </c>
      <c r="V84" s="181">
        <f>TOBEPAID!V63/1000</f>
        <v>0</v>
      </c>
      <c r="W84" s="181">
        <f>TOBEPAID!W63/1000</f>
        <v>0</v>
      </c>
      <c r="X84" s="181">
        <f>TOBEPAID!X63/1000</f>
        <v>84.243300000000005</v>
      </c>
      <c r="Y84" s="181">
        <f>+H84+R84</f>
        <v>246.96197000000001</v>
      </c>
      <c r="Z84" s="181">
        <f>+D84-Y84</f>
        <v>111763.23670999998</v>
      </c>
      <c r="AA84" s="181">
        <f>TOBEPAID!AA63/1000</f>
        <v>84.243300000000005</v>
      </c>
      <c r="AB84" s="181">
        <f>TOBEPAID!AB63/1000</f>
        <v>111925.95538</v>
      </c>
      <c r="AC84" s="181"/>
      <c r="AD84" s="181"/>
      <c r="AE84" s="186" t="s">
        <v>47</v>
      </c>
      <c r="AF84" s="195">
        <f>+D86+D69</f>
        <v>2572000</v>
      </c>
      <c r="AG84" s="195">
        <f>+E86+E69</f>
        <v>30000</v>
      </c>
      <c r="AH84" s="195">
        <f>+F86+F69</f>
        <v>60000</v>
      </c>
      <c r="AI84" s="195">
        <f>+AG84+AH84</f>
        <v>90000</v>
      </c>
      <c r="AJ84" s="195">
        <f>+L86+L69</f>
        <v>0</v>
      </c>
      <c r="AK84" s="195">
        <f>+AI84+AJ84</f>
        <v>90000</v>
      </c>
      <c r="AL84" s="195">
        <f>+O86+O69</f>
        <v>0</v>
      </c>
      <c r="AM84" s="195">
        <f>+P86+P69</f>
        <v>0</v>
      </c>
      <c r="AN84" s="195">
        <f>+AL84+AM84</f>
        <v>0</v>
      </c>
      <c r="AO84" s="195">
        <f>+V86+V69</f>
        <v>0</v>
      </c>
      <c r="AP84" s="195">
        <f>+AN84+AO84</f>
        <v>0</v>
      </c>
      <c r="AQ84" s="195">
        <f>+AI84+AN84</f>
        <v>90000</v>
      </c>
      <c r="AR84" s="195">
        <f>+AF84-AQ84</f>
        <v>2482000</v>
      </c>
    </row>
    <row r="85" spans="1:45" x14ac:dyDescent="0.2">
      <c r="C85" s="165" t="s">
        <v>365</v>
      </c>
      <c r="D85" s="181">
        <f>TOBEPAID!D64/1000</f>
        <v>3027.3549199999998</v>
      </c>
      <c r="E85" s="181">
        <f>TOBEPAID!E64/1000</f>
        <v>3027.3549199999998</v>
      </c>
      <c r="F85" s="181">
        <f>TOBEPAID!F64/1000</f>
        <v>0</v>
      </c>
      <c r="G85" s="181">
        <f>TOBEPAID!G64/1000</f>
        <v>0</v>
      </c>
      <c r="H85" s="181">
        <f>TOBEPAID!H64/1000</f>
        <v>3027.3549199999998</v>
      </c>
      <c r="I85" s="181">
        <f>TOBEPAID!I64/1000</f>
        <v>0</v>
      </c>
      <c r="J85" s="181">
        <f>TOBEPAID!J64/1000</f>
        <v>0</v>
      </c>
      <c r="K85" s="181">
        <f>TOBEPAID!K64/1000</f>
        <v>0</v>
      </c>
      <c r="L85" s="181">
        <f>TOBEPAID!L64/1000</f>
        <v>0</v>
      </c>
      <c r="M85" s="181">
        <f>TOBEPAID!M64/1000</f>
        <v>0</v>
      </c>
      <c r="N85" s="181">
        <f>TOBEPAID!N64/1000</f>
        <v>3027.3549199999998</v>
      </c>
      <c r="O85" s="181">
        <f>TOBEPAID!O64/1000</f>
        <v>0</v>
      </c>
      <c r="P85" s="181">
        <f>TOBEPAID!P64/1000</f>
        <v>0</v>
      </c>
      <c r="Q85" s="181">
        <f>TOBEPAID!Q64/1000</f>
        <v>0</v>
      </c>
      <c r="R85" s="181">
        <f>TOBEPAID!R64/1000</f>
        <v>0</v>
      </c>
      <c r="S85" s="181">
        <f>TOBEPAID!S64/1000</f>
        <v>0</v>
      </c>
      <c r="T85" s="181">
        <f>TOBEPAID!T64/1000</f>
        <v>0</v>
      </c>
      <c r="U85" s="181">
        <f>TOBEPAID!U64/1000</f>
        <v>0</v>
      </c>
      <c r="V85" s="181">
        <f>TOBEPAID!V64/1000</f>
        <v>0</v>
      </c>
      <c r="W85" s="181">
        <f>TOBEPAID!W64/1000</f>
        <v>0</v>
      </c>
      <c r="X85" s="181">
        <f>TOBEPAID!X64/1000</f>
        <v>0</v>
      </c>
      <c r="Y85" s="181">
        <f>TOBEPAID!Y64/1000</f>
        <v>3027.3549199999998</v>
      </c>
      <c r="Z85" s="181">
        <f>TOBEPAID!Z64/1000</f>
        <v>0</v>
      </c>
      <c r="AA85" s="181">
        <f>TOBEPAID!AA64/1000</f>
        <v>3027.3549199999998</v>
      </c>
      <c r="AB85" s="181">
        <f>TOBEPAID!AB64/1000</f>
        <v>0</v>
      </c>
      <c r="AC85" s="181"/>
      <c r="AD85" s="181"/>
      <c r="AE85" s="186" t="s">
        <v>303</v>
      </c>
      <c r="AS85" s="195">
        <f t="shared" ref="AS85:AS92" si="5">+AF86-AK86-AP86</f>
        <v>-3.099999998084968E-3</v>
      </c>
    </row>
    <row r="86" spans="1:45" x14ac:dyDescent="0.2">
      <c r="C86" s="165" t="s">
        <v>290</v>
      </c>
      <c r="D86" s="181">
        <f>360000000/1000</f>
        <v>360000</v>
      </c>
      <c r="E86" s="181">
        <f>TOBEPAID!E65/1000</f>
        <v>30000</v>
      </c>
      <c r="F86" s="181">
        <f>TOBEPAID!F65/1000</f>
        <v>30000</v>
      </c>
      <c r="G86" s="181">
        <f>TOBEPAID!G65/1000</f>
        <v>0</v>
      </c>
      <c r="H86" s="181">
        <f>360000000/1000</f>
        <v>360000</v>
      </c>
      <c r="I86" s="181">
        <f>TOBEPAID!I65/1000</f>
        <v>0</v>
      </c>
      <c r="J86" s="181">
        <f>TOBEPAID!J65/1000</f>
        <v>0</v>
      </c>
      <c r="K86" s="181">
        <f>TOBEPAID!K65/1000</f>
        <v>0</v>
      </c>
      <c r="L86" s="181">
        <f>TOBEPAID!L65/1000</f>
        <v>0</v>
      </c>
      <c r="M86" s="181">
        <f>TOBEPAID!M65/1000</f>
        <v>0</v>
      </c>
      <c r="N86" s="181">
        <f>TOBEPAID!N65/1000</f>
        <v>60000</v>
      </c>
      <c r="O86" s="181">
        <f>TOBEPAID!O65/1000</f>
        <v>0</v>
      </c>
      <c r="P86" s="181">
        <f>TOBEPAID!P65/1000</f>
        <v>0</v>
      </c>
      <c r="Q86" s="181">
        <f>TOBEPAID!Q65/1000</f>
        <v>0</v>
      </c>
      <c r="R86" s="181">
        <f>TOBEPAID!R65/1000</f>
        <v>0</v>
      </c>
      <c r="S86" s="181">
        <f>TOBEPAID!S65/1000</f>
        <v>0</v>
      </c>
      <c r="T86" s="181">
        <f>TOBEPAID!T65/1000</f>
        <v>0</v>
      </c>
      <c r="U86" s="181">
        <f>TOBEPAID!U65/1000</f>
        <v>0</v>
      </c>
      <c r="V86" s="181">
        <f>TOBEPAID!V65/1000</f>
        <v>0</v>
      </c>
      <c r="W86" s="181">
        <f>TOBEPAID!W65/1000</f>
        <v>0</v>
      </c>
      <c r="X86" s="181">
        <f>TOBEPAID!X65/1000</f>
        <v>0</v>
      </c>
      <c r="Y86" s="181">
        <f>+H86+R86</f>
        <v>360000</v>
      </c>
      <c r="Z86" s="181">
        <f>TOBEPAID!Z65/1000</f>
        <v>0</v>
      </c>
      <c r="AA86" s="181">
        <f>TOBEPAID!AA65/1000</f>
        <v>60000</v>
      </c>
      <c r="AB86" s="181">
        <f>TOBEPAID!AB65/1000</f>
        <v>0</v>
      </c>
      <c r="AC86" s="181"/>
      <c r="AD86" s="181"/>
      <c r="AF86" s="195">
        <f>D11+D21+D32+D52+D60+D87</f>
        <v>11222.622000000001</v>
      </c>
      <c r="AG86" s="195">
        <f>E11+E21+E32+E52+E60+E87</f>
        <v>11222.625099999999</v>
      </c>
      <c r="AH86" s="195">
        <f>F11+F21+F32+F52+F60+F87</f>
        <v>0</v>
      </c>
      <c r="AI86" s="195">
        <f t="shared" ref="AI86:AI93" si="6">+AG86+AH86</f>
        <v>11222.625099999999</v>
      </c>
      <c r="AJ86" s="195">
        <f>L11+L21+L32+L52+L60+L87</f>
        <v>0</v>
      </c>
      <c r="AK86" s="195">
        <f t="shared" ref="AK86:AK93" si="7">+AI86+AJ86</f>
        <v>11222.625099999999</v>
      </c>
      <c r="AL86" s="195">
        <f>O11+O21+O32+O52+O60+O87</f>
        <v>0</v>
      </c>
      <c r="AM86" s="195">
        <f>P11+P21+P32+P52+P60+P87</f>
        <v>0</v>
      </c>
      <c r="AN86" s="195">
        <f t="shared" ref="AN86:AN93" si="8">+AL86+AM86</f>
        <v>0</v>
      </c>
      <c r="AO86" s="195">
        <f>V11+V21+V32+V52+V60+V87</f>
        <v>0</v>
      </c>
      <c r="AP86" s="195">
        <f t="shared" ref="AP86:AP93" si="9">+AN86+AO86</f>
        <v>0</v>
      </c>
      <c r="AQ86" s="195">
        <f t="shared" ref="AQ86:AQ93" si="10">+AI86+AN86</f>
        <v>11222.625099999999</v>
      </c>
      <c r="AR86" s="195">
        <f t="shared" ref="AR86:AR93" si="11">+AF86-AQ86</f>
        <v>-3.099999998084968E-3</v>
      </c>
      <c r="AS86" s="195">
        <f t="shared" si="5"/>
        <v>115159.33029</v>
      </c>
    </row>
    <row r="87" spans="1:45" x14ac:dyDescent="0.2">
      <c r="A87" s="180"/>
      <c r="C87" s="168" t="s">
        <v>36</v>
      </c>
      <c r="D87" s="181">
        <f>TOBEPAID!D66/1000</f>
        <v>600</v>
      </c>
      <c r="E87" s="181">
        <f>TOBEPAID!E66/1000</f>
        <v>600</v>
      </c>
      <c r="F87" s="181">
        <f>TOBEPAID!F66/1000</f>
        <v>0</v>
      </c>
      <c r="G87" s="181">
        <f>TOBEPAID!G66/1000</f>
        <v>0</v>
      </c>
      <c r="H87" s="181">
        <f>TOBEPAID!H66/1000</f>
        <v>600</v>
      </c>
      <c r="I87" s="181">
        <f>TOBEPAID!I66/1000</f>
        <v>0</v>
      </c>
      <c r="J87" s="181">
        <f>TOBEPAID!J66/1000</f>
        <v>0</v>
      </c>
      <c r="K87" s="181">
        <f>TOBEPAID!K66/1000</f>
        <v>0</v>
      </c>
      <c r="L87" s="181">
        <f>TOBEPAID!L66/1000</f>
        <v>0</v>
      </c>
      <c r="M87" s="181">
        <f>TOBEPAID!M66/1000</f>
        <v>0</v>
      </c>
      <c r="N87" s="181">
        <f>TOBEPAID!N66/1000</f>
        <v>600</v>
      </c>
      <c r="O87" s="181">
        <f>TOBEPAID!O66/1000</f>
        <v>0</v>
      </c>
      <c r="P87" s="181">
        <f>TOBEPAID!P66/1000</f>
        <v>0</v>
      </c>
      <c r="Q87" s="181">
        <f>TOBEPAID!Q66/1000</f>
        <v>0</v>
      </c>
      <c r="R87" s="181">
        <f>TOBEPAID!R66/1000</f>
        <v>0</v>
      </c>
      <c r="S87" s="181">
        <f>TOBEPAID!S66/1000</f>
        <v>0</v>
      </c>
      <c r="T87" s="181">
        <f>TOBEPAID!T66/1000</f>
        <v>0</v>
      </c>
      <c r="U87" s="181">
        <f>TOBEPAID!U66/1000</f>
        <v>0</v>
      </c>
      <c r="V87" s="181">
        <f>TOBEPAID!V66/1000</f>
        <v>0</v>
      </c>
      <c r="W87" s="181">
        <f>TOBEPAID!W66/1000</f>
        <v>0</v>
      </c>
      <c r="X87" s="181">
        <f>TOBEPAID!X66/1000</f>
        <v>0</v>
      </c>
      <c r="Y87" s="181">
        <f>TOBEPAID!Y66/1000</f>
        <v>600</v>
      </c>
      <c r="Z87" s="181">
        <f>TOBEPAID!Z66/1000</f>
        <v>0</v>
      </c>
      <c r="AA87" s="181">
        <f>TOBEPAID!AA66/1000</f>
        <v>600</v>
      </c>
      <c r="AB87" s="181">
        <f>TOBEPAID!AB66/1000</f>
        <v>0</v>
      </c>
      <c r="AC87" s="181"/>
      <c r="AD87" s="181"/>
      <c r="AE87" s="186" t="s">
        <v>36</v>
      </c>
      <c r="AF87" s="195">
        <f>D13+D22+D44+D54+D78+D89</f>
        <v>117795.87366</v>
      </c>
      <c r="AG87" s="195">
        <f>E13+E22+E44+E54+E78+E89</f>
        <v>0</v>
      </c>
      <c r="AH87" s="195">
        <f>F13+F22+F44+F54+F78+F89</f>
        <v>0</v>
      </c>
      <c r="AI87" s="195">
        <f t="shared" si="6"/>
        <v>0</v>
      </c>
      <c r="AJ87" s="195">
        <f>L13+L22+L33+L54+L75+L88</f>
        <v>0</v>
      </c>
      <c r="AK87" s="195">
        <f t="shared" si="7"/>
        <v>0</v>
      </c>
      <c r="AL87" s="195">
        <f>O13+O22+O44+O54+O54+O78+O89</f>
        <v>2636.5433699999999</v>
      </c>
      <c r="AM87" s="195">
        <f>P13+P22+P44+P54+P75+P88</f>
        <v>0</v>
      </c>
      <c r="AN87" s="195">
        <f t="shared" si="8"/>
        <v>2636.5433699999999</v>
      </c>
      <c r="AO87" s="195">
        <f>V13+V22+V33+V54+V75+V88</f>
        <v>0</v>
      </c>
      <c r="AP87" s="195">
        <f t="shared" si="9"/>
        <v>2636.5433699999999</v>
      </c>
      <c r="AQ87" s="195">
        <f t="shared" si="10"/>
        <v>2636.5433699999999</v>
      </c>
      <c r="AR87" s="195">
        <f t="shared" si="11"/>
        <v>115159.33029</v>
      </c>
      <c r="AS87" s="195" t="e">
        <f t="shared" si="5"/>
        <v>#VALUE!</v>
      </c>
    </row>
    <row r="88" spans="1:45" x14ac:dyDescent="0.2">
      <c r="A88" s="180"/>
      <c r="C88" s="168" t="s">
        <v>44</v>
      </c>
      <c r="D88" s="181">
        <f>TOBEPAID!D67/1000</f>
        <v>4000</v>
      </c>
      <c r="E88" s="181">
        <f>TOBEPAID!E67/1000</f>
        <v>4000</v>
      </c>
      <c r="F88" s="181">
        <f>TOBEPAID!F67/1000</f>
        <v>0</v>
      </c>
      <c r="G88" s="181">
        <f>TOBEPAID!G67/1000</f>
        <v>0</v>
      </c>
      <c r="H88" s="181">
        <f>TOBEPAID!H67/1000</f>
        <v>4000</v>
      </c>
      <c r="I88" s="181">
        <f>TOBEPAID!I67/1000</f>
        <v>0</v>
      </c>
      <c r="J88" s="181">
        <f>TOBEPAID!J67/1000</f>
        <v>0</v>
      </c>
      <c r="K88" s="181">
        <f>TOBEPAID!K67/1000</f>
        <v>0</v>
      </c>
      <c r="L88" s="181">
        <f>TOBEPAID!L67/1000</f>
        <v>0</v>
      </c>
      <c r="M88" s="181">
        <f>TOBEPAID!M67/1000</f>
        <v>0</v>
      </c>
      <c r="N88" s="181">
        <f>TOBEPAID!N67/1000</f>
        <v>4000</v>
      </c>
      <c r="O88" s="181">
        <f>TOBEPAID!O67/1000</f>
        <v>0</v>
      </c>
      <c r="P88" s="181">
        <f>TOBEPAID!P67/1000</f>
        <v>0</v>
      </c>
      <c r="Q88" s="181">
        <f>TOBEPAID!Q67/1000</f>
        <v>0</v>
      </c>
      <c r="R88" s="181">
        <f>TOBEPAID!R67/1000</f>
        <v>0</v>
      </c>
      <c r="S88" s="181">
        <f>TOBEPAID!S67/1000</f>
        <v>0</v>
      </c>
      <c r="T88" s="181">
        <f>TOBEPAID!T67/1000</f>
        <v>0</v>
      </c>
      <c r="U88" s="181">
        <f>TOBEPAID!U67/1000</f>
        <v>0</v>
      </c>
      <c r="V88" s="181">
        <f>TOBEPAID!V67/1000</f>
        <v>0</v>
      </c>
      <c r="W88" s="181">
        <f>TOBEPAID!W67/1000</f>
        <v>0</v>
      </c>
      <c r="X88" s="181">
        <f>TOBEPAID!X67/1000</f>
        <v>0</v>
      </c>
      <c r="Y88" s="181">
        <f>TOBEPAID!Y67/1000</f>
        <v>4000</v>
      </c>
      <c r="Z88" s="181">
        <f>TOBEPAID!Z67/1000</f>
        <v>0</v>
      </c>
      <c r="AA88" s="181">
        <f>TOBEPAID!AA67/1000</f>
        <v>4000</v>
      </c>
      <c r="AB88" s="181">
        <f>TOBEPAID!AB67/1000</f>
        <v>0</v>
      </c>
      <c r="AC88" s="181"/>
      <c r="AD88" s="181"/>
      <c r="AE88" s="186" t="s">
        <v>183</v>
      </c>
      <c r="AF88" s="195">
        <f>D15+D23+D46+D79</f>
        <v>2661.498</v>
      </c>
      <c r="AG88" s="195">
        <f>E15+E23+E46+E79</f>
        <v>0</v>
      </c>
      <c r="AH88" s="195">
        <f>F15+F23+F46+F79</f>
        <v>0</v>
      </c>
      <c r="AI88" s="195">
        <f t="shared" si="6"/>
        <v>0</v>
      </c>
      <c r="AJ88" s="195" t="e">
        <f>L15+L23+L43+L55+L76+L89</f>
        <v>#VALUE!</v>
      </c>
      <c r="AK88" s="195" t="e">
        <f t="shared" si="7"/>
        <v>#VALUE!</v>
      </c>
      <c r="AL88" s="195">
        <f>O15+O23+O46+O79</f>
        <v>25.467500000000001</v>
      </c>
      <c r="AM88" s="195" t="e">
        <f>P14+P23+P43+P55+P76+P89</f>
        <v>#VALUE!</v>
      </c>
      <c r="AN88" s="195" t="e">
        <f t="shared" si="8"/>
        <v>#VALUE!</v>
      </c>
      <c r="AO88" s="195" t="e">
        <f>V14+V23+V43+V55+V76+V89</f>
        <v>#VALUE!</v>
      </c>
      <c r="AP88" s="195" t="e">
        <f t="shared" si="9"/>
        <v>#VALUE!</v>
      </c>
      <c r="AQ88" s="195" t="e">
        <f t="shared" si="10"/>
        <v>#VALUE!</v>
      </c>
      <c r="AR88" s="195" t="e">
        <f t="shared" si="11"/>
        <v>#VALUE!</v>
      </c>
      <c r="AS88" s="195" t="e">
        <f t="shared" si="5"/>
        <v>#VALUE!</v>
      </c>
    </row>
    <row r="89" spans="1:45" x14ac:dyDescent="0.2">
      <c r="A89" s="180"/>
      <c r="C89" s="166" t="s">
        <v>37</v>
      </c>
      <c r="D89" s="181">
        <f>TOBEPAID!D68/1000</f>
        <v>39033.642659999998</v>
      </c>
      <c r="E89" s="181">
        <f>TOBEPAID!E68/1000</f>
        <v>0</v>
      </c>
      <c r="F89" s="181">
        <f>TOBEPAID!F68/1000</f>
        <v>0</v>
      </c>
      <c r="G89" s="181">
        <f>TOBEPAID!G68/1000</f>
        <v>0</v>
      </c>
      <c r="H89" s="181">
        <f>TOBEPAID!H68/1000</f>
        <v>0</v>
      </c>
      <c r="I89" s="181">
        <f>TOBEPAID!I68/1000</f>
        <v>0</v>
      </c>
      <c r="J89" s="181">
        <f>TOBEPAID!J68/1000</f>
        <v>0</v>
      </c>
      <c r="K89" s="181">
        <f>TOBEPAID!K68/1000</f>
        <v>0</v>
      </c>
      <c r="L89" s="181">
        <f>TOBEPAID!L68/1000</f>
        <v>0</v>
      </c>
      <c r="M89" s="181">
        <f>TOBEPAID!M68/1000</f>
        <v>0</v>
      </c>
      <c r="N89" s="181">
        <f>TOBEPAID!N68/1000</f>
        <v>0</v>
      </c>
      <c r="O89" s="181">
        <f>TOBEPAID!O68/1000</f>
        <v>2280.4986699999999</v>
      </c>
      <c r="P89" s="181">
        <f>TOBEPAID!P68/1000</f>
        <v>0</v>
      </c>
      <c r="Q89" s="181">
        <f>TOBEPAID!Q68/1000</f>
        <v>0</v>
      </c>
      <c r="R89" s="181">
        <f>TOBEPAID!R68/1000</f>
        <v>2280.4986699999999</v>
      </c>
      <c r="S89" s="181">
        <f>TOBEPAID!S68/1000</f>
        <v>0</v>
      </c>
      <c r="T89" s="181">
        <f>TOBEPAID!T68/1000</f>
        <v>0</v>
      </c>
      <c r="U89" s="181">
        <f>TOBEPAID!U68/1000</f>
        <v>0</v>
      </c>
      <c r="V89" s="181">
        <f>TOBEPAID!V68/1000</f>
        <v>0</v>
      </c>
      <c r="W89" s="181">
        <f>TOBEPAID!W68/1000</f>
        <v>0</v>
      </c>
      <c r="X89" s="181">
        <f>TOBEPAID!X68/1000</f>
        <v>2280.4986699999999</v>
      </c>
      <c r="Y89" s="181">
        <f>TOBEPAID!Y68/1000</f>
        <v>2280.4986699999999</v>
      </c>
      <c r="Z89" s="181">
        <f>TOBEPAID!Z68/1000</f>
        <v>36753.143989999997</v>
      </c>
      <c r="AA89" s="181">
        <f>TOBEPAID!AA68/1000</f>
        <v>2280.4986699999999</v>
      </c>
      <c r="AB89" s="181">
        <f>TOBEPAID!AB68/1000</f>
        <v>36753.143989999997</v>
      </c>
      <c r="AC89" s="181"/>
      <c r="AD89" s="181"/>
      <c r="AE89" s="186" t="s">
        <v>184</v>
      </c>
      <c r="AF89" s="195">
        <f>D14+D45+D90</f>
        <v>4467.5567499999997</v>
      </c>
      <c r="AG89" s="195">
        <f>E14+E45+E90</f>
        <v>0</v>
      </c>
      <c r="AH89" s="195">
        <f>F14+F45+F90</f>
        <v>0</v>
      </c>
      <c r="AI89" s="195">
        <f t="shared" si="6"/>
        <v>0</v>
      </c>
      <c r="AJ89" s="195" t="e">
        <f>L15+L24+L44+L56+L78+L90</f>
        <v>#VALUE!</v>
      </c>
      <c r="AK89" s="195" t="e">
        <f t="shared" si="7"/>
        <v>#VALUE!</v>
      </c>
      <c r="AL89" s="195">
        <f>O14+O45+O90</f>
        <v>0</v>
      </c>
      <c r="AM89" s="195">
        <f>P14+P45+P90</f>
        <v>0</v>
      </c>
      <c r="AN89" s="195">
        <f t="shared" si="8"/>
        <v>0</v>
      </c>
      <c r="AO89" s="195" t="e">
        <f>V15+V24+V44+V56+V78+V90</f>
        <v>#VALUE!</v>
      </c>
      <c r="AP89" s="195" t="e">
        <f t="shared" si="9"/>
        <v>#VALUE!</v>
      </c>
      <c r="AQ89" s="195">
        <f t="shared" si="10"/>
        <v>0</v>
      </c>
      <c r="AR89" s="195">
        <f t="shared" si="11"/>
        <v>4467.5567499999997</v>
      </c>
      <c r="AS89" s="195" t="e">
        <f t="shared" si="5"/>
        <v>#VALUE!</v>
      </c>
    </row>
    <row r="90" spans="1:45" x14ac:dyDescent="0.2">
      <c r="A90" s="180"/>
      <c r="C90" s="166" t="s">
        <v>38</v>
      </c>
      <c r="D90" s="181">
        <f>TOBEPAID!D69/1000</f>
        <v>4467.5567499999997</v>
      </c>
      <c r="E90" s="181">
        <f>TOBEPAID!E69/1000</f>
        <v>0</v>
      </c>
      <c r="F90" s="181">
        <f>TOBEPAID!F69/1000</f>
        <v>0</v>
      </c>
      <c r="G90" s="181">
        <f>TOBEPAID!G69/1000</f>
        <v>0</v>
      </c>
      <c r="H90" s="181">
        <f>TOBEPAID!H69/1000</f>
        <v>0</v>
      </c>
      <c r="I90" s="181">
        <f>TOBEPAID!I69/1000</f>
        <v>0</v>
      </c>
      <c r="J90" s="181">
        <f>TOBEPAID!J69/1000</f>
        <v>0</v>
      </c>
      <c r="K90" s="181">
        <f>TOBEPAID!K69/1000</f>
        <v>0</v>
      </c>
      <c r="L90" s="181">
        <f>TOBEPAID!L69/1000</f>
        <v>0</v>
      </c>
      <c r="M90" s="181">
        <f>TOBEPAID!M69/1000</f>
        <v>0</v>
      </c>
      <c r="N90" s="181">
        <f>TOBEPAID!N69/1000</f>
        <v>0</v>
      </c>
      <c r="O90" s="181">
        <f>TOBEPAID!O69/1000</f>
        <v>0</v>
      </c>
      <c r="P90" s="181">
        <f>TOBEPAID!P69/1000</f>
        <v>0</v>
      </c>
      <c r="Q90" s="181">
        <f>TOBEPAID!Q69/1000</f>
        <v>0</v>
      </c>
      <c r="R90" s="181">
        <f>TOBEPAID!R69/1000</f>
        <v>0</v>
      </c>
      <c r="S90" s="181">
        <f>TOBEPAID!S69/1000</f>
        <v>0</v>
      </c>
      <c r="T90" s="181">
        <f>TOBEPAID!T69/1000</f>
        <v>0</v>
      </c>
      <c r="U90" s="181">
        <f>TOBEPAID!U69/1000</f>
        <v>0</v>
      </c>
      <c r="V90" s="181">
        <f>TOBEPAID!V69/1000</f>
        <v>0</v>
      </c>
      <c r="W90" s="181">
        <f>TOBEPAID!W69/1000</f>
        <v>0</v>
      </c>
      <c r="X90" s="181">
        <f>TOBEPAID!X69/1000</f>
        <v>0</v>
      </c>
      <c r="Y90" s="181">
        <f>TOBEPAID!Y69/1000</f>
        <v>0</v>
      </c>
      <c r="Z90" s="181">
        <f>TOBEPAID!Z69/1000</f>
        <v>4467.5567499999997</v>
      </c>
      <c r="AA90" s="181">
        <f>TOBEPAID!AA69/1000</f>
        <v>0</v>
      </c>
      <c r="AB90" s="181">
        <f>TOBEPAID!AB69/1000</f>
        <v>4467.5567499999997</v>
      </c>
      <c r="AC90" s="181"/>
      <c r="AD90" s="181"/>
      <c r="AE90" s="186" t="s">
        <v>38</v>
      </c>
      <c r="AF90" s="195">
        <f>D43+D75+D88</f>
        <v>26497</v>
      </c>
      <c r="AG90" s="195">
        <f>E43+E75+E88</f>
        <v>26497</v>
      </c>
      <c r="AH90" s="195">
        <f>F43+F75+F88</f>
        <v>0</v>
      </c>
      <c r="AI90" s="195">
        <f t="shared" si="6"/>
        <v>26497</v>
      </c>
      <c r="AJ90" s="195" t="e">
        <f>L16+L25+L45+L57+L79+L91</f>
        <v>#VALUE!</v>
      </c>
      <c r="AK90" s="195" t="e">
        <f t="shared" si="7"/>
        <v>#VALUE!</v>
      </c>
      <c r="AL90" s="195">
        <f>O43+O75+O88</f>
        <v>0</v>
      </c>
      <c r="AM90" s="195" t="e">
        <f>P16+P25+P45+P57+P79+P91</f>
        <v>#VALUE!</v>
      </c>
      <c r="AN90" s="195" t="e">
        <f t="shared" si="8"/>
        <v>#VALUE!</v>
      </c>
      <c r="AO90" s="195" t="e">
        <f>V16+V25+V45+V57+V79+V91</f>
        <v>#VALUE!</v>
      </c>
      <c r="AP90" s="195" t="e">
        <f t="shared" si="9"/>
        <v>#VALUE!</v>
      </c>
      <c r="AQ90" s="195" t="e">
        <f t="shared" si="10"/>
        <v>#VALUE!</v>
      </c>
      <c r="AR90" s="195" t="e">
        <f t="shared" si="11"/>
        <v>#VALUE!</v>
      </c>
      <c r="AS90" s="195" t="e">
        <f t="shared" si="5"/>
        <v>#VALUE!</v>
      </c>
    </row>
    <row r="91" spans="1:45" x14ac:dyDescent="0.2">
      <c r="A91" s="180"/>
      <c r="C91" s="166" t="s">
        <v>258</v>
      </c>
      <c r="D91" s="181">
        <f>TOBEPAID!D70/1000</f>
        <v>10000</v>
      </c>
      <c r="E91" s="181">
        <f>TOBEPAID!E70/1000</f>
        <v>5814.7614299999996</v>
      </c>
      <c r="F91" s="181">
        <f>TOBEPAID!F70/1000</f>
        <v>0</v>
      </c>
      <c r="G91" s="181">
        <f>TOBEPAID!G70/1000</f>
        <v>0</v>
      </c>
      <c r="H91" s="181">
        <f>TOBEPAID!H70/1000</f>
        <v>5814.7614299999996</v>
      </c>
      <c r="I91" s="181">
        <f>TOBEPAID!I70/1000</f>
        <v>0</v>
      </c>
      <c r="J91" s="181">
        <f>TOBEPAID!J70/1000</f>
        <v>0</v>
      </c>
      <c r="K91" s="181">
        <f>TOBEPAID!K70/1000</f>
        <v>0</v>
      </c>
      <c r="L91" s="181">
        <f>TOBEPAID!L70/1000</f>
        <v>0</v>
      </c>
      <c r="M91" s="181">
        <f>TOBEPAID!M70/1000</f>
        <v>0</v>
      </c>
      <c r="N91" s="181">
        <f>TOBEPAID!N70/1000</f>
        <v>5814.7614299999996</v>
      </c>
      <c r="O91" s="181">
        <f>TOBEPAID!O70/1000</f>
        <v>835.22230000000002</v>
      </c>
      <c r="P91" s="181">
        <f>TOBEPAID!P70/1000</f>
        <v>0</v>
      </c>
      <c r="Q91" s="181">
        <f>TOBEPAID!Q70/1000</f>
        <v>0</v>
      </c>
      <c r="R91" s="181">
        <f>TOBEPAID!R70/1000</f>
        <v>835.22230000000002</v>
      </c>
      <c r="S91" s="181">
        <f>TOBEPAID!S70/1000</f>
        <v>0</v>
      </c>
      <c r="T91" s="181">
        <f>TOBEPAID!T70/1000</f>
        <v>0</v>
      </c>
      <c r="U91" s="181">
        <f>TOBEPAID!U70/1000</f>
        <v>0</v>
      </c>
      <c r="V91" s="181">
        <f>TOBEPAID!V70/1000</f>
        <v>0</v>
      </c>
      <c r="W91" s="181">
        <f>TOBEPAID!W70/1000</f>
        <v>0</v>
      </c>
      <c r="X91" s="181">
        <f>TOBEPAID!X70/1000</f>
        <v>835.22230000000002</v>
      </c>
      <c r="Y91" s="181">
        <f>TOBEPAID!Y70/1000</f>
        <v>6649.9837299999999</v>
      </c>
      <c r="Z91" s="181">
        <f>TOBEPAID!Z70/1000</f>
        <v>3350.0162700000005</v>
      </c>
      <c r="AA91" s="181">
        <f>TOBEPAID!AA70/1000</f>
        <v>6649.9837299999999</v>
      </c>
      <c r="AB91" s="181">
        <f>TOBEPAID!AB70/1000</f>
        <v>3350.0162700000005</v>
      </c>
      <c r="AC91" s="181"/>
      <c r="AD91" s="181"/>
      <c r="AE91" s="186" t="s">
        <v>44</v>
      </c>
      <c r="AF91" s="195">
        <f>+D91</f>
        <v>10000</v>
      </c>
      <c r="AG91" s="195">
        <f>+E91</f>
        <v>5814.7614299999996</v>
      </c>
      <c r="AH91" s="195">
        <f>+F91</f>
        <v>0</v>
      </c>
      <c r="AI91" s="195">
        <f t="shared" si="6"/>
        <v>5814.7614299999996</v>
      </c>
      <c r="AJ91" s="195" t="e">
        <f>L17+L26+L46+L58+L80+L92</f>
        <v>#VALUE!</v>
      </c>
      <c r="AK91" s="195" t="e">
        <f t="shared" si="7"/>
        <v>#VALUE!</v>
      </c>
      <c r="AL91" s="195">
        <f>+O91</f>
        <v>835.22230000000002</v>
      </c>
      <c r="AM91" s="195" t="e">
        <f>P17+P26+P46+P58+P80+P92</f>
        <v>#VALUE!</v>
      </c>
      <c r="AN91" s="195" t="e">
        <f t="shared" si="8"/>
        <v>#VALUE!</v>
      </c>
      <c r="AO91" s="195" t="e">
        <f>V17+V26+V46+V58+V80+V92</f>
        <v>#VALUE!</v>
      </c>
      <c r="AP91" s="195" t="e">
        <f t="shared" si="9"/>
        <v>#VALUE!</v>
      </c>
      <c r="AQ91" s="195" t="e">
        <f t="shared" si="10"/>
        <v>#VALUE!</v>
      </c>
      <c r="AR91" s="195" t="e">
        <f t="shared" si="11"/>
        <v>#VALUE!</v>
      </c>
      <c r="AS91" s="195">
        <f t="shared" si="5"/>
        <v>0</v>
      </c>
    </row>
    <row r="92" spans="1:45" x14ac:dyDescent="0.2">
      <c r="A92" s="180"/>
      <c r="D92" s="182" t="s">
        <v>40</v>
      </c>
      <c r="E92" s="182" t="s">
        <v>40</v>
      </c>
      <c r="F92" s="182" t="s">
        <v>40</v>
      </c>
      <c r="G92" s="182"/>
      <c r="H92" s="182" t="s">
        <v>40</v>
      </c>
      <c r="I92" s="182" t="s">
        <v>40</v>
      </c>
      <c r="J92" s="182" t="s">
        <v>40</v>
      </c>
      <c r="K92" s="182" t="s">
        <v>40</v>
      </c>
      <c r="L92" s="182" t="s">
        <v>40</v>
      </c>
      <c r="M92" s="182"/>
      <c r="N92" s="182" t="s">
        <v>40</v>
      </c>
      <c r="O92" s="182" t="s">
        <v>40</v>
      </c>
      <c r="P92" s="182" t="s">
        <v>40</v>
      </c>
      <c r="Q92" s="182"/>
      <c r="R92" s="182" t="s">
        <v>40</v>
      </c>
      <c r="S92" s="182" t="s">
        <v>40</v>
      </c>
      <c r="T92" s="182" t="s">
        <v>40</v>
      </c>
      <c r="U92" s="182" t="s">
        <v>40</v>
      </c>
      <c r="V92" s="182" t="s">
        <v>40</v>
      </c>
      <c r="W92" s="182"/>
      <c r="X92" s="182" t="s">
        <v>40</v>
      </c>
      <c r="Y92" s="182" t="s">
        <v>40</v>
      </c>
      <c r="Z92" s="182" t="s">
        <v>40</v>
      </c>
      <c r="AA92" s="182" t="s">
        <v>40</v>
      </c>
      <c r="AB92" s="182" t="s">
        <v>40</v>
      </c>
      <c r="AC92" s="182"/>
      <c r="AD92" s="182"/>
      <c r="AE92" s="186" t="s">
        <v>259</v>
      </c>
      <c r="AF92" s="195">
        <f>+D76</f>
        <v>11432</v>
      </c>
      <c r="AG92" s="195">
        <f>+E76</f>
        <v>11432</v>
      </c>
      <c r="AH92" s="195">
        <f>+F76</f>
        <v>0</v>
      </c>
      <c r="AI92" s="195">
        <f t="shared" si="6"/>
        <v>11432</v>
      </c>
      <c r="AJ92" s="195">
        <f>+K76</f>
        <v>0</v>
      </c>
      <c r="AK92" s="195">
        <f>+AI92+AJ92</f>
        <v>11432</v>
      </c>
      <c r="AL92" s="195">
        <f>+O76</f>
        <v>0</v>
      </c>
      <c r="AM92" s="195">
        <f>+P76</f>
        <v>0</v>
      </c>
      <c r="AN92" s="195">
        <f t="shared" si="8"/>
        <v>0</v>
      </c>
      <c r="AO92" s="195">
        <f>+V76</f>
        <v>0</v>
      </c>
      <c r="AP92" s="195">
        <f t="shared" si="9"/>
        <v>0</v>
      </c>
      <c r="AQ92" s="195">
        <f t="shared" si="10"/>
        <v>11432</v>
      </c>
      <c r="AR92" s="195">
        <f t="shared" si="11"/>
        <v>0</v>
      </c>
      <c r="AS92" s="195">
        <f t="shared" si="5"/>
        <v>-2.000000017687853E-5</v>
      </c>
    </row>
    <row r="93" spans="1:45" x14ac:dyDescent="0.2">
      <c r="A93" s="180"/>
      <c r="D93" s="181">
        <f>SUM(D84:D91)</f>
        <v>533138.75300999999</v>
      </c>
      <c r="E93" s="181">
        <f>SUM(E84:E91)</f>
        <v>43442.116349999997</v>
      </c>
      <c r="F93" s="181">
        <f>SUM(F84:F91)</f>
        <v>30000</v>
      </c>
      <c r="G93" s="181"/>
      <c r="H93" s="181">
        <f>SUM(H84:H91)</f>
        <v>373442.11635000003</v>
      </c>
      <c r="I93" s="181">
        <f>SUM(I84:I91)</f>
        <v>0</v>
      </c>
      <c r="J93" s="181">
        <f>SUM(J84:J91)</f>
        <v>0</v>
      </c>
      <c r="K93" s="181">
        <f>SUM(K84:K91)</f>
        <v>0</v>
      </c>
      <c r="L93" s="181">
        <f>SUM(L84:L91)</f>
        <v>0</v>
      </c>
      <c r="M93" s="181"/>
      <c r="N93" s="181">
        <f>SUM(N84:N91)</f>
        <v>73442.116349999997</v>
      </c>
      <c r="O93" s="181">
        <f>SUM(O84:O91)</f>
        <v>3199.9642699999999</v>
      </c>
      <c r="P93" s="181">
        <f>SUM(P84:P91)</f>
        <v>0</v>
      </c>
      <c r="Q93" s="181"/>
      <c r="R93" s="181">
        <f>SUM(R84:R91)</f>
        <v>3362.6829399999997</v>
      </c>
      <c r="S93" s="181">
        <f>SUM(S84:S91)</f>
        <v>1154.2370000000001</v>
      </c>
      <c r="T93" s="181">
        <f>SUM(T84:T91)</f>
        <v>0</v>
      </c>
      <c r="U93" s="181">
        <f>SUM(U84:U91)</f>
        <v>0</v>
      </c>
      <c r="V93" s="181">
        <f>SUM(V84:V91)</f>
        <v>0</v>
      </c>
      <c r="W93" s="181"/>
      <c r="X93" s="181">
        <f>SUM(X84:X91)</f>
        <v>3199.9642699999999</v>
      </c>
      <c r="Y93" s="181">
        <f>SUM(Y84:Y91)</f>
        <v>376804.79929</v>
      </c>
      <c r="Z93" s="181">
        <f>SUM(Z84:Z91)</f>
        <v>156333.95371999996</v>
      </c>
      <c r="AA93" s="181">
        <f>SUM(AA84:AA91)</f>
        <v>76642.080619999993</v>
      </c>
      <c r="AB93" s="181">
        <f>SUM(AB84:AB91)</f>
        <v>156496.67238999999</v>
      </c>
      <c r="AC93" s="181"/>
      <c r="AD93" s="181"/>
      <c r="AE93" s="186" t="s">
        <v>260</v>
      </c>
      <c r="AF93" s="195">
        <f>+D33</f>
        <v>1763.9259999999999</v>
      </c>
      <c r="AG93" s="195">
        <f>+E33</f>
        <v>1763.9260200000001</v>
      </c>
      <c r="AH93" s="195">
        <f>+F33</f>
        <v>0</v>
      </c>
      <c r="AI93" s="195">
        <f t="shared" si="6"/>
        <v>1763.9260200000001</v>
      </c>
      <c r="AJ93" s="195">
        <f>+K33</f>
        <v>0</v>
      </c>
      <c r="AK93" s="195">
        <f t="shared" si="7"/>
        <v>1763.9260200000001</v>
      </c>
      <c r="AL93" s="195">
        <f>+O33</f>
        <v>0</v>
      </c>
      <c r="AM93" s="195">
        <f>+P33</f>
        <v>0</v>
      </c>
      <c r="AN93" s="195">
        <f t="shared" si="8"/>
        <v>0</v>
      </c>
      <c r="AO93" s="195">
        <f>+V33</f>
        <v>0</v>
      </c>
      <c r="AP93" s="195">
        <f t="shared" si="9"/>
        <v>0</v>
      </c>
      <c r="AQ93" s="195">
        <f t="shared" si="10"/>
        <v>1763.9260200000001</v>
      </c>
      <c r="AR93" s="195">
        <f t="shared" si="11"/>
        <v>-2.000000017687853E-5</v>
      </c>
    </row>
    <row r="94" spans="1:45" ht="16.5" customHeight="1" x14ac:dyDescent="0.2">
      <c r="B94" s="165" t="s">
        <v>348</v>
      </c>
      <c r="D94" s="182" t="s">
        <v>40</v>
      </c>
      <c r="E94" s="182" t="s">
        <v>40</v>
      </c>
      <c r="F94" s="182" t="s">
        <v>40</v>
      </c>
      <c r="G94" s="182"/>
      <c r="H94" s="182" t="s">
        <v>40</v>
      </c>
      <c r="I94" s="182" t="s">
        <v>40</v>
      </c>
      <c r="J94" s="182" t="s">
        <v>40</v>
      </c>
      <c r="K94" s="182" t="s">
        <v>40</v>
      </c>
      <c r="L94" s="182" t="s">
        <v>40</v>
      </c>
      <c r="M94" s="182"/>
      <c r="N94" s="182" t="s">
        <v>40</v>
      </c>
      <c r="O94" s="182" t="s">
        <v>40</v>
      </c>
      <c r="P94" s="182" t="s">
        <v>40</v>
      </c>
      <c r="Q94" s="182"/>
      <c r="R94" s="182" t="s">
        <v>40</v>
      </c>
      <c r="S94" s="182" t="s">
        <v>40</v>
      </c>
      <c r="T94" s="182" t="s">
        <v>40</v>
      </c>
      <c r="U94" s="182" t="s">
        <v>40</v>
      </c>
      <c r="V94" s="182" t="s">
        <v>40</v>
      </c>
      <c r="W94" s="182"/>
      <c r="X94" s="182" t="s">
        <v>40</v>
      </c>
      <c r="Y94" s="182" t="s">
        <v>40</v>
      </c>
      <c r="Z94" s="182" t="s">
        <v>40</v>
      </c>
      <c r="AA94" s="182" t="s">
        <v>40</v>
      </c>
      <c r="AB94" s="182" t="s">
        <v>40</v>
      </c>
      <c r="AC94" s="182"/>
      <c r="AD94" s="182"/>
      <c r="AE94" s="197" t="s">
        <v>43</v>
      </c>
      <c r="AS94" s="195" t="e">
        <f>SUM(AS80:AS92)</f>
        <v>#REF!</v>
      </c>
    </row>
    <row r="95" spans="1:45" ht="16.5" customHeight="1" thickBot="1" x14ac:dyDescent="0.25">
      <c r="B95" s="183" t="s">
        <v>292</v>
      </c>
      <c r="D95" s="198">
        <f>61787/1000</f>
        <v>61.786999999999999</v>
      </c>
      <c r="E95" s="191"/>
      <c r="F95" s="191"/>
      <c r="G95" s="191"/>
      <c r="H95" s="191"/>
      <c r="I95" s="191"/>
      <c r="J95" s="191"/>
      <c r="K95" s="191"/>
      <c r="L95" s="191"/>
      <c r="M95" s="191"/>
      <c r="N95" s="191"/>
      <c r="O95" s="198">
        <v>61787</v>
      </c>
      <c r="P95" s="199"/>
      <c r="Q95" s="191"/>
      <c r="R95" s="198">
        <f>+D95</f>
        <v>61.786999999999999</v>
      </c>
      <c r="S95" s="191"/>
      <c r="T95" s="191"/>
      <c r="U95" s="191"/>
      <c r="V95" s="191"/>
      <c r="W95" s="191"/>
      <c r="X95" s="191"/>
      <c r="Y95" s="198">
        <f>+H95+R95</f>
        <v>61.786999999999999</v>
      </c>
      <c r="Z95" s="198">
        <f>+D95-Y95</f>
        <v>0</v>
      </c>
      <c r="AA95" s="191"/>
      <c r="AB95" s="191"/>
      <c r="AC95" s="191"/>
      <c r="AD95" s="191"/>
      <c r="AF95" s="195" t="e">
        <f t="shared" ref="AF95:AR95" si="12">SUM(AF81:AF93)</f>
        <v>#REF!</v>
      </c>
      <c r="AG95" s="195" t="e">
        <f t="shared" si="12"/>
        <v>#REF!</v>
      </c>
      <c r="AH95" s="195" t="e">
        <f t="shared" si="12"/>
        <v>#REF!</v>
      </c>
      <c r="AI95" s="195" t="e">
        <f t="shared" si="12"/>
        <v>#REF!</v>
      </c>
      <c r="AJ95" s="195" t="e">
        <f t="shared" si="12"/>
        <v>#REF!</v>
      </c>
      <c r="AK95" s="195" t="e">
        <f t="shared" si="12"/>
        <v>#REF!</v>
      </c>
      <c r="AL95" s="195" t="e">
        <f t="shared" si="12"/>
        <v>#REF!</v>
      </c>
      <c r="AM95" s="195" t="e">
        <f t="shared" si="12"/>
        <v>#VALUE!</v>
      </c>
      <c r="AN95" s="195" t="e">
        <f t="shared" si="12"/>
        <v>#REF!</v>
      </c>
      <c r="AO95" s="195" t="e">
        <f t="shared" si="12"/>
        <v>#VALUE!</v>
      </c>
      <c r="AP95" s="195" t="e">
        <f t="shared" si="12"/>
        <v>#REF!</v>
      </c>
      <c r="AQ95" s="195" t="e">
        <f t="shared" si="12"/>
        <v>#REF!</v>
      </c>
      <c r="AR95" s="195" t="e">
        <f t="shared" si="12"/>
        <v>#REF!</v>
      </c>
    </row>
    <row r="96" spans="1:45" ht="31.5" customHeight="1" thickTop="1" x14ac:dyDescent="0.2">
      <c r="A96" s="180"/>
      <c r="B96" s="171" t="s">
        <v>26</v>
      </c>
      <c r="C96" s="166" t="s">
        <v>33</v>
      </c>
      <c r="D96" s="181">
        <f>D93+D81+D56+D48+D25+D17</f>
        <v>6414015.9122200012</v>
      </c>
      <c r="E96" s="181">
        <f>E93+E81+E56+E48+E25+E17</f>
        <v>125982.24082000001</v>
      </c>
      <c r="F96" s="181">
        <f>F93+F81+F56+F48+F25+F17</f>
        <v>60000</v>
      </c>
      <c r="G96" s="181"/>
      <c r="H96" s="181">
        <f>H93+H81+H56+H48+H25+H17</f>
        <v>5824846.5245200004</v>
      </c>
      <c r="I96" s="181">
        <f>I93+I81+I56+I48+I25+I17</f>
        <v>0</v>
      </c>
      <c r="J96" s="181">
        <f>J93+J81+J56+J48+J25+J17</f>
        <v>0</v>
      </c>
      <c r="K96" s="181">
        <f>K93+K81+K56+K48+K25+K17</f>
        <v>0</v>
      </c>
      <c r="L96" s="181">
        <f>L93+L81+L56+L48+L25+L17</f>
        <v>0</v>
      </c>
      <c r="M96" s="181"/>
      <c r="N96" s="181">
        <f>N93+N81+N56+N48+N25+N17</f>
        <v>185982.24081999998</v>
      </c>
      <c r="O96" s="181">
        <f>O93+O81+O56+O48+O25+O17</f>
        <v>29010.53615</v>
      </c>
      <c r="P96" s="181" t="e">
        <f>+P16+P15+P48+P56+P81+P93</f>
        <v>#VALUE!</v>
      </c>
      <c r="Q96" s="181"/>
      <c r="R96" s="181">
        <f>R93+R81+R56+R48+R25+R17</f>
        <v>32209.215660000002</v>
      </c>
      <c r="S96" s="181">
        <f>S93+S81+S56+S48+S25+S17</f>
        <v>11620.82186</v>
      </c>
      <c r="T96" s="181">
        <f>T93+T81+T56+T48+T25+T17</f>
        <v>5298.8419599999997</v>
      </c>
      <c r="U96" s="181">
        <f>U93+U81+U56+U48+U25+U17</f>
        <v>0</v>
      </c>
      <c r="V96" s="181">
        <f>V93+V81+V56+V48+V25+V17</f>
        <v>0</v>
      </c>
      <c r="W96" s="181"/>
      <c r="X96" s="181">
        <f>X93+X81+X56+X48+X25+X17</f>
        <v>29533.378549999998</v>
      </c>
      <c r="Y96" s="181">
        <f>Y93+Y81+Y56+Y48+Y25+Y17</f>
        <v>5857055.7401800007</v>
      </c>
      <c r="Z96" s="181">
        <f>Z93+Z81+Z56+Z48+Z25+Z17</f>
        <v>556960.56877999997</v>
      </c>
      <c r="AA96" s="181">
        <f>AA93+AA81+AA56+AA48+AA25+AA17</f>
        <v>215515.61937</v>
      </c>
      <c r="AB96" s="181">
        <f>AB93+AB81+AB56+AB48+AB25+AB17</f>
        <v>489534.66605</v>
      </c>
      <c r="AC96" s="181"/>
      <c r="AD96" s="181"/>
    </row>
    <row r="97" spans="1:30" x14ac:dyDescent="0.2">
      <c r="A97" s="180"/>
      <c r="D97" s="182" t="s">
        <v>50</v>
      </c>
      <c r="E97" s="182" t="s">
        <v>50</v>
      </c>
      <c r="F97" s="182" t="s">
        <v>50</v>
      </c>
      <c r="G97" s="182"/>
      <c r="H97" s="182" t="s">
        <v>50</v>
      </c>
      <c r="I97" s="182" t="s">
        <v>50</v>
      </c>
      <c r="J97" s="182" t="s">
        <v>50</v>
      </c>
      <c r="K97" s="182" t="s">
        <v>50</v>
      </c>
      <c r="L97" s="182" t="s">
        <v>50</v>
      </c>
      <c r="M97" s="182"/>
      <c r="N97" s="182" t="s">
        <v>50</v>
      </c>
      <c r="O97" s="182" t="s">
        <v>50</v>
      </c>
      <c r="P97" s="182" t="s">
        <v>50</v>
      </c>
      <c r="Q97" s="182"/>
      <c r="R97" s="182" t="s">
        <v>50</v>
      </c>
      <c r="S97" s="182" t="s">
        <v>50</v>
      </c>
      <c r="T97" s="182" t="s">
        <v>50</v>
      </c>
      <c r="U97" s="182" t="s">
        <v>50</v>
      </c>
      <c r="V97" s="182" t="s">
        <v>50</v>
      </c>
      <c r="W97" s="182"/>
      <c r="X97" s="182" t="s">
        <v>50</v>
      </c>
      <c r="Y97" s="182" t="s">
        <v>50</v>
      </c>
      <c r="Z97" s="182" t="s">
        <v>50</v>
      </c>
      <c r="AA97" s="182" t="s">
        <v>50</v>
      </c>
      <c r="AB97" s="182" t="s">
        <v>50</v>
      </c>
      <c r="AC97" s="182"/>
      <c r="AD97" s="182"/>
    </row>
    <row r="98" spans="1:30" x14ac:dyDescent="0.2">
      <c r="A98" s="180"/>
      <c r="D98" s="199"/>
      <c r="E98" s="191"/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</row>
    <row r="99" spans="1:30" x14ac:dyDescent="0.2">
      <c r="A99" s="180"/>
      <c r="D99" s="191"/>
      <c r="E99" s="191"/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</row>
    <row r="100" spans="1:30" x14ac:dyDescent="0.2">
      <c r="B100" s="166" t="s">
        <v>51</v>
      </c>
      <c r="D100" s="191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</row>
    <row r="101" spans="1:30" x14ac:dyDescent="0.2">
      <c r="A101" s="180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</row>
    <row r="102" spans="1:30" x14ac:dyDescent="0.2">
      <c r="A102" s="180">
        <v>7</v>
      </c>
      <c r="B102" s="166" t="s">
        <v>52</v>
      </c>
      <c r="C102" s="168" t="s">
        <v>35</v>
      </c>
      <c r="D102" s="181">
        <v>0</v>
      </c>
      <c r="E102" s="181">
        <f>TOBEPAID!E82/1000</f>
        <v>0</v>
      </c>
      <c r="F102" s="181">
        <f>TOBEPAID!F82/1000</f>
        <v>0</v>
      </c>
      <c r="G102" s="181">
        <f>TOBEPAID!G82/1000</f>
        <v>0</v>
      </c>
      <c r="H102" s="181">
        <v>0</v>
      </c>
      <c r="I102" s="181">
        <f>TOBEPAID!I82/1000</f>
        <v>0</v>
      </c>
      <c r="J102" s="181">
        <f>TOBEPAID!J82/1000</f>
        <v>0</v>
      </c>
      <c r="K102" s="181">
        <f>TOBEPAID!K82/1000</f>
        <v>0</v>
      </c>
      <c r="L102" s="181">
        <f>TOBEPAID!L82/1000</f>
        <v>0</v>
      </c>
      <c r="M102" s="181">
        <f>TOBEPAID!M82/1000</f>
        <v>0</v>
      </c>
      <c r="N102" s="181">
        <f>TOBEPAID!N82/1000</f>
        <v>0</v>
      </c>
      <c r="O102" s="181">
        <f>TOBEPAID!O82/1000</f>
        <v>0</v>
      </c>
      <c r="P102" s="181">
        <f>TOBEPAID!P82/1000</f>
        <v>0</v>
      </c>
      <c r="Q102" s="181">
        <f>TOBEPAID!Q82/1000</f>
        <v>0</v>
      </c>
      <c r="R102" s="181">
        <v>0</v>
      </c>
      <c r="S102" s="181">
        <f>TOBEPAID!S82/1000</f>
        <v>0</v>
      </c>
      <c r="T102" s="181">
        <f>TOBEPAID!T82/1000</f>
        <v>0</v>
      </c>
      <c r="U102" s="181">
        <f>TOBEPAID!U82/1000</f>
        <v>0</v>
      </c>
      <c r="V102" s="181">
        <f>TOBEPAID!V82/1000</f>
        <v>0</v>
      </c>
      <c r="W102" s="181">
        <f>TOBEPAID!W82/1000</f>
        <v>0</v>
      </c>
      <c r="X102" s="181">
        <f>TOBEPAID!X82/1000</f>
        <v>0</v>
      </c>
      <c r="Y102" s="181">
        <f t="shared" ref="Y102:Y107" si="13">+H102+R102</f>
        <v>0</v>
      </c>
      <c r="Z102" s="181">
        <f t="shared" ref="Z102:Z107" si="14">+D102-Y102</f>
        <v>0</v>
      </c>
      <c r="AA102" s="181">
        <f>TOBEPAID!AA82/1000</f>
        <v>0</v>
      </c>
      <c r="AB102" s="181">
        <f>TOBEPAID!AB82/1000</f>
        <v>0</v>
      </c>
      <c r="AC102" s="181"/>
      <c r="AD102" s="181"/>
    </row>
    <row r="103" spans="1:30" x14ac:dyDescent="0.2">
      <c r="C103" s="168" t="s">
        <v>36</v>
      </c>
      <c r="D103" s="181">
        <f>1235420/1000</f>
        <v>1235.42</v>
      </c>
      <c r="E103" s="181">
        <f>TOBEPAID!E83/1000</f>
        <v>1235.4207699999999</v>
      </c>
      <c r="F103" s="181">
        <f>TOBEPAID!F83/1000</f>
        <v>0</v>
      </c>
      <c r="G103" s="181">
        <f>TOBEPAID!G83/1000</f>
        <v>0</v>
      </c>
      <c r="H103" s="181">
        <f>1235420/1000</f>
        <v>1235.42</v>
      </c>
      <c r="I103" s="181">
        <f>TOBEPAID!I83/1000</f>
        <v>0</v>
      </c>
      <c r="J103" s="181">
        <f>TOBEPAID!J83/1000</f>
        <v>0</v>
      </c>
      <c r="K103" s="181">
        <f>TOBEPAID!K83/1000</f>
        <v>0</v>
      </c>
      <c r="L103" s="181">
        <f>TOBEPAID!L83/1000</f>
        <v>0</v>
      </c>
      <c r="M103" s="181">
        <f>TOBEPAID!M83/1000</f>
        <v>0</v>
      </c>
      <c r="N103" s="181">
        <f>TOBEPAID!N83/1000</f>
        <v>1235.4207699999999</v>
      </c>
      <c r="O103" s="181">
        <f>TOBEPAID!O83/1000</f>
        <v>0</v>
      </c>
      <c r="P103" s="181">
        <f>TOBEPAID!P83/1000</f>
        <v>0</v>
      </c>
      <c r="Q103" s="181">
        <f>TOBEPAID!Q83/1000</f>
        <v>0</v>
      </c>
      <c r="R103" s="181">
        <v>0</v>
      </c>
      <c r="S103" s="181">
        <f>TOBEPAID!S83/1000</f>
        <v>0</v>
      </c>
      <c r="T103" s="181">
        <f>TOBEPAID!T83/1000</f>
        <v>0</v>
      </c>
      <c r="U103" s="181">
        <f>TOBEPAID!U83/1000</f>
        <v>0</v>
      </c>
      <c r="V103" s="181">
        <f>TOBEPAID!V83/1000</f>
        <v>0</v>
      </c>
      <c r="W103" s="181">
        <f>TOBEPAID!W83/1000</f>
        <v>0</v>
      </c>
      <c r="X103" s="181">
        <f>TOBEPAID!X83/1000</f>
        <v>0</v>
      </c>
      <c r="Y103" s="181">
        <f t="shared" si="13"/>
        <v>1235.42</v>
      </c>
      <c r="Z103" s="181">
        <f t="shared" si="14"/>
        <v>0</v>
      </c>
      <c r="AA103" s="181">
        <f>TOBEPAID!AA83/1000</f>
        <v>1235.4207699999999</v>
      </c>
      <c r="AB103" s="181">
        <f>TOBEPAID!AB83/1000</f>
        <v>0</v>
      </c>
      <c r="AC103" s="181"/>
      <c r="AD103" s="181"/>
    </row>
    <row r="104" spans="1:30" x14ac:dyDescent="0.2">
      <c r="C104" s="165" t="s">
        <v>375</v>
      </c>
      <c r="D104" s="181">
        <f>4774698/1000</f>
        <v>4774.6980000000003</v>
      </c>
      <c r="E104" s="181">
        <f>TOBEPAID!E84/1000</f>
        <v>4774.6986500000003</v>
      </c>
      <c r="F104" s="181">
        <f>TOBEPAID!F84/1000</f>
        <v>0</v>
      </c>
      <c r="G104" s="181">
        <f>TOBEPAID!G84/1000</f>
        <v>0</v>
      </c>
      <c r="H104" s="181">
        <f>4774698/1000</f>
        <v>4774.6980000000003</v>
      </c>
      <c r="I104" s="181">
        <f>TOBEPAID!I84/1000</f>
        <v>0</v>
      </c>
      <c r="J104" s="181">
        <f>TOBEPAID!J84/1000</f>
        <v>0</v>
      </c>
      <c r="K104" s="181">
        <f>TOBEPAID!K84/1000</f>
        <v>0</v>
      </c>
      <c r="L104" s="181">
        <f>TOBEPAID!L84/1000</f>
        <v>0</v>
      </c>
      <c r="M104" s="181">
        <f>TOBEPAID!M84/1000</f>
        <v>0</v>
      </c>
      <c r="N104" s="181">
        <f>TOBEPAID!N84/1000</f>
        <v>4774.6986500000003</v>
      </c>
      <c r="O104" s="181">
        <f>TOBEPAID!O84/1000</f>
        <v>0</v>
      </c>
      <c r="P104" s="181">
        <f>TOBEPAID!P84/1000</f>
        <v>0</v>
      </c>
      <c r="Q104" s="181">
        <f>TOBEPAID!Q84/1000</f>
        <v>0</v>
      </c>
      <c r="R104" s="181">
        <v>0</v>
      </c>
      <c r="S104" s="181">
        <f>TOBEPAID!S84/1000</f>
        <v>0</v>
      </c>
      <c r="T104" s="181">
        <f>TOBEPAID!T84/1000</f>
        <v>0</v>
      </c>
      <c r="U104" s="181">
        <f>TOBEPAID!U84/1000</f>
        <v>0</v>
      </c>
      <c r="V104" s="181">
        <f>TOBEPAID!V84/1000</f>
        <v>0</v>
      </c>
      <c r="W104" s="181">
        <f>TOBEPAID!W84/1000</f>
        <v>0</v>
      </c>
      <c r="X104" s="181">
        <f>TOBEPAID!X84/1000</f>
        <v>0</v>
      </c>
      <c r="Y104" s="181">
        <f t="shared" si="13"/>
        <v>4774.6980000000003</v>
      </c>
      <c r="Z104" s="181">
        <f t="shared" si="14"/>
        <v>0</v>
      </c>
      <c r="AA104" s="181">
        <f>TOBEPAID!AA84/1000</f>
        <v>4774.6986500000003</v>
      </c>
      <c r="AB104" s="181">
        <f>TOBEPAID!AB84/1000</f>
        <v>0</v>
      </c>
      <c r="AC104" s="181"/>
      <c r="AD104" s="181"/>
    </row>
    <row r="105" spans="1:30" x14ac:dyDescent="0.2">
      <c r="A105" s="180"/>
      <c r="C105" s="166" t="s">
        <v>53</v>
      </c>
      <c r="D105" s="181">
        <f>6932369/1000</f>
        <v>6932.3689999999997</v>
      </c>
      <c r="E105" s="181">
        <f>TOBEPAID!E85/1000</f>
        <v>0</v>
      </c>
      <c r="F105" s="181">
        <f>TOBEPAID!F85/1000</f>
        <v>0</v>
      </c>
      <c r="G105" s="181">
        <f>TOBEPAID!G85/1000</f>
        <v>0</v>
      </c>
      <c r="H105" s="181">
        <v>0</v>
      </c>
      <c r="I105" s="181">
        <f>TOBEPAID!I85/1000</f>
        <v>0</v>
      </c>
      <c r="J105" s="181">
        <f>TOBEPAID!J85/1000</f>
        <v>0</v>
      </c>
      <c r="K105" s="181">
        <f>TOBEPAID!K85/1000</f>
        <v>0</v>
      </c>
      <c r="L105" s="181">
        <f>TOBEPAID!L85/1000</f>
        <v>0</v>
      </c>
      <c r="M105" s="181">
        <f>TOBEPAID!M85/1000</f>
        <v>0</v>
      </c>
      <c r="N105" s="181">
        <f>TOBEPAID!N85/1000</f>
        <v>0</v>
      </c>
      <c r="O105" s="181">
        <f>TOBEPAID!O85/1000</f>
        <v>6711.4495999999999</v>
      </c>
      <c r="P105" s="181">
        <f>TOBEPAID!P85/1000</f>
        <v>0</v>
      </c>
      <c r="Q105" s="181">
        <f>TOBEPAID!Q85/1000</f>
        <v>0</v>
      </c>
      <c r="R105" s="181">
        <f>6711446/1000</f>
        <v>6711.4459999999999</v>
      </c>
      <c r="S105" s="181">
        <f>TOBEPAID!S85/1000</f>
        <v>0</v>
      </c>
      <c r="T105" s="181">
        <f>TOBEPAID!T85/1000</f>
        <v>0</v>
      </c>
      <c r="U105" s="181">
        <f>TOBEPAID!U85/1000</f>
        <v>0</v>
      </c>
      <c r="V105" s="181">
        <f>TOBEPAID!V85/1000</f>
        <v>0</v>
      </c>
      <c r="W105" s="181">
        <f>TOBEPAID!W85/1000</f>
        <v>0</v>
      </c>
      <c r="X105" s="181">
        <f>TOBEPAID!X85/1000</f>
        <v>6711.4495999999999</v>
      </c>
      <c r="Y105" s="181">
        <f t="shared" si="13"/>
        <v>6711.4459999999999</v>
      </c>
      <c r="Z105" s="181">
        <f t="shared" si="14"/>
        <v>220.92299999999977</v>
      </c>
      <c r="AA105" s="181">
        <f>TOBEPAID!AA85/1000</f>
        <v>6711.4495999999999</v>
      </c>
      <c r="AB105" s="181">
        <f>TOBEPAID!AB85/1000</f>
        <v>220.92005999999958</v>
      </c>
      <c r="AC105" s="181"/>
      <c r="AD105" s="181"/>
    </row>
    <row r="106" spans="1:30" x14ac:dyDescent="0.2">
      <c r="A106" s="180"/>
      <c r="C106" s="166" t="s">
        <v>54</v>
      </c>
      <c r="D106" s="181">
        <f>10712833/1000</f>
        <v>10712.833000000001</v>
      </c>
      <c r="E106" s="181">
        <f>TOBEPAID!E86/1000</f>
        <v>0</v>
      </c>
      <c r="F106" s="181">
        <f>TOBEPAID!F86/1000</f>
        <v>0</v>
      </c>
      <c r="G106" s="181">
        <f>TOBEPAID!G86/1000</f>
        <v>0</v>
      </c>
      <c r="H106" s="181">
        <v>0</v>
      </c>
      <c r="I106" s="181">
        <f>TOBEPAID!I86/1000</f>
        <v>0</v>
      </c>
      <c r="J106" s="181">
        <f>TOBEPAID!J86/1000</f>
        <v>0</v>
      </c>
      <c r="K106" s="181">
        <f>TOBEPAID!K86/1000</f>
        <v>0</v>
      </c>
      <c r="L106" s="181">
        <f>TOBEPAID!L86/1000</f>
        <v>0</v>
      </c>
      <c r="M106" s="181">
        <f>TOBEPAID!M86/1000</f>
        <v>0</v>
      </c>
      <c r="N106" s="181">
        <f>TOBEPAID!N86/1000</f>
        <v>0</v>
      </c>
      <c r="O106" s="181">
        <f>TOBEPAID!O86/1000</f>
        <v>10712.83353</v>
      </c>
      <c r="P106" s="181">
        <f>TOBEPAID!P86/1000</f>
        <v>0</v>
      </c>
      <c r="Q106" s="181">
        <f>TOBEPAID!Q86/1000</f>
        <v>0</v>
      </c>
      <c r="R106" s="181">
        <f>10712833/1000</f>
        <v>10712.833000000001</v>
      </c>
      <c r="S106" s="181">
        <f>TOBEPAID!S86/1000</f>
        <v>0</v>
      </c>
      <c r="T106" s="181">
        <f>TOBEPAID!T86/1000</f>
        <v>0</v>
      </c>
      <c r="U106" s="181">
        <f>TOBEPAID!U86/1000</f>
        <v>0</v>
      </c>
      <c r="V106" s="181">
        <f>TOBEPAID!V86/1000</f>
        <v>0</v>
      </c>
      <c r="W106" s="181">
        <f>TOBEPAID!W86/1000</f>
        <v>0</v>
      </c>
      <c r="X106" s="181">
        <f>TOBEPAID!X86/1000</f>
        <v>10712.83353</v>
      </c>
      <c r="Y106" s="181">
        <f t="shared" si="13"/>
        <v>10712.833000000001</v>
      </c>
      <c r="Z106" s="181">
        <f t="shared" si="14"/>
        <v>0</v>
      </c>
      <c r="AA106" s="181">
        <f>TOBEPAID!AA86/1000</f>
        <v>10712.83353</v>
      </c>
      <c r="AB106" s="181">
        <f>TOBEPAID!AB86/1000</f>
        <v>0</v>
      </c>
      <c r="AC106" s="181"/>
      <c r="AD106" s="181"/>
    </row>
    <row r="107" spans="1:30" x14ac:dyDescent="0.2">
      <c r="A107" s="180"/>
      <c r="C107" s="168" t="s">
        <v>133</v>
      </c>
      <c r="D107" s="181">
        <f>5000000/1000</f>
        <v>5000</v>
      </c>
      <c r="E107" s="181">
        <f>TOBEPAID!E87/1000</f>
        <v>5000</v>
      </c>
      <c r="F107" s="181">
        <f>TOBEPAID!F87/1000</f>
        <v>0</v>
      </c>
      <c r="G107" s="181">
        <f>TOBEPAID!G87/1000</f>
        <v>0</v>
      </c>
      <c r="H107" s="181">
        <f>5000000/1000</f>
        <v>5000</v>
      </c>
      <c r="I107" s="181">
        <f>TOBEPAID!I87/1000</f>
        <v>0</v>
      </c>
      <c r="J107" s="181">
        <f>TOBEPAID!J87/1000</f>
        <v>0</v>
      </c>
      <c r="K107" s="181">
        <f>TOBEPAID!K87/1000</f>
        <v>0</v>
      </c>
      <c r="L107" s="181">
        <f>TOBEPAID!L87/1000</f>
        <v>0</v>
      </c>
      <c r="M107" s="181">
        <f>TOBEPAID!M87/1000</f>
        <v>0</v>
      </c>
      <c r="N107" s="181">
        <f>TOBEPAID!N87/1000</f>
        <v>5000</v>
      </c>
      <c r="O107" s="181">
        <f>TOBEPAID!O87/1000</f>
        <v>0</v>
      </c>
      <c r="P107" s="181">
        <f>TOBEPAID!P87/1000</f>
        <v>0</v>
      </c>
      <c r="Q107" s="181">
        <f>TOBEPAID!Q87/1000</f>
        <v>0</v>
      </c>
      <c r="R107" s="181">
        <v>0</v>
      </c>
      <c r="S107" s="181">
        <f>TOBEPAID!S87/1000</f>
        <v>0</v>
      </c>
      <c r="T107" s="181">
        <f>TOBEPAID!T87/1000</f>
        <v>0</v>
      </c>
      <c r="U107" s="181">
        <f>TOBEPAID!U87/1000</f>
        <v>0</v>
      </c>
      <c r="V107" s="181">
        <f>TOBEPAID!V87/1000</f>
        <v>0</v>
      </c>
      <c r="W107" s="181">
        <f>TOBEPAID!W87/1000</f>
        <v>0</v>
      </c>
      <c r="X107" s="181">
        <f>TOBEPAID!X87/1000</f>
        <v>0</v>
      </c>
      <c r="Y107" s="181">
        <f t="shared" si="13"/>
        <v>5000</v>
      </c>
      <c r="Z107" s="181">
        <f t="shared" si="14"/>
        <v>0</v>
      </c>
      <c r="AA107" s="181">
        <f>TOBEPAID!AA87/1000</f>
        <v>5000</v>
      </c>
      <c r="AB107" s="181">
        <f>TOBEPAID!AB87/1000</f>
        <v>0</v>
      </c>
      <c r="AC107" s="181"/>
      <c r="AD107" s="181"/>
    </row>
    <row r="108" spans="1:30" x14ac:dyDescent="0.2">
      <c r="A108" s="180"/>
      <c r="D108" s="182" t="s">
        <v>40</v>
      </c>
      <c r="E108" s="182" t="s">
        <v>40</v>
      </c>
      <c r="F108" s="182" t="s">
        <v>40</v>
      </c>
      <c r="G108" s="182"/>
      <c r="H108" s="182" t="s">
        <v>40</v>
      </c>
      <c r="I108" s="182" t="s">
        <v>40</v>
      </c>
      <c r="J108" s="182" t="s">
        <v>40</v>
      </c>
      <c r="K108" s="182" t="s">
        <v>40</v>
      </c>
      <c r="L108" s="182" t="s">
        <v>40</v>
      </c>
      <c r="M108" s="182"/>
      <c r="N108" s="182" t="s">
        <v>40</v>
      </c>
      <c r="O108" s="182" t="s">
        <v>40</v>
      </c>
      <c r="P108" s="182" t="s">
        <v>40</v>
      </c>
      <c r="Q108" s="182"/>
      <c r="R108" s="182" t="s">
        <v>40</v>
      </c>
      <c r="S108" s="182" t="s">
        <v>40</v>
      </c>
      <c r="T108" s="182" t="s">
        <v>40</v>
      </c>
      <c r="U108" s="182" t="s">
        <v>40</v>
      </c>
      <c r="V108" s="182" t="s">
        <v>40</v>
      </c>
      <c r="W108" s="182"/>
      <c r="X108" s="182" t="s">
        <v>40</v>
      </c>
      <c r="Y108" s="182" t="s">
        <v>40</v>
      </c>
      <c r="Z108" s="182" t="s">
        <v>40</v>
      </c>
      <c r="AA108" s="182" t="s">
        <v>40</v>
      </c>
      <c r="AB108" s="182" t="s">
        <v>40</v>
      </c>
      <c r="AC108" s="182"/>
      <c r="AD108" s="182"/>
    </row>
    <row r="109" spans="1:30" x14ac:dyDescent="0.2">
      <c r="A109" s="180"/>
      <c r="B109" s="172"/>
      <c r="D109" s="181">
        <f>SUM(D102:D107)</f>
        <v>28655.32</v>
      </c>
      <c r="E109" s="181">
        <f>SUM(E102:E107)</f>
        <v>11010.119419999999</v>
      </c>
      <c r="F109" s="181">
        <f>SUM(F102:F107)</f>
        <v>0</v>
      </c>
      <c r="G109" s="181"/>
      <c r="H109" s="181">
        <f>SUM(H102:H107)</f>
        <v>11010.118</v>
      </c>
      <c r="I109" s="181">
        <f>SUM(I102:I107)</f>
        <v>0</v>
      </c>
      <c r="J109" s="181">
        <f>SUM(J102:J107)</f>
        <v>0</v>
      </c>
      <c r="K109" s="181">
        <f>SUM(K102:K107)</f>
        <v>0</v>
      </c>
      <c r="L109" s="181">
        <f>SUM(L102:L107)</f>
        <v>0</v>
      </c>
      <c r="M109" s="181"/>
      <c r="N109" s="181">
        <f>SUM(N102:N107)</f>
        <v>11010.119419999999</v>
      </c>
      <c r="O109" s="181">
        <f>SUM(O102:O107)</f>
        <v>17424.28313</v>
      </c>
      <c r="P109" s="181">
        <f>SUM(P102:P107)</f>
        <v>0</v>
      </c>
      <c r="Q109" s="181"/>
      <c r="R109" s="181">
        <f>SUM(R102:R107)</f>
        <v>17424.279000000002</v>
      </c>
      <c r="S109" s="181">
        <f>SUM(S102:S107)</f>
        <v>0</v>
      </c>
      <c r="T109" s="181">
        <f>SUM(T102:T107)</f>
        <v>0</v>
      </c>
      <c r="U109" s="181">
        <f>SUM(U102:U107)</f>
        <v>0</v>
      </c>
      <c r="V109" s="181">
        <f>SUM(V102:V107)</f>
        <v>0</v>
      </c>
      <c r="W109" s="181"/>
      <c r="X109" s="181">
        <f>SUM(X102:X107)</f>
        <v>17424.28313</v>
      </c>
      <c r="Y109" s="181">
        <f>SUM(Y102:Y107)</f>
        <v>28434.397000000001</v>
      </c>
      <c r="Z109" s="181">
        <f>SUM(Z102:Z107)</f>
        <v>220.92299999999977</v>
      </c>
      <c r="AA109" s="181">
        <f>SUM(AA102:AA107)</f>
        <v>28434.402549999999</v>
      </c>
      <c r="AB109" s="181">
        <f>SUM(AB102:AB107)</f>
        <v>220.92005999999958</v>
      </c>
      <c r="AC109" s="181"/>
      <c r="AD109" s="181"/>
    </row>
    <row r="110" spans="1:30" x14ac:dyDescent="0.2">
      <c r="A110" s="180"/>
      <c r="B110" s="172"/>
      <c r="D110" s="182" t="s">
        <v>40</v>
      </c>
      <c r="E110" s="182" t="s">
        <v>40</v>
      </c>
      <c r="F110" s="182" t="s">
        <v>40</v>
      </c>
      <c r="G110" s="182"/>
      <c r="H110" s="182" t="s">
        <v>40</v>
      </c>
      <c r="I110" s="182" t="s">
        <v>40</v>
      </c>
      <c r="J110" s="182" t="s">
        <v>40</v>
      </c>
      <c r="K110" s="182" t="s">
        <v>40</v>
      </c>
      <c r="L110" s="182" t="s">
        <v>40</v>
      </c>
      <c r="M110" s="182"/>
      <c r="N110" s="182" t="s">
        <v>40</v>
      </c>
      <c r="O110" s="182" t="s">
        <v>40</v>
      </c>
      <c r="P110" s="182" t="s">
        <v>40</v>
      </c>
      <c r="Q110" s="182"/>
      <c r="R110" s="182" t="s">
        <v>40</v>
      </c>
      <c r="S110" s="182" t="s">
        <v>40</v>
      </c>
      <c r="T110" s="182" t="s">
        <v>40</v>
      </c>
      <c r="U110" s="182" t="s">
        <v>40</v>
      </c>
      <c r="V110" s="182" t="s">
        <v>40</v>
      </c>
      <c r="W110" s="182"/>
      <c r="X110" s="182" t="s">
        <v>40</v>
      </c>
      <c r="Y110" s="182" t="s">
        <v>40</v>
      </c>
      <c r="Z110" s="182" t="s">
        <v>40</v>
      </c>
      <c r="AA110" s="182" t="s">
        <v>40</v>
      </c>
      <c r="AB110" s="182" t="s">
        <v>40</v>
      </c>
      <c r="AC110" s="182"/>
      <c r="AD110" s="182"/>
    </row>
    <row r="111" spans="1:30" x14ac:dyDescent="0.2">
      <c r="A111" s="180"/>
      <c r="B111" s="17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</row>
    <row r="112" spans="1:30" x14ac:dyDescent="0.2">
      <c r="A112" s="180">
        <v>8</v>
      </c>
      <c r="B112" s="166" t="s">
        <v>55</v>
      </c>
      <c r="C112" s="166" t="s">
        <v>35</v>
      </c>
      <c r="D112" s="181">
        <f>106386316.38/1000</f>
        <v>106386.31637999999</v>
      </c>
      <c r="E112" s="181">
        <f>TOBEPAID!E92/1000</f>
        <v>0</v>
      </c>
      <c r="F112" s="181">
        <f>TOBEPAID!F92/1000</f>
        <v>0</v>
      </c>
      <c r="G112" s="181">
        <f>TOBEPAID!G92/1000</f>
        <v>0</v>
      </c>
      <c r="H112" s="181">
        <f>106300000/1000</f>
        <v>106300</v>
      </c>
      <c r="I112" s="181">
        <f>TOBEPAID!I92/1000</f>
        <v>0</v>
      </c>
      <c r="J112" s="181">
        <f>TOBEPAID!J92/1000</f>
        <v>0</v>
      </c>
      <c r="K112" s="181">
        <f>TOBEPAID!K92/1000</f>
        <v>0</v>
      </c>
      <c r="L112" s="181">
        <f>TOBEPAID!L92/1000</f>
        <v>0</v>
      </c>
      <c r="M112" s="181">
        <f>TOBEPAID!M92/1000</f>
        <v>0</v>
      </c>
      <c r="N112" s="181">
        <f>TOBEPAID!N92/1000</f>
        <v>0</v>
      </c>
      <c r="O112" s="181">
        <f>TOBEPAID!O92/1000</f>
        <v>0</v>
      </c>
      <c r="P112" s="181">
        <f>TOBEPAID!P92/1000</f>
        <v>0</v>
      </c>
      <c r="Q112" s="181">
        <f>TOBEPAID!Q92/1000</f>
        <v>0</v>
      </c>
      <c r="R112" s="181">
        <v>0</v>
      </c>
      <c r="S112" s="181">
        <f>TOBEPAID!S92/1000</f>
        <v>0</v>
      </c>
      <c r="T112" s="181">
        <f>TOBEPAID!T92/1000</f>
        <v>0</v>
      </c>
      <c r="U112" s="181">
        <f>TOBEPAID!U92/1000</f>
        <v>0</v>
      </c>
      <c r="V112" s="181">
        <f>TOBEPAID!V92/1000</f>
        <v>0</v>
      </c>
      <c r="W112" s="181">
        <f>TOBEPAID!W92/1000</f>
        <v>0</v>
      </c>
      <c r="X112" s="181">
        <f>TOBEPAID!X92/1000</f>
        <v>0</v>
      </c>
      <c r="Y112" s="181">
        <f t="shared" ref="Y112:Y118" si="15">+H112+R112</f>
        <v>106300</v>
      </c>
      <c r="Z112" s="181">
        <f t="shared" ref="Z112:Z118" si="16">+D112-Y112</f>
        <v>86.316379999989294</v>
      </c>
      <c r="AA112" s="181">
        <f>TOBEPAID!AA92/1000</f>
        <v>0</v>
      </c>
      <c r="AB112" s="181">
        <f>TOBEPAID!AB92/1000</f>
        <v>6386.3163800000002</v>
      </c>
      <c r="AC112" s="181"/>
      <c r="AD112" s="181"/>
    </row>
    <row r="113" spans="1:30" x14ac:dyDescent="0.2">
      <c r="A113" s="180"/>
      <c r="C113" s="168" t="s">
        <v>36</v>
      </c>
      <c r="D113" s="181">
        <f>613984/1000</f>
        <v>613.98400000000004</v>
      </c>
      <c r="E113" s="181">
        <f>TOBEPAID!E93/1000</f>
        <v>613.98401999999999</v>
      </c>
      <c r="F113" s="181">
        <f>TOBEPAID!F93/1000</f>
        <v>0</v>
      </c>
      <c r="G113" s="181">
        <f>TOBEPAID!G93/1000</f>
        <v>0</v>
      </c>
      <c r="H113" s="181">
        <f>613984/1000</f>
        <v>613.98400000000004</v>
      </c>
      <c r="I113" s="181">
        <f>TOBEPAID!I93/1000</f>
        <v>0</v>
      </c>
      <c r="J113" s="181">
        <f>TOBEPAID!J93/1000</f>
        <v>0</v>
      </c>
      <c r="K113" s="181">
        <f>TOBEPAID!K93/1000</f>
        <v>0</v>
      </c>
      <c r="L113" s="181">
        <f>TOBEPAID!L93/1000</f>
        <v>0</v>
      </c>
      <c r="M113" s="181">
        <f>TOBEPAID!M93/1000</f>
        <v>0</v>
      </c>
      <c r="N113" s="181">
        <f>TOBEPAID!N93/1000</f>
        <v>613.98401999999999</v>
      </c>
      <c r="O113" s="181">
        <f>TOBEPAID!O93/1000</f>
        <v>0</v>
      </c>
      <c r="P113" s="181">
        <f>TOBEPAID!P93/1000</f>
        <v>0</v>
      </c>
      <c r="Q113" s="181">
        <f>TOBEPAID!Q93/1000</f>
        <v>0</v>
      </c>
      <c r="R113" s="181">
        <v>0</v>
      </c>
      <c r="S113" s="181">
        <f>TOBEPAID!S93/1000</f>
        <v>0</v>
      </c>
      <c r="T113" s="181">
        <f>TOBEPAID!T93/1000</f>
        <v>0</v>
      </c>
      <c r="U113" s="181">
        <f>TOBEPAID!U93/1000</f>
        <v>0</v>
      </c>
      <c r="V113" s="181">
        <f>TOBEPAID!V93/1000</f>
        <v>0</v>
      </c>
      <c r="W113" s="181">
        <f>TOBEPAID!W93/1000</f>
        <v>0</v>
      </c>
      <c r="X113" s="181">
        <f>TOBEPAID!X93/1000</f>
        <v>0</v>
      </c>
      <c r="Y113" s="181">
        <f t="shared" si="15"/>
        <v>613.98400000000004</v>
      </c>
      <c r="Z113" s="181">
        <f t="shared" si="16"/>
        <v>0</v>
      </c>
      <c r="AA113" s="181">
        <f>TOBEPAID!AA93/1000</f>
        <v>613.98401999999999</v>
      </c>
      <c r="AB113" s="181">
        <f>TOBEPAID!AB93/1000</f>
        <v>0</v>
      </c>
      <c r="AC113" s="181"/>
      <c r="AD113" s="181"/>
    </row>
    <row r="114" spans="1:30" x14ac:dyDescent="0.2">
      <c r="A114" s="180"/>
      <c r="C114" s="168" t="s">
        <v>44</v>
      </c>
      <c r="D114" s="181">
        <f>25000000/1000</f>
        <v>25000</v>
      </c>
      <c r="E114" s="181">
        <f>TOBEPAID!E94/1000</f>
        <v>25000</v>
      </c>
      <c r="F114" s="181">
        <f>TOBEPAID!F94/1000</f>
        <v>0</v>
      </c>
      <c r="G114" s="181">
        <f>TOBEPAID!G94/1000</f>
        <v>0</v>
      </c>
      <c r="H114" s="181">
        <f>25000000/1000</f>
        <v>25000</v>
      </c>
      <c r="I114" s="181">
        <f>TOBEPAID!I94/1000</f>
        <v>0</v>
      </c>
      <c r="J114" s="181">
        <f>TOBEPAID!J94/1000</f>
        <v>0</v>
      </c>
      <c r="K114" s="181">
        <f>TOBEPAID!K94/1000</f>
        <v>0</v>
      </c>
      <c r="L114" s="181">
        <f>TOBEPAID!L94/1000</f>
        <v>0</v>
      </c>
      <c r="M114" s="181">
        <f>TOBEPAID!M94/1000</f>
        <v>0</v>
      </c>
      <c r="N114" s="181">
        <f>TOBEPAID!N94/1000</f>
        <v>25000</v>
      </c>
      <c r="O114" s="181">
        <f>TOBEPAID!O94/1000</f>
        <v>0</v>
      </c>
      <c r="P114" s="181">
        <f>TOBEPAID!P94/1000</f>
        <v>0</v>
      </c>
      <c r="Q114" s="181">
        <f>TOBEPAID!Q94/1000</f>
        <v>0</v>
      </c>
      <c r="R114" s="181">
        <v>0</v>
      </c>
      <c r="S114" s="181">
        <f>TOBEPAID!S94/1000</f>
        <v>0</v>
      </c>
      <c r="T114" s="181">
        <f>TOBEPAID!T94/1000</f>
        <v>0</v>
      </c>
      <c r="U114" s="181">
        <f>TOBEPAID!U94/1000</f>
        <v>0</v>
      </c>
      <c r="V114" s="181">
        <f>TOBEPAID!V94/1000</f>
        <v>0</v>
      </c>
      <c r="W114" s="181">
        <f>TOBEPAID!W94/1000</f>
        <v>0</v>
      </c>
      <c r="X114" s="181">
        <f>TOBEPAID!X94/1000</f>
        <v>0</v>
      </c>
      <c r="Y114" s="181">
        <f t="shared" si="15"/>
        <v>25000</v>
      </c>
      <c r="Z114" s="181">
        <f t="shared" si="16"/>
        <v>0</v>
      </c>
      <c r="AA114" s="181">
        <f>TOBEPAID!AA94/1000</f>
        <v>25000</v>
      </c>
      <c r="AB114" s="181">
        <f>TOBEPAID!AB94/1000</f>
        <v>0</v>
      </c>
      <c r="AC114" s="181"/>
      <c r="AD114" s="181"/>
    </row>
    <row r="115" spans="1:30" x14ac:dyDescent="0.2">
      <c r="A115" s="180"/>
      <c r="C115" s="168" t="s">
        <v>329</v>
      </c>
      <c r="D115" s="181">
        <f>23846698/1000</f>
        <v>23846.698</v>
      </c>
      <c r="E115" s="181"/>
      <c r="F115" s="181"/>
      <c r="G115" s="181"/>
      <c r="H115" s="181">
        <f>23846698/1000</f>
        <v>23846.698</v>
      </c>
      <c r="I115" s="181"/>
      <c r="J115" s="181"/>
      <c r="K115" s="181"/>
      <c r="L115" s="181"/>
      <c r="M115" s="181"/>
      <c r="N115" s="181"/>
      <c r="O115" s="181"/>
      <c r="P115" s="181"/>
      <c r="Q115" s="181"/>
      <c r="R115" s="181">
        <v>0</v>
      </c>
      <c r="S115" s="181"/>
      <c r="T115" s="181"/>
      <c r="U115" s="181"/>
      <c r="V115" s="181"/>
      <c r="W115" s="181"/>
      <c r="X115" s="181"/>
      <c r="Y115" s="181">
        <f>+H115+R115</f>
        <v>23846.698</v>
      </c>
      <c r="Z115" s="181">
        <f>+D115-Y115</f>
        <v>0</v>
      </c>
      <c r="AA115" s="181"/>
      <c r="AB115" s="181"/>
      <c r="AC115" s="181"/>
      <c r="AD115" s="181"/>
    </row>
    <row r="116" spans="1:30" x14ac:dyDescent="0.2">
      <c r="A116" s="180"/>
      <c r="C116" s="166" t="s">
        <v>53</v>
      </c>
      <c r="D116" s="181">
        <f>1372593/1000</f>
        <v>1372.5930000000001</v>
      </c>
      <c r="E116" s="181">
        <f>TOBEPAID!E95/1000</f>
        <v>95.117999999999995</v>
      </c>
      <c r="F116" s="181">
        <f>TOBEPAID!F95/1000</f>
        <v>0</v>
      </c>
      <c r="G116" s="181">
        <f>TOBEPAID!G95/1000</f>
        <v>0</v>
      </c>
      <c r="H116" s="181">
        <f>95118/1000</f>
        <v>95.117999999999995</v>
      </c>
      <c r="I116" s="181">
        <f>TOBEPAID!I95/1000</f>
        <v>0</v>
      </c>
      <c r="J116" s="181">
        <f>TOBEPAID!J95/1000</f>
        <v>0</v>
      </c>
      <c r="K116" s="181">
        <f>TOBEPAID!K95/1000</f>
        <v>0</v>
      </c>
      <c r="L116" s="181">
        <f>TOBEPAID!L95/1000</f>
        <v>0</v>
      </c>
      <c r="M116" s="181">
        <f>TOBEPAID!M95/1000</f>
        <v>0</v>
      </c>
      <c r="N116" s="181">
        <f>TOBEPAID!N95/1000</f>
        <v>95.117999999999995</v>
      </c>
      <c r="O116" s="181">
        <f>TOBEPAID!O95/1000</f>
        <v>1061.4870000000001</v>
      </c>
      <c r="P116" s="181">
        <f>TOBEPAID!P95/1000</f>
        <v>0</v>
      </c>
      <c r="Q116" s="181">
        <f>TOBEPAID!Q95/1000</f>
        <v>0</v>
      </c>
      <c r="R116" s="181">
        <f>1061487/1000</f>
        <v>1061.4870000000001</v>
      </c>
      <c r="S116" s="181">
        <f>TOBEPAID!S95/1000</f>
        <v>0</v>
      </c>
      <c r="T116" s="181">
        <f>TOBEPAID!T95/1000</f>
        <v>0</v>
      </c>
      <c r="U116" s="181">
        <f>TOBEPAID!U95/1000</f>
        <v>0</v>
      </c>
      <c r="V116" s="181">
        <f>TOBEPAID!V95/1000</f>
        <v>0</v>
      </c>
      <c r="W116" s="181">
        <f>TOBEPAID!W95/1000</f>
        <v>0</v>
      </c>
      <c r="X116" s="181">
        <f>TOBEPAID!X95/1000</f>
        <v>1061.4870000000001</v>
      </c>
      <c r="Y116" s="181">
        <f t="shared" si="15"/>
        <v>1156.605</v>
      </c>
      <c r="Z116" s="181">
        <f t="shared" si="16"/>
        <v>215.98800000000006</v>
      </c>
      <c r="AA116" s="181">
        <f>TOBEPAID!AA95/1000</f>
        <v>1156.605</v>
      </c>
      <c r="AB116" s="181">
        <f>TOBEPAID!AB95/1000</f>
        <v>215.98881000000006</v>
      </c>
      <c r="AC116" s="181"/>
      <c r="AD116" s="181"/>
    </row>
    <row r="117" spans="1:30" x14ac:dyDescent="0.2">
      <c r="A117" s="180"/>
      <c r="C117" s="166" t="s">
        <v>54</v>
      </c>
      <c r="D117" s="181">
        <f>21920626/1000</f>
        <v>21920.626</v>
      </c>
      <c r="E117" s="181">
        <f>TOBEPAID!E96/1000</f>
        <v>0</v>
      </c>
      <c r="F117" s="181">
        <f>TOBEPAID!F96/1000</f>
        <v>0</v>
      </c>
      <c r="G117" s="181">
        <f>TOBEPAID!G96/1000</f>
        <v>0</v>
      </c>
      <c r="H117" s="181">
        <v>0</v>
      </c>
      <c r="I117" s="181">
        <f>TOBEPAID!I96/1000</f>
        <v>0</v>
      </c>
      <c r="J117" s="181">
        <f>TOBEPAID!J96/1000</f>
        <v>0</v>
      </c>
      <c r="K117" s="181">
        <f>TOBEPAID!K96/1000</f>
        <v>0</v>
      </c>
      <c r="L117" s="181">
        <f>TOBEPAID!L96/1000</f>
        <v>0</v>
      </c>
      <c r="M117" s="181">
        <f>TOBEPAID!M96/1000</f>
        <v>0</v>
      </c>
      <c r="N117" s="181">
        <f>TOBEPAID!N96/1000</f>
        <v>0</v>
      </c>
      <c r="O117" s="181">
        <f>TOBEPAID!O96/1000</f>
        <v>21920.626049999999</v>
      </c>
      <c r="P117" s="181">
        <f>TOBEPAID!P96/1000</f>
        <v>0</v>
      </c>
      <c r="Q117" s="181">
        <f>TOBEPAID!Q96/1000</f>
        <v>0</v>
      </c>
      <c r="R117" s="181">
        <f>21920626/1000</f>
        <v>21920.626</v>
      </c>
      <c r="S117" s="181">
        <f>TOBEPAID!S96/1000</f>
        <v>0</v>
      </c>
      <c r="T117" s="181">
        <f>TOBEPAID!T96/1000</f>
        <v>0</v>
      </c>
      <c r="U117" s="181">
        <f>TOBEPAID!U96/1000</f>
        <v>0</v>
      </c>
      <c r="V117" s="181">
        <f>TOBEPAID!V96/1000</f>
        <v>0</v>
      </c>
      <c r="W117" s="181">
        <f>TOBEPAID!W96/1000</f>
        <v>0</v>
      </c>
      <c r="X117" s="181">
        <f>TOBEPAID!X96/1000</f>
        <v>21920.626049999999</v>
      </c>
      <c r="Y117" s="181">
        <f t="shared" si="15"/>
        <v>21920.626</v>
      </c>
      <c r="Z117" s="181">
        <f t="shared" si="16"/>
        <v>0</v>
      </c>
      <c r="AA117" s="181">
        <f>TOBEPAID!AA96/1000</f>
        <v>21920.626049999999</v>
      </c>
      <c r="AB117" s="181">
        <f>TOBEPAID!AB96/1000</f>
        <v>0</v>
      </c>
      <c r="AC117" s="181"/>
      <c r="AD117" s="181"/>
    </row>
    <row r="118" spans="1:30" x14ac:dyDescent="0.2">
      <c r="A118" s="180"/>
      <c r="C118" s="166" t="s">
        <v>56</v>
      </c>
      <c r="D118" s="181">
        <f>200000/1000</f>
        <v>200</v>
      </c>
      <c r="E118" s="181">
        <f>TOBEPAID!E97/1000</f>
        <v>0</v>
      </c>
      <c r="F118" s="181">
        <f>TOBEPAID!F97/1000</f>
        <v>0</v>
      </c>
      <c r="G118" s="181">
        <f>TOBEPAID!G97/1000</f>
        <v>0</v>
      </c>
      <c r="H118" s="181">
        <v>0</v>
      </c>
      <c r="I118" s="181">
        <f>TOBEPAID!I97/1000</f>
        <v>0</v>
      </c>
      <c r="J118" s="181">
        <f>TOBEPAID!J97/1000</f>
        <v>0</v>
      </c>
      <c r="K118" s="181">
        <f>TOBEPAID!K97/1000</f>
        <v>0</v>
      </c>
      <c r="L118" s="181">
        <f>TOBEPAID!L97/1000</f>
        <v>0</v>
      </c>
      <c r="M118" s="181">
        <f>TOBEPAID!M97/1000</f>
        <v>0</v>
      </c>
      <c r="N118" s="181">
        <f>TOBEPAID!N97/1000</f>
        <v>0</v>
      </c>
      <c r="O118" s="181">
        <f>TOBEPAID!O97/1000</f>
        <v>0</v>
      </c>
      <c r="P118" s="181">
        <f>TOBEPAID!P97/1000</f>
        <v>0</v>
      </c>
      <c r="Q118" s="181">
        <f>TOBEPAID!Q97/1000</f>
        <v>0</v>
      </c>
      <c r="R118" s="181">
        <v>0</v>
      </c>
      <c r="S118" s="181">
        <f>TOBEPAID!S97/1000</f>
        <v>0</v>
      </c>
      <c r="T118" s="181">
        <f>TOBEPAID!T97/1000</f>
        <v>0</v>
      </c>
      <c r="U118" s="181">
        <f>TOBEPAID!U97/1000</f>
        <v>0</v>
      </c>
      <c r="V118" s="181">
        <f>TOBEPAID!V97/1000</f>
        <v>0</v>
      </c>
      <c r="W118" s="181">
        <f>TOBEPAID!W97/1000</f>
        <v>0</v>
      </c>
      <c r="X118" s="181">
        <f>TOBEPAID!X97/1000</f>
        <v>0</v>
      </c>
      <c r="Y118" s="181">
        <f t="shared" si="15"/>
        <v>0</v>
      </c>
      <c r="Z118" s="181">
        <f t="shared" si="16"/>
        <v>200</v>
      </c>
      <c r="AA118" s="181">
        <f>TOBEPAID!AA97/1000</f>
        <v>0</v>
      </c>
      <c r="AB118" s="181">
        <f>TOBEPAID!AB97/1000</f>
        <v>200</v>
      </c>
      <c r="AC118" s="181"/>
      <c r="AD118" s="181"/>
    </row>
    <row r="119" spans="1:30" x14ac:dyDescent="0.2">
      <c r="A119" s="180"/>
      <c r="D119" s="182" t="s">
        <v>40</v>
      </c>
      <c r="E119" s="182" t="s">
        <v>40</v>
      </c>
      <c r="F119" s="182" t="s">
        <v>40</v>
      </c>
      <c r="G119" s="182"/>
      <c r="H119" s="182" t="s">
        <v>40</v>
      </c>
      <c r="I119" s="182" t="s">
        <v>40</v>
      </c>
      <c r="J119" s="182" t="s">
        <v>40</v>
      </c>
      <c r="K119" s="182" t="s">
        <v>40</v>
      </c>
      <c r="L119" s="182" t="s">
        <v>40</v>
      </c>
      <c r="M119" s="182"/>
      <c r="N119" s="182" t="s">
        <v>40</v>
      </c>
      <c r="O119" s="182" t="s">
        <v>40</v>
      </c>
      <c r="P119" s="182" t="s">
        <v>40</v>
      </c>
      <c r="Q119" s="182"/>
      <c r="R119" s="182" t="s">
        <v>40</v>
      </c>
      <c r="S119" s="182" t="s">
        <v>40</v>
      </c>
      <c r="T119" s="182" t="s">
        <v>40</v>
      </c>
      <c r="U119" s="182" t="s">
        <v>40</v>
      </c>
      <c r="V119" s="182" t="s">
        <v>40</v>
      </c>
      <c r="W119" s="182"/>
      <c r="X119" s="182" t="s">
        <v>40</v>
      </c>
      <c r="Y119" s="182" t="s">
        <v>40</v>
      </c>
      <c r="Z119" s="182" t="s">
        <v>40</v>
      </c>
      <c r="AA119" s="182" t="s">
        <v>40</v>
      </c>
      <c r="AB119" s="182" t="s">
        <v>40</v>
      </c>
      <c r="AC119" s="182"/>
      <c r="AD119" s="182"/>
    </row>
    <row r="120" spans="1:30" x14ac:dyDescent="0.2">
      <c r="A120" s="180"/>
      <c r="D120" s="181">
        <f t="shared" ref="D120:AB120" si="17">SUM(D112:D118)</f>
        <v>179340.21737999996</v>
      </c>
      <c r="E120" s="181">
        <f t="shared" si="17"/>
        <v>25709.102019999998</v>
      </c>
      <c r="F120" s="181">
        <f t="shared" si="17"/>
        <v>0</v>
      </c>
      <c r="G120" s="181"/>
      <c r="H120" s="181">
        <f>SUM(H112:H118)</f>
        <v>155855.79999999999</v>
      </c>
      <c r="I120" s="181">
        <f t="shared" si="17"/>
        <v>0</v>
      </c>
      <c r="J120" s="181">
        <f t="shared" si="17"/>
        <v>0</v>
      </c>
      <c r="K120" s="181">
        <f t="shared" si="17"/>
        <v>0</v>
      </c>
      <c r="L120" s="181">
        <f t="shared" si="17"/>
        <v>0</v>
      </c>
      <c r="M120" s="181"/>
      <c r="N120" s="181">
        <f t="shared" si="17"/>
        <v>25709.102019999998</v>
      </c>
      <c r="O120" s="181">
        <f t="shared" si="17"/>
        <v>22982.11305</v>
      </c>
      <c r="P120" s="181">
        <f t="shared" si="17"/>
        <v>0</v>
      </c>
      <c r="Q120" s="181"/>
      <c r="R120" s="181">
        <f t="shared" si="17"/>
        <v>22982.113000000001</v>
      </c>
      <c r="S120" s="181">
        <f t="shared" si="17"/>
        <v>0</v>
      </c>
      <c r="T120" s="181">
        <f t="shared" si="17"/>
        <v>0</v>
      </c>
      <c r="U120" s="181">
        <f t="shared" si="17"/>
        <v>0</v>
      </c>
      <c r="V120" s="181">
        <f t="shared" si="17"/>
        <v>0</v>
      </c>
      <c r="W120" s="181"/>
      <c r="X120" s="181">
        <f t="shared" si="17"/>
        <v>22982.11305</v>
      </c>
      <c r="Y120" s="181">
        <f t="shared" si="17"/>
        <v>178837.913</v>
      </c>
      <c r="Z120" s="181">
        <f t="shared" si="17"/>
        <v>502.30437999998935</v>
      </c>
      <c r="AA120" s="181">
        <f t="shared" si="17"/>
        <v>48691.215069999998</v>
      </c>
      <c r="AB120" s="181">
        <f t="shared" si="17"/>
        <v>6802.30519</v>
      </c>
      <c r="AC120" s="181"/>
      <c r="AD120" s="181"/>
    </row>
    <row r="121" spans="1:30" x14ac:dyDescent="0.2">
      <c r="A121" s="180"/>
      <c r="D121" s="182" t="s">
        <v>40</v>
      </c>
      <c r="E121" s="182" t="s">
        <v>40</v>
      </c>
      <c r="F121" s="182" t="s">
        <v>40</v>
      </c>
      <c r="G121" s="182"/>
      <c r="H121" s="182" t="s">
        <v>40</v>
      </c>
      <c r="I121" s="182" t="s">
        <v>40</v>
      </c>
      <c r="J121" s="182" t="s">
        <v>40</v>
      </c>
      <c r="K121" s="182" t="s">
        <v>40</v>
      </c>
      <c r="L121" s="182" t="s">
        <v>40</v>
      </c>
      <c r="M121" s="182"/>
      <c r="N121" s="182" t="s">
        <v>40</v>
      </c>
      <c r="O121" s="182" t="s">
        <v>40</v>
      </c>
      <c r="P121" s="182" t="s">
        <v>40</v>
      </c>
      <c r="Q121" s="182"/>
      <c r="R121" s="182" t="s">
        <v>40</v>
      </c>
      <c r="S121" s="182" t="s">
        <v>40</v>
      </c>
      <c r="T121" s="182" t="s">
        <v>40</v>
      </c>
      <c r="U121" s="182" t="s">
        <v>40</v>
      </c>
      <c r="V121" s="182" t="s">
        <v>40</v>
      </c>
      <c r="W121" s="182"/>
      <c r="X121" s="182" t="s">
        <v>40</v>
      </c>
      <c r="Y121" s="182" t="s">
        <v>40</v>
      </c>
      <c r="Z121" s="182" t="s">
        <v>40</v>
      </c>
      <c r="AA121" s="182" t="s">
        <v>40</v>
      </c>
      <c r="AB121" s="182" t="s">
        <v>40</v>
      </c>
      <c r="AC121" s="182"/>
      <c r="AD121" s="182"/>
    </row>
    <row r="122" spans="1:30" x14ac:dyDescent="0.2">
      <c r="A122" s="180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</row>
    <row r="123" spans="1:30" x14ac:dyDescent="0.2">
      <c r="A123" s="180">
        <v>9</v>
      </c>
      <c r="B123" s="166" t="s">
        <v>57</v>
      </c>
      <c r="C123" s="166" t="s">
        <v>35</v>
      </c>
      <c r="D123" s="181">
        <f>5313225.89/1000</f>
        <v>5313.2258899999997</v>
      </c>
      <c r="E123" s="181">
        <f>TOBEPAID!E102/1000</f>
        <v>0</v>
      </c>
      <c r="F123" s="181">
        <f>TOBEPAID!F102/1000</f>
        <v>0</v>
      </c>
      <c r="G123" s="181">
        <f>TOBEPAID!G102/1000</f>
        <v>0</v>
      </c>
      <c r="H123" s="181">
        <f>5313000/1000</f>
        <v>5313</v>
      </c>
      <c r="I123" s="181">
        <f>TOBEPAID!I102/1000</f>
        <v>0</v>
      </c>
      <c r="J123" s="181">
        <f>TOBEPAID!J102/1000</f>
        <v>0</v>
      </c>
      <c r="K123" s="181">
        <f>TOBEPAID!K102/1000</f>
        <v>0</v>
      </c>
      <c r="L123" s="181">
        <f>TOBEPAID!L102/1000</f>
        <v>0</v>
      </c>
      <c r="M123" s="181">
        <f>TOBEPAID!M102/1000</f>
        <v>0</v>
      </c>
      <c r="N123" s="181">
        <f>TOBEPAID!N102/1000</f>
        <v>0</v>
      </c>
      <c r="O123" s="181">
        <f>TOBEPAID!O102/1000</f>
        <v>0</v>
      </c>
      <c r="P123" s="181">
        <f>TOBEPAID!P102/1000</f>
        <v>0</v>
      </c>
      <c r="Q123" s="181">
        <f>TOBEPAID!Q102/1000</f>
        <v>0</v>
      </c>
      <c r="R123" s="181">
        <v>0</v>
      </c>
      <c r="S123" s="181">
        <f>TOBEPAID!S102/1000</f>
        <v>0</v>
      </c>
      <c r="T123" s="181">
        <f>TOBEPAID!T102/1000</f>
        <v>0</v>
      </c>
      <c r="U123" s="181">
        <f>TOBEPAID!U102/1000</f>
        <v>0</v>
      </c>
      <c r="V123" s="181">
        <f>TOBEPAID!V102/1000</f>
        <v>0</v>
      </c>
      <c r="W123" s="181">
        <f>TOBEPAID!W102/1000</f>
        <v>0</v>
      </c>
      <c r="X123" s="181">
        <f>TOBEPAID!X102/1000</f>
        <v>0</v>
      </c>
      <c r="Y123" s="181">
        <f>+H123+R123</f>
        <v>5313</v>
      </c>
      <c r="Z123" s="181">
        <f>+D123-Y123</f>
        <v>0.22588999999970838</v>
      </c>
      <c r="AA123" s="181">
        <f>TOBEPAID!AA102/1000</f>
        <v>0</v>
      </c>
      <c r="AB123" s="181">
        <f>TOBEPAID!AB102/1000</f>
        <v>3538.9784</v>
      </c>
      <c r="AC123" s="181"/>
      <c r="AD123" s="181"/>
    </row>
    <row r="124" spans="1:30" x14ac:dyDescent="0.2">
      <c r="C124" s="165" t="s">
        <v>375</v>
      </c>
      <c r="D124" s="181">
        <v>0</v>
      </c>
      <c r="E124" s="181">
        <f>TOBEPAID!E103/1000</f>
        <v>0</v>
      </c>
      <c r="F124" s="181">
        <f>TOBEPAID!F103/1000</f>
        <v>0</v>
      </c>
      <c r="G124" s="181">
        <f>TOBEPAID!G103/1000</f>
        <v>0</v>
      </c>
      <c r="H124" s="181">
        <v>0</v>
      </c>
      <c r="I124" s="181">
        <f>TOBEPAID!I103/1000</f>
        <v>0</v>
      </c>
      <c r="J124" s="181">
        <f>TOBEPAID!J103/1000</f>
        <v>0</v>
      </c>
      <c r="K124" s="181">
        <f>TOBEPAID!K103/1000</f>
        <v>0</v>
      </c>
      <c r="L124" s="181">
        <f>TOBEPAID!L103/1000</f>
        <v>0</v>
      </c>
      <c r="M124" s="181">
        <f>TOBEPAID!M103/1000</f>
        <v>0</v>
      </c>
      <c r="N124" s="181">
        <f>TOBEPAID!N103/1000</f>
        <v>0</v>
      </c>
      <c r="O124" s="181">
        <f>TOBEPAID!O103/1000</f>
        <v>0</v>
      </c>
      <c r="P124" s="181">
        <f>TOBEPAID!P103/1000</f>
        <v>0</v>
      </c>
      <c r="Q124" s="181">
        <f>TOBEPAID!Q103/1000</f>
        <v>0</v>
      </c>
      <c r="R124" s="181">
        <v>0</v>
      </c>
      <c r="S124" s="181">
        <f>TOBEPAID!S103/1000</f>
        <v>0</v>
      </c>
      <c r="T124" s="181">
        <f>TOBEPAID!T103/1000</f>
        <v>0</v>
      </c>
      <c r="U124" s="181">
        <f>TOBEPAID!U103/1000</f>
        <v>0</v>
      </c>
      <c r="V124" s="181">
        <f>TOBEPAID!V103/1000</f>
        <v>0</v>
      </c>
      <c r="W124" s="181">
        <f>TOBEPAID!W103/1000</f>
        <v>0</v>
      </c>
      <c r="X124" s="181">
        <f>TOBEPAID!X103/1000</f>
        <v>0</v>
      </c>
      <c r="Y124" s="181">
        <f>+H124+R124</f>
        <v>0</v>
      </c>
      <c r="Z124" s="181">
        <f>+D124-Y124</f>
        <v>0</v>
      </c>
      <c r="AA124" s="181">
        <f>TOBEPAID!AA103/1000</f>
        <v>0</v>
      </c>
      <c r="AB124" s="181">
        <f>TOBEPAID!AB103/1000</f>
        <v>0</v>
      </c>
      <c r="AC124" s="181"/>
      <c r="AD124" s="181"/>
    </row>
    <row r="125" spans="1:30" x14ac:dyDescent="0.2">
      <c r="C125" s="165" t="s">
        <v>375</v>
      </c>
      <c r="D125" s="181">
        <f>12000000/1000</f>
        <v>12000</v>
      </c>
      <c r="E125" s="181"/>
      <c r="F125" s="181"/>
      <c r="G125" s="181"/>
      <c r="H125" s="181">
        <f>12000000/1000</f>
        <v>12000</v>
      </c>
      <c r="I125" s="181"/>
      <c r="J125" s="181"/>
      <c r="K125" s="181"/>
      <c r="L125" s="181"/>
      <c r="M125" s="181"/>
      <c r="N125" s="181"/>
      <c r="O125" s="181"/>
      <c r="P125" s="181"/>
      <c r="Q125" s="181"/>
      <c r="R125" s="181">
        <v>0</v>
      </c>
      <c r="S125" s="181"/>
      <c r="T125" s="181"/>
      <c r="U125" s="181"/>
      <c r="V125" s="181"/>
      <c r="W125" s="181"/>
      <c r="X125" s="181"/>
      <c r="Y125" s="181">
        <f>+H125+R125</f>
        <v>12000</v>
      </c>
      <c r="Z125" s="181">
        <f>+D125-Y125</f>
        <v>0</v>
      </c>
      <c r="AA125" s="181"/>
      <c r="AB125" s="181"/>
      <c r="AC125" s="181"/>
      <c r="AD125" s="181"/>
    </row>
    <row r="126" spans="1:30" x14ac:dyDescent="0.2">
      <c r="A126" s="180"/>
      <c r="C126" s="168" t="s">
        <v>36</v>
      </c>
      <c r="D126" s="181">
        <f>181314/1000</f>
        <v>181.31399999999999</v>
      </c>
      <c r="E126" s="181">
        <f>TOBEPAID!E104/1000</f>
        <v>181.31470999999999</v>
      </c>
      <c r="F126" s="181">
        <f>TOBEPAID!F104/1000</f>
        <v>0</v>
      </c>
      <c r="G126" s="181">
        <f>TOBEPAID!G104/1000</f>
        <v>0</v>
      </c>
      <c r="H126" s="181">
        <f>181314/1000</f>
        <v>181.31399999999999</v>
      </c>
      <c r="I126" s="181">
        <f>TOBEPAID!I104/1000</f>
        <v>0</v>
      </c>
      <c r="J126" s="181">
        <f>TOBEPAID!J104/1000</f>
        <v>0</v>
      </c>
      <c r="K126" s="181">
        <f>TOBEPAID!K104/1000</f>
        <v>0</v>
      </c>
      <c r="L126" s="181">
        <f>TOBEPAID!L104/1000</f>
        <v>0</v>
      </c>
      <c r="M126" s="181">
        <f>TOBEPAID!M104/1000</f>
        <v>0</v>
      </c>
      <c r="N126" s="181">
        <f>TOBEPAID!N104/1000</f>
        <v>181.31470999999999</v>
      </c>
      <c r="O126" s="181">
        <f>TOBEPAID!O104/1000</f>
        <v>0</v>
      </c>
      <c r="P126" s="181">
        <f>TOBEPAID!P104/1000</f>
        <v>0</v>
      </c>
      <c r="Q126" s="181">
        <f>TOBEPAID!Q104/1000</f>
        <v>0</v>
      </c>
      <c r="R126" s="181">
        <v>0</v>
      </c>
      <c r="S126" s="181">
        <f>TOBEPAID!S104/1000</f>
        <v>0</v>
      </c>
      <c r="T126" s="181">
        <f>TOBEPAID!T104/1000</f>
        <v>0</v>
      </c>
      <c r="U126" s="181">
        <f>TOBEPAID!U104/1000</f>
        <v>0</v>
      </c>
      <c r="V126" s="181">
        <f>TOBEPAID!V104/1000</f>
        <v>0</v>
      </c>
      <c r="W126" s="181">
        <f>TOBEPAID!W104/1000</f>
        <v>0</v>
      </c>
      <c r="X126" s="181">
        <f>TOBEPAID!X104/1000</f>
        <v>0</v>
      </c>
      <c r="Y126" s="181">
        <f>+H126+R126</f>
        <v>181.31399999999999</v>
      </c>
      <c r="Z126" s="181">
        <f>+D126-Y126</f>
        <v>0</v>
      </c>
      <c r="AA126" s="181">
        <f>TOBEPAID!AA104/1000</f>
        <v>181.31470999999999</v>
      </c>
      <c r="AB126" s="181">
        <f>TOBEPAID!AB104/1000</f>
        <v>0</v>
      </c>
      <c r="AC126" s="181"/>
      <c r="AD126" s="181"/>
    </row>
    <row r="127" spans="1:30" x14ac:dyDescent="0.2">
      <c r="A127" s="180"/>
      <c r="C127" s="166" t="s">
        <v>38</v>
      </c>
      <c r="D127" s="181">
        <v>0</v>
      </c>
      <c r="E127" s="181">
        <f>TOBEPAID!E105/1000</f>
        <v>0</v>
      </c>
      <c r="F127" s="181">
        <f>TOBEPAID!F105/1000</f>
        <v>0</v>
      </c>
      <c r="G127" s="181">
        <f>TOBEPAID!G105/1000</f>
        <v>0</v>
      </c>
      <c r="H127" s="181">
        <v>0</v>
      </c>
      <c r="I127" s="181">
        <f>TOBEPAID!I105/1000</f>
        <v>0</v>
      </c>
      <c r="J127" s="181">
        <f>TOBEPAID!J105/1000</f>
        <v>0</v>
      </c>
      <c r="K127" s="181">
        <f>TOBEPAID!K105/1000</f>
        <v>0</v>
      </c>
      <c r="L127" s="181">
        <f>TOBEPAID!L105/1000</f>
        <v>0</v>
      </c>
      <c r="M127" s="181">
        <f>TOBEPAID!M105/1000</f>
        <v>0</v>
      </c>
      <c r="N127" s="181">
        <f>TOBEPAID!N105/1000</f>
        <v>0</v>
      </c>
      <c r="O127" s="181">
        <f>TOBEPAID!O105/1000</f>
        <v>0</v>
      </c>
      <c r="P127" s="181">
        <f>TOBEPAID!P105/1000</f>
        <v>0</v>
      </c>
      <c r="Q127" s="181">
        <f>TOBEPAID!Q105/1000</f>
        <v>0</v>
      </c>
      <c r="R127" s="181">
        <v>0</v>
      </c>
      <c r="S127" s="181">
        <f>TOBEPAID!S105/1000</f>
        <v>0</v>
      </c>
      <c r="T127" s="181">
        <f>TOBEPAID!T105/1000</f>
        <v>0</v>
      </c>
      <c r="U127" s="181">
        <f>TOBEPAID!U105/1000</f>
        <v>0</v>
      </c>
      <c r="V127" s="181">
        <f>TOBEPAID!V105/1000</f>
        <v>0</v>
      </c>
      <c r="W127" s="181">
        <f>TOBEPAID!W105/1000</f>
        <v>0</v>
      </c>
      <c r="X127" s="181">
        <f>TOBEPAID!X105/1000</f>
        <v>0</v>
      </c>
      <c r="Y127" s="181">
        <f>+H127+R127</f>
        <v>0</v>
      </c>
      <c r="Z127" s="181">
        <f>+D127-Y127</f>
        <v>0</v>
      </c>
      <c r="AA127" s="181">
        <f>TOBEPAID!AA105/1000</f>
        <v>0</v>
      </c>
      <c r="AB127" s="181">
        <f>TOBEPAID!AB105/1000</f>
        <v>1774.24749</v>
      </c>
      <c r="AC127" s="181"/>
      <c r="AD127" s="181"/>
    </row>
    <row r="128" spans="1:30" x14ac:dyDescent="0.2">
      <c r="A128" s="180"/>
      <c r="D128" s="182" t="s">
        <v>40</v>
      </c>
      <c r="E128" s="182" t="s">
        <v>40</v>
      </c>
      <c r="F128" s="182" t="s">
        <v>40</v>
      </c>
      <c r="G128" s="182"/>
      <c r="H128" s="182" t="s">
        <v>40</v>
      </c>
      <c r="I128" s="182" t="s">
        <v>40</v>
      </c>
      <c r="J128" s="182" t="s">
        <v>40</v>
      </c>
      <c r="K128" s="182" t="s">
        <v>40</v>
      </c>
      <c r="L128" s="182" t="s">
        <v>40</v>
      </c>
      <c r="M128" s="182"/>
      <c r="N128" s="182" t="s">
        <v>40</v>
      </c>
      <c r="O128" s="182" t="s">
        <v>40</v>
      </c>
      <c r="P128" s="182" t="s">
        <v>40</v>
      </c>
      <c r="Q128" s="182"/>
      <c r="R128" s="182" t="s">
        <v>40</v>
      </c>
      <c r="S128" s="182" t="s">
        <v>40</v>
      </c>
      <c r="T128" s="182" t="s">
        <v>40</v>
      </c>
      <c r="U128" s="182" t="s">
        <v>40</v>
      </c>
      <c r="V128" s="182" t="s">
        <v>40</v>
      </c>
      <c r="W128" s="182"/>
      <c r="X128" s="182" t="s">
        <v>40</v>
      </c>
      <c r="Y128" s="182" t="s">
        <v>40</v>
      </c>
      <c r="Z128" s="182" t="s">
        <v>40</v>
      </c>
      <c r="AA128" s="182" t="s">
        <v>40</v>
      </c>
      <c r="AB128" s="182" t="s">
        <v>40</v>
      </c>
      <c r="AC128" s="182"/>
      <c r="AD128" s="182"/>
    </row>
    <row r="129" spans="1:45" x14ac:dyDescent="0.2">
      <c r="A129" s="180"/>
      <c r="D129" s="181">
        <f>SUM(D123:D127)</f>
        <v>17494.53989</v>
      </c>
      <c r="E129" s="181">
        <f>SUM(E123:E127)</f>
        <v>181.31470999999999</v>
      </c>
      <c r="F129" s="181">
        <f>SUM(F123:F127)</f>
        <v>0</v>
      </c>
      <c r="G129" s="181"/>
      <c r="H129" s="181">
        <f>SUM(H123:H127)</f>
        <v>17494.313999999998</v>
      </c>
      <c r="I129" s="181">
        <f>SUM(I123:I127)</f>
        <v>0</v>
      </c>
      <c r="J129" s="181">
        <f>SUM(J123:J127)</f>
        <v>0</v>
      </c>
      <c r="K129" s="181">
        <f>SUM(K123:K127)</f>
        <v>0</v>
      </c>
      <c r="L129" s="181">
        <f>SUM(L123:L127)</f>
        <v>0</v>
      </c>
      <c r="M129" s="181"/>
      <c r="N129" s="181">
        <f>SUM(N123:N127)</f>
        <v>181.31470999999999</v>
      </c>
      <c r="O129" s="181">
        <f>SUM(O123:O127)</f>
        <v>0</v>
      </c>
      <c r="P129" s="181">
        <f>SUM(P123:P127)</f>
        <v>0</v>
      </c>
      <c r="Q129" s="181"/>
      <c r="R129" s="181">
        <f>SUM(R123:R127)</f>
        <v>0</v>
      </c>
      <c r="S129" s="181">
        <f>SUM(S123:S127)</f>
        <v>0</v>
      </c>
      <c r="T129" s="181">
        <f>SUM(T123:T127)</f>
        <v>0</v>
      </c>
      <c r="U129" s="181">
        <f>SUM(U123:U127)</f>
        <v>0</v>
      </c>
      <c r="V129" s="181">
        <f>SUM(V123:V127)</f>
        <v>0</v>
      </c>
      <c r="W129" s="181"/>
      <c r="X129" s="181">
        <f>SUM(X123:X127)</f>
        <v>0</v>
      </c>
      <c r="Y129" s="181">
        <f>SUM(Y123:Y127)</f>
        <v>17494.313999999998</v>
      </c>
      <c r="Z129" s="181">
        <f>SUM(Z123:Z127)</f>
        <v>0.22588999999970838</v>
      </c>
      <c r="AA129" s="181">
        <f>SUM(AA123:AA127)</f>
        <v>181.31470999999999</v>
      </c>
      <c r="AB129" s="181">
        <f>SUM(AB123:AB127)</f>
        <v>5313.2258899999997</v>
      </c>
      <c r="AC129" s="181"/>
      <c r="AD129" s="181"/>
    </row>
    <row r="130" spans="1:45" x14ac:dyDescent="0.2">
      <c r="A130" s="180"/>
      <c r="D130" s="182" t="s">
        <v>40</v>
      </c>
      <c r="E130" s="182" t="s">
        <v>40</v>
      </c>
      <c r="F130" s="182" t="s">
        <v>40</v>
      </c>
      <c r="G130" s="182"/>
      <c r="H130" s="182" t="s">
        <v>40</v>
      </c>
      <c r="I130" s="182" t="s">
        <v>40</v>
      </c>
      <c r="J130" s="182" t="s">
        <v>40</v>
      </c>
      <c r="K130" s="182" t="s">
        <v>40</v>
      </c>
      <c r="L130" s="182" t="s">
        <v>40</v>
      </c>
      <c r="M130" s="182"/>
      <c r="N130" s="182" t="s">
        <v>40</v>
      </c>
      <c r="O130" s="182" t="s">
        <v>40</v>
      </c>
      <c r="P130" s="182" t="s">
        <v>40</v>
      </c>
      <c r="Q130" s="182"/>
      <c r="R130" s="182" t="s">
        <v>40</v>
      </c>
      <c r="S130" s="182" t="s">
        <v>40</v>
      </c>
      <c r="T130" s="182" t="s">
        <v>40</v>
      </c>
      <c r="U130" s="182" t="s">
        <v>40</v>
      </c>
      <c r="V130" s="182" t="s">
        <v>40</v>
      </c>
      <c r="W130" s="182"/>
      <c r="X130" s="182" t="s">
        <v>40</v>
      </c>
      <c r="Y130" s="182" t="s">
        <v>40</v>
      </c>
      <c r="Z130" s="182" t="s">
        <v>40</v>
      </c>
      <c r="AA130" s="182" t="s">
        <v>40</v>
      </c>
      <c r="AB130" s="182" t="s">
        <v>40</v>
      </c>
      <c r="AC130" s="182"/>
      <c r="AD130" s="182"/>
    </row>
    <row r="131" spans="1:45" x14ac:dyDescent="0.2">
      <c r="A131" s="180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96"/>
      <c r="Z131" s="196"/>
      <c r="AA131" s="182"/>
      <c r="AB131" s="182"/>
      <c r="AC131" s="182"/>
      <c r="AD131" s="182"/>
    </row>
    <row r="132" spans="1:45" x14ac:dyDescent="0.2">
      <c r="A132" s="180">
        <v>10</v>
      </c>
      <c r="B132" s="165" t="s">
        <v>150</v>
      </c>
      <c r="C132" s="166" t="s">
        <v>35</v>
      </c>
      <c r="D132" s="181">
        <f>3610919/1000</f>
        <v>3610.9189999999999</v>
      </c>
      <c r="E132" s="181">
        <f>TOBEPAID!E110/1000</f>
        <v>3077.7613900000001</v>
      </c>
      <c r="F132" s="181">
        <f>TOBEPAID!F110/1000</f>
        <v>0</v>
      </c>
      <c r="G132" s="181">
        <f>TOBEPAID!G110/1000</f>
        <v>0</v>
      </c>
      <c r="H132" s="181">
        <f>3077761/1000</f>
        <v>3077.761</v>
      </c>
      <c r="I132" s="181">
        <f>TOBEPAID!I110/1000</f>
        <v>0</v>
      </c>
      <c r="J132" s="181">
        <f>TOBEPAID!J110/1000</f>
        <v>0</v>
      </c>
      <c r="K132" s="181">
        <f>TOBEPAID!K110/1000</f>
        <v>0</v>
      </c>
      <c r="L132" s="181">
        <f>TOBEPAID!L110/1000</f>
        <v>0</v>
      </c>
      <c r="M132" s="181">
        <f>TOBEPAID!M110/1000</f>
        <v>0</v>
      </c>
      <c r="N132" s="181">
        <f>TOBEPAID!N110/1000</f>
        <v>3077.7613900000001</v>
      </c>
      <c r="O132" s="181">
        <f>TOBEPAID!O110/1000</f>
        <v>37.527260000000005</v>
      </c>
      <c r="P132" s="181">
        <f>TOBEPAID!P110/1000</f>
        <v>0</v>
      </c>
      <c r="Q132" s="181">
        <f>TOBEPAID!Q110/1000</f>
        <v>0</v>
      </c>
      <c r="R132" s="181">
        <f>37527/1000</f>
        <v>37.527000000000001</v>
      </c>
      <c r="S132" s="181">
        <f>TOBEPAID!S110/1000</f>
        <v>0</v>
      </c>
      <c r="T132" s="181">
        <f>TOBEPAID!T110/1000</f>
        <v>0</v>
      </c>
      <c r="U132" s="181">
        <f>TOBEPAID!U110/1000</f>
        <v>0</v>
      </c>
      <c r="V132" s="181">
        <f>TOBEPAID!V110/1000</f>
        <v>0</v>
      </c>
      <c r="W132" s="181">
        <f>TOBEPAID!W110/1000</f>
        <v>0</v>
      </c>
      <c r="X132" s="181">
        <f>TOBEPAID!X110/1000</f>
        <v>37.527260000000005</v>
      </c>
      <c r="Y132" s="181">
        <f>+H132+R132</f>
        <v>3115.288</v>
      </c>
      <c r="Z132" s="181">
        <f>+D132-Y132</f>
        <v>495.63099999999986</v>
      </c>
      <c r="AA132" s="181">
        <f>TOBEPAID!AA110/1000</f>
        <v>3115.28865</v>
      </c>
      <c r="AB132" s="181">
        <f>TOBEPAID!AB110/1000</f>
        <v>495.6305900000001</v>
      </c>
      <c r="AC132" s="181"/>
      <c r="AD132" s="181"/>
    </row>
    <row r="133" spans="1:45" x14ac:dyDescent="0.2">
      <c r="C133" s="165" t="s">
        <v>365</v>
      </c>
      <c r="D133" s="181">
        <f>3398326/1000</f>
        <v>3398.326</v>
      </c>
      <c r="E133" s="181">
        <f>TOBEPAID!E111/1000</f>
        <v>3398.3260399999999</v>
      </c>
      <c r="F133" s="181">
        <f>TOBEPAID!F111/1000</f>
        <v>0</v>
      </c>
      <c r="G133" s="181">
        <f>TOBEPAID!G111/1000</f>
        <v>0</v>
      </c>
      <c r="H133" s="181">
        <f>3398326/1000</f>
        <v>3398.326</v>
      </c>
      <c r="I133" s="181">
        <f>TOBEPAID!I111/1000</f>
        <v>0</v>
      </c>
      <c r="J133" s="181">
        <f>TOBEPAID!J111/1000</f>
        <v>0</v>
      </c>
      <c r="K133" s="181">
        <f>TOBEPAID!K111/1000</f>
        <v>0</v>
      </c>
      <c r="L133" s="181">
        <f>TOBEPAID!L111/1000</f>
        <v>0</v>
      </c>
      <c r="M133" s="181">
        <f>TOBEPAID!M111/1000</f>
        <v>0</v>
      </c>
      <c r="N133" s="181">
        <f>TOBEPAID!N111/1000</f>
        <v>3398.3260399999999</v>
      </c>
      <c r="O133" s="181">
        <f>TOBEPAID!O111/1000</f>
        <v>0</v>
      </c>
      <c r="P133" s="181">
        <f>TOBEPAID!P111/1000</f>
        <v>0</v>
      </c>
      <c r="Q133" s="181">
        <f>TOBEPAID!Q111/1000</f>
        <v>0</v>
      </c>
      <c r="R133" s="181">
        <v>0</v>
      </c>
      <c r="S133" s="181">
        <f>TOBEPAID!S111/1000</f>
        <v>0</v>
      </c>
      <c r="T133" s="181">
        <f>TOBEPAID!T111/1000</f>
        <v>0</v>
      </c>
      <c r="U133" s="181">
        <f>TOBEPAID!U111/1000</f>
        <v>0</v>
      </c>
      <c r="V133" s="181">
        <f>TOBEPAID!V111/1000</f>
        <v>0</v>
      </c>
      <c r="W133" s="181">
        <f>TOBEPAID!W111/1000</f>
        <v>0</v>
      </c>
      <c r="X133" s="181">
        <f>TOBEPAID!X111/1000</f>
        <v>0</v>
      </c>
      <c r="Y133" s="181">
        <f t="shared" ref="Y133:Y141" si="18">+H133+R133</f>
        <v>3398.326</v>
      </c>
      <c r="Z133" s="181">
        <f t="shared" ref="Z133:Z138" si="19">+D133-Y133</f>
        <v>0</v>
      </c>
      <c r="AA133" s="181">
        <f>TOBEPAID!AA111/1000</f>
        <v>3398.3260399999999</v>
      </c>
      <c r="AB133" s="181">
        <f>TOBEPAID!AB111/1000</f>
        <v>0</v>
      </c>
      <c r="AC133" s="181"/>
      <c r="AD133" s="181"/>
    </row>
    <row r="134" spans="1:45" x14ac:dyDescent="0.2">
      <c r="C134" s="165" t="s">
        <v>366</v>
      </c>
      <c r="D134" s="165">
        <f>2662166/1000</f>
        <v>2662.1660000000002</v>
      </c>
      <c r="H134" s="165">
        <f>2662166/1000</f>
        <v>2662.1660000000002</v>
      </c>
      <c r="R134" s="181">
        <v>0</v>
      </c>
      <c r="Y134" s="181">
        <f t="shared" si="18"/>
        <v>2662.1660000000002</v>
      </c>
      <c r="Z134" s="181">
        <f t="shared" si="19"/>
        <v>0</v>
      </c>
    </row>
    <row r="135" spans="1:45" x14ac:dyDescent="0.2">
      <c r="C135" s="165" t="s">
        <v>366</v>
      </c>
      <c r="D135" s="165">
        <f>653700/1000</f>
        <v>653.70000000000005</v>
      </c>
      <c r="H135" s="165">
        <f>653700/1000</f>
        <v>653.70000000000005</v>
      </c>
      <c r="R135" s="181">
        <v>0</v>
      </c>
      <c r="Y135" s="181">
        <f t="shared" si="18"/>
        <v>653.70000000000005</v>
      </c>
      <c r="Z135" s="181">
        <f t="shared" si="19"/>
        <v>0</v>
      </c>
    </row>
    <row r="136" spans="1:45" x14ac:dyDescent="0.2">
      <c r="C136" s="165" t="s">
        <v>387</v>
      </c>
      <c r="D136" s="165">
        <f>4953081/1000</f>
        <v>4953.0810000000001</v>
      </c>
      <c r="H136" s="165">
        <f>4953081/1000</f>
        <v>4953.0810000000001</v>
      </c>
      <c r="R136" s="181">
        <v>0</v>
      </c>
      <c r="Y136" s="181">
        <f t="shared" si="18"/>
        <v>4953.0810000000001</v>
      </c>
      <c r="Z136" s="181">
        <f t="shared" si="19"/>
        <v>0</v>
      </c>
    </row>
    <row r="137" spans="1:45" x14ac:dyDescent="0.2">
      <c r="C137" s="165" t="s">
        <v>445</v>
      </c>
      <c r="D137" s="165">
        <f>2638846/1000</f>
        <v>2638.846</v>
      </c>
      <c r="H137" s="165">
        <f>2638846/1000</f>
        <v>2638.846</v>
      </c>
      <c r="R137" s="181">
        <v>0</v>
      </c>
      <c r="Y137" s="181">
        <f t="shared" si="18"/>
        <v>2638.846</v>
      </c>
      <c r="Z137" s="181">
        <f t="shared" si="19"/>
        <v>0</v>
      </c>
    </row>
    <row r="138" spans="1:45" x14ac:dyDescent="0.2">
      <c r="C138" s="254" t="s">
        <v>466</v>
      </c>
      <c r="D138" s="165">
        <f>5074188/1000</f>
        <v>5074.1880000000001</v>
      </c>
      <c r="H138" s="165">
        <f>5074188/1000</f>
        <v>5074.1880000000001</v>
      </c>
      <c r="R138" s="181">
        <v>0</v>
      </c>
      <c r="Y138" s="181">
        <f t="shared" si="18"/>
        <v>5074.1880000000001</v>
      </c>
      <c r="Z138" s="181">
        <f t="shared" si="19"/>
        <v>0</v>
      </c>
    </row>
    <row r="139" spans="1:45" x14ac:dyDescent="0.2">
      <c r="C139" s="165" t="s">
        <v>433</v>
      </c>
      <c r="D139" s="165">
        <f>1095845/1000</f>
        <v>1095.845</v>
      </c>
      <c r="H139" s="165">
        <f>1095845/1000</f>
        <v>1095.845</v>
      </c>
      <c r="R139" s="181">
        <v>0</v>
      </c>
      <c r="Y139" s="181">
        <f t="shared" si="18"/>
        <v>1095.845</v>
      </c>
      <c r="Z139" s="181">
        <f>+D139-Y139</f>
        <v>0</v>
      </c>
    </row>
    <row r="140" spans="1:45" x14ac:dyDescent="0.2">
      <c r="C140" s="165" t="s">
        <v>400</v>
      </c>
      <c r="D140" s="181">
        <f>1308680/1000</f>
        <v>1308.68</v>
      </c>
      <c r="E140" s="181">
        <f>TOBEPAID!E112/1000</f>
        <v>1308.68</v>
      </c>
      <c r="F140" s="181">
        <f>TOBEPAID!F112/1000</f>
        <v>0</v>
      </c>
      <c r="G140" s="181">
        <f>TOBEPAID!G112/1000</f>
        <v>0</v>
      </c>
      <c r="H140" s="181">
        <f>1308680/1000</f>
        <v>1308.68</v>
      </c>
      <c r="I140" s="181">
        <f>TOBEPAID!I112/1000</f>
        <v>0</v>
      </c>
      <c r="J140" s="181">
        <f>TOBEPAID!J112/1000</f>
        <v>0</v>
      </c>
      <c r="K140" s="181">
        <f>TOBEPAID!K112/1000</f>
        <v>0</v>
      </c>
      <c r="L140" s="181">
        <f>TOBEPAID!L112/1000</f>
        <v>0</v>
      </c>
      <c r="M140" s="181">
        <f>TOBEPAID!M112/1000</f>
        <v>0</v>
      </c>
      <c r="N140" s="181">
        <f>TOBEPAID!N112/1000</f>
        <v>1308.68</v>
      </c>
      <c r="O140" s="181">
        <f>TOBEPAID!O112/1000</f>
        <v>0</v>
      </c>
      <c r="P140" s="181">
        <f>TOBEPAID!P112/1000</f>
        <v>0</v>
      </c>
      <c r="Q140" s="181">
        <f>TOBEPAID!Q112/1000</f>
        <v>0</v>
      </c>
      <c r="R140" s="181">
        <v>0</v>
      </c>
      <c r="S140" s="181">
        <f>TOBEPAID!S112/1000</f>
        <v>0</v>
      </c>
      <c r="T140" s="181">
        <f>TOBEPAID!T112/1000</f>
        <v>0</v>
      </c>
      <c r="U140" s="181">
        <f>TOBEPAID!U112/1000</f>
        <v>0</v>
      </c>
      <c r="V140" s="181">
        <f>TOBEPAID!V112/1000</f>
        <v>0</v>
      </c>
      <c r="W140" s="181">
        <f>TOBEPAID!W112/1000</f>
        <v>0</v>
      </c>
      <c r="X140" s="181">
        <f>TOBEPAID!X112/1000</f>
        <v>0</v>
      </c>
      <c r="Y140" s="181">
        <f t="shared" si="18"/>
        <v>1308.68</v>
      </c>
      <c r="Z140" s="181">
        <f>+D140-Y140</f>
        <v>0</v>
      </c>
      <c r="AA140" s="181">
        <f>TOBEPAID!AA112/1000</f>
        <v>1308.68</v>
      </c>
      <c r="AB140" s="181">
        <f>TOBEPAID!AB112/1000</f>
        <v>0</v>
      </c>
      <c r="AC140" s="181"/>
      <c r="AD140" s="181"/>
      <c r="AS140" s="195">
        <f t="shared" ref="AS140:AS145" si="20">+AF141-AK141-AP141</f>
        <v>-1.3299999991431832E-3</v>
      </c>
    </row>
    <row r="141" spans="1:45" x14ac:dyDescent="0.2">
      <c r="A141" s="180"/>
      <c r="C141" s="166" t="s">
        <v>343</v>
      </c>
      <c r="D141" s="181">
        <f>1146860/1000</f>
        <v>1146.8599999999999</v>
      </c>
      <c r="E141" s="181">
        <f>TOBEPAID!E113/1000</f>
        <v>1146.8607500000001</v>
      </c>
      <c r="F141" s="181">
        <f>TOBEPAID!F113/1000</f>
        <v>0</v>
      </c>
      <c r="G141" s="181">
        <f>TOBEPAID!G113/1000</f>
        <v>0</v>
      </c>
      <c r="H141" s="181">
        <f>1146860/1000</f>
        <v>1146.8599999999999</v>
      </c>
      <c r="I141" s="181">
        <f>TOBEPAID!I113/1000</f>
        <v>0</v>
      </c>
      <c r="J141" s="181">
        <f>TOBEPAID!J113/1000</f>
        <v>0</v>
      </c>
      <c r="K141" s="181">
        <f>TOBEPAID!K113/1000</f>
        <v>0</v>
      </c>
      <c r="L141" s="181">
        <f>TOBEPAID!L113/1000</f>
        <v>0</v>
      </c>
      <c r="M141" s="181">
        <f>TOBEPAID!M113/1000</f>
        <v>0</v>
      </c>
      <c r="N141" s="181">
        <f>TOBEPAID!N113/1000</f>
        <v>1146.8607500000001</v>
      </c>
      <c r="O141" s="181">
        <f>TOBEPAID!O113/1000</f>
        <v>0</v>
      </c>
      <c r="P141" s="181">
        <f>TOBEPAID!P113/1000</f>
        <v>0</v>
      </c>
      <c r="Q141" s="181">
        <f>TOBEPAID!Q113/1000</f>
        <v>0</v>
      </c>
      <c r="R141" s="181">
        <v>0</v>
      </c>
      <c r="S141" s="181">
        <f>TOBEPAID!S113/1000</f>
        <v>0</v>
      </c>
      <c r="T141" s="181">
        <f>TOBEPAID!T113/1000</f>
        <v>0</v>
      </c>
      <c r="U141" s="181">
        <f>TOBEPAID!U113/1000</f>
        <v>0</v>
      </c>
      <c r="V141" s="181">
        <f>TOBEPAID!V113/1000</f>
        <v>0</v>
      </c>
      <c r="W141" s="181">
        <f>TOBEPAID!W113/1000</f>
        <v>0</v>
      </c>
      <c r="X141" s="181">
        <f>TOBEPAID!X113/1000</f>
        <v>0</v>
      </c>
      <c r="Y141" s="181">
        <f t="shared" si="18"/>
        <v>1146.8599999999999</v>
      </c>
      <c r="Z141" s="181">
        <f>+D141-Y141</f>
        <v>0</v>
      </c>
      <c r="AA141" s="181">
        <f>TOBEPAID!AA113/1000</f>
        <v>1146.8607500000001</v>
      </c>
      <c r="AB141" s="181">
        <f>TOBEPAID!AB113/1000</f>
        <v>0</v>
      </c>
      <c r="AC141" s="181"/>
      <c r="AD141" s="181"/>
      <c r="AF141" s="195">
        <f>+D104+D133+D149+D124</f>
        <v>14305.552</v>
      </c>
      <c r="AG141" s="195">
        <f>+E104+E133+E149+E124</f>
        <v>14305.553329999999</v>
      </c>
      <c r="AH141" s="195">
        <f>+F104+F133+F149+F124</f>
        <v>0</v>
      </c>
      <c r="AI141" s="195">
        <f t="shared" ref="AI141:AI149" si="21">+AG141+AH141</f>
        <v>14305.553329999999</v>
      </c>
      <c r="AJ141" s="200">
        <f>+L104+L133+L149+L124</f>
        <v>0</v>
      </c>
      <c r="AK141" s="195">
        <f t="shared" ref="AK141:AK149" si="22">+AI141+AJ141</f>
        <v>14305.553329999999</v>
      </c>
      <c r="AL141" s="195">
        <f>+O104+O133+O149+O124</f>
        <v>0</v>
      </c>
      <c r="AM141" s="195">
        <f>+P104+P133+P149+P124</f>
        <v>0</v>
      </c>
      <c r="AN141" s="195">
        <f t="shared" ref="AN141:AN149" si="23">+AL141+AM141</f>
        <v>0</v>
      </c>
      <c r="AO141" s="195">
        <f>+V104+V133+V149+V124</f>
        <v>0</v>
      </c>
      <c r="AP141" s="195">
        <f t="shared" ref="AP141:AP149" si="24">+AN141+AO141</f>
        <v>0</v>
      </c>
      <c r="AQ141" s="195">
        <f t="shared" ref="AQ141:AQ149" si="25">+AI141+AN141</f>
        <v>14305.553329999999</v>
      </c>
      <c r="AR141" s="195">
        <f t="shared" ref="AR141:AR149" si="26">+AF141-AQ141</f>
        <v>-1.3299999991431832E-3</v>
      </c>
      <c r="AS141" s="195" t="e">
        <f t="shared" si="20"/>
        <v>#REF!</v>
      </c>
    </row>
    <row r="142" spans="1:45" x14ac:dyDescent="0.2">
      <c r="A142" s="180"/>
      <c r="D142" s="182" t="s">
        <v>40</v>
      </c>
      <c r="E142" s="182" t="s">
        <v>40</v>
      </c>
      <c r="F142" s="182" t="s">
        <v>40</v>
      </c>
      <c r="G142" s="182"/>
      <c r="H142" s="182" t="s">
        <v>40</v>
      </c>
      <c r="I142" s="182" t="s">
        <v>40</v>
      </c>
      <c r="J142" s="182" t="s">
        <v>40</v>
      </c>
      <c r="K142" s="182" t="s">
        <v>40</v>
      </c>
      <c r="L142" s="182" t="s">
        <v>40</v>
      </c>
      <c r="M142" s="182"/>
      <c r="N142" s="182" t="s">
        <v>40</v>
      </c>
      <c r="O142" s="182" t="s">
        <v>40</v>
      </c>
      <c r="P142" s="182" t="s">
        <v>40</v>
      </c>
      <c r="Q142" s="182"/>
      <c r="R142" s="182" t="s">
        <v>40</v>
      </c>
      <c r="S142" s="182" t="s">
        <v>40</v>
      </c>
      <c r="T142" s="182" t="s">
        <v>40</v>
      </c>
      <c r="U142" s="182" t="s">
        <v>40</v>
      </c>
      <c r="V142" s="182" t="s">
        <v>40</v>
      </c>
      <c r="W142" s="182"/>
      <c r="X142" s="182" t="s">
        <v>40</v>
      </c>
      <c r="Y142" s="182" t="s">
        <v>40</v>
      </c>
      <c r="Z142" s="182" t="s">
        <v>40</v>
      </c>
      <c r="AA142" s="182" t="s">
        <v>40</v>
      </c>
      <c r="AB142" s="182" t="s">
        <v>40</v>
      </c>
      <c r="AC142" s="182"/>
      <c r="AD142" s="182"/>
      <c r="AE142" s="194" t="s">
        <v>317</v>
      </c>
      <c r="AF142" s="195">
        <f>D102+D112+D123+D132+D146</f>
        <v>117171.59526999999</v>
      </c>
      <c r="AG142" s="195">
        <f>E102+E112+E123+E132+E146</f>
        <v>3077.7613900000001</v>
      </c>
      <c r="AH142" s="165">
        <f>F102+F112+F123+F132+F146</f>
        <v>0</v>
      </c>
      <c r="AI142" s="195">
        <f t="shared" si="21"/>
        <v>3077.7613900000001</v>
      </c>
      <c r="AJ142" s="165" t="e">
        <f>#REF!+L112+L123+L132+L146</f>
        <v>#REF!</v>
      </c>
      <c r="AK142" s="195" t="e">
        <f t="shared" si="22"/>
        <v>#REF!</v>
      </c>
      <c r="AL142" s="195">
        <f>O102+O112+O123+O132+O146</f>
        <v>893.66149999999993</v>
      </c>
      <c r="AM142" s="195">
        <f>P102+P112+P123+P132+P146</f>
        <v>0</v>
      </c>
      <c r="AN142" s="195">
        <f t="shared" si="23"/>
        <v>893.66149999999993</v>
      </c>
      <c r="AO142" s="195">
        <f>V102+V112+V123+V132+V146</f>
        <v>0</v>
      </c>
      <c r="AP142" s="195">
        <f t="shared" si="24"/>
        <v>893.66149999999993</v>
      </c>
      <c r="AQ142" s="195">
        <f t="shared" si="25"/>
        <v>3971.4228899999998</v>
      </c>
      <c r="AR142" s="195">
        <f t="shared" si="26"/>
        <v>113200.17237999999</v>
      </c>
      <c r="AS142" s="195">
        <f t="shared" si="20"/>
        <v>-1.5000000000782165E-3</v>
      </c>
    </row>
    <row r="143" spans="1:45" x14ac:dyDescent="0.2">
      <c r="A143" s="180"/>
      <c r="D143" s="196">
        <f>SUM(D132:D141)</f>
        <v>26542.611000000004</v>
      </c>
      <c r="E143" s="196">
        <f>SUM(E132:E141)</f>
        <v>8931.6281799999997</v>
      </c>
      <c r="F143" s="196">
        <f>SUM(F132:F141)</f>
        <v>0</v>
      </c>
      <c r="G143" s="196"/>
      <c r="H143" s="196">
        <f>SUM(H132:H141)</f>
        <v>26009.453000000001</v>
      </c>
      <c r="I143" s="196">
        <f>SUM(I132:I141)</f>
        <v>0</v>
      </c>
      <c r="J143" s="196">
        <f>SUM(J132:J141)</f>
        <v>0</v>
      </c>
      <c r="K143" s="196">
        <f>SUM(K132:K141)</f>
        <v>0</v>
      </c>
      <c r="L143" s="196">
        <f>SUM(L132:L141)</f>
        <v>0</v>
      </c>
      <c r="M143" s="196"/>
      <c r="N143" s="196">
        <f>SUM(N132:N141)</f>
        <v>8931.6281799999997</v>
      </c>
      <c r="O143" s="196">
        <f>SUM(O132:O141)</f>
        <v>37.527260000000005</v>
      </c>
      <c r="P143" s="196">
        <f>SUM(P132:P141)</f>
        <v>0</v>
      </c>
      <c r="Q143" s="196"/>
      <c r="R143" s="196">
        <f>SUM(R132:R141)</f>
        <v>37.527000000000001</v>
      </c>
      <c r="S143" s="196">
        <f>SUM(S132:S141)</f>
        <v>0</v>
      </c>
      <c r="T143" s="196">
        <f>SUM(T132:T141)</f>
        <v>0</v>
      </c>
      <c r="U143" s="196">
        <f>SUM(U132:U141)</f>
        <v>0</v>
      </c>
      <c r="V143" s="196">
        <f>SUM(V132:V141)</f>
        <v>0</v>
      </c>
      <c r="W143" s="196"/>
      <c r="X143" s="196">
        <f>SUM(X132:X141)</f>
        <v>37.527260000000005</v>
      </c>
      <c r="Y143" s="196">
        <f>SUM(Y132:Y141)</f>
        <v>26046.980000000003</v>
      </c>
      <c r="Z143" s="196">
        <f>SUM(Z132:Z141)</f>
        <v>495.63099999999986</v>
      </c>
      <c r="AA143" s="196">
        <f>SUM(AA132:AA141)</f>
        <v>8969.1554400000005</v>
      </c>
      <c r="AB143" s="196">
        <f>SUM(AB132:AB141)</f>
        <v>495.6305900000001</v>
      </c>
      <c r="AC143" s="196"/>
      <c r="AD143" s="196"/>
      <c r="AE143" s="186" t="s">
        <v>47</v>
      </c>
      <c r="AF143" s="195">
        <f>D103+D113+D126</f>
        <v>2030.7180000000001</v>
      </c>
      <c r="AG143" s="195">
        <f>E103+E113+E126</f>
        <v>2030.7195000000002</v>
      </c>
      <c r="AH143" s="165">
        <f>F103+F113+F126</f>
        <v>0</v>
      </c>
      <c r="AI143" s="195">
        <f t="shared" si="21"/>
        <v>2030.7195000000002</v>
      </c>
      <c r="AJ143" s="165">
        <f>L103+L113+L126+L141+L159</f>
        <v>0</v>
      </c>
      <c r="AK143" s="195">
        <f t="shared" si="22"/>
        <v>2030.7195000000002</v>
      </c>
      <c r="AL143" s="195">
        <f>O103+O113+O126</f>
        <v>0</v>
      </c>
      <c r="AM143" s="195">
        <f>P103+P113+P126</f>
        <v>0</v>
      </c>
      <c r="AN143" s="195">
        <f t="shared" si="23"/>
        <v>0</v>
      </c>
      <c r="AO143" s="195">
        <f>V103+V113+V126</f>
        <v>0</v>
      </c>
      <c r="AP143" s="195">
        <f t="shared" si="24"/>
        <v>0</v>
      </c>
      <c r="AQ143" s="195">
        <f t="shared" si="25"/>
        <v>2030.7195000000002</v>
      </c>
      <c r="AR143" s="195">
        <f t="shared" si="26"/>
        <v>-1.5000000000782165E-3</v>
      </c>
      <c r="AS143" s="195" t="e">
        <f t="shared" si="20"/>
        <v>#VALUE!</v>
      </c>
    </row>
    <row r="144" spans="1:45" x14ac:dyDescent="0.2">
      <c r="A144" s="180"/>
      <c r="D144" s="182" t="s">
        <v>40</v>
      </c>
      <c r="E144" s="182" t="s">
        <v>40</v>
      </c>
      <c r="F144" s="182" t="s">
        <v>40</v>
      </c>
      <c r="G144" s="182"/>
      <c r="H144" s="182" t="s">
        <v>40</v>
      </c>
      <c r="I144" s="182" t="s">
        <v>40</v>
      </c>
      <c r="J144" s="182" t="s">
        <v>40</v>
      </c>
      <c r="K144" s="182" t="s">
        <v>40</v>
      </c>
      <c r="L144" s="182" t="s">
        <v>40</v>
      </c>
      <c r="M144" s="182"/>
      <c r="N144" s="182" t="s">
        <v>40</v>
      </c>
      <c r="O144" s="182" t="s">
        <v>40</v>
      </c>
      <c r="P144" s="182" t="s">
        <v>40</v>
      </c>
      <c r="Q144" s="182"/>
      <c r="R144" s="182" t="s">
        <v>40</v>
      </c>
      <c r="S144" s="182" t="s">
        <v>40</v>
      </c>
      <c r="T144" s="182" t="s">
        <v>40</v>
      </c>
      <c r="U144" s="182" t="s">
        <v>40</v>
      </c>
      <c r="V144" s="182" t="s">
        <v>40</v>
      </c>
      <c r="W144" s="182"/>
      <c r="X144" s="182" t="s">
        <v>40</v>
      </c>
      <c r="Y144" s="182" t="s">
        <v>40</v>
      </c>
      <c r="Z144" s="182" t="s">
        <v>40</v>
      </c>
      <c r="AA144" s="182" t="s">
        <v>40</v>
      </c>
      <c r="AB144" s="182" t="s">
        <v>40</v>
      </c>
      <c r="AC144" s="182"/>
      <c r="AD144" s="182"/>
      <c r="AE144" s="186" t="s">
        <v>36</v>
      </c>
      <c r="AF144" s="195">
        <f t="shared" ref="AF144:AH145" si="27">D105+D116+D159</f>
        <v>9750.741</v>
      </c>
      <c r="AG144" s="195">
        <f t="shared" si="27"/>
        <v>95.117999999999995</v>
      </c>
      <c r="AH144" s="165">
        <f t="shared" si="27"/>
        <v>0</v>
      </c>
      <c r="AI144" s="195">
        <f t="shared" si="21"/>
        <v>95.117999999999995</v>
      </c>
      <c r="AJ144" s="165" t="e">
        <f>L105+L114+L127+L142+L160</f>
        <v>#VALUE!</v>
      </c>
      <c r="AK144" s="195" t="e">
        <f t="shared" si="22"/>
        <v>#VALUE!</v>
      </c>
      <c r="AL144" s="195">
        <f>O105+O116+O159</f>
        <v>9159.8207399999992</v>
      </c>
      <c r="AM144" s="195">
        <f>P105+P116+P159</f>
        <v>0</v>
      </c>
      <c r="AN144" s="195">
        <f t="shared" si="23"/>
        <v>9159.8207399999992</v>
      </c>
      <c r="AO144" s="195">
        <f>V105+V116+V159</f>
        <v>0</v>
      </c>
      <c r="AP144" s="195">
        <f t="shared" si="24"/>
        <v>9159.8207399999992</v>
      </c>
      <c r="AQ144" s="195">
        <f t="shared" si="25"/>
        <v>9254.9387399999996</v>
      </c>
      <c r="AR144" s="195">
        <f t="shared" si="26"/>
        <v>495.80226000000039</v>
      </c>
      <c r="AS144" s="195" t="e">
        <f t="shared" si="20"/>
        <v>#VALUE!</v>
      </c>
    </row>
    <row r="145" spans="1:45" x14ac:dyDescent="0.2">
      <c r="A145" s="180"/>
      <c r="D145" s="182"/>
      <c r="E145" s="196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6" t="s">
        <v>53</v>
      </c>
      <c r="AF145" s="195">
        <f t="shared" si="27"/>
        <v>38237.355000000003</v>
      </c>
      <c r="AG145" s="195">
        <f t="shared" si="27"/>
        <v>0</v>
      </c>
      <c r="AH145" s="165">
        <f t="shared" si="27"/>
        <v>0</v>
      </c>
      <c r="AI145" s="195">
        <f t="shared" si="21"/>
        <v>0</v>
      </c>
      <c r="AJ145" s="165" t="e">
        <f>L106+L116+L128+L143+L161</f>
        <v>#VALUE!</v>
      </c>
      <c r="AK145" s="195" t="e">
        <f t="shared" si="22"/>
        <v>#VALUE!</v>
      </c>
      <c r="AL145" s="195">
        <f>O106+O117+O160</f>
        <v>38237.355839999997</v>
      </c>
      <c r="AM145" s="195">
        <f>P106+P117+P160</f>
        <v>0</v>
      </c>
      <c r="AN145" s="195">
        <f t="shared" si="23"/>
        <v>38237.355839999997</v>
      </c>
      <c r="AO145" s="195">
        <f>V106+V117+V160</f>
        <v>0</v>
      </c>
      <c r="AP145" s="195">
        <f t="shared" si="24"/>
        <v>38237.355839999997</v>
      </c>
      <c r="AQ145" s="195">
        <f t="shared" si="25"/>
        <v>38237.355839999997</v>
      </c>
      <c r="AR145" s="195">
        <f t="shared" si="26"/>
        <v>-8.3999999333173037E-4</v>
      </c>
      <c r="AS145" s="195">
        <f t="shared" si="20"/>
        <v>-1.6999999996869519E-4</v>
      </c>
    </row>
    <row r="146" spans="1:45" x14ac:dyDescent="0.2">
      <c r="A146" s="180">
        <v>11</v>
      </c>
      <c r="B146" s="165" t="s">
        <v>151</v>
      </c>
      <c r="C146" s="166" t="s">
        <v>35</v>
      </c>
      <c r="D146" s="181">
        <f>1861134/1000</f>
        <v>1861.134</v>
      </c>
      <c r="E146" s="181">
        <f>TOBEPAID!E118/1000</f>
        <v>0</v>
      </c>
      <c r="F146" s="181">
        <f>TOBEPAID!F118/1000</f>
        <v>0</v>
      </c>
      <c r="G146" s="181">
        <f>TOBEPAID!G118/1000</f>
        <v>0</v>
      </c>
      <c r="H146" s="181">
        <f>1005000/1000</f>
        <v>1005</v>
      </c>
      <c r="I146" s="181">
        <f>TOBEPAID!I118/1000</f>
        <v>0</v>
      </c>
      <c r="J146" s="181">
        <f>TOBEPAID!J118/1000</f>
        <v>0</v>
      </c>
      <c r="K146" s="181">
        <f>TOBEPAID!K118/1000</f>
        <v>0</v>
      </c>
      <c r="L146" s="181">
        <f>TOBEPAID!L118/1000</f>
        <v>0</v>
      </c>
      <c r="M146" s="181">
        <f>TOBEPAID!M118/1000</f>
        <v>0</v>
      </c>
      <c r="N146" s="181">
        <f>TOBEPAID!N118/1000</f>
        <v>0</v>
      </c>
      <c r="O146" s="181">
        <f>TOBEPAID!O118/1000</f>
        <v>856.13423999999998</v>
      </c>
      <c r="P146" s="181">
        <f>TOBEPAID!P118/1000</f>
        <v>0</v>
      </c>
      <c r="Q146" s="181">
        <f>TOBEPAID!Q118/1000</f>
        <v>0</v>
      </c>
      <c r="R146" s="181">
        <f>856134/1000</f>
        <v>856.13400000000001</v>
      </c>
      <c r="S146" s="181">
        <f>TOBEPAID!S118/1000</f>
        <v>0</v>
      </c>
      <c r="T146" s="181">
        <f>TOBEPAID!T118/1000</f>
        <v>0</v>
      </c>
      <c r="U146" s="181">
        <f>TOBEPAID!U118/1000</f>
        <v>0</v>
      </c>
      <c r="V146" s="181">
        <f>TOBEPAID!V118/1000</f>
        <v>0</v>
      </c>
      <c r="W146" s="181">
        <f>TOBEPAID!W118/1000</f>
        <v>0</v>
      </c>
      <c r="X146" s="181">
        <f>TOBEPAID!X118/1000</f>
        <v>856.13423999999998</v>
      </c>
      <c r="Y146" s="181">
        <f>+H146+R146</f>
        <v>1861.134</v>
      </c>
      <c r="Z146" s="181">
        <f t="shared" ref="Z146:Z160" si="28">+D146-Y146</f>
        <v>0</v>
      </c>
      <c r="AA146" s="181">
        <f>TOBEPAID!AA118/1000</f>
        <v>0</v>
      </c>
      <c r="AB146" s="181">
        <f>TOBEPAID!AB118/1000</f>
        <v>0</v>
      </c>
      <c r="AC146" s="181"/>
      <c r="AD146" s="181"/>
      <c r="AE146" s="186" t="s">
        <v>54</v>
      </c>
      <c r="AF146" s="195">
        <f>+D155</f>
        <v>448.459</v>
      </c>
      <c r="AG146" s="195">
        <f>+E155</f>
        <v>448.45916999999997</v>
      </c>
      <c r="AH146" s="195">
        <f>+F155</f>
        <v>0</v>
      </c>
      <c r="AI146" s="195">
        <f t="shared" si="21"/>
        <v>448.45916999999997</v>
      </c>
      <c r="AJ146" s="200">
        <f>+L155</f>
        <v>0</v>
      </c>
      <c r="AK146" s="195">
        <f t="shared" si="22"/>
        <v>448.45916999999997</v>
      </c>
      <c r="AL146" s="195">
        <f>+O155</f>
        <v>0</v>
      </c>
      <c r="AM146" s="195">
        <f>+P155</f>
        <v>0</v>
      </c>
      <c r="AN146" s="195">
        <f t="shared" si="23"/>
        <v>0</v>
      </c>
      <c r="AO146" s="195">
        <f>+V155</f>
        <v>0</v>
      </c>
      <c r="AP146" s="195">
        <f t="shared" si="24"/>
        <v>0</v>
      </c>
      <c r="AQ146" s="195">
        <f t="shared" si="25"/>
        <v>448.45916999999997</v>
      </c>
      <c r="AR146" s="195">
        <f t="shared" si="26"/>
        <v>-1.6999999996869519E-4</v>
      </c>
      <c r="AS146" s="195">
        <f>+AF149-AK149-AP149</f>
        <v>12380</v>
      </c>
    </row>
    <row r="147" spans="1:45" x14ac:dyDescent="0.2">
      <c r="A147" s="180"/>
      <c r="C147" s="166" t="s">
        <v>459</v>
      </c>
      <c r="D147" s="181">
        <f>125427000/1000</f>
        <v>125427</v>
      </c>
      <c r="E147" s="181"/>
      <c r="F147" s="181"/>
      <c r="G147" s="181"/>
      <c r="H147" s="181">
        <f>61714820/1000</f>
        <v>61714.82</v>
      </c>
      <c r="I147" s="181"/>
      <c r="J147" s="181"/>
      <c r="K147" s="181"/>
      <c r="L147" s="181"/>
      <c r="M147" s="181"/>
      <c r="N147" s="181"/>
      <c r="O147" s="181"/>
      <c r="P147" s="181"/>
      <c r="Q147" s="181"/>
      <c r="R147" s="181">
        <v>0</v>
      </c>
      <c r="S147" s="181"/>
      <c r="T147" s="181"/>
      <c r="U147" s="181"/>
      <c r="V147" s="181"/>
      <c r="W147" s="181"/>
      <c r="X147" s="181"/>
      <c r="Y147" s="181">
        <f>+H147+R147</f>
        <v>61714.82</v>
      </c>
      <c r="Z147" s="181">
        <f t="shared" si="28"/>
        <v>63712.18</v>
      </c>
      <c r="AA147" s="181"/>
      <c r="AB147" s="181"/>
      <c r="AC147" s="181"/>
      <c r="AD147" s="181"/>
      <c r="AE147" s="186"/>
      <c r="AF147" s="195"/>
      <c r="AG147" s="195"/>
      <c r="AH147" s="195"/>
      <c r="AI147" s="195"/>
      <c r="AJ147" s="200"/>
      <c r="AK147" s="195"/>
      <c r="AL147" s="195"/>
      <c r="AM147" s="195"/>
      <c r="AN147" s="195"/>
      <c r="AO147" s="195"/>
      <c r="AP147" s="195"/>
      <c r="AQ147" s="195"/>
      <c r="AR147" s="195"/>
      <c r="AS147" s="195"/>
    </row>
    <row r="148" spans="1:45" x14ac:dyDescent="0.2">
      <c r="A148" s="180"/>
      <c r="C148" s="166" t="s">
        <v>483</v>
      </c>
      <c r="D148" s="181">
        <f>9702107.19/1000</f>
        <v>9702.1071899999988</v>
      </c>
      <c r="E148" s="181"/>
      <c r="F148" s="181"/>
      <c r="G148" s="181"/>
      <c r="H148" s="181">
        <f>9702107.19/1000</f>
        <v>9702.1071899999988</v>
      </c>
      <c r="I148" s="181"/>
      <c r="J148" s="181"/>
      <c r="K148" s="181"/>
      <c r="L148" s="181"/>
      <c r="M148" s="181"/>
      <c r="N148" s="181"/>
      <c r="O148" s="181"/>
      <c r="P148" s="181"/>
      <c r="Q148" s="181"/>
      <c r="R148" s="181">
        <v>0</v>
      </c>
      <c r="S148" s="181"/>
      <c r="T148" s="181"/>
      <c r="U148" s="181"/>
      <c r="V148" s="181"/>
      <c r="W148" s="181"/>
      <c r="X148" s="181"/>
      <c r="Y148" s="181">
        <f>+H148+R148</f>
        <v>9702.1071899999988</v>
      </c>
      <c r="Z148" s="181">
        <f>+D148-Y148</f>
        <v>0</v>
      </c>
      <c r="AA148" s="181"/>
      <c r="AB148" s="181"/>
      <c r="AC148" s="181"/>
      <c r="AD148" s="181"/>
      <c r="AE148" s="186"/>
      <c r="AF148" s="195"/>
      <c r="AG148" s="195"/>
      <c r="AH148" s="195"/>
      <c r="AI148" s="195"/>
      <c r="AJ148" s="200"/>
      <c r="AK148" s="195"/>
      <c r="AL148" s="195"/>
      <c r="AM148" s="195"/>
      <c r="AN148" s="195"/>
      <c r="AO148" s="195"/>
      <c r="AP148" s="195"/>
      <c r="AQ148" s="195"/>
      <c r="AR148" s="195"/>
      <c r="AS148" s="195"/>
    </row>
    <row r="149" spans="1:45" x14ac:dyDescent="0.2">
      <c r="C149" s="165" t="s">
        <v>375</v>
      </c>
      <c r="D149" s="181">
        <f>6132528/1000</f>
        <v>6132.5280000000002</v>
      </c>
      <c r="E149" s="181">
        <f>TOBEPAID!E119/1000</f>
        <v>6132.5286399999995</v>
      </c>
      <c r="F149" s="181">
        <f>TOBEPAID!F119/1000</f>
        <v>0</v>
      </c>
      <c r="G149" s="181">
        <f>TOBEPAID!G119/1000</f>
        <v>0</v>
      </c>
      <c r="H149" s="181">
        <f>6132528/1000</f>
        <v>6132.5280000000002</v>
      </c>
      <c r="I149" s="181">
        <f>TOBEPAID!I119/1000</f>
        <v>0</v>
      </c>
      <c r="J149" s="181">
        <f>TOBEPAID!J119/1000</f>
        <v>0</v>
      </c>
      <c r="K149" s="181">
        <f>TOBEPAID!K119/1000</f>
        <v>0</v>
      </c>
      <c r="L149" s="181">
        <f>TOBEPAID!L119/1000</f>
        <v>0</v>
      </c>
      <c r="M149" s="181">
        <f>TOBEPAID!M119/1000</f>
        <v>0</v>
      </c>
      <c r="N149" s="181">
        <f>TOBEPAID!N119/1000</f>
        <v>6132.5286399999995</v>
      </c>
      <c r="O149" s="181">
        <f>TOBEPAID!O119/1000</f>
        <v>0</v>
      </c>
      <c r="P149" s="181">
        <f>TOBEPAID!P119/1000</f>
        <v>0</v>
      </c>
      <c r="Q149" s="181">
        <f>TOBEPAID!Q119/1000</f>
        <v>0</v>
      </c>
      <c r="R149" s="181">
        <v>0</v>
      </c>
      <c r="S149" s="181">
        <f>TOBEPAID!S119/1000</f>
        <v>0</v>
      </c>
      <c r="T149" s="181">
        <f>TOBEPAID!T119/1000</f>
        <v>0</v>
      </c>
      <c r="U149" s="181">
        <f>TOBEPAID!U119/1000</f>
        <v>0</v>
      </c>
      <c r="V149" s="181">
        <f>TOBEPAID!V119/1000</f>
        <v>0</v>
      </c>
      <c r="W149" s="181">
        <f>TOBEPAID!W119/1000</f>
        <v>0</v>
      </c>
      <c r="X149" s="181">
        <f>TOBEPAID!X119/1000</f>
        <v>0</v>
      </c>
      <c r="Y149" s="181">
        <f t="shared" ref="Y149:Y160" si="29">+H149+R149</f>
        <v>6132.5280000000002</v>
      </c>
      <c r="Z149" s="181">
        <f t="shared" si="28"/>
        <v>0</v>
      </c>
      <c r="AA149" s="181">
        <f>TOBEPAID!AA119/1000</f>
        <v>0</v>
      </c>
      <c r="AB149" s="181">
        <f>TOBEPAID!AB119/1000</f>
        <v>0</v>
      </c>
      <c r="AC149" s="181"/>
      <c r="AD149" s="181"/>
      <c r="AE149" s="186" t="s">
        <v>329</v>
      </c>
      <c r="AF149" s="195">
        <f>+D152</f>
        <v>65380</v>
      </c>
      <c r="AG149" s="195">
        <f>+E152</f>
        <v>49000</v>
      </c>
      <c r="AH149" s="165">
        <f>+F152</f>
        <v>4000</v>
      </c>
      <c r="AI149" s="195">
        <f t="shared" si="21"/>
        <v>53000</v>
      </c>
      <c r="AJ149" s="165">
        <f>+L152</f>
        <v>0</v>
      </c>
      <c r="AK149" s="195">
        <f t="shared" si="22"/>
        <v>53000</v>
      </c>
      <c r="AL149" s="195">
        <f>+O152</f>
        <v>0</v>
      </c>
      <c r="AM149" s="195">
        <f>+P152</f>
        <v>0</v>
      </c>
      <c r="AN149" s="195">
        <f t="shared" si="23"/>
        <v>0</v>
      </c>
      <c r="AO149" s="195">
        <f>+V152</f>
        <v>0</v>
      </c>
      <c r="AP149" s="195">
        <f t="shared" si="24"/>
        <v>0</v>
      </c>
      <c r="AQ149" s="195">
        <f t="shared" si="25"/>
        <v>53000</v>
      </c>
      <c r="AR149" s="195">
        <f t="shared" si="26"/>
        <v>12380</v>
      </c>
    </row>
    <row r="150" spans="1:45" x14ac:dyDescent="0.2">
      <c r="C150" s="165" t="s">
        <v>387</v>
      </c>
      <c r="D150" s="181">
        <f>10883575/1000</f>
        <v>10883.575000000001</v>
      </c>
      <c r="E150" s="181"/>
      <c r="F150" s="181"/>
      <c r="G150" s="181"/>
      <c r="H150" s="181">
        <f>10883575/1000</f>
        <v>10883.575000000001</v>
      </c>
      <c r="I150" s="181"/>
      <c r="J150" s="181"/>
      <c r="K150" s="181"/>
      <c r="L150" s="181"/>
      <c r="M150" s="181"/>
      <c r="N150" s="181"/>
      <c r="O150" s="181"/>
      <c r="P150" s="181"/>
      <c r="Q150" s="181"/>
      <c r="R150" s="181">
        <v>0</v>
      </c>
      <c r="S150" s="181"/>
      <c r="T150" s="181"/>
      <c r="U150" s="181"/>
      <c r="V150" s="181"/>
      <c r="W150" s="181"/>
      <c r="X150" s="181"/>
      <c r="Y150" s="181">
        <f t="shared" si="29"/>
        <v>10883.575000000001</v>
      </c>
      <c r="Z150" s="181">
        <f t="shared" si="28"/>
        <v>0</v>
      </c>
      <c r="AA150" s="181"/>
      <c r="AB150" s="181"/>
      <c r="AC150" s="181"/>
      <c r="AD150" s="181"/>
      <c r="AE150" s="186"/>
      <c r="AF150" s="195"/>
      <c r="AG150" s="195"/>
      <c r="AI150" s="195"/>
      <c r="AK150" s="195"/>
      <c r="AL150" s="195"/>
      <c r="AM150" s="195"/>
      <c r="AN150" s="195"/>
      <c r="AO150" s="195"/>
      <c r="AP150" s="195"/>
      <c r="AQ150" s="195"/>
      <c r="AR150" s="195"/>
    </row>
    <row r="151" spans="1:45" x14ac:dyDescent="0.2">
      <c r="C151" s="165" t="s">
        <v>413</v>
      </c>
      <c r="D151" s="181">
        <f>1192522/1000</f>
        <v>1192.5219999999999</v>
      </c>
      <c r="E151" s="181"/>
      <c r="F151" s="181"/>
      <c r="G151" s="181"/>
      <c r="H151" s="181">
        <f>1192522/1000</f>
        <v>1192.5219999999999</v>
      </c>
      <c r="I151" s="181"/>
      <c r="J151" s="181"/>
      <c r="K151" s="181"/>
      <c r="L151" s="181"/>
      <c r="M151" s="181"/>
      <c r="N151" s="181"/>
      <c r="O151" s="181"/>
      <c r="P151" s="181"/>
      <c r="Q151" s="181"/>
      <c r="R151" s="181">
        <v>0</v>
      </c>
      <c r="S151" s="181"/>
      <c r="T151" s="181"/>
      <c r="U151" s="181"/>
      <c r="V151" s="181"/>
      <c r="W151" s="181"/>
      <c r="X151" s="181"/>
      <c r="Y151" s="181">
        <f>+H151+R151</f>
        <v>1192.5219999999999</v>
      </c>
      <c r="Z151" s="181">
        <f t="shared" si="28"/>
        <v>0</v>
      </c>
      <c r="AA151" s="181"/>
      <c r="AB151" s="181"/>
      <c r="AC151" s="181"/>
      <c r="AD151" s="181"/>
      <c r="AE151" s="186"/>
      <c r="AF151" s="195"/>
      <c r="AG151" s="195"/>
      <c r="AI151" s="195"/>
      <c r="AK151" s="195"/>
      <c r="AL151" s="195"/>
      <c r="AM151" s="195"/>
      <c r="AN151" s="195"/>
      <c r="AO151" s="195"/>
      <c r="AP151" s="195"/>
      <c r="AQ151" s="195"/>
      <c r="AR151" s="195"/>
    </row>
    <row r="152" spans="1:45" x14ac:dyDescent="0.2">
      <c r="C152" s="165" t="s">
        <v>290</v>
      </c>
      <c r="D152" s="181">
        <f>65380000/1000</f>
        <v>65380</v>
      </c>
      <c r="E152" s="181">
        <f>TOBEPAID!E120/1000</f>
        <v>49000</v>
      </c>
      <c r="F152" s="181">
        <f>TOBEPAID!F120/1000</f>
        <v>4000</v>
      </c>
      <c r="G152" s="181">
        <f>TOBEPAID!G120/1000</f>
        <v>0</v>
      </c>
      <c r="H152" s="181">
        <f>65380000/1000</f>
        <v>65380</v>
      </c>
      <c r="I152" s="181">
        <f>TOBEPAID!I120/1000</f>
        <v>0</v>
      </c>
      <c r="J152" s="181">
        <f>TOBEPAID!J120/1000</f>
        <v>0</v>
      </c>
      <c r="K152" s="181">
        <f>TOBEPAID!K120/1000</f>
        <v>0</v>
      </c>
      <c r="L152" s="181">
        <f>TOBEPAID!L120/1000</f>
        <v>0</v>
      </c>
      <c r="M152" s="181">
        <f>TOBEPAID!M120/1000</f>
        <v>0</v>
      </c>
      <c r="N152" s="181">
        <f>TOBEPAID!N120/1000</f>
        <v>53000</v>
      </c>
      <c r="O152" s="181">
        <f>TOBEPAID!O120/1000</f>
        <v>0</v>
      </c>
      <c r="P152" s="181">
        <f>TOBEPAID!P120/1000</f>
        <v>0</v>
      </c>
      <c r="Q152" s="181">
        <f>TOBEPAID!Q120/1000</f>
        <v>0</v>
      </c>
      <c r="R152" s="181">
        <v>0</v>
      </c>
      <c r="S152" s="181">
        <f>TOBEPAID!S120/1000</f>
        <v>0</v>
      </c>
      <c r="T152" s="181">
        <f>TOBEPAID!T120/1000</f>
        <v>0</v>
      </c>
      <c r="U152" s="181">
        <f>TOBEPAID!U120/1000</f>
        <v>0</v>
      </c>
      <c r="V152" s="181">
        <f>TOBEPAID!V120/1000</f>
        <v>0</v>
      </c>
      <c r="W152" s="181">
        <f>TOBEPAID!W120/1000</f>
        <v>0</v>
      </c>
      <c r="X152" s="181">
        <f>TOBEPAID!X120/1000</f>
        <v>0</v>
      </c>
      <c r="Y152" s="181">
        <f t="shared" si="29"/>
        <v>65380</v>
      </c>
      <c r="Z152" s="181">
        <f t="shared" si="28"/>
        <v>0</v>
      </c>
      <c r="AA152" s="181">
        <f>TOBEPAID!AA120/1000</f>
        <v>0</v>
      </c>
      <c r="AB152" s="181">
        <f>TOBEPAID!AB120/1000</f>
        <v>0</v>
      </c>
      <c r="AC152" s="181"/>
      <c r="AD152" s="181"/>
      <c r="AE152" s="186" t="s">
        <v>323</v>
      </c>
      <c r="AS152" s="195" t="e">
        <f>+AF155-AK155-AP155</f>
        <v>#VALUE!</v>
      </c>
    </row>
    <row r="153" spans="1:45" x14ac:dyDescent="0.2">
      <c r="C153" s="165" t="s">
        <v>416</v>
      </c>
      <c r="D153" s="181">
        <f>26346948/1000</f>
        <v>26346.948</v>
      </c>
      <c r="E153" s="181"/>
      <c r="F153" s="181"/>
      <c r="G153" s="181"/>
      <c r="H153" s="181">
        <f>26346948/1000</f>
        <v>26346.948</v>
      </c>
      <c r="I153" s="181"/>
      <c r="J153" s="181"/>
      <c r="K153" s="181"/>
      <c r="L153" s="181"/>
      <c r="M153" s="181"/>
      <c r="N153" s="181"/>
      <c r="O153" s="181"/>
      <c r="P153" s="181"/>
      <c r="Q153" s="181"/>
      <c r="R153" s="181">
        <v>0</v>
      </c>
      <c r="S153" s="181"/>
      <c r="T153" s="181"/>
      <c r="U153" s="181"/>
      <c r="V153" s="181"/>
      <c r="W153" s="181"/>
      <c r="X153" s="181"/>
      <c r="Y153" s="181">
        <f t="shared" si="29"/>
        <v>26346.948</v>
      </c>
      <c r="Z153" s="181">
        <f t="shared" si="28"/>
        <v>0</v>
      </c>
      <c r="AA153" s="181"/>
      <c r="AB153" s="181"/>
      <c r="AC153" s="181"/>
      <c r="AD153" s="181"/>
      <c r="AE153" s="186"/>
      <c r="AS153" s="195"/>
    </row>
    <row r="154" spans="1:45" x14ac:dyDescent="0.2">
      <c r="C154" s="165" t="s">
        <v>445</v>
      </c>
      <c r="D154" s="181">
        <f>4344633/1000</f>
        <v>4344.6329999999998</v>
      </c>
      <c r="E154" s="181"/>
      <c r="F154" s="181"/>
      <c r="G154" s="181"/>
      <c r="H154" s="181">
        <f>4344633/1000</f>
        <v>4344.6329999999998</v>
      </c>
      <c r="I154" s="181"/>
      <c r="J154" s="181"/>
      <c r="K154" s="181"/>
      <c r="L154" s="181"/>
      <c r="M154" s="181"/>
      <c r="N154" s="181"/>
      <c r="O154" s="181"/>
      <c r="P154" s="181"/>
      <c r="Q154" s="181"/>
      <c r="R154" s="181">
        <v>0</v>
      </c>
      <c r="S154" s="181"/>
      <c r="T154" s="181"/>
      <c r="U154" s="181"/>
      <c r="V154" s="181"/>
      <c r="W154" s="181"/>
      <c r="X154" s="181"/>
      <c r="Y154" s="181">
        <f t="shared" si="29"/>
        <v>4344.6329999999998</v>
      </c>
      <c r="Z154" s="181">
        <f t="shared" si="28"/>
        <v>0</v>
      </c>
      <c r="AA154" s="181"/>
      <c r="AB154" s="181"/>
      <c r="AC154" s="181"/>
      <c r="AD154" s="181"/>
      <c r="AE154" s="186"/>
      <c r="AS154" s="195"/>
    </row>
    <row r="155" spans="1:45" x14ac:dyDescent="0.2">
      <c r="C155" s="165" t="s">
        <v>400</v>
      </c>
      <c r="D155" s="181">
        <f>448459/1000</f>
        <v>448.459</v>
      </c>
      <c r="E155" s="181">
        <f>TOBEPAID!E121/1000</f>
        <v>448.45916999999997</v>
      </c>
      <c r="F155" s="181">
        <f>TOBEPAID!F121/1000</f>
        <v>0</v>
      </c>
      <c r="G155" s="181">
        <f>TOBEPAID!G121/1000</f>
        <v>0</v>
      </c>
      <c r="H155" s="181">
        <f>448459/1000</f>
        <v>448.459</v>
      </c>
      <c r="I155" s="181">
        <f>TOBEPAID!I121/1000</f>
        <v>0</v>
      </c>
      <c r="J155" s="181">
        <f>TOBEPAID!J121/1000</f>
        <v>0</v>
      </c>
      <c r="K155" s="181">
        <f>TOBEPAID!K121/1000</f>
        <v>0</v>
      </c>
      <c r="L155" s="181">
        <f>TOBEPAID!L121/1000</f>
        <v>0</v>
      </c>
      <c r="M155" s="181">
        <f>TOBEPAID!M121/1000</f>
        <v>0</v>
      </c>
      <c r="N155" s="181">
        <f>TOBEPAID!N121/1000</f>
        <v>448.45916999999997</v>
      </c>
      <c r="O155" s="181">
        <f>TOBEPAID!O121/1000</f>
        <v>0</v>
      </c>
      <c r="P155" s="181">
        <f>TOBEPAID!P121/1000</f>
        <v>0</v>
      </c>
      <c r="Q155" s="181">
        <f>TOBEPAID!Q121/1000</f>
        <v>0</v>
      </c>
      <c r="R155" s="181">
        <v>0</v>
      </c>
      <c r="S155" s="181">
        <f>TOBEPAID!S121/1000</f>
        <v>0</v>
      </c>
      <c r="T155" s="181">
        <f>TOBEPAID!T121/1000</f>
        <v>0</v>
      </c>
      <c r="U155" s="181">
        <f>TOBEPAID!U121/1000</f>
        <v>0</v>
      </c>
      <c r="V155" s="181">
        <f>TOBEPAID!V121/1000</f>
        <v>0</v>
      </c>
      <c r="W155" s="181">
        <f>TOBEPAID!W121/1000</f>
        <v>0</v>
      </c>
      <c r="X155" s="181">
        <f>TOBEPAID!X121/1000</f>
        <v>0</v>
      </c>
      <c r="Y155" s="181">
        <f t="shared" si="29"/>
        <v>448.459</v>
      </c>
      <c r="Z155" s="181">
        <f t="shared" si="28"/>
        <v>0</v>
      </c>
      <c r="AA155" s="181">
        <f>TOBEPAID!AA121/1000</f>
        <v>0</v>
      </c>
      <c r="AB155" s="181">
        <f>TOBEPAID!AB121/1000</f>
        <v>0</v>
      </c>
      <c r="AC155" s="181"/>
      <c r="AD155" s="181"/>
      <c r="AF155" s="195">
        <f>+D141+D140</f>
        <v>2455.54</v>
      </c>
      <c r="AG155" s="195">
        <f>+E141+E140</f>
        <v>2455.5407500000001</v>
      </c>
      <c r="AH155" s="165">
        <f>+F141+F140</f>
        <v>0</v>
      </c>
      <c r="AI155" s="195">
        <f>+AG155+AH155</f>
        <v>2455.5407500000001</v>
      </c>
      <c r="AJ155" s="165" t="e">
        <f>L107+L117+L129+L144+L162+L140</f>
        <v>#VALUE!</v>
      </c>
      <c r="AK155" s="195" t="e">
        <f>+AI155+AJ155</f>
        <v>#VALUE!</v>
      </c>
      <c r="AL155" s="195">
        <f>+O140</f>
        <v>0</v>
      </c>
      <c r="AM155" s="195">
        <f>+P141+P140</f>
        <v>0</v>
      </c>
      <c r="AN155" s="195">
        <f>+AL155+AM155</f>
        <v>0</v>
      </c>
      <c r="AO155" s="195">
        <f>+V141+V140</f>
        <v>0</v>
      </c>
      <c r="AP155" s="195">
        <f>+AN155+AO155</f>
        <v>0</v>
      </c>
      <c r="AQ155" s="195">
        <f>+AI155+AN155</f>
        <v>2455.5407500000001</v>
      </c>
      <c r="AR155" s="195">
        <f>+AF155-AQ155</f>
        <v>-7.5000000015279511E-4</v>
      </c>
      <c r="AS155" s="195" t="e">
        <f>+AF159-AK159-AP159</f>
        <v>#VALUE!</v>
      </c>
    </row>
    <row r="156" spans="1:45" x14ac:dyDescent="0.2">
      <c r="C156" s="165" t="s">
        <v>401</v>
      </c>
      <c r="D156" s="181">
        <f>5043865.99/1000</f>
        <v>5043.8659900000002</v>
      </c>
      <c r="E156" s="181"/>
      <c r="F156" s="181"/>
      <c r="G156" s="181"/>
      <c r="H156" s="181">
        <f>5043865.99/1000</f>
        <v>5043.8659900000002</v>
      </c>
      <c r="I156" s="181"/>
      <c r="J156" s="181"/>
      <c r="K156" s="181"/>
      <c r="L156" s="181"/>
      <c r="M156" s="181"/>
      <c r="N156" s="181"/>
      <c r="O156" s="181"/>
      <c r="P156" s="181"/>
      <c r="Q156" s="181"/>
      <c r="R156" s="181">
        <v>0</v>
      </c>
      <c r="S156" s="181"/>
      <c r="T156" s="181"/>
      <c r="U156" s="181"/>
      <c r="V156" s="181"/>
      <c r="W156" s="181"/>
      <c r="X156" s="181"/>
      <c r="Y156" s="181">
        <f t="shared" si="29"/>
        <v>5043.8659900000002</v>
      </c>
      <c r="Z156" s="181">
        <f t="shared" si="28"/>
        <v>0</v>
      </c>
      <c r="AA156" s="181"/>
      <c r="AB156" s="181"/>
      <c r="AC156" s="181"/>
      <c r="AD156" s="181"/>
      <c r="AF156" s="195"/>
      <c r="AG156" s="195"/>
      <c r="AI156" s="195"/>
      <c r="AK156" s="195"/>
      <c r="AL156" s="195"/>
      <c r="AM156" s="195"/>
      <c r="AN156" s="195"/>
      <c r="AO156" s="195"/>
      <c r="AP156" s="195"/>
      <c r="AQ156" s="195"/>
      <c r="AR156" s="195"/>
      <c r="AS156" s="195"/>
    </row>
    <row r="157" spans="1:45" x14ac:dyDescent="0.2">
      <c r="C157" s="165" t="s">
        <v>432</v>
      </c>
      <c r="D157" s="181">
        <f>1500000/1000</f>
        <v>1500</v>
      </c>
      <c r="E157" s="181"/>
      <c r="F157" s="181"/>
      <c r="G157" s="181"/>
      <c r="H157" s="181">
        <f>1500000/1000</f>
        <v>1500</v>
      </c>
      <c r="I157" s="181"/>
      <c r="J157" s="181"/>
      <c r="K157" s="181"/>
      <c r="L157" s="181"/>
      <c r="M157" s="181"/>
      <c r="N157" s="181"/>
      <c r="O157" s="181"/>
      <c r="P157" s="181"/>
      <c r="Q157" s="181"/>
      <c r="R157" s="181">
        <v>0</v>
      </c>
      <c r="S157" s="181"/>
      <c r="T157" s="181"/>
      <c r="U157" s="181"/>
      <c r="V157" s="181"/>
      <c r="W157" s="181"/>
      <c r="X157" s="181"/>
      <c r="Y157" s="181">
        <f t="shared" si="29"/>
        <v>1500</v>
      </c>
      <c r="Z157" s="181">
        <f t="shared" si="28"/>
        <v>0</v>
      </c>
      <c r="AA157" s="181"/>
      <c r="AB157" s="181"/>
      <c r="AC157" s="181"/>
      <c r="AD157" s="181"/>
      <c r="AF157" s="195"/>
      <c r="AG157" s="195"/>
      <c r="AI157" s="195"/>
      <c r="AK157" s="195"/>
      <c r="AL157" s="195"/>
      <c r="AM157" s="195"/>
      <c r="AN157" s="195"/>
      <c r="AO157" s="195"/>
      <c r="AP157" s="195"/>
      <c r="AQ157" s="195"/>
      <c r="AR157" s="195"/>
      <c r="AS157" s="195"/>
    </row>
    <row r="158" spans="1:45" x14ac:dyDescent="0.2">
      <c r="C158" s="165" t="s">
        <v>447</v>
      </c>
      <c r="D158" s="181">
        <f>5000000/1000</f>
        <v>5000</v>
      </c>
      <c r="E158" s="181"/>
      <c r="F158" s="181"/>
      <c r="G158" s="181"/>
      <c r="H158" s="181">
        <f>5000000/1000</f>
        <v>5000</v>
      </c>
      <c r="I158" s="181"/>
      <c r="J158" s="181"/>
      <c r="K158" s="181"/>
      <c r="L158" s="181"/>
      <c r="M158" s="181"/>
      <c r="N158" s="181"/>
      <c r="O158" s="181"/>
      <c r="P158" s="181"/>
      <c r="Q158" s="181"/>
      <c r="R158" s="181">
        <v>0</v>
      </c>
      <c r="S158" s="181"/>
      <c r="T158" s="181"/>
      <c r="U158" s="181"/>
      <c r="V158" s="181"/>
      <c r="W158" s="181"/>
      <c r="X158" s="181"/>
      <c r="Y158" s="181">
        <f t="shared" si="29"/>
        <v>5000</v>
      </c>
      <c r="Z158" s="181">
        <f t="shared" si="28"/>
        <v>0</v>
      </c>
      <c r="AA158" s="181"/>
      <c r="AB158" s="181"/>
      <c r="AC158" s="181"/>
      <c r="AD158" s="181"/>
      <c r="AF158" s="195"/>
      <c r="AG158" s="195"/>
      <c r="AI158" s="195"/>
      <c r="AK158" s="195"/>
      <c r="AL158" s="195"/>
      <c r="AM158" s="195"/>
      <c r="AN158" s="195"/>
      <c r="AO158" s="195"/>
      <c r="AP158" s="195"/>
      <c r="AQ158" s="195"/>
      <c r="AR158" s="195"/>
      <c r="AS158" s="195"/>
    </row>
    <row r="159" spans="1:45" x14ac:dyDescent="0.2">
      <c r="A159" s="180"/>
      <c r="C159" s="165" t="s">
        <v>53</v>
      </c>
      <c r="D159" s="181">
        <f>1445779/1000</f>
        <v>1445.779</v>
      </c>
      <c r="E159" s="181">
        <f>TOBEPAID!E122/1000</f>
        <v>0</v>
      </c>
      <c r="F159" s="181">
        <f>TOBEPAID!F122/1000</f>
        <v>0</v>
      </c>
      <c r="G159" s="181">
        <f>TOBEPAID!G122/1000</f>
        <v>0</v>
      </c>
      <c r="H159" s="181">
        <v>0</v>
      </c>
      <c r="I159" s="181">
        <f>TOBEPAID!I122/1000</f>
        <v>0</v>
      </c>
      <c r="J159" s="181">
        <f>TOBEPAID!J122/1000</f>
        <v>0</v>
      </c>
      <c r="K159" s="181">
        <f>TOBEPAID!K122/1000</f>
        <v>0</v>
      </c>
      <c r="L159" s="181">
        <f>TOBEPAID!L122/1000</f>
        <v>0</v>
      </c>
      <c r="M159" s="181">
        <f>TOBEPAID!M122/1000</f>
        <v>0</v>
      </c>
      <c r="N159" s="181">
        <f>TOBEPAID!N122/1000</f>
        <v>0</v>
      </c>
      <c r="O159" s="181">
        <f>TOBEPAID!O122/1000</f>
        <v>1386.8841399999999</v>
      </c>
      <c r="P159" s="181">
        <f>TOBEPAID!P122/1000</f>
        <v>0</v>
      </c>
      <c r="Q159" s="181">
        <f>TOBEPAID!Q122/1000</f>
        <v>0</v>
      </c>
      <c r="R159" s="181">
        <f>1484104/1000</f>
        <v>1484.104</v>
      </c>
      <c r="S159" s="181">
        <f>TOBEPAID!S122/1000</f>
        <v>0</v>
      </c>
      <c r="T159" s="181">
        <f>TOBEPAID!T122/1000</f>
        <v>0</v>
      </c>
      <c r="U159" s="181">
        <f>TOBEPAID!U122/1000</f>
        <v>0</v>
      </c>
      <c r="V159" s="181">
        <f>TOBEPAID!V122/1000</f>
        <v>0</v>
      </c>
      <c r="W159" s="181">
        <f>TOBEPAID!W122/1000</f>
        <v>0</v>
      </c>
      <c r="X159" s="181">
        <f>TOBEPAID!X122/1000</f>
        <v>1386.8841399999999</v>
      </c>
      <c r="Y159" s="181">
        <f t="shared" si="29"/>
        <v>1484.104</v>
      </c>
      <c r="Z159" s="181">
        <f t="shared" si="28"/>
        <v>-38.325000000000045</v>
      </c>
      <c r="AA159" s="181">
        <f>TOBEPAID!AA122/1000</f>
        <v>0</v>
      </c>
      <c r="AB159" s="181">
        <f>TOBEPAID!AB122/1000</f>
        <v>1063.8956599999999</v>
      </c>
      <c r="AC159" s="181" t="s">
        <v>321</v>
      </c>
      <c r="AD159" s="181"/>
      <c r="AE159" s="186" t="s">
        <v>256</v>
      </c>
      <c r="AF159" s="195">
        <f>+D127</f>
        <v>0</v>
      </c>
      <c r="AG159" s="195">
        <f>+E127</f>
        <v>0</v>
      </c>
      <c r="AH159" s="165">
        <f>+F127</f>
        <v>0</v>
      </c>
      <c r="AI159" s="195">
        <f>+AG159+AH159</f>
        <v>0</v>
      </c>
      <c r="AJ159" s="165" t="e">
        <f>L108+L118+L130+L145+L163</f>
        <v>#VALUE!</v>
      </c>
      <c r="AK159" s="195" t="e">
        <f>+AI159+AJ159</f>
        <v>#VALUE!</v>
      </c>
      <c r="AL159" s="195">
        <f>+O127</f>
        <v>0</v>
      </c>
      <c r="AM159" s="195">
        <f>+P127</f>
        <v>0</v>
      </c>
      <c r="AN159" s="195">
        <f>+AL159+AM159</f>
        <v>0</v>
      </c>
      <c r="AO159" s="195">
        <f>+R127</f>
        <v>0</v>
      </c>
      <c r="AP159" s="195">
        <f>+AN159+AO159</f>
        <v>0</v>
      </c>
      <c r="AQ159" s="195">
        <f>+AI159+AN159</f>
        <v>0</v>
      </c>
      <c r="AR159" s="195">
        <f>+AF159-AQ159</f>
        <v>0</v>
      </c>
      <c r="AS159" s="195" t="e">
        <f>+AF160-AK160-AP160</f>
        <v>#VALUE!</v>
      </c>
    </row>
    <row r="160" spans="1:45" x14ac:dyDescent="0.2">
      <c r="A160" s="180"/>
      <c r="C160" s="165" t="s">
        <v>54</v>
      </c>
      <c r="D160" s="181">
        <f>5603896/1000</f>
        <v>5603.8959999999997</v>
      </c>
      <c r="E160" s="181">
        <f>TOBEPAID!E123/1000</f>
        <v>0</v>
      </c>
      <c r="F160" s="181">
        <f>TOBEPAID!F123/1000</f>
        <v>0</v>
      </c>
      <c r="G160" s="181">
        <f>TOBEPAID!G123/1000</f>
        <v>0</v>
      </c>
      <c r="H160" s="181">
        <v>0</v>
      </c>
      <c r="I160" s="181">
        <f>TOBEPAID!I123/1000</f>
        <v>0</v>
      </c>
      <c r="J160" s="181">
        <f>TOBEPAID!J123/1000</f>
        <v>0</v>
      </c>
      <c r="K160" s="181">
        <f>TOBEPAID!K123/1000</f>
        <v>0</v>
      </c>
      <c r="L160" s="181">
        <f>TOBEPAID!L123/1000</f>
        <v>0</v>
      </c>
      <c r="M160" s="181">
        <f>TOBEPAID!M123/1000</f>
        <v>0</v>
      </c>
      <c r="N160" s="181">
        <f>TOBEPAID!N123/1000</f>
        <v>0</v>
      </c>
      <c r="O160" s="181">
        <f>TOBEPAID!O123/1000</f>
        <v>5603.8962599999995</v>
      </c>
      <c r="P160" s="181">
        <f>TOBEPAID!P123/1000</f>
        <v>0</v>
      </c>
      <c r="Q160" s="181">
        <f>TOBEPAID!Q123/1000</f>
        <v>0</v>
      </c>
      <c r="R160" s="181">
        <f>5603896/1000</f>
        <v>5603.8959999999997</v>
      </c>
      <c r="S160" s="181">
        <f>TOBEPAID!S123/1000</f>
        <v>0</v>
      </c>
      <c r="T160" s="181">
        <f>TOBEPAID!T123/1000</f>
        <v>0</v>
      </c>
      <c r="U160" s="181">
        <f>TOBEPAID!U123/1000</f>
        <v>0</v>
      </c>
      <c r="V160" s="181">
        <f>TOBEPAID!V123/1000</f>
        <v>0</v>
      </c>
      <c r="W160" s="181">
        <f>TOBEPAID!W123/1000</f>
        <v>0</v>
      </c>
      <c r="X160" s="181">
        <f>TOBEPAID!X123/1000</f>
        <v>5603.8962599999995</v>
      </c>
      <c r="Y160" s="181">
        <f t="shared" si="29"/>
        <v>5603.8959999999997</v>
      </c>
      <c r="Z160" s="181">
        <f t="shared" si="28"/>
        <v>0</v>
      </c>
      <c r="AA160" s="181">
        <f>TOBEPAID!AA123/1000</f>
        <v>0</v>
      </c>
      <c r="AB160" s="181">
        <f>TOBEPAID!AB123/1000</f>
        <v>0</v>
      </c>
      <c r="AC160" s="181"/>
      <c r="AD160" s="181"/>
      <c r="AE160" s="186" t="s">
        <v>38</v>
      </c>
      <c r="AF160" s="195">
        <f>+D118</f>
        <v>200</v>
      </c>
      <c r="AG160" s="195">
        <f>+E118</f>
        <v>0</v>
      </c>
      <c r="AH160" s="165">
        <f>+F118</f>
        <v>0</v>
      </c>
      <c r="AI160" s="195">
        <f>+AG160+AH160</f>
        <v>0</v>
      </c>
      <c r="AJ160" s="165" t="e">
        <f>L109+L119+L131+L146+L164</f>
        <v>#VALUE!</v>
      </c>
      <c r="AK160" s="195" t="e">
        <f>+AI160+AJ160</f>
        <v>#VALUE!</v>
      </c>
      <c r="AL160" s="195">
        <f>+O118</f>
        <v>0</v>
      </c>
      <c r="AM160" s="195">
        <f>+P118</f>
        <v>0</v>
      </c>
      <c r="AN160" s="195">
        <f>+AL160+AM160</f>
        <v>0</v>
      </c>
      <c r="AO160" s="195">
        <f>+V118</f>
        <v>0</v>
      </c>
      <c r="AP160" s="195">
        <f>+AN160+AO160</f>
        <v>0</v>
      </c>
      <c r="AQ160" s="195">
        <f>+AI160+AN160</f>
        <v>0</v>
      </c>
      <c r="AR160" s="195">
        <f>+AF160-AQ160</f>
        <v>200</v>
      </c>
      <c r="AS160" s="195" t="e">
        <f>+AF161-AK161-AP161</f>
        <v>#VALUE!</v>
      </c>
    </row>
    <row r="161" spans="1:45" x14ac:dyDescent="0.2">
      <c r="A161" s="180"/>
      <c r="D161" s="182" t="s">
        <v>40</v>
      </c>
      <c r="E161" s="182" t="s">
        <v>40</v>
      </c>
      <c r="F161" s="182" t="s">
        <v>40</v>
      </c>
      <c r="G161" s="182"/>
      <c r="H161" s="182" t="s">
        <v>40</v>
      </c>
      <c r="I161" s="182" t="s">
        <v>40</v>
      </c>
      <c r="J161" s="182" t="s">
        <v>40</v>
      </c>
      <c r="K161" s="182" t="s">
        <v>40</v>
      </c>
      <c r="L161" s="182" t="s">
        <v>40</v>
      </c>
      <c r="M161" s="182"/>
      <c r="N161" s="182" t="s">
        <v>40</v>
      </c>
      <c r="O161" s="182" t="s">
        <v>40</v>
      </c>
      <c r="P161" s="182" t="s">
        <v>40</v>
      </c>
      <c r="Q161" s="182"/>
      <c r="R161" s="182" t="s">
        <v>40</v>
      </c>
      <c r="S161" s="182" t="s">
        <v>40</v>
      </c>
      <c r="T161" s="182" t="s">
        <v>40</v>
      </c>
      <c r="U161" s="182" t="s">
        <v>40</v>
      </c>
      <c r="V161" s="182" t="s">
        <v>40</v>
      </c>
      <c r="W161" s="182"/>
      <c r="X161" s="182" t="s">
        <v>40</v>
      </c>
      <c r="Y161" s="182" t="s">
        <v>40</v>
      </c>
      <c r="Z161" s="201" t="s">
        <v>165</v>
      </c>
      <c r="AA161" s="182" t="s">
        <v>40</v>
      </c>
      <c r="AB161" s="201" t="s">
        <v>165</v>
      </c>
      <c r="AC161" s="201"/>
      <c r="AD161" s="201"/>
      <c r="AE161" s="186" t="s">
        <v>167</v>
      </c>
      <c r="AF161" s="195">
        <f>+D114</f>
        <v>25000</v>
      </c>
      <c r="AG161" s="195">
        <f>+E114</f>
        <v>25000</v>
      </c>
      <c r="AH161" s="165">
        <f>+F114</f>
        <v>0</v>
      </c>
      <c r="AI161" s="195">
        <f>+AG161+AH161</f>
        <v>25000</v>
      </c>
      <c r="AJ161" s="165" t="e">
        <f>L110+L120+L132+L159+L165</f>
        <v>#VALUE!</v>
      </c>
      <c r="AK161" s="195" t="e">
        <f>+AI161+AJ161</f>
        <v>#VALUE!</v>
      </c>
      <c r="AL161" s="195">
        <f>+O114</f>
        <v>0</v>
      </c>
      <c r="AM161" s="195">
        <f>+P114</f>
        <v>0</v>
      </c>
      <c r="AN161" s="195">
        <f>+AL161+AM161</f>
        <v>0</v>
      </c>
      <c r="AO161" s="195">
        <f>+V114</f>
        <v>0</v>
      </c>
      <c r="AP161" s="195">
        <f>+AN161+AO161</f>
        <v>0</v>
      </c>
      <c r="AQ161" s="195">
        <f>+AI161+AN161</f>
        <v>25000</v>
      </c>
      <c r="AR161" s="195">
        <f>+AF161-AQ161</f>
        <v>0</v>
      </c>
      <c r="AS161" s="195" t="e">
        <f>+AF162-AK162-AP162</f>
        <v>#VALUE!</v>
      </c>
    </row>
    <row r="162" spans="1:45" x14ac:dyDescent="0.2">
      <c r="A162" s="180"/>
      <c r="D162" s="191">
        <f>SUM(D146:D160)</f>
        <v>270312.44717999996</v>
      </c>
      <c r="E162" s="191">
        <f>SUM(E146:E160)</f>
        <v>55580.987809999999</v>
      </c>
      <c r="F162" s="191">
        <f>SUM(F146:F160)</f>
        <v>4000</v>
      </c>
      <c r="G162" s="191"/>
      <c r="H162" s="191">
        <f>SUM(H146:H160)</f>
        <v>198694.45818000002</v>
      </c>
      <c r="I162" s="191">
        <f>SUM(I146:I160)</f>
        <v>0</v>
      </c>
      <c r="J162" s="191">
        <f>SUM(J146:J160)</f>
        <v>0</v>
      </c>
      <c r="K162" s="191">
        <f>SUM(K146:K160)</f>
        <v>0</v>
      </c>
      <c r="L162" s="191">
        <f>SUM(L146:L160)</f>
        <v>0</v>
      </c>
      <c r="M162" s="191"/>
      <c r="N162" s="191">
        <f>SUM(N146:N160)</f>
        <v>59580.987809999999</v>
      </c>
      <c r="O162" s="191">
        <f>SUM(O146:O160)</f>
        <v>7846.9146399999991</v>
      </c>
      <c r="P162" s="191">
        <f>SUM(P146:P160)</f>
        <v>0</v>
      </c>
      <c r="Q162" s="191"/>
      <c r="R162" s="191">
        <f>SUM(R146:R160)</f>
        <v>7944.134</v>
      </c>
      <c r="S162" s="191">
        <f>SUM(S146:S160)</f>
        <v>0</v>
      </c>
      <c r="T162" s="191">
        <f>SUM(T146:T160)</f>
        <v>0</v>
      </c>
      <c r="U162" s="191">
        <f>SUM(U146:U160)</f>
        <v>0</v>
      </c>
      <c r="V162" s="191">
        <f>SUM(V146:V160)</f>
        <v>0</v>
      </c>
      <c r="W162" s="191"/>
      <c r="X162" s="191">
        <f>SUM(X146:X160)</f>
        <v>7846.9146399999991</v>
      </c>
      <c r="Y162" s="191">
        <f>SUM(Y146:Y160)</f>
        <v>206638.59217999998</v>
      </c>
      <c r="Z162" s="191">
        <f>SUM(Z146:Z160)</f>
        <v>63673.855000000003</v>
      </c>
      <c r="AA162" s="191">
        <f>SUM(AA146:AA160)</f>
        <v>0</v>
      </c>
      <c r="AB162" s="191">
        <f>SUM(AB146:AB160)</f>
        <v>1063.8956599999999</v>
      </c>
      <c r="AC162" s="191"/>
      <c r="AD162" s="191"/>
      <c r="AE162" s="186" t="s">
        <v>44</v>
      </c>
      <c r="AF162" s="195">
        <f>+D107</f>
        <v>5000</v>
      </c>
      <c r="AG162" s="195">
        <f>+E107</f>
        <v>5000</v>
      </c>
      <c r="AH162" s="165">
        <f>+F107</f>
        <v>0</v>
      </c>
      <c r="AI162" s="195">
        <f>+AG162+AH162</f>
        <v>5000</v>
      </c>
      <c r="AJ162" s="165" t="e">
        <f>L111+L121+L141+L160+L166</f>
        <v>#VALUE!</v>
      </c>
      <c r="AK162" s="195" t="e">
        <f>+AI162+AJ162</f>
        <v>#VALUE!</v>
      </c>
      <c r="AL162" s="195">
        <f>+O107</f>
        <v>0</v>
      </c>
      <c r="AM162" s="195">
        <f>+P107</f>
        <v>0</v>
      </c>
      <c r="AN162" s="195">
        <f>+AL162+AM162</f>
        <v>0</v>
      </c>
      <c r="AO162" s="195">
        <f>+V107</f>
        <v>0</v>
      </c>
      <c r="AP162" s="195">
        <f>+AN162+AO162</f>
        <v>0</v>
      </c>
      <c r="AQ162" s="195">
        <f>+AI162+AN162</f>
        <v>5000</v>
      </c>
      <c r="AR162" s="195">
        <f>+AF162-AQ162</f>
        <v>0</v>
      </c>
      <c r="AS162" s="195" t="e">
        <f>SUM(AS140:AS161)</f>
        <v>#REF!</v>
      </c>
    </row>
    <row r="163" spans="1:45" x14ac:dyDescent="0.2">
      <c r="A163" s="180"/>
      <c r="D163" s="182" t="s">
        <v>40</v>
      </c>
      <c r="E163" s="182" t="s">
        <v>40</v>
      </c>
      <c r="F163" s="182" t="s">
        <v>40</v>
      </c>
      <c r="G163" s="182"/>
      <c r="H163" s="182" t="s">
        <v>40</v>
      </c>
      <c r="I163" s="182" t="s">
        <v>40</v>
      </c>
      <c r="J163" s="182" t="s">
        <v>40</v>
      </c>
      <c r="K163" s="182" t="s">
        <v>40</v>
      </c>
      <c r="L163" s="182" t="s">
        <v>40</v>
      </c>
      <c r="M163" s="182"/>
      <c r="N163" s="182" t="s">
        <v>40</v>
      </c>
      <c r="O163" s="182" t="s">
        <v>40</v>
      </c>
      <c r="P163" s="182" t="s">
        <v>40</v>
      </c>
      <c r="Q163" s="182"/>
      <c r="R163" s="182" t="s">
        <v>40</v>
      </c>
      <c r="S163" s="182" t="s">
        <v>40</v>
      </c>
      <c r="T163" s="182" t="s">
        <v>40</v>
      </c>
      <c r="U163" s="182" t="s">
        <v>40</v>
      </c>
      <c r="V163" s="182" t="s">
        <v>40</v>
      </c>
      <c r="W163" s="182"/>
      <c r="X163" s="182" t="s">
        <v>40</v>
      </c>
      <c r="Y163" s="182" t="s">
        <v>40</v>
      </c>
      <c r="Z163" s="182" t="s">
        <v>40</v>
      </c>
      <c r="AA163" s="182" t="s">
        <v>40</v>
      </c>
      <c r="AB163" s="201" t="s">
        <v>165</v>
      </c>
      <c r="AC163" s="201"/>
      <c r="AD163" s="201"/>
      <c r="AE163" s="186" t="s">
        <v>261</v>
      </c>
      <c r="AF163" s="195">
        <f t="shared" ref="AF163:AR163" si="30">SUM(AF141:AF162)</f>
        <v>279979.96027000004</v>
      </c>
      <c r="AG163" s="195">
        <f t="shared" si="30"/>
        <v>101413.15213999999</v>
      </c>
      <c r="AH163" s="195">
        <f t="shared" si="30"/>
        <v>4000</v>
      </c>
      <c r="AI163" s="195">
        <f t="shared" si="30"/>
        <v>105413.15213999999</v>
      </c>
      <c r="AJ163" s="165" t="e">
        <f t="shared" si="30"/>
        <v>#REF!</v>
      </c>
      <c r="AK163" s="165" t="e">
        <f t="shared" si="30"/>
        <v>#REF!</v>
      </c>
      <c r="AL163" s="195">
        <f t="shared" si="30"/>
        <v>48290.838079999994</v>
      </c>
      <c r="AM163" s="165">
        <f t="shared" si="30"/>
        <v>0</v>
      </c>
      <c r="AN163" s="165">
        <f t="shared" si="30"/>
        <v>48290.838079999994</v>
      </c>
      <c r="AO163" s="165">
        <f t="shared" si="30"/>
        <v>0</v>
      </c>
      <c r="AP163" s="165">
        <f t="shared" si="30"/>
        <v>48290.838079999994</v>
      </c>
      <c r="AQ163" s="165">
        <f t="shared" si="30"/>
        <v>153703.99021999998</v>
      </c>
      <c r="AR163" s="195">
        <f t="shared" si="30"/>
        <v>126275.97004999999</v>
      </c>
    </row>
    <row r="164" spans="1:45" x14ac:dyDescent="0.2">
      <c r="A164" s="180"/>
      <c r="B164" s="202" t="s">
        <v>3</v>
      </c>
      <c r="C164" s="202" t="s">
        <v>240</v>
      </c>
      <c r="D164" s="191">
        <f>D109+D120+D129+D143+D162</f>
        <v>522345.13544999994</v>
      </c>
      <c r="E164" s="191">
        <f>E109+E120+E129+E143+E162</f>
        <v>101413.15213999999</v>
      </c>
      <c r="F164" s="191">
        <f>F109+F120+F129+F143+F162</f>
        <v>4000</v>
      </c>
      <c r="G164" s="191"/>
      <c r="H164" s="191">
        <f>H109+H120+H129+H143+H162</f>
        <v>409064.14318000001</v>
      </c>
      <c r="I164" s="191">
        <f>I109+I120+I129+I143+I162</f>
        <v>0</v>
      </c>
      <c r="J164" s="191">
        <f>J109+J120+J129+J143+J162</f>
        <v>0</v>
      </c>
      <c r="K164" s="191">
        <f>K109+K120+K129+K143+K162</f>
        <v>0</v>
      </c>
      <c r="L164" s="191">
        <f>L109+L120+L129+L143+L162</f>
        <v>0</v>
      </c>
      <c r="M164" s="191"/>
      <c r="N164" s="191">
        <f>N109+N120+N129+N143+N162</f>
        <v>105413.15213999999</v>
      </c>
      <c r="O164" s="191">
        <f>O109+O120+O129+O143+O162</f>
        <v>48290.838080000001</v>
      </c>
      <c r="P164" s="191">
        <f>P109+P120+P129+P143+P162</f>
        <v>0</v>
      </c>
      <c r="Q164" s="191"/>
      <c r="R164" s="191">
        <f>R109+R120+R129+R143+R162</f>
        <v>48388.053000000007</v>
      </c>
      <c r="S164" s="191">
        <f>S109+S120+S129+S143+S162</f>
        <v>0</v>
      </c>
      <c r="T164" s="191">
        <f>T109+T120+T129+T143+T162</f>
        <v>0</v>
      </c>
      <c r="U164" s="191">
        <f>U109+U120+U129+U143+U162</f>
        <v>0</v>
      </c>
      <c r="V164" s="191">
        <f>V109+V120+V129+V143+V162</f>
        <v>0</v>
      </c>
      <c r="W164" s="191"/>
      <c r="X164" s="191">
        <f>X109+X120+X129+X143+X162</f>
        <v>48290.838080000001</v>
      </c>
      <c r="Y164" s="191">
        <f>Y109+Y120+Y129+Y143+Y162</f>
        <v>457452.19617999997</v>
      </c>
      <c r="Z164" s="191">
        <f>Z109+Z120+Z129+Z143+Z162</f>
        <v>64892.939269999995</v>
      </c>
      <c r="AA164" s="191">
        <f>AA109+AA120+AA129+AA143+AA162</f>
        <v>86276.087770000013</v>
      </c>
      <c r="AB164" s="191">
        <f>AB109+AB120+AB129+AB143+AB162</f>
        <v>13895.97739</v>
      </c>
      <c r="AC164" s="191"/>
      <c r="AD164" s="191"/>
      <c r="AS164" s="195"/>
    </row>
    <row r="165" spans="1:45" x14ac:dyDescent="0.2">
      <c r="A165" s="180"/>
      <c r="D165" s="182" t="s">
        <v>50</v>
      </c>
      <c r="E165" s="182" t="s">
        <v>50</v>
      </c>
      <c r="F165" s="182" t="s">
        <v>50</v>
      </c>
      <c r="G165" s="182"/>
      <c r="H165" s="182" t="s">
        <v>50</v>
      </c>
      <c r="I165" s="182" t="s">
        <v>50</v>
      </c>
      <c r="J165" s="182" t="s">
        <v>50</v>
      </c>
      <c r="K165" s="182" t="s">
        <v>50</v>
      </c>
      <c r="L165" s="182" t="s">
        <v>50</v>
      </c>
      <c r="M165" s="182"/>
      <c r="N165" s="182" t="s">
        <v>50</v>
      </c>
      <c r="O165" s="182" t="s">
        <v>50</v>
      </c>
      <c r="P165" s="182" t="s">
        <v>50</v>
      </c>
      <c r="Q165" s="182"/>
      <c r="R165" s="182" t="s">
        <v>50</v>
      </c>
      <c r="S165" s="182" t="s">
        <v>50</v>
      </c>
      <c r="T165" s="182" t="s">
        <v>50</v>
      </c>
      <c r="U165" s="182" t="s">
        <v>50</v>
      </c>
      <c r="V165" s="182" t="s">
        <v>50</v>
      </c>
      <c r="W165" s="182"/>
      <c r="X165" s="182" t="s">
        <v>50</v>
      </c>
      <c r="Y165" s="182" t="s">
        <v>50</v>
      </c>
      <c r="Z165" s="182" t="s">
        <v>50</v>
      </c>
      <c r="AA165" s="182" t="s">
        <v>50</v>
      </c>
      <c r="AB165" s="182" t="s">
        <v>50</v>
      </c>
      <c r="AC165" s="182"/>
      <c r="AD165" s="182"/>
      <c r="AR165" s="195"/>
    </row>
    <row r="166" spans="1:45" ht="15.75" thickBot="1" x14ac:dyDescent="0.25">
      <c r="A166" s="180"/>
      <c r="C166" s="186"/>
      <c r="D166" s="191"/>
      <c r="E166" s="191"/>
      <c r="F166" s="203"/>
      <c r="G166" s="189"/>
      <c r="H166" s="188"/>
      <c r="I166" s="189"/>
      <c r="J166" s="189"/>
      <c r="K166" s="189"/>
      <c r="L166" s="188"/>
      <c r="M166" s="189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8" t="s">
        <v>451</v>
      </c>
      <c r="Z166" s="198"/>
      <c r="AA166" s="191"/>
      <c r="AB166" s="191"/>
      <c r="AC166" s="191"/>
      <c r="AD166" s="191"/>
    </row>
    <row r="167" spans="1:45" ht="15.75" thickTop="1" x14ac:dyDescent="0.2">
      <c r="A167" s="180"/>
      <c r="B167" s="165" t="s">
        <v>168</v>
      </c>
      <c r="D167" s="191"/>
      <c r="E167" s="191"/>
      <c r="F167" s="191"/>
      <c r="G167" s="191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</row>
    <row r="168" spans="1:45" x14ac:dyDescent="0.2">
      <c r="A168" s="180"/>
      <c r="B168" s="166"/>
      <c r="D168" s="191"/>
      <c r="E168" s="191"/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</row>
    <row r="169" spans="1:45" x14ac:dyDescent="0.2">
      <c r="A169" s="180">
        <v>12</v>
      </c>
      <c r="B169" s="166" t="s">
        <v>169</v>
      </c>
      <c r="C169" s="166" t="s">
        <v>35</v>
      </c>
      <c r="D169" s="181">
        <f>70417568.7/1000</f>
        <v>70417.568700000003</v>
      </c>
      <c r="E169" s="181">
        <f>TOBEPAID!E132/1000</f>
        <v>0</v>
      </c>
      <c r="F169" s="181">
        <f>TOBEPAID!F132/1000</f>
        <v>0</v>
      </c>
      <c r="G169" s="181">
        <f>TOBEPAID!G132/1000</f>
        <v>0</v>
      </c>
      <c r="H169" s="181">
        <f>70388013/1000</f>
        <v>70388.013000000006</v>
      </c>
      <c r="I169" s="181">
        <f>TOBEPAID!I132/1000</f>
        <v>0</v>
      </c>
      <c r="J169" s="181">
        <f>TOBEPAID!J132/1000</f>
        <v>0</v>
      </c>
      <c r="K169" s="181">
        <f>TOBEPAID!K132/1000</f>
        <v>0</v>
      </c>
      <c r="L169" s="181">
        <f>TOBEPAID!L132/1000</f>
        <v>0</v>
      </c>
      <c r="M169" s="181">
        <f>TOBEPAID!M132/1000</f>
        <v>0</v>
      </c>
      <c r="N169" s="181">
        <f>TOBEPAID!N132/1000</f>
        <v>0</v>
      </c>
      <c r="O169" s="181">
        <f>TOBEPAID!O132/1000</f>
        <v>0</v>
      </c>
      <c r="P169" s="181">
        <f>TOBEPAID!P132/1000</f>
        <v>0</v>
      </c>
      <c r="Q169" s="181">
        <f>TOBEPAID!Q132/1000</f>
        <v>0</v>
      </c>
      <c r="R169" s="181">
        <v>0</v>
      </c>
      <c r="S169" s="181">
        <f>TOBEPAID!S132/1000</f>
        <v>0</v>
      </c>
      <c r="T169" s="181">
        <f>TOBEPAID!T132/1000</f>
        <v>0</v>
      </c>
      <c r="U169" s="181">
        <f>TOBEPAID!U132/1000</f>
        <v>0</v>
      </c>
      <c r="V169" s="181">
        <f>TOBEPAID!V132/1000</f>
        <v>0</v>
      </c>
      <c r="W169" s="181">
        <f>TOBEPAID!W132/1000</f>
        <v>0</v>
      </c>
      <c r="X169" s="181">
        <f>TOBEPAID!X132/1000</f>
        <v>0</v>
      </c>
      <c r="Y169" s="181">
        <f>+H169+R169</f>
        <v>70388.013000000006</v>
      </c>
      <c r="Z169" s="181">
        <f t="shared" ref="Z169:Z181" si="31">+D169-Y169</f>
        <v>29.555699999997159</v>
      </c>
      <c r="AA169" s="181">
        <f>TOBEPAID!AA132/1000</f>
        <v>0</v>
      </c>
      <c r="AB169" s="181">
        <f>TOBEPAID!AB132/1000</f>
        <v>59793.042420000005</v>
      </c>
      <c r="AC169" s="181"/>
      <c r="AD169" s="181"/>
    </row>
    <row r="170" spans="1:45" x14ac:dyDescent="0.2">
      <c r="A170" s="180"/>
      <c r="B170" s="166"/>
      <c r="C170" s="166" t="s">
        <v>478</v>
      </c>
      <c r="D170" s="181">
        <f>209890000/1000</f>
        <v>209890</v>
      </c>
      <c r="E170" s="181"/>
      <c r="F170" s="181"/>
      <c r="G170" s="181"/>
      <c r="H170" s="170">
        <v>0</v>
      </c>
      <c r="I170" s="170"/>
      <c r="J170" s="170"/>
      <c r="K170" s="170"/>
      <c r="L170" s="170"/>
      <c r="M170" s="170"/>
      <c r="N170" s="170"/>
      <c r="O170" s="170"/>
      <c r="P170" s="170"/>
      <c r="Q170" s="170"/>
      <c r="R170" s="170">
        <v>0</v>
      </c>
      <c r="S170" s="170"/>
      <c r="T170" s="170"/>
      <c r="U170" s="170"/>
      <c r="V170" s="170"/>
      <c r="W170" s="170"/>
      <c r="X170" s="170"/>
      <c r="Y170" s="170">
        <f>+H170+R170</f>
        <v>0</v>
      </c>
      <c r="Z170" s="170">
        <f>+D170-Y170</f>
        <v>209890</v>
      </c>
      <c r="AA170" s="181"/>
      <c r="AB170" s="181"/>
      <c r="AC170" s="181"/>
      <c r="AD170" s="181"/>
    </row>
    <row r="171" spans="1:45" x14ac:dyDescent="0.2">
      <c r="A171" s="180"/>
      <c r="B171" s="166"/>
      <c r="C171" s="166" t="s">
        <v>461</v>
      </c>
      <c r="D171" s="181">
        <f>10000000/1000</f>
        <v>10000</v>
      </c>
      <c r="E171" s="181"/>
      <c r="F171" s="181"/>
      <c r="G171" s="181"/>
      <c r="H171" s="181">
        <f>10000000/1000</f>
        <v>10000</v>
      </c>
      <c r="I171" s="181"/>
      <c r="J171" s="181"/>
      <c r="K171" s="181"/>
      <c r="L171" s="181"/>
      <c r="M171" s="181"/>
      <c r="N171" s="181"/>
      <c r="O171" s="181"/>
      <c r="P171" s="181"/>
      <c r="Q171" s="181"/>
      <c r="R171" s="181">
        <v>0</v>
      </c>
      <c r="S171" s="181"/>
      <c r="T171" s="181"/>
      <c r="U171" s="181"/>
      <c r="V171" s="181"/>
      <c r="W171" s="181"/>
      <c r="X171" s="181"/>
      <c r="Y171" s="181">
        <f>+H171+R171</f>
        <v>10000</v>
      </c>
      <c r="Z171" s="181">
        <f t="shared" si="31"/>
        <v>0</v>
      </c>
      <c r="AA171" s="181"/>
      <c r="AB171" s="181"/>
      <c r="AC171" s="181"/>
      <c r="AD171" s="181"/>
    </row>
    <row r="172" spans="1:45" x14ac:dyDescent="0.2">
      <c r="A172" s="180"/>
      <c r="B172" s="166"/>
      <c r="C172" s="166" t="s">
        <v>468</v>
      </c>
      <c r="D172" s="181">
        <f>50000000/1000</f>
        <v>50000</v>
      </c>
      <c r="E172" s="181"/>
      <c r="F172" s="181"/>
      <c r="G172" s="181"/>
      <c r="H172" s="181">
        <f>50000000/1000</f>
        <v>50000</v>
      </c>
      <c r="I172" s="181"/>
      <c r="J172" s="181"/>
      <c r="K172" s="181"/>
      <c r="L172" s="181"/>
      <c r="M172" s="181"/>
      <c r="N172" s="181"/>
      <c r="O172" s="181"/>
      <c r="P172" s="181"/>
      <c r="Q172" s="181"/>
      <c r="R172" s="181">
        <v>0</v>
      </c>
      <c r="S172" s="181"/>
      <c r="T172" s="181"/>
      <c r="U172" s="181"/>
      <c r="V172" s="181"/>
      <c r="W172" s="181"/>
      <c r="X172" s="181"/>
      <c r="Y172" s="181">
        <f>+H172+R172</f>
        <v>50000</v>
      </c>
      <c r="Z172" s="181">
        <f>+D172-Y172</f>
        <v>0</v>
      </c>
      <c r="AA172" s="181"/>
      <c r="AB172" s="181"/>
      <c r="AC172" s="181"/>
      <c r="AD172" s="181"/>
    </row>
    <row r="173" spans="1:45" x14ac:dyDescent="0.2">
      <c r="A173" s="180"/>
      <c r="B173" s="204"/>
      <c r="C173" s="165" t="s">
        <v>36</v>
      </c>
      <c r="D173" s="181">
        <f>1838599/1000</f>
        <v>1838.5989999999999</v>
      </c>
      <c r="E173" s="181">
        <f>TOBEPAID!E133/1000</f>
        <v>1838.5989999999999</v>
      </c>
      <c r="F173" s="181">
        <f>TOBEPAID!F133/1000</f>
        <v>0</v>
      </c>
      <c r="G173" s="181">
        <f>TOBEPAID!G133/1000</f>
        <v>0</v>
      </c>
      <c r="H173" s="181">
        <f>1838599/1000</f>
        <v>1838.5989999999999</v>
      </c>
      <c r="I173" s="181">
        <f>TOBEPAID!I133/1000</f>
        <v>0</v>
      </c>
      <c r="J173" s="181">
        <f>TOBEPAID!J133/1000</f>
        <v>0</v>
      </c>
      <c r="K173" s="181">
        <f>TOBEPAID!K133/1000</f>
        <v>0</v>
      </c>
      <c r="L173" s="181">
        <f>TOBEPAID!L133/1000</f>
        <v>0</v>
      </c>
      <c r="M173" s="181">
        <f>TOBEPAID!M133/1000</f>
        <v>0</v>
      </c>
      <c r="N173" s="181">
        <f>TOBEPAID!N133/1000</f>
        <v>1838.5989999999999</v>
      </c>
      <c r="O173" s="181">
        <f>TOBEPAID!O133/1000</f>
        <v>0</v>
      </c>
      <c r="P173" s="181">
        <f>TOBEPAID!P133/1000</f>
        <v>0</v>
      </c>
      <c r="Q173" s="181">
        <f>TOBEPAID!Q133/1000</f>
        <v>0</v>
      </c>
      <c r="R173" s="181">
        <v>0</v>
      </c>
      <c r="S173" s="181">
        <f>TOBEPAID!S133/1000</f>
        <v>0</v>
      </c>
      <c r="T173" s="181">
        <f>TOBEPAID!T133/1000</f>
        <v>0</v>
      </c>
      <c r="U173" s="181">
        <f>TOBEPAID!U133/1000</f>
        <v>0</v>
      </c>
      <c r="V173" s="181">
        <f>TOBEPAID!V133/1000</f>
        <v>0</v>
      </c>
      <c r="W173" s="181">
        <f>TOBEPAID!W133/1000</f>
        <v>0</v>
      </c>
      <c r="X173" s="181">
        <f>TOBEPAID!X133/1000</f>
        <v>0</v>
      </c>
      <c r="Y173" s="181">
        <f t="shared" ref="Y173:Y181" si="32">+H173+R173</f>
        <v>1838.5989999999999</v>
      </c>
      <c r="Z173" s="181">
        <f t="shared" si="31"/>
        <v>0</v>
      </c>
      <c r="AA173" s="181">
        <f>TOBEPAID!AA133/1000</f>
        <v>0</v>
      </c>
      <c r="AB173" s="181">
        <f>TOBEPAID!AB133/1000</f>
        <v>0</v>
      </c>
      <c r="AC173" s="181"/>
      <c r="AD173" s="181"/>
    </row>
    <row r="174" spans="1:45" x14ac:dyDescent="0.2">
      <c r="C174" s="165" t="s">
        <v>298</v>
      </c>
      <c r="D174" s="181">
        <f>5389000/1000</f>
        <v>5389</v>
      </c>
      <c r="E174" s="181">
        <f>TOBEPAID!E134/1000</f>
        <v>5389</v>
      </c>
      <c r="F174" s="181">
        <f>TOBEPAID!F134/1000</f>
        <v>0</v>
      </c>
      <c r="G174" s="181">
        <f>TOBEPAID!G134/1000</f>
        <v>0</v>
      </c>
      <c r="H174" s="181">
        <f>5389000/1000</f>
        <v>5389</v>
      </c>
      <c r="I174" s="181">
        <f>TOBEPAID!I134/1000</f>
        <v>0</v>
      </c>
      <c r="J174" s="181">
        <f>TOBEPAID!J134/1000</f>
        <v>0</v>
      </c>
      <c r="K174" s="181">
        <f>TOBEPAID!K134/1000</f>
        <v>0</v>
      </c>
      <c r="L174" s="181">
        <f>TOBEPAID!L134/1000</f>
        <v>0</v>
      </c>
      <c r="M174" s="181">
        <f>TOBEPAID!M134/1000</f>
        <v>0</v>
      </c>
      <c r="N174" s="181">
        <f>TOBEPAID!N134/1000</f>
        <v>5389</v>
      </c>
      <c r="O174" s="181">
        <f>TOBEPAID!O134/1000</f>
        <v>0</v>
      </c>
      <c r="P174" s="181">
        <f>TOBEPAID!P134/1000</f>
        <v>0</v>
      </c>
      <c r="Q174" s="181">
        <f>TOBEPAID!Q134/1000</f>
        <v>0</v>
      </c>
      <c r="R174" s="181">
        <v>0</v>
      </c>
      <c r="S174" s="181">
        <f>TOBEPAID!S134/1000</f>
        <v>0</v>
      </c>
      <c r="T174" s="181">
        <f>TOBEPAID!T134/1000</f>
        <v>0</v>
      </c>
      <c r="U174" s="181">
        <f>TOBEPAID!U134/1000</f>
        <v>0</v>
      </c>
      <c r="V174" s="181">
        <f>TOBEPAID!V134/1000</f>
        <v>0</v>
      </c>
      <c r="W174" s="181">
        <f>TOBEPAID!W134/1000</f>
        <v>0</v>
      </c>
      <c r="X174" s="181">
        <f>TOBEPAID!X134/1000</f>
        <v>0</v>
      </c>
      <c r="Y174" s="181">
        <f t="shared" si="32"/>
        <v>5389</v>
      </c>
      <c r="Z174" s="181">
        <f t="shared" si="31"/>
        <v>0</v>
      </c>
      <c r="AA174" s="181">
        <f>TOBEPAID!AA134/1000</f>
        <v>0</v>
      </c>
      <c r="AB174" s="181">
        <f>TOBEPAID!AB134/1000</f>
        <v>0</v>
      </c>
      <c r="AC174" s="181"/>
      <c r="AD174" s="181"/>
    </row>
    <row r="175" spans="1:45" x14ac:dyDescent="0.2">
      <c r="C175" s="165" t="s">
        <v>290</v>
      </c>
      <c r="D175" s="181">
        <f>540000000/1000</f>
        <v>540000</v>
      </c>
      <c r="E175" s="181">
        <f>TOBEPAID!E135/1000</f>
        <v>150000</v>
      </c>
      <c r="F175" s="181">
        <f>TOBEPAID!F135/1000</f>
        <v>30000</v>
      </c>
      <c r="G175" s="181">
        <f>TOBEPAID!G135/1000</f>
        <v>0</v>
      </c>
      <c r="H175" s="181">
        <f>540000000/1000</f>
        <v>540000</v>
      </c>
      <c r="I175" s="181">
        <f>TOBEPAID!I135/1000</f>
        <v>0</v>
      </c>
      <c r="J175" s="181">
        <f>TOBEPAID!J135/1000</f>
        <v>0</v>
      </c>
      <c r="K175" s="181">
        <f>TOBEPAID!K135/1000</f>
        <v>0</v>
      </c>
      <c r="L175" s="181">
        <f>TOBEPAID!L135/1000</f>
        <v>0</v>
      </c>
      <c r="M175" s="181">
        <f>TOBEPAID!M135/1000</f>
        <v>0</v>
      </c>
      <c r="N175" s="181">
        <f>TOBEPAID!N135/1000</f>
        <v>180000</v>
      </c>
      <c r="O175" s="181">
        <f>TOBEPAID!O135/1000</f>
        <v>0</v>
      </c>
      <c r="P175" s="181">
        <f>TOBEPAID!P135/1000</f>
        <v>0</v>
      </c>
      <c r="Q175" s="181">
        <f>TOBEPAID!Q135/1000</f>
        <v>0</v>
      </c>
      <c r="R175" s="181">
        <v>0</v>
      </c>
      <c r="S175" s="181">
        <f>TOBEPAID!S135/1000</f>
        <v>0</v>
      </c>
      <c r="T175" s="181">
        <f>TOBEPAID!T135/1000</f>
        <v>0</v>
      </c>
      <c r="U175" s="181">
        <f>TOBEPAID!U135/1000</f>
        <v>0</v>
      </c>
      <c r="V175" s="181">
        <f>TOBEPAID!V135/1000</f>
        <v>0</v>
      </c>
      <c r="W175" s="181">
        <f>TOBEPAID!W135/1000</f>
        <v>0</v>
      </c>
      <c r="X175" s="181">
        <f>TOBEPAID!X135/1000</f>
        <v>0</v>
      </c>
      <c r="Y175" s="181">
        <f t="shared" si="32"/>
        <v>540000</v>
      </c>
      <c r="Z175" s="181">
        <f t="shared" si="31"/>
        <v>0</v>
      </c>
      <c r="AA175" s="181">
        <f>TOBEPAID!AA135/1000</f>
        <v>0</v>
      </c>
      <c r="AB175" s="181">
        <f>TOBEPAID!AB135/1000</f>
        <v>0</v>
      </c>
      <c r="AC175" s="181"/>
      <c r="AD175" s="181"/>
    </row>
    <row r="176" spans="1:45" x14ac:dyDescent="0.2">
      <c r="C176" s="165" t="s">
        <v>437</v>
      </c>
      <c r="D176" s="181">
        <f>11500000/1000</f>
        <v>11500</v>
      </c>
      <c r="E176" s="181"/>
      <c r="F176" s="181"/>
      <c r="G176" s="181"/>
      <c r="H176" s="181">
        <f>11500000/1000</f>
        <v>11500</v>
      </c>
      <c r="I176" s="181"/>
      <c r="J176" s="181"/>
      <c r="K176" s="181"/>
      <c r="L176" s="181"/>
      <c r="M176" s="181"/>
      <c r="N176" s="181"/>
      <c r="O176" s="181"/>
      <c r="P176" s="181"/>
      <c r="Q176" s="181"/>
      <c r="R176" s="181">
        <v>0</v>
      </c>
      <c r="S176" s="181"/>
      <c r="T176" s="181"/>
      <c r="U176" s="181"/>
      <c r="V176" s="181"/>
      <c r="W176" s="181"/>
      <c r="X176" s="181"/>
      <c r="Y176" s="181">
        <f t="shared" si="32"/>
        <v>11500</v>
      </c>
      <c r="Z176" s="181">
        <f t="shared" si="31"/>
        <v>0</v>
      </c>
      <c r="AA176" s="181"/>
      <c r="AB176" s="181"/>
      <c r="AC176" s="181"/>
      <c r="AD176" s="181"/>
    </row>
    <row r="177" spans="1:30" x14ac:dyDescent="0.2">
      <c r="C177" s="165" t="s">
        <v>425</v>
      </c>
      <c r="D177" s="181">
        <f>1456000000/1000</f>
        <v>1456000</v>
      </c>
      <c r="E177" s="181"/>
      <c r="F177" s="181"/>
      <c r="G177" s="181"/>
      <c r="H177" s="181">
        <f>1456000000/1000</f>
        <v>1456000</v>
      </c>
      <c r="I177" s="181"/>
      <c r="J177" s="181"/>
      <c r="K177" s="181"/>
      <c r="L177" s="181"/>
      <c r="M177" s="181"/>
      <c r="N177" s="181"/>
      <c r="O177" s="181"/>
      <c r="P177" s="181"/>
      <c r="Q177" s="181"/>
      <c r="R177" s="181">
        <v>0</v>
      </c>
      <c r="S177" s="181"/>
      <c r="T177" s="181"/>
      <c r="U177" s="181"/>
      <c r="V177" s="181"/>
      <c r="W177" s="181"/>
      <c r="X177" s="181"/>
      <c r="Y177" s="181">
        <f t="shared" si="32"/>
        <v>1456000</v>
      </c>
      <c r="Z177" s="181">
        <f t="shared" si="31"/>
        <v>0</v>
      </c>
      <c r="AA177" s="181"/>
      <c r="AB177" s="181"/>
      <c r="AC177" s="181"/>
      <c r="AD177" s="181"/>
    </row>
    <row r="178" spans="1:30" x14ac:dyDescent="0.2">
      <c r="C178" s="165" t="s">
        <v>434</v>
      </c>
      <c r="D178" s="181">
        <f>11588386/1000</f>
        <v>11588.386</v>
      </c>
      <c r="E178" s="181"/>
      <c r="F178" s="181"/>
      <c r="G178" s="181"/>
      <c r="H178" s="181">
        <f>11588386/1000</f>
        <v>11588.386</v>
      </c>
      <c r="I178" s="181"/>
      <c r="J178" s="181"/>
      <c r="K178" s="181"/>
      <c r="L178" s="181"/>
      <c r="M178" s="181"/>
      <c r="N178" s="181"/>
      <c r="O178" s="181"/>
      <c r="P178" s="181"/>
      <c r="Q178" s="181"/>
      <c r="R178" s="181">
        <v>0</v>
      </c>
      <c r="S178" s="181"/>
      <c r="T178" s="181"/>
      <c r="U178" s="181"/>
      <c r="V178" s="181"/>
      <c r="W178" s="181"/>
      <c r="X178" s="181"/>
      <c r="Y178" s="181">
        <f t="shared" si="32"/>
        <v>11588.386</v>
      </c>
      <c r="Z178" s="181">
        <f t="shared" si="31"/>
        <v>0</v>
      </c>
      <c r="AA178" s="181"/>
      <c r="AB178" s="181"/>
      <c r="AC178" s="181"/>
      <c r="AD178" s="181"/>
    </row>
    <row r="179" spans="1:30" x14ac:dyDescent="0.2">
      <c r="A179" s="180"/>
      <c r="B179" s="204"/>
      <c r="C179" s="165" t="s">
        <v>53</v>
      </c>
      <c r="D179" s="181">
        <f>19255035/1000</f>
        <v>19255.035</v>
      </c>
      <c r="E179" s="181">
        <f>TOBEPAID!E136/1000</f>
        <v>0</v>
      </c>
      <c r="F179" s="181">
        <f>TOBEPAID!F136/1000</f>
        <v>0</v>
      </c>
      <c r="G179" s="181">
        <f>TOBEPAID!G136/1000</f>
        <v>0</v>
      </c>
      <c r="H179" s="181">
        <v>0</v>
      </c>
      <c r="I179" s="181">
        <f>TOBEPAID!I136/1000</f>
        <v>0</v>
      </c>
      <c r="J179" s="181">
        <f>TOBEPAID!J136/1000</f>
        <v>0</v>
      </c>
      <c r="K179" s="181">
        <f>TOBEPAID!K136/1000</f>
        <v>0</v>
      </c>
      <c r="L179" s="181">
        <f>TOBEPAID!L136/1000</f>
        <v>0</v>
      </c>
      <c r="M179" s="181">
        <f>TOBEPAID!M136/1000</f>
        <v>0</v>
      </c>
      <c r="N179" s="181">
        <f>TOBEPAID!N136/1000</f>
        <v>0</v>
      </c>
      <c r="O179" s="181">
        <f>TOBEPAID!O136/1000</f>
        <v>19255.03587</v>
      </c>
      <c r="P179" s="181">
        <f>TOBEPAID!P136/1000</f>
        <v>0</v>
      </c>
      <c r="Q179" s="181">
        <f>TOBEPAID!Q136/1000</f>
        <v>0</v>
      </c>
      <c r="R179" s="181">
        <f>19255035/1000</f>
        <v>19255.035</v>
      </c>
      <c r="S179" s="181">
        <f>TOBEPAID!S136/1000</f>
        <v>0</v>
      </c>
      <c r="T179" s="181">
        <f>TOBEPAID!T136/1000</f>
        <v>0</v>
      </c>
      <c r="U179" s="181">
        <f>TOBEPAID!U136/1000</f>
        <v>0</v>
      </c>
      <c r="V179" s="181">
        <f>TOBEPAID!V136/1000</f>
        <v>0</v>
      </c>
      <c r="W179" s="181">
        <f>TOBEPAID!W136/1000</f>
        <v>0</v>
      </c>
      <c r="X179" s="181">
        <f>TOBEPAID!X136/1000</f>
        <v>19255.03587</v>
      </c>
      <c r="Y179" s="181">
        <f t="shared" si="32"/>
        <v>19255.035</v>
      </c>
      <c r="Z179" s="181">
        <f t="shared" si="31"/>
        <v>0</v>
      </c>
      <c r="AA179" s="181">
        <f>TOBEPAID!AA136/1000</f>
        <v>0</v>
      </c>
      <c r="AB179" s="181">
        <f>TOBEPAID!AB136/1000</f>
        <v>0</v>
      </c>
      <c r="AC179" s="181"/>
      <c r="AD179" s="181"/>
    </row>
    <row r="180" spans="1:30" x14ac:dyDescent="0.2">
      <c r="A180" s="180"/>
      <c r="B180" s="204"/>
      <c r="C180" s="165" t="s">
        <v>38</v>
      </c>
      <c r="D180" s="181">
        <v>0</v>
      </c>
      <c r="E180" s="181">
        <f>TOBEPAID!E137/1000</f>
        <v>0</v>
      </c>
      <c r="F180" s="181">
        <f>TOBEPAID!F137/1000</f>
        <v>0</v>
      </c>
      <c r="G180" s="181">
        <f>TOBEPAID!G137/1000</f>
        <v>0</v>
      </c>
      <c r="H180" s="181">
        <v>0</v>
      </c>
      <c r="I180" s="181">
        <f>TOBEPAID!I137/1000</f>
        <v>0</v>
      </c>
      <c r="J180" s="181">
        <f>TOBEPAID!J137/1000</f>
        <v>0</v>
      </c>
      <c r="K180" s="181">
        <f>TOBEPAID!K137/1000</f>
        <v>0</v>
      </c>
      <c r="L180" s="181">
        <f>TOBEPAID!L137/1000</f>
        <v>0</v>
      </c>
      <c r="M180" s="181">
        <f>TOBEPAID!M137/1000</f>
        <v>0</v>
      </c>
      <c r="N180" s="181">
        <f>TOBEPAID!N137/1000</f>
        <v>0</v>
      </c>
      <c r="O180" s="181">
        <f>TOBEPAID!O137/1000</f>
        <v>0</v>
      </c>
      <c r="P180" s="181">
        <f>TOBEPAID!P137/1000</f>
        <v>0</v>
      </c>
      <c r="Q180" s="181">
        <f>TOBEPAID!Q137/1000</f>
        <v>0</v>
      </c>
      <c r="R180" s="181">
        <v>0</v>
      </c>
      <c r="S180" s="181">
        <f>TOBEPAID!S137/1000</f>
        <v>0</v>
      </c>
      <c r="T180" s="181">
        <f>TOBEPAID!T137/1000</f>
        <v>0</v>
      </c>
      <c r="U180" s="181">
        <f>TOBEPAID!U137/1000</f>
        <v>0</v>
      </c>
      <c r="V180" s="181">
        <f>TOBEPAID!V137/1000</f>
        <v>0</v>
      </c>
      <c r="W180" s="181">
        <f>TOBEPAID!W137/1000</f>
        <v>0</v>
      </c>
      <c r="X180" s="181">
        <f>TOBEPAID!X137/1000</f>
        <v>0</v>
      </c>
      <c r="Y180" s="181">
        <f t="shared" si="32"/>
        <v>0</v>
      </c>
      <c r="Z180" s="181">
        <f t="shared" si="31"/>
        <v>0</v>
      </c>
      <c r="AA180" s="181">
        <f>TOBEPAID!AA137/1000</f>
        <v>0</v>
      </c>
      <c r="AB180" s="181">
        <f>TOBEPAID!AB137/1000</f>
        <v>7373</v>
      </c>
      <c r="AC180" s="181"/>
      <c r="AD180" s="181"/>
    </row>
    <row r="181" spans="1:30" x14ac:dyDescent="0.2">
      <c r="A181" s="180"/>
      <c r="B181" s="204"/>
      <c r="C181" s="165" t="s">
        <v>54</v>
      </c>
      <c r="D181" s="181">
        <v>0</v>
      </c>
      <c r="E181" s="181">
        <f>TOBEPAID!E138/1000</f>
        <v>0</v>
      </c>
      <c r="F181" s="181">
        <f>TOBEPAID!F138/1000</f>
        <v>0</v>
      </c>
      <c r="G181" s="181">
        <f>TOBEPAID!G138/1000</f>
        <v>0</v>
      </c>
      <c r="H181" s="181">
        <v>0</v>
      </c>
      <c r="I181" s="181">
        <f>TOBEPAID!I138/1000</f>
        <v>0</v>
      </c>
      <c r="J181" s="181">
        <f>TOBEPAID!J138/1000</f>
        <v>0</v>
      </c>
      <c r="K181" s="181">
        <f>TOBEPAID!K138/1000</f>
        <v>0</v>
      </c>
      <c r="L181" s="181">
        <f>TOBEPAID!L138/1000</f>
        <v>0</v>
      </c>
      <c r="M181" s="181">
        <f>TOBEPAID!M138/1000</f>
        <v>0</v>
      </c>
      <c r="N181" s="181">
        <f>TOBEPAID!N138/1000</f>
        <v>0</v>
      </c>
      <c r="O181" s="181">
        <f>TOBEPAID!O138/1000</f>
        <v>0</v>
      </c>
      <c r="P181" s="181">
        <f>TOBEPAID!P138/1000</f>
        <v>0</v>
      </c>
      <c r="Q181" s="181">
        <f>TOBEPAID!Q138/1000</f>
        <v>0</v>
      </c>
      <c r="R181" s="181">
        <v>0</v>
      </c>
      <c r="S181" s="181">
        <f>TOBEPAID!S138/1000</f>
        <v>0</v>
      </c>
      <c r="T181" s="181">
        <f>TOBEPAID!T138/1000</f>
        <v>0</v>
      </c>
      <c r="U181" s="181">
        <f>TOBEPAID!U138/1000</f>
        <v>0</v>
      </c>
      <c r="V181" s="181">
        <f>TOBEPAID!V138/1000</f>
        <v>0</v>
      </c>
      <c r="W181" s="181">
        <f>TOBEPAID!W138/1000</f>
        <v>0</v>
      </c>
      <c r="X181" s="181">
        <f>TOBEPAID!X138/1000</f>
        <v>0</v>
      </c>
      <c r="Y181" s="181">
        <f t="shared" si="32"/>
        <v>0</v>
      </c>
      <c r="Z181" s="181">
        <f t="shared" si="31"/>
        <v>0</v>
      </c>
      <c r="AA181" s="181">
        <f>TOBEPAID!AA138/1000</f>
        <v>0</v>
      </c>
      <c r="AB181" s="181">
        <f>TOBEPAID!AB138/1000</f>
        <v>3251.5262799999996</v>
      </c>
      <c r="AC181" s="181"/>
      <c r="AD181" s="181"/>
    </row>
    <row r="182" spans="1:30" x14ac:dyDescent="0.2">
      <c r="A182" s="180"/>
      <c r="D182" s="182" t="s">
        <v>40</v>
      </c>
      <c r="E182" s="182" t="s">
        <v>40</v>
      </c>
      <c r="F182" s="182" t="s">
        <v>40</v>
      </c>
      <c r="G182" s="182"/>
      <c r="H182" s="182" t="s">
        <v>40</v>
      </c>
      <c r="I182" s="182" t="s">
        <v>40</v>
      </c>
      <c r="J182" s="182" t="s">
        <v>40</v>
      </c>
      <c r="K182" s="182" t="s">
        <v>40</v>
      </c>
      <c r="L182" s="182" t="s">
        <v>40</v>
      </c>
      <c r="M182" s="182"/>
      <c r="N182" s="182" t="s">
        <v>40</v>
      </c>
      <c r="O182" s="182" t="s">
        <v>40</v>
      </c>
      <c r="P182" s="182" t="s">
        <v>40</v>
      </c>
      <c r="Q182" s="182"/>
      <c r="R182" s="182" t="s">
        <v>40</v>
      </c>
      <c r="S182" s="182" t="s">
        <v>40</v>
      </c>
      <c r="T182" s="182" t="s">
        <v>40</v>
      </c>
      <c r="U182" s="182" t="s">
        <v>40</v>
      </c>
      <c r="V182" s="182" t="s">
        <v>40</v>
      </c>
      <c r="W182" s="182"/>
      <c r="X182" s="182" t="s">
        <v>40</v>
      </c>
      <c r="Y182" s="182" t="s">
        <v>40</v>
      </c>
      <c r="Z182" s="182" t="s">
        <v>40</v>
      </c>
      <c r="AA182" s="182" t="s">
        <v>40</v>
      </c>
      <c r="AB182" s="201" t="s">
        <v>165</v>
      </c>
      <c r="AC182" s="201"/>
      <c r="AD182" s="201"/>
    </row>
    <row r="183" spans="1:30" x14ac:dyDescent="0.2">
      <c r="A183" s="180"/>
      <c r="D183" s="181">
        <f>SUM(D169:D181)</f>
        <v>2385878.5887000002</v>
      </c>
      <c r="E183" s="181">
        <f>SUM(E169:E181)</f>
        <v>157227.59899999999</v>
      </c>
      <c r="F183" s="181">
        <f>SUM(F169:F181)</f>
        <v>30000</v>
      </c>
      <c r="G183" s="181"/>
      <c r="H183" s="181">
        <f>SUM(H169:H181)</f>
        <v>2156703.9979999997</v>
      </c>
      <c r="I183" s="181">
        <f>SUM(I169:I181)</f>
        <v>0</v>
      </c>
      <c r="J183" s="181">
        <f>SUM(J169:J181)</f>
        <v>0</v>
      </c>
      <c r="K183" s="181">
        <f>SUM(K169:K181)</f>
        <v>0</v>
      </c>
      <c r="L183" s="181">
        <f>SUM(L169:L181)</f>
        <v>0</v>
      </c>
      <c r="M183" s="181"/>
      <c r="N183" s="181">
        <f>SUM(N169:N181)</f>
        <v>187227.59899999999</v>
      </c>
      <c r="O183" s="181">
        <f>SUM(O169:O181)</f>
        <v>19255.03587</v>
      </c>
      <c r="P183" s="181">
        <f>SUM(P169:P181)</f>
        <v>0</v>
      </c>
      <c r="Q183" s="181"/>
      <c r="R183" s="181">
        <f>SUM(R169:R181)</f>
        <v>19255.035</v>
      </c>
      <c r="S183" s="181">
        <f>SUM(S169:S181)</f>
        <v>0</v>
      </c>
      <c r="T183" s="181">
        <f>SUM(T169:T181)</f>
        <v>0</v>
      </c>
      <c r="U183" s="181">
        <f>SUM(U169:U181)</f>
        <v>0</v>
      </c>
      <c r="V183" s="181">
        <f>SUM(V169:V181)</f>
        <v>0</v>
      </c>
      <c r="W183" s="181"/>
      <c r="X183" s="181">
        <f>SUM(X169:X181)</f>
        <v>19255.03587</v>
      </c>
      <c r="Y183" s="181">
        <f>SUM(Y169:Y181)</f>
        <v>2175959.0329999998</v>
      </c>
      <c r="Z183" s="181">
        <f>SUM(Z169:Z181)</f>
        <v>209919.5557</v>
      </c>
      <c r="AA183" s="181">
        <f>SUM(AA169:AA181)</f>
        <v>0</v>
      </c>
      <c r="AB183" s="181">
        <f>SUM(AB169:AB181)</f>
        <v>70417.568700000018</v>
      </c>
      <c r="AC183" s="181"/>
      <c r="AD183" s="181"/>
    </row>
    <row r="184" spans="1:30" x14ac:dyDescent="0.2">
      <c r="A184" s="180"/>
      <c r="D184" s="182" t="s">
        <v>40</v>
      </c>
      <c r="E184" s="182" t="s">
        <v>40</v>
      </c>
      <c r="F184" s="182" t="s">
        <v>40</v>
      </c>
      <c r="G184" s="182"/>
      <c r="H184" s="182" t="s">
        <v>40</v>
      </c>
      <c r="I184" s="182" t="s">
        <v>40</v>
      </c>
      <c r="J184" s="182" t="s">
        <v>40</v>
      </c>
      <c r="K184" s="182" t="s">
        <v>40</v>
      </c>
      <c r="L184" s="182" t="s">
        <v>40</v>
      </c>
      <c r="M184" s="182"/>
      <c r="N184" s="182" t="s">
        <v>40</v>
      </c>
      <c r="O184" s="182" t="s">
        <v>40</v>
      </c>
      <c r="P184" s="182" t="s">
        <v>40</v>
      </c>
      <c r="Q184" s="182"/>
      <c r="R184" s="182" t="s">
        <v>40</v>
      </c>
      <c r="S184" s="182" t="s">
        <v>40</v>
      </c>
      <c r="T184" s="182" t="s">
        <v>40</v>
      </c>
      <c r="U184" s="182" t="s">
        <v>40</v>
      </c>
      <c r="V184" s="182" t="s">
        <v>40</v>
      </c>
      <c r="W184" s="182"/>
      <c r="X184" s="182" t="s">
        <v>40</v>
      </c>
      <c r="Y184" s="182" t="s">
        <v>40</v>
      </c>
      <c r="Z184" s="182" t="s">
        <v>40</v>
      </c>
      <c r="AA184" s="182" t="s">
        <v>40</v>
      </c>
      <c r="AB184" s="201" t="s">
        <v>165</v>
      </c>
      <c r="AC184" s="201"/>
      <c r="AD184" s="201"/>
    </row>
    <row r="185" spans="1:30" x14ac:dyDescent="0.2">
      <c r="A185" s="180"/>
      <c r="B185" s="166"/>
      <c r="C185" s="172"/>
      <c r="D185" s="191"/>
      <c r="E185" s="191"/>
      <c r="F185" s="181"/>
      <c r="G185" s="181"/>
      <c r="H185" s="181"/>
      <c r="I185" s="181"/>
      <c r="J185" s="191"/>
      <c r="K185" s="191"/>
      <c r="L185" s="181"/>
      <c r="M185" s="181"/>
      <c r="N185" s="191"/>
      <c r="O185" s="181"/>
      <c r="P185" s="181"/>
      <c r="Q185" s="181"/>
      <c r="R185" s="191"/>
      <c r="S185" s="181"/>
      <c r="T185" s="181"/>
      <c r="U185" s="191"/>
      <c r="V185" s="191"/>
      <c r="W185" s="191"/>
      <c r="X185" s="191"/>
      <c r="Y185" s="205"/>
      <c r="Z185" s="191"/>
      <c r="AA185" s="191"/>
      <c r="AB185" s="205"/>
      <c r="AC185" s="205"/>
      <c r="AD185" s="205"/>
    </row>
    <row r="186" spans="1:30" x14ac:dyDescent="0.2">
      <c r="A186" s="180">
        <v>13</v>
      </c>
      <c r="B186" s="166" t="s">
        <v>170</v>
      </c>
      <c r="C186" s="166" t="s">
        <v>35</v>
      </c>
      <c r="D186" s="181">
        <f>32499718.37/1000</f>
        <v>32499.718370000002</v>
      </c>
      <c r="E186" s="181">
        <f>TOBEPAID!E143/1000</f>
        <v>0</v>
      </c>
      <c r="F186" s="181">
        <f>TOBEPAID!F143/1000</f>
        <v>0</v>
      </c>
      <c r="G186" s="181">
        <f>TOBEPAID!G143/1000</f>
        <v>0</v>
      </c>
      <c r="H186" s="181">
        <f>32499000/1000</f>
        <v>32499</v>
      </c>
      <c r="I186" s="181">
        <f>TOBEPAID!I143/1000</f>
        <v>0</v>
      </c>
      <c r="J186" s="181">
        <f>TOBEPAID!J143/1000</f>
        <v>0</v>
      </c>
      <c r="K186" s="181">
        <f>TOBEPAID!K143/1000</f>
        <v>0</v>
      </c>
      <c r="L186" s="181">
        <f>TOBEPAID!L143/1000</f>
        <v>0</v>
      </c>
      <c r="M186" s="181">
        <f>TOBEPAID!M143/1000</f>
        <v>0</v>
      </c>
      <c r="N186" s="181">
        <f>TOBEPAID!N143/1000</f>
        <v>0</v>
      </c>
      <c r="O186" s="181">
        <f>TOBEPAID!O143/1000</f>
        <v>0</v>
      </c>
      <c r="P186" s="181">
        <f>TOBEPAID!P143/1000</f>
        <v>0</v>
      </c>
      <c r="Q186" s="181">
        <f>TOBEPAID!Q143/1000</f>
        <v>0</v>
      </c>
      <c r="R186" s="181">
        <v>0</v>
      </c>
      <c r="S186" s="181">
        <f>TOBEPAID!S143/1000</f>
        <v>0</v>
      </c>
      <c r="T186" s="181">
        <f>TOBEPAID!T143/1000</f>
        <v>0</v>
      </c>
      <c r="U186" s="181">
        <f>TOBEPAID!U143/1000</f>
        <v>0</v>
      </c>
      <c r="V186" s="181">
        <f>TOBEPAID!V143/1000</f>
        <v>0</v>
      </c>
      <c r="W186" s="181">
        <f>TOBEPAID!W143/1000</f>
        <v>0</v>
      </c>
      <c r="X186" s="181">
        <f>TOBEPAID!X143/1000</f>
        <v>0</v>
      </c>
      <c r="Y186" s="181">
        <f>+H186+R186</f>
        <v>32499</v>
      </c>
      <c r="Z186" s="181">
        <f t="shared" ref="Z186:Z201" si="33">+D186-Y186</f>
        <v>0.71837000000232365</v>
      </c>
      <c r="AA186" s="181">
        <f>TOBEPAID!AA143/1000</f>
        <v>0</v>
      </c>
      <c r="AB186" s="181">
        <f>TOBEPAID!AB143/1000</f>
        <v>25116.240760000001</v>
      </c>
      <c r="AC186" s="181"/>
      <c r="AD186" s="181"/>
    </row>
    <row r="187" spans="1:30" x14ac:dyDescent="0.2">
      <c r="A187" s="180"/>
      <c r="B187" s="166" t="s">
        <v>145</v>
      </c>
      <c r="C187" s="166" t="s">
        <v>461</v>
      </c>
      <c r="D187" s="181">
        <f>5200000/1000</f>
        <v>5200</v>
      </c>
      <c r="E187" s="181"/>
      <c r="F187" s="181"/>
      <c r="G187" s="181"/>
      <c r="H187" s="181">
        <f>5200000/1000</f>
        <v>5200</v>
      </c>
      <c r="I187" s="181"/>
      <c r="J187" s="181"/>
      <c r="K187" s="181"/>
      <c r="L187" s="181"/>
      <c r="M187" s="181"/>
      <c r="N187" s="181"/>
      <c r="O187" s="181"/>
      <c r="P187" s="181"/>
      <c r="Q187" s="181"/>
      <c r="R187" s="181">
        <v>0</v>
      </c>
      <c r="S187" s="181"/>
      <c r="T187" s="181"/>
      <c r="U187" s="181"/>
      <c r="V187" s="181"/>
      <c r="W187" s="181"/>
      <c r="X187" s="181"/>
      <c r="Y187" s="181">
        <f>+H187+R187</f>
        <v>5200</v>
      </c>
      <c r="Z187" s="181">
        <f t="shared" si="33"/>
        <v>0</v>
      </c>
      <c r="AA187" s="181"/>
      <c r="AB187" s="181"/>
      <c r="AC187" s="181"/>
      <c r="AD187" s="181"/>
    </row>
    <row r="188" spans="1:30" x14ac:dyDescent="0.2">
      <c r="C188" s="165" t="s">
        <v>383</v>
      </c>
      <c r="D188" s="181">
        <f>5872987/1000</f>
        <v>5872.9870000000001</v>
      </c>
      <c r="E188" s="181">
        <f>TOBEPAID!E144/1000</f>
        <v>5872.8970559999998</v>
      </c>
      <c r="F188" s="181">
        <f>TOBEPAID!F144/1000</f>
        <v>0</v>
      </c>
      <c r="G188" s="181">
        <f>TOBEPAID!G144/1000</f>
        <v>0</v>
      </c>
      <c r="H188" s="181">
        <f>5872897/1000</f>
        <v>5872.8969999999999</v>
      </c>
      <c r="I188" s="181">
        <f>TOBEPAID!I144/1000</f>
        <v>0</v>
      </c>
      <c r="J188" s="181">
        <f>TOBEPAID!J144/1000</f>
        <v>0</v>
      </c>
      <c r="K188" s="181">
        <f>TOBEPAID!K144/1000</f>
        <v>0</v>
      </c>
      <c r="L188" s="181">
        <f>TOBEPAID!L144/1000</f>
        <v>0</v>
      </c>
      <c r="M188" s="181">
        <f>TOBEPAID!M144/1000</f>
        <v>0</v>
      </c>
      <c r="N188" s="181">
        <f>TOBEPAID!N144/1000</f>
        <v>5872.8970559999998</v>
      </c>
      <c r="O188" s="181">
        <f>TOBEPAID!O144/1000</f>
        <v>0</v>
      </c>
      <c r="P188" s="181">
        <f>TOBEPAID!P144/1000</f>
        <v>0</v>
      </c>
      <c r="Q188" s="181">
        <f>TOBEPAID!Q144/1000</f>
        <v>0</v>
      </c>
      <c r="R188" s="181">
        <v>0</v>
      </c>
      <c r="S188" s="181">
        <f>TOBEPAID!S144/1000</f>
        <v>0</v>
      </c>
      <c r="T188" s="181">
        <f>TOBEPAID!T144/1000</f>
        <v>0</v>
      </c>
      <c r="U188" s="181">
        <f>TOBEPAID!U144/1000</f>
        <v>0</v>
      </c>
      <c r="V188" s="181">
        <f>TOBEPAID!V144/1000</f>
        <v>0</v>
      </c>
      <c r="W188" s="181">
        <f>TOBEPAID!W144/1000</f>
        <v>0</v>
      </c>
      <c r="X188" s="181">
        <f>TOBEPAID!X144/1000</f>
        <v>0</v>
      </c>
      <c r="Y188" s="181">
        <f t="shared" ref="Y188:Y201" si="34">+H188+R188</f>
        <v>5872.8969999999999</v>
      </c>
      <c r="Z188" s="181">
        <f t="shared" si="33"/>
        <v>9.0000000000145519E-2</v>
      </c>
      <c r="AA188" s="181">
        <f>TOBEPAID!AA144/1000</f>
        <v>0</v>
      </c>
      <c r="AB188" s="181">
        <f>TOBEPAID!AB144/1000</f>
        <v>3.9999997243285176E-6</v>
      </c>
      <c r="AC188" s="181"/>
      <c r="AD188" s="181"/>
    </row>
    <row r="189" spans="1:30" x14ac:dyDescent="0.2">
      <c r="C189" s="165" t="s">
        <v>367</v>
      </c>
      <c r="D189" s="181">
        <f>8000000/1000</f>
        <v>8000</v>
      </c>
      <c r="E189" s="181"/>
      <c r="F189" s="181"/>
      <c r="G189" s="181"/>
      <c r="H189" s="181">
        <f>8000000/1000</f>
        <v>8000</v>
      </c>
      <c r="I189" s="181"/>
      <c r="J189" s="181"/>
      <c r="K189" s="181"/>
      <c r="L189" s="181"/>
      <c r="M189" s="181"/>
      <c r="N189" s="181"/>
      <c r="O189" s="181"/>
      <c r="P189" s="181"/>
      <c r="Q189" s="181"/>
      <c r="R189" s="181">
        <v>0</v>
      </c>
      <c r="S189" s="181"/>
      <c r="T189" s="181"/>
      <c r="U189" s="181"/>
      <c r="V189" s="181"/>
      <c r="W189" s="181"/>
      <c r="X189" s="181"/>
      <c r="Y189" s="181">
        <f t="shared" si="34"/>
        <v>8000</v>
      </c>
      <c r="Z189" s="181">
        <f t="shared" si="33"/>
        <v>0</v>
      </c>
      <c r="AA189" s="181">
        <f>TOBEPAID!AA145/1000</f>
        <v>0</v>
      </c>
      <c r="AB189" s="181">
        <f>TOBEPAID!AB145/1000</f>
        <v>5007.4414100000004</v>
      </c>
      <c r="AC189" s="181"/>
      <c r="AD189" s="181"/>
    </row>
    <row r="190" spans="1:30" x14ac:dyDescent="0.2">
      <c r="C190" s="165" t="s">
        <v>382</v>
      </c>
      <c r="D190" s="181">
        <f>7400000/1000</f>
        <v>7400</v>
      </c>
      <c r="E190" s="181"/>
      <c r="F190" s="181"/>
      <c r="G190" s="181"/>
      <c r="H190" s="181">
        <f>7400000/1000</f>
        <v>7400</v>
      </c>
      <c r="I190" s="181"/>
      <c r="J190" s="181"/>
      <c r="K190" s="181"/>
      <c r="L190" s="181"/>
      <c r="M190" s="181"/>
      <c r="N190" s="181"/>
      <c r="O190" s="181"/>
      <c r="P190" s="181"/>
      <c r="Q190" s="181"/>
      <c r="R190" s="181">
        <v>0</v>
      </c>
      <c r="S190" s="181"/>
      <c r="T190" s="181"/>
      <c r="U190" s="181"/>
      <c r="V190" s="181"/>
      <c r="W190" s="181"/>
      <c r="X190" s="181"/>
      <c r="Y190" s="181">
        <f t="shared" si="34"/>
        <v>7400</v>
      </c>
      <c r="Z190" s="181">
        <f t="shared" si="33"/>
        <v>0</v>
      </c>
      <c r="AA190" s="181">
        <f>TOBEPAID!AA146/1000</f>
        <v>0</v>
      </c>
      <c r="AB190" s="181">
        <f>TOBEPAID!AB146/1000</f>
        <v>6848</v>
      </c>
      <c r="AC190" s="181"/>
      <c r="AD190" s="181"/>
    </row>
    <row r="191" spans="1:30" x14ac:dyDescent="0.2">
      <c r="C191" s="165" t="s">
        <v>448</v>
      </c>
      <c r="D191" s="181">
        <f>12000000/1000</f>
        <v>12000</v>
      </c>
      <c r="E191" s="181"/>
      <c r="F191" s="181"/>
      <c r="G191" s="181"/>
      <c r="H191" s="181">
        <f>12000000/1000</f>
        <v>12000</v>
      </c>
      <c r="I191" s="181"/>
      <c r="J191" s="181"/>
      <c r="K191" s="181"/>
      <c r="L191" s="181"/>
      <c r="M191" s="181"/>
      <c r="N191" s="181"/>
      <c r="O191" s="181"/>
      <c r="P191" s="181"/>
      <c r="Q191" s="181"/>
      <c r="R191" s="181">
        <v>0</v>
      </c>
      <c r="S191" s="181"/>
      <c r="T191" s="181"/>
      <c r="U191" s="181"/>
      <c r="V191" s="181"/>
      <c r="W191" s="181"/>
      <c r="X191" s="181"/>
      <c r="Y191" s="181">
        <f t="shared" si="34"/>
        <v>12000</v>
      </c>
      <c r="Z191" s="181">
        <f t="shared" si="33"/>
        <v>0</v>
      </c>
      <c r="AA191" s="181"/>
      <c r="AB191" s="181"/>
      <c r="AC191" s="181"/>
      <c r="AD191" s="181"/>
    </row>
    <row r="192" spans="1:30" x14ac:dyDescent="0.2">
      <c r="C192" s="165" t="s">
        <v>473</v>
      </c>
      <c r="D192" s="181">
        <f>20373000/1000</f>
        <v>20373</v>
      </c>
      <c r="E192" s="181"/>
      <c r="F192" s="181"/>
      <c r="G192" s="181"/>
      <c r="H192" s="181">
        <f>20372240.63/1000</f>
        <v>20372.24063</v>
      </c>
      <c r="I192" s="181"/>
      <c r="J192" s="181"/>
      <c r="K192" s="181"/>
      <c r="L192" s="181"/>
      <c r="M192" s="181"/>
      <c r="N192" s="181"/>
      <c r="O192" s="181"/>
      <c r="P192" s="181"/>
      <c r="Q192" s="181"/>
      <c r="R192" s="181">
        <v>0</v>
      </c>
      <c r="S192" s="181"/>
      <c r="T192" s="181"/>
      <c r="U192" s="181"/>
      <c r="V192" s="181"/>
      <c r="W192" s="181"/>
      <c r="X192" s="181"/>
      <c r="Y192" s="181">
        <f t="shared" si="34"/>
        <v>20372.24063</v>
      </c>
      <c r="Z192" s="181">
        <f t="shared" si="33"/>
        <v>0.75936999999976251</v>
      </c>
      <c r="AA192" s="181"/>
      <c r="AB192" s="181"/>
      <c r="AC192" s="181"/>
      <c r="AD192" s="181"/>
    </row>
    <row r="193" spans="1:30" x14ac:dyDescent="0.2">
      <c r="C193" s="165" t="s">
        <v>412</v>
      </c>
      <c r="D193" s="181">
        <f>132349000/1000</f>
        <v>132349</v>
      </c>
      <c r="E193" s="181"/>
      <c r="F193" s="181"/>
      <c r="G193" s="181"/>
      <c r="H193" s="181">
        <f>121349000/1000</f>
        <v>121349</v>
      </c>
      <c r="I193" s="181"/>
      <c r="J193" s="181"/>
      <c r="K193" s="181"/>
      <c r="L193" s="181"/>
      <c r="M193" s="181"/>
      <c r="N193" s="181"/>
      <c r="O193" s="181"/>
      <c r="P193" s="181"/>
      <c r="Q193" s="181"/>
      <c r="R193" s="181">
        <v>0</v>
      </c>
      <c r="S193" s="181"/>
      <c r="T193" s="181"/>
      <c r="U193" s="181"/>
      <c r="V193" s="181"/>
      <c r="W193" s="181"/>
      <c r="X193" s="181"/>
      <c r="Y193" s="181">
        <f t="shared" si="34"/>
        <v>121349</v>
      </c>
      <c r="Z193" s="181">
        <f t="shared" si="33"/>
        <v>11000</v>
      </c>
      <c r="AA193" s="181"/>
      <c r="AB193" s="181"/>
      <c r="AC193" s="181"/>
      <c r="AD193" s="181"/>
    </row>
    <row r="194" spans="1:30" x14ac:dyDescent="0.2">
      <c r="C194" s="165" t="s">
        <v>435</v>
      </c>
      <c r="D194" s="181">
        <f>5000000/1000</f>
        <v>5000</v>
      </c>
      <c r="E194" s="181"/>
      <c r="F194" s="181"/>
      <c r="G194" s="181"/>
      <c r="H194" s="181">
        <f>5000000/1000</f>
        <v>5000</v>
      </c>
      <c r="I194" s="181"/>
      <c r="J194" s="181"/>
      <c r="K194" s="181"/>
      <c r="L194" s="181"/>
      <c r="M194" s="181"/>
      <c r="N194" s="181"/>
      <c r="O194" s="181"/>
      <c r="P194" s="181"/>
      <c r="Q194" s="181"/>
      <c r="R194" s="181">
        <v>0</v>
      </c>
      <c r="S194" s="181"/>
      <c r="T194" s="181"/>
      <c r="U194" s="181"/>
      <c r="V194" s="181"/>
      <c r="W194" s="181"/>
      <c r="X194" s="181"/>
      <c r="Y194" s="181">
        <f t="shared" si="34"/>
        <v>5000</v>
      </c>
      <c r="Z194" s="181">
        <f t="shared" si="33"/>
        <v>0</v>
      </c>
      <c r="AA194" s="181">
        <f>TOBEPAID!AA147/1000</f>
        <v>0</v>
      </c>
      <c r="AB194" s="181">
        <f>TOBEPAID!AB147/1000</f>
        <v>28.036200000000001</v>
      </c>
      <c r="AC194" s="181"/>
      <c r="AD194" s="181"/>
    </row>
    <row r="195" spans="1:30" x14ac:dyDescent="0.2">
      <c r="C195" s="165" t="s">
        <v>434</v>
      </c>
      <c r="D195" s="181">
        <f>7532007/1000</f>
        <v>7532.0069999999996</v>
      </c>
      <c r="E195" s="181"/>
      <c r="F195" s="181"/>
      <c r="G195" s="181"/>
      <c r="H195" s="181">
        <f>7532007/1000</f>
        <v>7532.0069999999996</v>
      </c>
      <c r="I195" s="181"/>
      <c r="J195" s="181"/>
      <c r="K195" s="181"/>
      <c r="L195" s="181"/>
      <c r="M195" s="181"/>
      <c r="N195" s="181"/>
      <c r="O195" s="181"/>
      <c r="P195" s="181"/>
      <c r="Q195" s="181"/>
      <c r="R195" s="181">
        <v>0</v>
      </c>
      <c r="S195" s="181"/>
      <c r="T195" s="181"/>
      <c r="U195" s="181"/>
      <c r="V195" s="181"/>
      <c r="W195" s="181"/>
      <c r="X195" s="181"/>
      <c r="Y195" s="181">
        <f t="shared" si="34"/>
        <v>7532.0069999999996</v>
      </c>
      <c r="Z195" s="181">
        <f t="shared" si="33"/>
        <v>0</v>
      </c>
      <c r="AA195" s="181"/>
      <c r="AB195" s="181"/>
      <c r="AC195" s="181"/>
      <c r="AD195" s="181"/>
    </row>
    <row r="196" spans="1:30" x14ac:dyDescent="0.2">
      <c r="C196" s="165" t="s">
        <v>449</v>
      </c>
      <c r="D196" s="181">
        <f>3012645.27/1000</f>
        <v>3012.64527</v>
      </c>
      <c r="E196" s="181"/>
      <c r="F196" s="181"/>
      <c r="G196" s="181"/>
      <c r="H196" s="181">
        <f>3012645.27/1000</f>
        <v>3012.64527</v>
      </c>
      <c r="I196" s="181"/>
      <c r="J196" s="181"/>
      <c r="K196" s="181"/>
      <c r="L196" s="181"/>
      <c r="M196" s="181"/>
      <c r="N196" s="181"/>
      <c r="O196" s="181"/>
      <c r="P196" s="181"/>
      <c r="Q196" s="181"/>
      <c r="R196" s="181">
        <v>0</v>
      </c>
      <c r="S196" s="181"/>
      <c r="T196" s="181"/>
      <c r="U196" s="181"/>
      <c r="V196" s="181"/>
      <c r="W196" s="181"/>
      <c r="X196" s="181"/>
      <c r="Y196" s="181">
        <f t="shared" si="34"/>
        <v>3012.64527</v>
      </c>
      <c r="Z196" s="181">
        <f t="shared" si="33"/>
        <v>0</v>
      </c>
      <c r="AA196" s="181"/>
      <c r="AB196" s="181"/>
      <c r="AC196" s="181"/>
      <c r="AD196" s="181"/>
    </row>
    <row r="197" spans="1:30" x14ac:dyDescent="0.2">
      <c r="C197" s="165" t="s">
        <v>465</v>
      </c>
      <c r="D197" s="181">
        <f>1724615.73/1000</f>
        <v>1724.61573</v>
      </c>
      <c r="E197" s="181"/>
      <c r="F197" s="181"/>
      <c r="G197" s="181"/>
      <c r="H197" s="181">
        <f>1724615.73/1000</f>
        <v>1724.61573</v>
      </c>
      <c r="I197" s="181"/>
      <c r="J197" s="181"/>
      <c r="K197" s="181"/>
      <c r="L197" s="181"/>
      <c r="M197" s="181"/>
      <c r="N197" s="181"/>
      <c r="O197" s="181"/>
      <c r="P197" s="181"/>
      <c r="Q197" s="181"/>
      <c r="R197" s="181">
        <v>0</v>
      </c>
      <c r="S197" s="181"/>
      <c r="T197" s="181"/>
      <c r="U197" s="181"/>
      <c r="V197" s="181"/>
      <c r="W197" s="181"/>
      <c r="X197" s="181"/>
      <c r="Y197" s="181">
        <f t="shared" si="34"/>
        <v>1724.61573</v>
      </c>
      <c r="Z197" s="181">
        <f t="shared" si="33"/>
        <v>0</v>
      </c>
      <c r="AA197" s="181"/>
      <c r="AB197" s="181"/>
      <c r="AC197" s="181"/>
      <c r="AD197" s="181"/>
    </row>
    <row r="198" spans="1:30" x14ac:dyDescent="0.2">
      <c r="A198" s="180"/>
      <c r="B198" s="166"/>
      <c r="C198" s="172" t="s">
        <v>53</v>
      </c>
      <c r="D198" s="181">
        <f>645730/1000</f>
        <v>645.73</v>
      </c>
      <c r="E198" s="181">
        <f>TOBEPAID!E145/1000</f>
        <v>0</v>
      </c>
      <c r="F198" s="181">
        <f>TOBEPAID!F145/1000</f>
        <v>0</v>
      </c>
      <c r="G198" s="181">
        <f>TOBEPAID!G145/1000</f>
        <v>0</v>
      </c>
      <c r="H198" s="181">
        <v>0</v>
      </c>
      <c r="I198" s="181">
        <f>TOBEPAID!I145/1000</f>
        <v>0</v>
      </c>
      <c r="J198" s="181">
        <f>TOBEPAID!J145/1000</f>
        <v>0</v>
      </c>
      <c r="K198" s="181">
        <f>TOBEPAID!K145/1000</f>
        <v>0</v>
      </c>
      <c r="L198" s="181">
        <f>TOBEPAID!L145/1000</f>
        <v>0</v>
      </c>
      <c r="M198" s="181">
        <f>TOBEPAID!M145/1000</f>
        <v>0</v>
      </c>
      <c r="N198" s="181">
        <f>TOBEPAID!N145/1000</f>
        <v>0</v>
      </c>
      <c r="O198" s="181">
        <f>TOBEPAID!O145/1000</f>
        <v>645.73073999999997</v>
      </c>
      <c r="P198" s="181">
        <f>TOBEPAID!P145/1000</f>
        <v>0</v>
      </c>
      <c r="Q198" s="181">
        <f>TOBEPAID!Q145/1000</f>
        <v>0</v>
      </c>
      <c r="R198" s="181">
        <f>645730/1000</f>
        <v>645.73</v>
      </c>
      <c r="S198" s="181">
        <f>TOBEPAID!S145/1000</f>
        <v>0</v>
      </c>
      <c r="T198" s="181">
        <f>TOBEPAID!T145/1000</f>
        <v>0</v>
      </c>
      <c r="U198" s="181">
        <f>TOBEPAID!U145/1000</f>
        <v>0</v>
      </c>
      <c r="V198" s="181">
        <f>TOBEPAID!V145/1000</f>
        <v>0</v>
      </c>
      <c r="W198" s="181">
        <f>TOBEPAID!W145/1000</f>
        <v>0</v>
      </c>
      <c r="X198" s="181">
        <f>TOBEPAID!X145/1000</f>
        <v>645.73073999999997</v>
      </c>
      <c r="Y198" s="181">
        <f t="shared" si="34"/>
        <v>645.73</v>
      </c>
      <c r="Z198" s="181">
        <f t="shared" si="33"/>
        <v>0</v>
      </c>
      <c r="AA198" s="181">
        <f>TOBEPAID!AA148/1000</f>
        <v>0</v>
      </c>
      <c r="AB198" s="181">
        <f>TOBEPAID!AB148/1000</f>
        <v>3500</v>
      </c>
      <c r="AC198" s="181"/>
      <c r="AD198" s="181"/>
    </row>
    <row r="199" spans="1:30" x14ac:dyDescent="0.2">
      <c r="A199" s="180"/>
      <c r="B199" s="166"/>
      <c r="C199" s="172" t="s">
        <v>38</v>
      </c>
      <c r="D199" s="181">
        <v>0</v>
      </c>
      <c r="E199" s="181">
        <f>TOBEPAID!E146/1000</f>
        <v>0</v>
      </c>
      <c r="F199" s="181">
        <f>TOBEPAID!F146/1000</f>
        <v>0</v>
      </c>
      <c r="G199" s="181">
        <f>TOBEPAID!G146/1000</f>
        <v>0</v>
      </c>
      <c r="H199" s="181">
        <v>0</v>
      </c>
      <c r="I199" s="181">
        <f>TOBEPAID!I146/1000</f>
        <v>0</v>
      </c>
      <c r="J199" s="181">
        <f>TOBEPAID!J146/1000</f>
        <v>0</v>
      </c>
      <c r="K199" s="181">
        <f>TOBEPAID!K146/1000</f>
        <v>0</v>
      </c>
      <c r="L199" s="181">
        <f>TOBEPAID!L146/1000</f>
        <v>0</v>
      </c>
      <c r="M199" s="181">
        <f>TOBEPAID!M146/1000</f>
        <v>0</v>
      </c>
      <c r="N199" s="181">
        <f>TOBEPAID!N146/1000</f>
        <v>0</v>
      </c>
      <c r="O199" s="181">
        <f>TOBEPAID!O146/1000</f>
        <v>0</v>
      </c>
      <c r="P199" s="181">
        <f>TOBEPAID!P146/1000</f>
        <v>0</v>
      </c>
      <c r="Q199" s="181">
        <f>TOBEPAID!Q146/1000</f>
        <v>0</v>
      </c>
      <c r="R199" s="181">
        <v>0</v>
      </c>
      <c r="S199" s="181">
        <f>TOBEPAID!S146/1000</f>
        <v>0</v>
      </c>
      <c r="T199" s="181">
        <f>TOBEPAID!T146/1000</f>
        <v>0</v>
      </c>
      <c r="U199" s="181">
        <f>TOBEPAID!U146/1000</f>
        <v>0</v>
      </c>
      <c r="V199" s="181">
        <f>TOBEPAID!V146/1000</f>
        <v>0</v>
      </c>
      <c r="W199" s="181">
        <f>TOBEPAID!W146/1000</f>
        <v>0</v>
      </c>
      <c r="X199" s="181">
        <f>TOBEPAID!X146/1000</f>
        <v>0</v>
      </c>
      <c r="Y199" s="181">
        <f t="shared" si="34"/>
        <v>0</v>
      </c>
      <c r="Z199" s="181">
        <f t="shared" si="33"/>
        <v>0</v>
      </c>
      <c r="AA199" s="181" t="e">
        <f>TOBEPAID!AA149/1000</f>
        <v>#VALUE!</v>
      </c>
      <c r="AB199" s="181" t="e">
        <f>TOBEPAID!AB149/1000</f>
        <v>#VALUE!</v>
      </c>
      <c r="AC199" s="181"/>
      <c r="AD199" s="181"/>
    </row>
    <row r="200" spans="1:30" x14ac:dyDescent="0.2">
      <c r="A200" s="180"/>
      <c r="B200" s="166"/>
      <c r="C200" s="172" t="s">
        <v>54</v>
      </c>
      <c r="D200" s="181">
        <v>0</v>
      </c>
      <c r="E200" s="181">
        <f>TOBEPAID!E147/1000</f>
        <v>0</v>
      </c>
      <c r="F200" s="181">
        <f>TOBEPAID!F147/1000</f>
        <v>0</v>
      </c>
      <c r="G200" s="181">
        <f>TOBEPAID!G147/1000</f>
        <v>0</v>
      </c>
      <c r="H200" s="181">
        <v>0</v>
      </c>
      <c r="I200" s="181">
        <f>TOBEPAID!I147/1000</f>
        <v>0</v>
      </c>
      <c r="J200" s="181">
        <f>TOBEPAID!J147/1000</f>
        <v>0</v>
      </c>
      <c r="K200" s="181">
        <f>TOBEPAID!K147/1000</f>
        <v>0</v>
      </c>
      <c r="L200" s="181">
        <f>TOBEPAID!L147/1000</f>
        <v>0</v>
      </c>
      <c r="M200" s="181">
        <f>TOBEPAID!M147/1000</f>
        <v>0</v>
      </c>
      <c r="N200" s="181">
        <f>TOBEPAID!N147/1000</f>
        <v>0</v>
      </c>
      <c r="O200" s="181">
        <f>TOBEPAID!O147/1000</f>
        <v>0</v>
      </c>
      <c r="P200" s="181">
        <f>TOBEPAID!P147/1000</f>
        <v>0</v>
      </c>
      <c r="Q200" s="181">
        <f>TOBEPAID!Q147/1000</f>
        <v>0</v>
      </c>
      <c r="R200" s="181">
        <v>0</v>
      </c>
      <c r="S200" s="181">
        <f>TOBEPAID!S147/1000</f>
        <v>0</v>
      </c>
      <c r="T200" s="181">
        <f>TOBEPAID!T147/1000</f>
        <v>0</v>
      </c>
      <c r="U200" s="181">
        <f>TOBEPAID!U147/1000</f>
        <v>0</v>
      </c>
      <c r="V200" s="181">
        <f>TOBEPAID!V147/1000</f>
        <v>0</v>
      </c>
      <c r="W200" s="181">
        <f>TOBEPAID!W147/1000</f>
        <v>0</v>
      </c>
      <c r="X200" s="181">
        <f>TOBEPAID!X147/1000</f>
        <v>0</v>
      </c>
      <c r="Y200" s="181">
        <f t="shared" si="34"/>
        <v>0</v>
      </c>
      <c r="Z200" s="181">
        <f t="shared" si="33"/>
        <v>0</v>
      </c>
      <c r="AA200" s="181">
        <f>TOBEPAID!AA150/1000</f>
        <v>0</v>
      </c>
      <c r="AB200" s="181">
        <f>TOBEPAID!AB150/1000</f>
        <v>40499.718374000004</v>
      </c>
      <c r="AC200" s="181"/>
      <c r="AD200" s="181"/>
    </row>
    <row r="201" spans="1:30" x14ac:dyDescent="0.2">
      <c r="A201" s="180"/>
      <c r="B201" s="183"/>
      <c r="C201" s="166" t="s">
        <v>167</v>
      </c>
      <c r="D201" s="181">
        <v>0</v>
      </c>
      <c r="E201" s="181">
        <f>TOBEPAID!E148/1000</f>
        <v>0</v>
      </c>
      <c r="F201" s="181">
        <f>TOBEPAID!F148/1000</f>
        <v>0</v>
      </c>
      <c r="G201" s="181">
        <f>TOBEPAID!G148/1000</f>
        <v>0</v>
      </c>
      <c r="H201" s="181">
        <v>0</v>
      </c>
      <c r="I201" s="181">
        <f>TOBEPAID!I148/1000</f>
        <v>0</v>
      </c>
      <c r="J201" s="181">
        <f>TOBEPAID!J148/1000</f>
        <v>0</v>
      </c>
      <c r="K201" s="181">
        <f>TOBEPAID!K148/1000</f>
        <v>0</v>
      </c>
      <c r="L201" s="181">
        <f>TOBEPAID!L148/1000</f>
        <v>0</v>
      </c>
      <c r="M201" s="181">
        <f>TOBEPAID!M148/1000</f>
        <v>0</v>
      </c>
      <c r="N201" s="181">
        <f>TOBEPAID!N148/1000</f>
        <v>0</v>
      </c>
      <c r="O201" s="181">
        <f>TOBEPAID!O148/1000</f>
        <v>0</v>
      </c>
      <c r="P201" s="181">
        <f>TOBEPAID!P148/1000</f>
        <v>0</v>
      </c>
      <c r="Q201" s="181">
        <f>TOBEPAID!Q148/1000</f>
        <v>0</v>
      </c>
      <c r="R201" s="181">
        <v>0</v>
      </c>
      <c r="S201" s="181">
        <f>TOBEPAID!S148/1000</f>
        <v>0</v>
      </c>
      <c r="T201" s="181">
        <f>TOBEPAID!T148/1000</f>
        <v>0</v>
      </c>
      <c r="U201" s="181">
        <f>TOBEPAID!U148/1000</f>
        <v>0</v>
      </c>
      <c r="V201" s="181">
        <f>TOBEPAID!V148/1000</f>
        <v>0</v>
      </c>
      <c r="W201" s="181">
        <f>TOBEPAID!W148/1000</f>
        <v>0</v>
      </c>
      <c r="X201" s="181">
        <f>TOBEPAID!X148/1000</f>
        <v>0</v>
      </c>
      <c r="Y201" s="181">
        <f t="shared" si="34"/>
        <v>0</v>
      </c>
      <c r="Z201" s="181">
        <f t="shared" si="33"/>
        <v>0</v>
      </c>
      <c r="AA201" s="181" t="e">
        <f>TOBEPAID!AA151/1000</f>
        <v>#VALUE!</v>
      </c>
      <c r="AB201" s="181" t="e">
        <f>TOBEPAID!AB151/1000</f>
        <v>#VALUE!</v>
      </c>
      <c r="AC201" s="181"/>
      <c r="AD201" s="181"/>
    </row>
    <row r="202" spans="1:30" x14ac:dyDescent="0.2">
      <c r="A202" s="180"/>
      <c r="B202" s="183"/>
      <c r="C202" s="172"/>
      <c r="D202" s="182" t="s">
        <v>40</v>
      </c>
      <c r="E202" s="182" t="s">
        <v>40</v>
      </c>
      <c r="F202" s="182" t="s">
        <v>40</v>
      </c>
      <c r="G202" s="182"/>
      <c r="H202" s="182" t="s">
        <v>40</v>
      </c>
      <c r="I202" s="182" t="s">
        <v>40</v>
      </c>
      <c r="J202" s="182" t="s">
        <v>40</v>
      </c>
      <c r="K202" s="182" t="s">
        <v>40</v>
      </c>
      <c r="L202" s="182" t="s">
        <v>40</v>
      </c>
      <c r="M202" s="182"/>
      <c r="N202" s="182" t="s">
        <v>40</v>
      </c>
      <c r="O202" s="182" t="s">
        <v>40</v>
      </c>
      <c r="P202" s="182" t="s">
        <v>40</v>
      </c>
      <c r="Q202" s="182"/>
      <c r="R202" s="182" t="s">
        <v>40</v>
      </c>
      <c r="S202" s="182" t="s">
        <v>40</v>
      </c>
      <c r="T202" s="182" t="s">
        <v>40</v>
      </c>
      <c r="U202" s="182" t="s">
        <v>40</v>
      </c>
      <c r="V202" s="182" t="s">
        <v>40</v>
      </c>
      <c r="W202" s="182"/>
      <c r="X202" s="182" t="s">
        <v>40</v>
      </c>
      <c r="Y202" s="182" t="s">
        <v>40</v>
      </c>
      <c r="Z202" s="182" t="s">
        <v>40</v>
      </c>
      <c r="AA202" s="182" t="s">
        <v>40</v>
      </c>
      <c r="AB202" s="201" t="s">
        <v>165</v>
      </c>
      <c r="AC202" s="201"/>
      <c r="AD202" s="201"/>
    </row>
    <row r="203" spans="1:30" ht="16.5" customHeight="1" x14ac:dyDescent="0.2">
      <c r="A203" s="180"/>
      <c r="B203" s="183"/>
      <c r="C203" s="206"/>
      <c r="D203" s="196">
        <f>SUM(D186:D201)</f>
        <v>241609.70337000003</v>
      </c>
      <c r="E203" s="196">
        <f>SUM(E186:E201)</f>
        <v>5872.8970559999998</v>
      </c>
      <c r="F203" s="196">
        <f>SUM(F186:F201)</f>
        <v>0</v>
      </c>
      <c r="G203" s="196"/>
      <c r="H203" s="196">
        <f>SUM(H186:H201)</f>
        <v>229962.40563000002</v>
      </c>
      <c r="I203" s="196">
        <f>SUM(I186:I201)</f>
        <v>0</v>
      </c>
      <c r="J203" s="196">
        <f>SUM(J186:J201)</f>
        <v>0</v>
      </c>
      <c r="K203" s="196">
        <f>SUM(K186:K201)</f>
        <v>0</v>
      </c>
      <c r="L203" s="196">
        <f>SUM(L186:L201)</f>
        <v>0</v>
      </c>
      <c r="M203" s="196"/>
      <c r="N203" s="196">
        <f>SUM(N186:N201)</f>
        <v>5872.8970559999998</v>
      </c>
      <c r="O203" s="196">
        <f>SUM(O186:O201)</f>
        <v>645.73073999999997</v>
      </c>
      <c r="P203" s="196">
        <f>SUM(P186:P201)</f>
        <v>0</v>
      </c>
      <c r="Q203" s="196"/>
      <c r="R203" s="196">
        <f>SUM(R186:R201)</f>
        <v>645.73</v>
      </c>
      <c r="S203" s="196">
        <f>SUM(S186:S201)</f>
        <v>0</v>
      </c>
      <c r="T203" s="196">
        <f>SUM(T186:T201)</f>
        <v>0</v>
      </c>
      <c r="U203" s="196">
        <f>SUM(U186:U201)</f>
        <v>0</v>
      </c>
      <c r="V203" s="196">
        <f>SUM(V186:V201)</f>
        <v>0</v>
      </c>
      <c r="W203" s="196"/>
      <c r="X203" s="196">
        <f>SUM(X186:X201)</f>
        <v>645.73073999999997</v>
      </c>
      <c r="Y203" s="196">
        <f>SUM(Y186:Y201)</f>
        <v>230608.13563000003</v>
      </c>
      <c r="Z203" s="196">
        <f>SUM(Z186:Z201)</f>
        <v>11001.567740000002</v>
      </c>
      <c r="AA203" s="196" t="e">
        <f>SUM(AA186:AA201)</f>
        <v>#VALUE!</v>
      </c>
      <c r="AB203" s="196" t="e">
        <f>SUM(AB186:AB201)</f>
        <v>#VALUE!</v>
      </c>
      <c r="AC203" s="196"/>
      <c r="AD203" s="196"/>
    </row>
    <row r="204" spans="1:30" x14ac:dyDescent="0.2">
      <c r="A204" s="180"/>
      <c r="B204" s="165" t="s">
        <v>308</v>
      </c>
      <c r="C204" s="172"/>
      <c r="D204" s="182" t="s">
        <v>40</v>
      </c>
      <c r="E204" s="182" t="s">
        <v>40</v>
      </c>
      <c r="F204" s="182" t="s">
        <v>40</v>
      </c>
      <c r="G204" s="182"/>
      <c r="H204" s="182" t="s">
        <v>40</v>
      </c>
      <c r="I204" s="182" t="s">
        <v>40</v>
      </c>
      <c r="J204" s="182" t="s">
        <v>40</v>
      </c>
      <c r="K204" s="182" t="s">
        <v>40</v>
      </c>
      <c r="L204" s="182" t="s">
        <v>40</v>
      </c>
      <c r="M204" s="182"/>
      <c r="N204" s="182" t="s">
        <v>40</v>
      </c>
      <c r="O204" s="182" t="s">
        <v>40</v>
      </c>
      <c r="P204" s="182" t="s">
        <v>40</v>
      </c>
      <c r="Q204" s="182"/>
      <c r="R204" s="182" t="s">
        <v>40</v>
      </c>
      <c r="S204" s="182" t="s">
        <v>40</v>
      </c>
      <c r="T204" s="182" t="s">
        <v>40</v>
      </c>
      <c r="U204" s="182" t="s">
        <v>40</v>
      </c>
      <c r="V204" s="182" t="s">
        <v>40</v>
      </c>
      <c r="W204" s="182"/>
      <c r="X204" s="182" t="s">
        <v>40</v>
      </c>
      <c r="Y204" s="182" t="s">
        <v>40</v>
      </c>
      <c r="Z204" s="182" t="s">
        <v>40</v>
      </c>
      <c r="AA204" s="182" t="s">
        <v>40</v>
      </c>
      <c r="AB204" s="201" t="s">
        <v>165</v>
      </c>
      <c r="AC204" s="201"/>
      <c r="AD204" s="201"/>
    </row>
    <row r="205" spans="1:30" ht="16.5" customHeight="1" thickBot="1" x14ac:dyDescent="0.25">
      <c r="A205" s="180"/>
      <c r="B205" s="183" t="s">
        <v>292</v>
      </c>
      <c r="C205" s="172"/>
      <c r="D205" s="184">
        <f>1721187/1000</f>
        <v>1721.1869999999999</v>
      </c>
      <c r="E205" s="181">
        <f>TOBEPAID!E152/1000</f>
        <v>0</v>
      </c>
      <c r="F205" s="181">
        <f>TOBEPAID!F152/1000</f>
        <v>0</v>
      </c>
      <c r="G205" s="181">
        <f>TOBEPAID!G152/1000</f>
        <v>0</v>
      </c>
      <c r="H205" s="181"/>
      <c r="I205" s="181">
        <f>TOBEPAID!I152/1000</f>
        <v>0</v>
      </c>
      <c r="J205" s="181">
        <f>TOBEPAID!J152/1000</f>
        <v>0</v>
      </c>
      <c r="K205" s="181">
        <f>TOBEPAID!K152/1000</f>
        <v>0</v>
      </c>
      <c r="L205" s="181">
        <f>TOBEPAID!L152/1000</f>
        <v>0</v>
      </c>
      <c r="M205" s="181">
        <f>TOBEPAID!M152/1000</f>
        <v>0</v>
      </c>
      <c r="N205" s="181">
        <f>TOBEPAID!N152/1000</f>
        <v>0</v>
      </c>
      <c r="O205" s="181">
        <f>TOBEPAID!O152/1000</f>
        <v>1439.8813900000002</v>
      </c>
      <c r="P205" s="181">
        <f>TOBEPAID!P152/1000</f>
        <v>0</v>
      </c>
      <c r="Q205" s="181">
        <f>TOBEPAID!Q152/1000</f>
        <v>0</v>
      </c>
      <c r="R205" s="184">
        <f>+D205</f>
        <v>1721.1869999999999</v>
      </c>
      <c r="S205" s="181">
        <f>TOBEPAID!S152/1000</f>
        <v>0</v>
      </c>
      <c r="T205" s="181">
        <f>TOBEPAID!T152/1000</f>
        <v>0</v>
      </c>
      <c r="U205" s="181">
        <f>TOBEPAID!U152/1000</f>
        <v>0</v>
      </c>
      <c r="V205" s="181">
        <f>TOBEPAID!V152/1000</f>
        <v>0</v>
      </c>
      <c r="W205" s="181">
        <f>TOBEPAID!W152/1000</f>
        <v>0</v>
      </c>
      <c r="X205" s="181">
        <f>TOBEPAID!X152/1000</f>
        <v>0</v>
      </c>
      <c r="Y205" s="184">
        <f>+H205+R205</f>
        <v>1721.1869999999999</v>
      </c>
      <c r="Z205" s="184">
        <f>TOBEPAID!Z152/1000</f>
        <v>0</v>
      </c>
      <c r="AA205" s="181">
        <f>TOBEPAID!AA152/1000</f>
        <v>0</v>
      </c>
      <c r="AB205" s="181">
        <f>TOBEPAID!AB152/1000</f>
        <v>0</v>
      </c>
      <c r="AC205" s="181"/>
      <c r="AD205" s="181"/>
    </row>
    <row r="206" spans="1:30" ht="57.75" customHeight="1" thickTop="1" x14ac:dyDescent="0.2">
      <c r="A206" s="180">
        <v>14</v>
      </c>
      <c r="B206" s="166" t="s">
        <v>171</v>
      </c>
      <c r="C206" s="166" t="s">
        <v>35</v>
      </c>
      <c r="D206" s="181">
        <f>42587863/1000</f>
        <v>42587.862999999998</v>
      </c>
      <c r="E206" s="181">
        <f>TOBEPAID!E153/1000</f>
        <v>0</v>
      </c>
      <c r="F206" s="181">
        <f>TOBEPAID!F153/1000</f>
        <v>0</v>
      </c>
      <c r="G206" s="181">
        <f>TOBEPAID!G153/1000</f>
        <v>0</v>
      </c>
      <c r="H206" s="181">
        <f>39494676/1000</f>
        <v>39494.675999999999</v>
      </c>
      <c r="I206" s="181">
        <f>TOBEPAID!I153/1000</f>
        <v>0</v>
      </c>
      <c r="J206" s="181">
        <f>TOBEPAID!J153/1000</f>
        <v>0</v>
      </c>
      <c r="K206" s="181">
        <f>TOBEPAID!K153/1000</f>
        <v>0</v>
      </c>
      <c r="L206" s="181">
        <f>TOBEPAID!L153/1000</f>
        <v>0</v>
      </c>
      <c r="M206" s="181">
        <f>TOBEPAID!M153/1000</f>
        <v>0</v>
      </c>
      <c r="N206" s="181">
        <f>TOBEPAID!N153/1000</f>
        <v>0</v>
      </c>
      <c r="O206" s="181">
        <f>TOBEPAID!O153/1000</f>
        <v>2738.4478199999999</v>
      </c>
      <c r="P206" s="181">
        <f>TOBEPAID!P153/1000</f>
        <v>0</v>
      </c>
      <c r="Q206" s="181">
        <f>TOBEPAID!Q153/1000</f>
        <v>0</v>
      </c>
      <c r="R206" s="181">
        <f>3433186/1000</f>
        <v>3433.1860000000001</v>
      </c>
      <c r="S206" s="181">
        <f>TOBEPAID!S153/1000</f>
        <v>0</v>
      </c>
      <c r="T206" s="181">
        <f>TOBEPAID!T153/1000</f>
        <v>0</v>
      </c>
      <c r="U206" s="181">
        <f>TOBEPAID!U153/1000</f>
        <v>0</v>
      </c>
      <c r="V206" s="181">
        <f>TOBEPAID!V153/1000</f>
        <v>0</v>
      </c>
      <c r="W206" s="181">
        <f>TOBEPAID!W153/1000</f>
        <v>0</v>
      </c>
      <c r="X206" s="181">
        <f>TOBEPAID!X153/1000</f>
        <v>2738.4478199999999</v>
      </c>
      <c r="Y206" s="181">
        <f>+H206+R206</f>
        <v>42927.862000000001</v>
      </c>
      <c r="Z206" s="181">
        <f>+D206-Y206</f>
        <v>-339.99900000000343</v>
      </c>
      <c r="AA206" s="181">
        <f>TOBEPAID!AA153/1000</f>
        <v>0</v>
      </c>
      <c r="AB206" s="181">
        <f>TOBEPAID!AB153/1000</f>
        <v>6862.3427699999957</v>
      </c>
      <c r="AC206" s="181" t="s">
        <v>321</v>
      </c>
      <c r="AD206" s="181"/>
    </row>
    <row r="207" spans="1:30" x14ac:dyDescent="0.2">
      <c r="A207" s="180"/>
      <c r="B207" s="166"/>
      <c r="C207" s="172" t="s">
        <v>36</v>
      </c>
      <c r="D207" s="181">
        <f>1830380/1000</f>
        <v>1830.38</v>
      </c>
      <c r="E207" s="181">
        <f>TOBEPAID!E154/1000</f>
        <v>1830.38</v>
      </c>
      <c r="F207" s="181">
        <f>TOBEPAID!F154/1000</f>
        <v>0</v>
      </c>
      <c r="G207" s="181">
        <f>TOBEPAID!G154/1000</f>
        <v>0</v>
      </c>
      <c r="H207" s="181">
        <f>1830380/1000</f>
        <v>1830.38</v>
      </c>
      <c r="I207" s="181">
        <f>TOBEPAID!I154/1000</f>
        <v>0</v>
      </c>
      <c r="J207" s="181">
        <f>TOBEPAID!J154/1000</f>
        <v>0</v>
      </c>
      <c r="K207" s="181">
        <f>TOBEPAID!K154/1000</f>
        <v>0</v>
      </c>
      <c r="L207" s="181">
        <f>TOBEPAID!L154/1000</f>
        <v>0</v>
      </c>
      <c r="M207" s="181">
        <f>TOBEPAID!M154/1000</f>
        <v>0</v>
      </c>
      <c r="N207" s="181">
        <f>TOBEPAID!N154/1000</f>
        <v>1830.38</v>
      </c>
      <c r="O207" s="181">
        <f>TOBEPAID!O154/1000</f>
        <v>0</v>
      </c>
      <c r="P207" s="181">
        <f>TOBEPAID!P154/1000</f>
        <v>0</v>
      </c>
      <c r="Q207" s="181">
        <f>TOBEPAID!Q154/1000</f>
        <v>0</v>
      </c>
      <c r="R207" s="181">
        <v>0</v>
      </c>
      <c r="S207" s="181">
        <f>TOBEPAID!S154/1000</f>
        <v>0</v>
      </c>
      <c r="T207" s="181">
        <f>TOBEPAID!T154/1000</f>
        <v>0</v>
      </c>
      <c r="U207" s="181">
        <f>TOBEPAID!U154/1000</f>
        <v>0</v>
      </c>
      <c r="V207" s="181">
        <f>TOBEPAID!V154/1000</f>
        <v>0</v>
      </c>
      <c r="W207" s="181">
        <f>TOBEPAID!W154/1000</f>
        <v>0</v>
      </c>
      <c r="X207" s="181">
        <f>TOBEPAID!X154/1000</f>
        <v>0</v>
      </c>
      <c r="Y207" s="181">
        <f t="shared" ref="Y207:Y217" si="35">+H207+R207</f>
        <v>1830.38</v>
      </c>
      <c r="Z207" s="181">
        <f>+D207-Y207</f>
        <v>0</v>
      </c>
      <c r="AA207" s="181">
        <f>TOBEPAID!AA154/1000</f>
        <v>0</v>
      </c>
      <c r="AB207" s="181">
        <f>TOBEPAID!AB154/1000</f>
        <v>0</v>
      </c>
      <c r="AC207" s="181"/>
      <c r="AD207" s="181"/>
    </row>
    <row r="208" spans="1:30" x14ac:dyDescent="0.2">
      <c r="A208" s="180"/>
      <c r="B208" s="166"/>
      <c r="C208" s="172" t="s">
        <v>53</v>
      </c>
      <c r="D208" s="181">
        <f>29103284/1000</f>
        <v>29103.284</v>
      </c>
      <c r="E208" s="181">
        <f>TOBEPAID!E155/1000</f>
        <v>0</v>
      </c>
      <c r="F208" s="181">
        <f>TOBEPAID!F155/1000</f>
        <v>0</v>
      </c>
      <c r="G208" s="181">
        <f>TOBEPAID!G155/1000</f>
        <v>0</v>
      </c>
      <c r="H208" s="181">
        <v>0</v>
      </c>
      <c r="I208" s="181">
        <f>TOBEPAID!I155/1000</f>
        <v>0</v>
      </c>
      <c r="J208" s="181">
        <f>TOBEPAID!J155/1000</f>
        <v>0</v>
      </c>
      <c r="K208" s="181">
        <f>TOBEPAID!K155/1000</f>
        <v>0</v>
      </c>
      <c r="L208" s="181">
        <f>TOBEPAID!L155/1000</f>
        <v>0</v>
      </c>
      <c r="M208" s="181">
        <f>TOBEPAID!M155/1000</f>
        <v>0</v>
      </c>
      <c r="N208" s="181">
        <f>TOBEPAID!N155/1000</f>
        <v>0</v>
      </c>
      <c r="O208" s="181">
        <f>TOBEPAID!O155/1000</f>
        <v>29103.284929999998</v>
      </c>
      <c r="P208" s="181">
        <f>TOBEPAID!P155/1000</f>
        <v>0</v>
      </c>
      <c r="Q208" s="181">
        <f>TOBEPAID!Q155/1000</f>
        <v>0</v>
      </c>
      <c r="R208" s="181">
        <f>29103284/1000</f>
        <v>29103.284</v>
      </c>
      <c r="S208" s="181">
        <f>TOBEPAID!S155/1000</f>
        <v>0</v>
      </c>
      <c r="T208" s="181">
        <f>TOBEPAID!T155/1000</f>
        <v>0</v>
      </c>
      <c r="U208" s="181">
        <f>TOBEPAID!U155/1000</f>
        <v>0</v>
      </c>
      <c r="V208" s="181">
        <f>TOBEPAID!V155/1000</f>
        <v>0</v>
      </c>
      <c r="W208" s="181">
        <f>TOBEPAID!W155/1000</f>
        <v>0</v>
      </c>
      <c r="X208" s="181">
        <f>TOBEPAID!X155/1000</f>
        <v>29103.284929999998</v>
      </c>
      <c r="Y208" s="181">
        <f t="shared" si="35"/>
        <v>29103.284</v>
      </c>
      <c r="Z208" s="181">
        <f>+D208-Y208</f>
        <v>0</v>
      </c>
      <c r="AA208" s="181">
        <f>TOBEPAID!AA155/1000</f>
        <v>0</v>
      </c>
      <c r="AB208" s="181">
        <f>TOBEPAID!AB155/1000</f>
        <v>0</v>
      </c>
      <c r="AC208" s="181"/>
      <c r="AD208" s="181"/>
    </row>
    <row r="209" spans="1:30" x14ac:dyDescent="0.2">
      <c r="A209" s="180"/>
      <c r="B209" s="183"/>
      <c r="C209" s="166" t="s">
        <v>54</v>
      </c>
      <c r="D209" s="181">
        <f>10700263/1000</f>
        <v>10700.263000000001</v>
      </c>
      <c r="E209" s="181">
        <f>TOBEPAID!E156/1000</f>
        <v>0</v>
      </c>
      <c r="F209" s="181">
        <f>TOBEPAID!F156/1000</f>
        <v>0</v>
      </c>
      <c r="G209" s="181">
        <f>TOBEPAID!G156/1000</f>
        <v>0</v>
      </c>
      <c r="H209" s="181">
        <v>0</v>
      </c>
      <c r="I209" s="181">
        <f>TOBEPAID!I156/1000</f>
        <v>0</v>
      </c>
      <c r="J209" s="181">
        <f>TOBEPAID!J156/1000</f>
        <v>0</v>
      </c>
      <c r="K209" s="181">
        <f>TOBEPAID!K156/1000</f>
        <v>0</v>
      </c>
      <c r="L209" s="181">
        <f>TOBEPAID!L156/1000</f>
        <v>0</v>
      </c>
      <c r="M209" s="181">
        <f>TOBEPAID!M156/1000</f>
        <v>0</v>
      </c>
      <c r="N209" s="181">
        <f>TOBEPAID!N156/1000</f>
        <v>0</v>
      </c>
      <c r="O209" s="181">
        <f>TOBEPAID!O156/1000</f>
        <v>10700.26303</v>
      </c>
      <c r="P209" s="181">
        <f>TOBEPAID!P156/1000</f>
        <v>0</v>
      </c>
      <c r="Q209" s="181">
        <f>TOBEPAID!Q156/1000</f>
        <v>0</v>
      </c>
      <c r="R209" s="181">
        <f>10700263.03/1000</f>
        <v>10700.26303</v>
      </c>
      <c r="S209" s="181">
        <f>TOBEPAID!S156/1000</f>
        <v>0</v>
      </c>
      <c r="T209" s="181">
        <f>TOBEPAID!T156/1000</f>
        <v>0</v>
      </c>
      <c r="U209" s="181">
        <f>TOBEPAID!U156/1000</f>
        <v>0</v>
      </c>
      <c r="V209" s="181">
        <f>TOBEPAID!V156/1000</f>
        <v>0</v>
      </c>
      <c r="W209" s="181">
        <f>TOBEPAID!W156/1000</f>
        <v>0</v>
      </c>
      <c r="X209" s="181">
        <f>TOBEPAID!X156/1000</f>
        <v>10700.26303</v>
      </c>
      <c r="Y209" s="181">
        <f t="shared" si="35"/>
        <v>10700.26303</v>
      </c>
      <c r="Z209" s="181">
        <f>+Y209-D209</f>
        <v>2.9999999242136255E-5</v>
      </c>
      <c r="AA209" s="181">
        <f>TOBEPAID!AA156/1000</f>
        <v>0</v>
      </c>
      <c r="AB209" s="181">
        <f>TOBEPAID!AB156/1000</f>
        <v>0</v>
      </c>
      <c r="AC209" s="181"/>
      <c r="AD209" s="181"/>
    </row>
    <row r="210" spans="1:30" x14ac:dyDescent="0.2">
      <c r="C210" s="172" t="s">
        <v>365</v>
      </c>
      <c r="D210" s="181">
        <f>11212250/1000</f>
        <v>11212.25</v>
      </c>
      <c r="E210" s="181">
        <f>TOBEPAID!E157/1000</f>
        <v>11212.25</v>
      </c>
      <c r="F210" s="181">
        <f>TOBEPAID!F157/1000</f>
        <v>0</v>
      </c>
      <c r="G210" s="181">
        <f>TOBEPAID!G157/1000</f>
        <v>0</v>
      </c>
      <c r="H210" s="181">
        <f>11212250/1000</f>
        <v>11212.25</v>
      </c>
      <c r="I210" s="181">
        <f>TOBEPAID!I157/1000</f>
        <v>0</v>
      </c>
      <c r="J210" s="181">
        <f>TOBEPAID!J157/1000</f>
        <v>0</v>
      </c>
      <c r="K210" s="181">
        <f>TOBEPAID!K157/1000</f>
        <v>0</v>
      </c>
      <c r="L210" s="181">
        <f>TOBEPAID!L157/1000</f>
        <v>0</v>
      </c>
      <c r="M210" s="181">
        <f>TOBEPAID!M157/1000</f>
        <v>0</v>
      </c>
      <c r="N210" s="181">
        <f>TOBEPAID!N157/1000</f>
        <v>11212.25</v>
      </c>
      <c r="O210" s="181">
        <f>TOBEPAID!O157/1000</f>
        <v>0</v>
      </c>
      <c r="P210" s="181">
        <f>TOBEPAID!P157/1000</f>
        <v>0</v>
      </c>
      <c r="Q210" s="181">
        <f>TOBEPAID!Q157/1000</f>
        <v>0</v>
      </c>
      <c r="R210" s="181">
        <v>0</v>
      </c>
      <c r="S210" s="181">
        <f>TOBEPAID!S157/1000</f>
        <v>0</v>
      </c>
      <c r="T210" s="181">
        <f>TOBEPAID!T157/1000</f>
        <v>0</v>
      </c>
      <c r="U210" s="181">
        <f>TOBEPAID!U157/1000</f>
        <v>0</v>
      </c>
      <c r="V210" s="181">
        <f>TOBEPAID!V157/1000</f>
        <v>0</v>
      </c>
      <c r="W210" s="181">
        <f>TOBEPAID!W157/1000</f>
        <v>0</v>
      </c>
      <c r="X210" s="181">
        <f>TOBEPAID!X157/1000</f>
        <v>0</v>
      </c>
      <c r="Y210" s="181">
        <f t="shared" si="35"/>
        <v>11212.25</v>
      </c>
      <c r="Z210" s="181">
        <f t="shared" ref="Z210:Z215" si="36">+D210-Y210</f>
        <v>0</v>
      </c>
      <c r="AA210" s="181">
        <f>TOBEPAID!AA157/1000</f>
        <v>0</v>
      </c>
      <c r="AB210" s="181">
        <f>TOBEPAID!AB157/1000</f>
        <v>0</v>
      </c>
      <c r="AC210" s="181"/>
      <c r="AD210" s="181"/>
    </row>
    <row r="211" spans="1:30" x14ac:dyDescent="0.2">
      <c r="C211" s="172" t="s">
        <v>387</v>
      </c>
      <c r="D211" s="181">
        <f>11000000/1000</f>
        <v>11000</v>
      </c>
      <c r="E211" s="181"/>
      <c r="F211" s="181"/>
      <c r="G211" s="181"/>
      <c r="H211" s="181">
        <f>11000000/1000</f>
        <v>11000</v>
      </c>
      <c r="I211" s="181"/>
      <c r="J211" s="181"/>
      <c r="K211" s="181"/>
      <c r="L211" s="181"/>
      <c r="M211" s="181"/>
      <c r="N211" s="181"/>
      <c r="O211" s="181"/>
      <c r="P211" s="181"/>
      <c r="Q211" s="181"/>
      <c r="R211" s="181">
        <v>0</v>
      </c>
      <c r="S211" s="181"/>
      <c r="T211" s="181"/>
      <c r="U211" s="181"/>
      <c r="V211" s="181"/>
      <c r="W211" s="181"/>
      <c r="X211" s="181"/>
      <c r="Y211" s="181">
        <f t="shared" si="35"/>
        <v>11000</v>
      </c>
      <c r="Z211" s="181">
        <f t="shared" si="36"/>
        <v>0</v>
      </c>
      <c r="AA211" s="181"/>
      <c r="AB211" s="181"/>
      <c r="AC211" s="181"/>
      <c r="AD211" s="181"/>
    </row>
    <row r="212" spans="1:30" x14ac:dyDescent="0.2">
      <c r="C212" s="172" t="s">
        <v>481</v>
      </c>
      <c r="D212" s="181">
        <f>50000000/1000</f>
        <v>50000</v>
      </c>
      <c r="E212" s="181"/>
      <c r="F212" s="181"/>
      <c r="G212" s="181"/>
      <c r="H212" s="181">
        <f>D212</f>
        <v>50000</v>
      </c>
      <c r="I212" s="181"/>
      <c r="J212" s="181"/>
      <c r="K212" s="181"/>
      <c r="L212" s="181"/>
      <c r="M212" s="181"/>
      <c r="N212" s="181"/>
      <c r="O212" s="181"/>
      <c r="P212" s="181"/>
      <c r="Q212" s="181"/>
      <c r="R212" s="181">
        <v>0</v>
      </c>
      <c r="S212" s="181"/>
      <c r="T212" s="181"/>
      <c r="U212" s="181"/>
      <c r="V212" s="181"/>
      <c r="W212" s="181"/>
      <c r="X212" s="181"/>
      <c r="Y212" s="181">
        <f t="shared" si="35"/>
        <v>50000</v>
      </c>
      <c r="Z212" s="181">
        <f t="shared" si="36"/>
        <v>0</v>
      </c>
      <c r="AA212" s="181"/>
      <c r="AB212" s="181"/>
      <c r="AC212" s="181"/>
      <c r="AD212" s="181"/>
    </row>
    <row r="213" spans="1:30" x14ac:dyDescent="0.2">
      <c r="C213" s="165" t="s">
        <v>446</v>
      </c>
      <c r="D213" s="181">
        <f>7000000/1000</f>
        <v>7000</v>
      </c>
      <c r="E213" s="181"/>
      <c r="F213" s="181"/>
      <c r="G213" s="181"/>
      <c r="H213" s="181">
        <f>7000000/1000</f>
        <v>7000</v>
      </c>
      <c r="I213" s="181"/>
      <c r="J213" s="181"/>
      <c r="K213" s="181"/>
      <c r="L213" s="181"/>
      <c r="M213" s="181"/>
      <c r="N213" s="181"/>
      <c r="O213" s="181"/>
      <c r="P213" s="181"/>
      <c r="Q213" s="181"/>
      <c r="R213" s="181">
        <v>0</v>
      </c>
      <c r="S213" s="181"/>
      <c r="T213" s="181"/>
      <c r="U213" s="181"/>
      <c r="V213" s="181"/>
      <c r="W213" s="181"/>
      <c r="X213" s="181"/>
      <c r="Y213" s="181">
        <f t="shared" si="35"/>
        <v>7000</v>
      </c>
      <c r="Z213" s="181">
        <f t="shared" si="36"/>
        <v>0</v>
      </c>
      <c r="AA213" s="181"/>
      <c r="AB213" s="181"/>
      <c r="AC213" s="181"/>
      <c r="AD213" s="181"/>
    </row>
    <row r="214" spans="1:30" x14ac:dyDescent="0.2">
      <c r="C214" s="254" t="s">
        <v>470</v>
      </c>
      <c r="D214" s="181">
        <f>10000000/1000</f>
        <v>10000</v>
      </c>
      <c r="E214" s="181"/>
      <c r="F214" s="181"/>
      <c r="G214" s="181"/>
      <c r="H214" s="181">
        <f>10000000/1000</f>
        <v>10000</v>
      </c>
      <c r="I214" s="181"/>
      <c r="J214" s="181"/>
      <c r="K214" s="181"/>
      <c r="L214" s="181"/>
      <c r="M214" s="181"/>
      <c r="N214" s="181"/>
      <c r="O214" s="181"/>
      <c r="P214" s="181"/>
      <c r="Q214" s="181"/>
      <c r="R214" s="181">
        <v>0</v>
      </c>
      <c r="S214" s="181"/>
      <c r="T214" s="181"/>
      <c r="U214" s="181"/>
      <c r="V214" s="181"/>
      <c r="W214" s="181"/>
      <c r="X214" s="181"/>
      <c r="Y214" s="181">
        <f t="shared" si="35"/>
        <v>10000</v>
      </c>
      <c r="Z214" s="181">
        <f t="shared" si="36"/>
        <v>0</v>
      </c>
      <c r="AA214" s="181"/>
      <c r="AB214" s="181"/>
      <c r="AC214" s="181"/>
      <c r="AD214" s="181"/>
    </row>
    <row r="215" spans="1:30" x14ac:dyDescent="0.2">
      <c r="C215" s="172" t="s">
        <v>290</v>
      </c>
      <c r="D215" s="181">
        <f>1585000000/1000</f>
        <v>1585000</v>
      </c>
      <c r="E215" s="181">
        <f>TOBEPAID!E158/1000</f>
        <v>280000</v>
      </c>
      <c r="F215" s="181">
        <f>TOBEPAID!F158/1000</f>
        <v>30000</v>
      </c>
      <c r="G215" s="181">
        <f>TOBEPAID!G158/1000</f>
        <v>0</v>
      </c>
      <c r="H215" s="181">
        <f>1585000000/1000</f>
        <v>1585000</v>
      </c>
      <c r="I215" s="181">
        <f>TOBEPAID!I158/1000</f>
        <v>0</v>
      </c>
      <c r="J215" s="181">
        <f>TOBEPAID!J158/1000</f>
        <v>0</v>
      </c>
      <c r="K215" s="181">
        <f>TOBEPAID!K158/1000</f>
        <v>0</v>
      </c>
      <c r="L215" s="181">
        <f>TOBEPAID!L158/1000</f>
        <v>0</v>
      </c>
      <c r="M215" s="181">
        <f>TOBEPAID!M158/1000</f>
        <v>0</v>
      </c>
      <c r="N215" s="181">
        <f>TOBEPAID!N158/1000</f>
        <v>310000</v>
      </c>
      <c r="O215" s="181">
        <f>TOBEPAID!O158/1000</f>
        <v>0</v>
      </c>
      <c r="P215" s="181">
        <f>TOBEPAID!P158/1000</f>
        <v>0</v>
      </c>
      <c r="Q215" s="181">
        <f>TOBEPAID!Q158/1000</f>
        <v>0</v>
      </c>
      <c r="R215" s="181">
        <v>0</v>
      </c>
      <c r="S215" s="181">
        <f>TOBEPAID!S158/1000</f>
        <v>0</v>
      </c>
      <c r="T215" s="181">
        <f>TOBEPAID!T158/1000</f>
        <v>0</v>
      </c>
      <c r="U215" s="181">
        <f>TOBEPAID!U158/1000</f>
        <v>0</v>
      </c>
      <c r="V215" s="181">
        <f>TOBEPAID!V158/1000</f>
        <v>0</v>
      </c>
      <c r="W215" s="181">
        <f>TOBEPAID!W158/1000</f>
        <v>0</v>
      </c>
      <c r="X215" s="181">
        <f>TOBEPAID!X158/1000</f>
        <v>0</v>
      </c>
      <c r="Y215" s="181">
        <f t="shared" si="35"/>
        <v>1585000</v>
      </c>
      <c r="Z215" s="181">
        <f t="shared" si="36"/>
        <v>0</v>
      </c>
      <c r="AA215" s="181">
        <f>TOBEPAID!AA158/1000</f>
        <v>0</v>
      </c>
      <c r="AB215" s="181">
        <f>TOBEPAID!AB158/1000</f>
        <v>0</v>
      </c>
      <c r="AC215" s="181"/>
      <c r="AD215" s="181"/>
    </row>
    <row r="216" spans="1:30" x14ac:dyDescent="0.2">
      <c r="C216" s="172" t="s">
        <v>425</v>
      </c>
      <c r="D216" s="181">
        <f>13940000/1000</f>
        <v>13940</v>
      </c>
      <c r="E216" s="181"/>
      <c r="F216" s="181"/>
      <c r="G216" s="181"/>
      <c r="H216" s="181">
        <f>13940400/1000</f>
        <v>13940.4</v>
      </c>
      <c r="I216" s="181"/>
      <c r="J216" s="181"/>
      <c r="K216" s="181"/>
      <c r="L216" s="181"/>
      <c r="M216" s="181"/>
      <c r="N216" s="181"/>
      <c r="O216" s="181"/>
      <c r="P216" s="181"/>
      <c r="Q216" s="181"/>
      <c r="R216" s="181">
        <v>0</v>
      </c>
      <c r="S216" s="181"/>
      <c r="T216" s="181"/>
      <c r="U216" s="181"/>
      <c r="V216" s="181"/>
      <c r="W216" s="181"/>
      <c r="X216" s="181"/>
      <c r="Y216" s="181">
        <f t="shared" si="35"/>
        <v>13940.4</v>
      </c>
      <c r="Z216" s="181">
        <f>+Y216-H216</f>
        <v>0</v>
      </c>
      <c r="AA216" s="181"/>
      <c r="AB216" s="181"/>
      <c r="AC216" s="181"/>
      <c r="AD216" s="181"/>
    </row>
    <row r="217" spans="1:30" x14ac:dyDescent="0.2">
      <c r="A217" s="180"/>
      <c r="B217" s="183"/>
      <c r="C217" s="166" t="s">
        <v>256</v>
      </c>
      <c r="D217" s="181">
        <f>5000000/1000</f>
        <v>5000</v>
      </c>
      <c r="E217" s="181">
        <f>TOBEPAID!E159/1000</f>
        <v>5000</v>
      </c>
      <c r="F217" s="181">
        <f>TOBEPAID!F159/1000</f>
        <v>0</v>
      </c>
      <c r="G217" s="181">
        <f>TOBEPAID!G159/1000</f>
        <v>0</v>
      </c>
      <c r="H217" s="181">
        <f>5000000/1000</f>
        <v>5000</v>
      </c>
      <c r="I217" s="181">
        <f>TOBEPAID!I159/1000</f>
        <v>0</v>
      </c>
      <c r="J217" s="181">
        <f>TOBEPAID!J159/1000</f>
        <v>0</v>
      </c>
      <c r="K217" s="181">
        <f>TOBEPAID!K159/1000</f>
        <v>0</v>
      </c>
      <c r="L217" s="181">
        <f>TOBEPAID!L159/1000</f>
        <v>0</v>
      </c>
      <c r="M217" s="181">
        <f>TOBEPAID!M159/1000</f>
        <v>0</v>
      </c>
      <c r="N217" s="181">
        <f>TOBEPAID!N159/1000</f>
        <v>5000</v>
      </c>
      <c r="O217" s="181">
        <f>TOBEPAID!O159/1000</f>
        <v>0</v>
      </c>
      <c r="P217" s="181">
        <f>TOBEPAID!P159/1000</f>
        <v>0</v>
      </c>
      <c r="Q217" s="181">
        <f>TOBEPAID!Q159/1000</f>
        <v>0</v>
      </c>
      <c r="R217" s="181">
        <v>0</v>
      </c>
      <c r="S217" s="181">
        <f>TOBEPAID!S159/1000</f>
        <v>0</v>
      </c>
      <c r="T217" s="181">
        <f>TOBEPAID!T159/1000</f>
        <v>0</v>
      </c>
      <c r="U217" s="181">
        <f>TOBEPAID!U159/1000</f>
        <v>0</v>
      </c>
      <c r="V217" s="181">
        <f>TOBEPAID!V159/1000</f>
        <v>0</v>
      </c>
      <c r="W217" s="181">
        <f>TOBEPAID!W159/1000</f>
        <v>0</v>
      </c>
      <c r="X217" s="181">
        <f>TOBEPAID!X159/1000</f>
        <v>0</v>
      </c>
      <c r="Y217" s="181">
        <f t="shared" si="35"/>
        <v>5000</v>
      </c>
      <c r="Z217" s="181">
        <f>+D217-Y217</f>
        <v>0</v>
      </c>
      <c r="AA217" s="181">
        <f>TOBEPAID!AA159/1000</f>
        <v>0</v>
      </c>
      <c r="AB217" s="181">
        <f>TOBEPAID!AB159/1000</f>
        <v>0</v>
      </c>
      <c r="AC217" s="181"/>
      <c r="AD217" s="181"/>
    </row>
    <row r="218" spans="1:30" x14ac:dyDescent="0.2">
      <c r="A218" s="180"/>
      <c r="B218" s="183"/>
      <c r="C218" s="172" t="s">
        <v>167</v>
      </c>
      <c r="D218" s="181">
        <f>1125000/1000</f>
        <v>1125</v>
      </c>
      <c r="E218" s="181">
        <f>TOBEPAID!E160/1000</f>
        <v>0</v>
      </c>
      <c r="F218" s="181">
        <f>TOBEPAID!F160/1000</f>
        <v>0</v>
      </c>
      <c r="G218" s="181">
        <f>TOBEPAID!G160/1000</f>
        <v>0</v>
      </c>
      <c r="H218" s="181">
        <v>0</v>
      </c>
      <c r="I218" s="181">
        <f>TOBEPAID!I160/1000</f>
        <v>0</v>
      </c>
      <c r="J218" s="181">
        <f>TOBEPAID!J160/1000</f>
        <v>0</v>
      </c>
      <c r="K218" s="181">
        <f>TOBEPAID!K160/1000</f>
        <v>0</v>
      </c>
      <c r="L218" s="181">
        <f>TOBEPAID!L160/1000</f>
        <v>0</v>
      </c>
      <c r="M218" s="181">
        <f>TOBEPAID!M160/1000</f>
        <v>0</v>
      </c>
      <c r="N218" s="181">
        <f>TOBEPAID!N160/1000</f>
        <v>0</v>
      </c>
      <c r="O218" s="181">
        <f>TOBEPAID!O160/1000</f>
        <v>0</v>
      </c>
      <c r="P218" s="181">
        <f>TOBEPAID!P160/1000</f>
        <v>0</v>
      </c>
      <c r="Q218" s="181">
        <f>TOBEPAID!Q160/1000</f>
        <v>0</v>
      </c>
      <c r="R218" s="181">
        <v>0</v>
      </c>
      <c r="S218" s="181">
        <f>TOBEPAID!S160/1000</f>
        <v>0</v>
      </c>
      <c r="T218" s="181">
        <f>TOBEPAID!T160/1000</f>
        <v>0</v>
      </c>
      <c r="U218" s="181">
        <f>TOBEPAID!U160/1000</f>
        <v>0</v>
      </c>
      <c r="V218" s="181">
        <f>TOBEPAID!V160/1000</f>
        <v>0</v>
      </c>
      <c r="W218" s="181">
        <f>TOBEPAID!W160/1000</f>
        <v>0</v>
      </c>
      <c r="X218" s="181">
        <f>TOBEPAID!X160/1000</f>
        <v>0</v>
      </c>
      <c r="Y218" s="181">
        <f>TOBEPAID!Y160/1000</f>
        <v>0</v>
      </c>
      <c r="Z218" s="181">
        <f>TOBEPAID!Z160/1000</f>
        <v>1125</v>
      </c>
      <c r="AA218" s="181">
        <f>TOBEPAID!AA160/1000</f>
        <v>0</v>
      </c>
      <c r="AB218" s="181">
        <f>TOBEPAID!AB160/1000</f>
        <v>1125</v>
      </c>
      <c r="AC218" s="181"/>
      <c r="AD218" s="181"/>
    </row>
    <row r="219" spans="1:30" x14ac:dyDescent="0.2">
      <c r="A219" s="180"/>
      <c r="B219" s="183"/>
      <c r="C219" s="206"/>
      <c r="D219" s="182" t="s">
        <v>40</v>
      </c>
      <c r="E219" s="182" t="s">
        <v>40</v>
      </c>
      <c r="F219" s="182" t="s">
        <v>40</v>
      </c>
      <c r="G219" s="182"/>
      <c r="H219" s="182" t="s">
        <v>40</v>
      </c>
      <c r="I219" s="182" t="s">
        <v>40</v>
      </c>
      <c r="J219" s="182" t="s">
        <v>40</v>
      </c>
      <c r="K219" s="182" t="s">
        <v>40</v>
      </c>
      <c r="L219" s="182" t="s">
        <v>40</v>
      </c>
      <c r="M219" s="182"/>
      <c r="N219" s="182" t="s">
        <v>40</v>
      </c>
      <c r="O219" s="182" t="s">
        <v>40</v>
      </c>
      <c r="P219" s="182" t="s">
        <v>40</v>
      </c>
      <c r="Q219" s="182"/>
      <c r="R219" s="182" t="s">
        <v>40</v>
      </c>
      <c r="S219" s="182" t="s">
        <v>40</v>
      </c>
      <c r="T219" s="182" t="s">
        <v>40</v>
      </c>
      <c r="U219" s="182" t="s">
        <v>40</v>
      </c>
      <c r="V219" s="182" t="s">
        <v>40</v>
      </c>
      <c r="W219" s="182"/>
      <c r="X219" s="182" t="s">
        <v>40</v>
      </c>
      <c r="Y219" s="182" t="s">
        <v>40</v>
      </c>
      <c r="Z219" s="182" t="s">
        <v>40</v>
      </c>
      <c r="AA219" s="182" t="s">
        <v>40</v>
      </c>
      <c r="AB219" s="201" t="s">
        <v>165</v>
      </c>
      <c r="AC219" s="201"/>
      <c r="AD219" s="201"/>
    </row>
    <row r="220" spans="1:30" x14ac:dyDescent="0.2">
      <c r="A220" s="180"/>
      <c r="B220" s="166"/>
      <c r="C220" s="172"/>
      <c r="D220" s="207">
        <f>SUM(D206:D218)</f>
        <v>1778499.04</v>
      </c>
      <c r="E220" s="207">
        <f>SUM(E206:E218)</f>
        <v>298042.63</v>
      </c>
      <c r="F220" s="207">
        <f>SUM(F206:F218)</f>
        <v>30000</v>
      </c>
      <c r="G220" s="207"/>
      <c r="H220" s="207">
        <f>SUM(H206:H218)</f>
        <v>1734477.706</v>
      </c>
      <c r="I220" s="207">
        <f>SUM(I206:I218)</f>
        <v>0</v>
      </c>
      <c r="J220" s="207">
        <f>SUM(J206:J218)</f>
        <v>0</v>
      </c>
      <c r="K220" s="207">
        <f>SUM(K206:K218)</f>
        <v>0</v>
      </c>
      <c r="L220" s="207">
        <f>SUM(L206:L218)</f>
        <v>0</v>
      </c>
      <c r="M220" s="207"/>
      <c r="N220" s="207">
        <f>SUM(N206:N218)</f>
        <v>328042.63</v>
      </c>
      <c r="O220" s="207">
        <f>SUM(O206:O218)</f>
        <v>42541.995779999997</v>
      </c>
      <c r="P220" s="207">
        <f>SUM(P206:P218)</f>
        <v>0</v>
      </c>
      <c r="Q220" s="207"/>
      <c r="R220" s="207">
        <f>SUM(R206:R218)</f>
        <v>43236.733030000003</v>
      </c>
      <c r="S220" s="207">
        <f>SUM(S206:S218)</f>
        <v>0</v>
      </c>
      <c r="T220" s="207">
        <f>SUM(T206:T218)</f>
        <v>0</v>
      </c>
      <c r="U220" s="207">
        <f>SUM(U206:U218)</f>
        <v>0</v>
      </c>
      <c r="V220" s="207">
        <f>SUM(V206:V218)</f>
        <v>0</v>
      </c>
      <c r="W220" s="207"/>
      <c r="X220" s="207">
        <f>SUM(X206:X218)</f>
        <v>42541.995779999997</v>
      </c>
      <c r="Y220" s="207">
        <f>SUM(Y206:Y218)</f>
        <v>1777714.43903</v>
      </c>
      <c r="Z220" s="207">
        <f>SUM(Z206:Z218)</f>
        <v>785.00102999999581</v>
      </c>
      <c r="AA220" s="207">
        <f>SUM(AA206:AA218)</f>
        <v>0</v>
      </c>
      <c r="AB220" s="207">
        <f>SUM(AB206:AB218)</f>
        <v>7987.3427699999957</v>
      </c>
      <c r="AC220" s="207"/>
      <c r="AD220" s="207"/>
    </row>
    <row r="221" spans="1:30" x14ac:dyDescent="0.2">
      <c r="A221" s="180"/>
      <c r="B221" s="166"/>
      <c r="C221" s="172"/>
      <c r="D221" s="182" t="s">
        <v>40</v>
      </c>
      <c r="E221" s="182" t="s">
        <v>40</v>
      </c>
      <c r="F221" s="182" t="s">
        <v>40</v>
      </c>
      <c r="G221" s="182"/>
      <c r="H221" s="182" t="s">
        <v>40</v>
      </c>
      <c r="I221" s="182" t="s">
        <v>40</v>
      </c>
      <c r="J221" s="182" t="s">
        <v>40</v>
      </c>
      <c r="K221" s="182" t="s">
        <v>40</v>
      </c>
      <c r="L221" s="182" t="s">
        <v>40</v>
      </c>
      <c r="M221" s="182"/>
      <c r="N221" s="182" t="s">
        <v>40</v>
      </c>
      <c r="O221" s="182" t="s">
        <v>40</v>
      </c>
      <c r="P221" s="182" t="s">
        <v>40</v>
      </c>
      <c r="Q221" s="182"/>
      <c r="R221" s="182" t="s">
        <v>40</v>
      </c>
      <c r="S221" s="182" t="s">
        <v>40</v>
      </c>
      <c r="T221" s="182" t="s">
        <v>40</v>
      </c>
      <c r="U221" s="182" t="s">
        <v>40</v>
      </c>
      <c r="V221" s="182" t="s">
        <v>40</v>
      </c>
      <c r="W221" s="182"/>
      <c r="X221" s="182" t="s">
        <v>40</v>
      </c>
      <c r="Y221" s="182" t="s">
        <v>40</v>
      </c>
      <c r="Z221" s="182" t="s">
        <v>40</v>
      </c>
      <c r="AA221" s="182" t="s">
        <v>40</v>
      </c>
      <c r="AB221" s="201" t="s">
        <v>165</v>
      </c>
      <c r="AC221" s="201"/>
      <c r="AD221" s="201"/>
    </row>
    <row r="222" spans="1:30" ht="15.75" thickBot="1" x14ac:dyDescent="0.25">
      <c r="A222" s="180"/>
      <c r="B222" s="166"/>
      <c r="C222" s="172"/>
      <c r="D222" s="255" t="s">
        <v>472</v>
      </c>
      <c r="E222" s="231"/>
      <c r="F222" s="231"/>
      <c r="G222" s="231"/>
      <c r="H222" s="231"/>
      <c r="I222" s="231"/>
      <c r="J222" s="231"/>
      <c r="K222" s="231"/>
      <c r="L222" s="231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  <c r="AA222" s="182"/>
      <c r="AB222" s="201"/>
      <c r="AC222" s="201"/>
      <c r="AD222" s="201"/>
    </row>
    <row r="223" spans="1:30" ht="15.75" thickTop="1" x14ac:dyDescent="0.2">
      <c r="A223" s="180"/>
      <c r="B223" s="166"/>
      <c r="C223" s="172"/>
      <c r="D223" s="190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201"/>
      <c r="AC223" s="201"/>
      <c r="AD223" s="201"/>
    </row>
    <row r="224" spans="1:30" x14ac:dyDescent="0.2">
      <c r="A224" s="180"/>
      <c r="B224" s="183"/>
      <c r="C224" s="172"/>
      <c r="D224" s="208"/>
      <c r="E224" s="199"/>
      <c r="F224" s="205"/>
      <c r="G224" s="205"/>
      <c r="H224" s="199"/>
      <c r="I224" s="205"/>
      <c r="J224" s="205"/>
      <c r="K224" s="199"/>
      <c r="L224" s="205"/>
      <c r="M224" s="205"/>
      <c r="N224" s="199"/>
      <c r="O224" s="205"/>
      <c r="P224" s="205"/>
      <c r="Q224" s="205"/>
      <c r="R224" s="205"/>
      <c r="S224" s="181"/>
      <c r="T224" s="18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</row>
    <row r="225" spans="1:30" x14ac:dyDescent="0.2">
      <c r="A225" s="180"/>
      <c r="B225" s="183"/>
      <c r="C225" s="172"/>
      <c r="D225" s="208"/>
      <c r="E225" s="199"/>
      <c r="F225" s="205"/>
      <c r="G225" s="205"/>
      <c r="H225" s="199"/>
      <c r="I225" s="205"/>
      <c r="J225" s="205"/>
      <c r="K225" s="199"/>
      <c r="L225" s="205"/>
      <c r="M225" s="205"/>
      <c r="N225" s="199"/>
      <c r="O225" s="205"/>
      <c r="P225" s="205"/>
      <c r="Q225" s="205"/>
      <c r="R225" s="205"/>
      <c r="S225" s="181"/>
      <c r="T225" s="18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</row>
    <row r="226" spans="1:30" ht="24" customHeight="1" x14ac:dyDescent="0.2">
      <c r="A226" s="180">
        <v>15</v>
      </c>
      <c r="B226" s="166" t="s">
        <v>172</v>
      </c>
      <c r="C226" s="166" t="s">
        <v>35</v>
      </c>
      <c r="D226" s="181">
        <v>0</v>
      </c>
      <c r="E226" s="181">
        <f>TOBEPAID!E165/1000</f>
        <v>0</v>
      </c>
      <c r="F226" s="181">
        <f>TOBEPAID!F165/1000</f>
        <v>0</v>
      </c>
      <c r="G226" s="181">
        <f>TOBEPAID!G165/1000</f>
        <v>0</v>
      </c>
      <c r="H226" s="181">
        <v>0</v>
      </c>
      <c r="I226" s="181">
        <f>TOBEPAID!I165/1000</f>
        <v>0</v>
      </c>
      <c r="J226" s="181">
        <f>TOBEPAID!J165/1000</f>
        <v>0</v>
      </c>
      <c r="K226" s="181">
        <f>TOBEPAID!K165/1000</f>
        <v>0</v>
      </c>
      <c r="L226" s="181">
        <f>TOBEPAID!L165/1000</f>
        <v>0</v>
      </c>
      <c r="M226" s="181">
        <f>TOBEPAID!M165/1000</f>
        <v>0</v>
      </c>
      <c r="N226" s="181">
        <f>TOBEPAID!N165/1000</f>
        <v>0</v>
      </c>
      <c r="O226" s="181">
        <f>TOBEPAID!O165/1000</f>
        <v>0</v>
      </c>
      <c r="P226" s="181">
        <f>TOBEPAID!P165/1000</f>
        <v>0</v>
      </c>
      <c r="Q226" s="181">
        <f>TOBEPAID!Q165/1000</f>
        <v>0</v>
      </c>
      <c r="R226" s="181">
        <v>0</v>
      </c>
      <c r="S226" s="181">
        <f>TOBEPAID!S165/1000</f>
        <v>0</v>
      </c>
      <c r="T226" s="181">
        <f>TOBEPAID!T165/1000</f>
        <v>0</v>
      </c>
      <c r="U226" s="181">
        <f>TOBEPAID!U165/1000</f>
        <v>0</v>
      </c>
      <c r="V226" s="181">
        <f>TOBEPAID!V165/1000</f>
        <v>0</v>
      </c>
      <c r="W226" s="181">
        <f>TOBEPAID!W165/1000</f>
        <v>0</v>
      </c>
      <c r="X226" s="181">
        <f>TOBEPAID!X165/1000</f>
        <v>0</v>
      </c>
      <c r="Y226" s="181">
        <f>+H226+R226</f>
        <v>0</v>
      </c>
      <c r="Z226" s="181">
        <f t="shared" ref="Z226:Z233" si="37">+D226-Y226</f>
        <v>0</v>
      </c>
      <c r="AA226" s="181">
        <f>TOBEPAID!AA165/1000</f>
        <v>0</v>
      </c>
      <c r="AB226" s="181">
        <f>TOBEPAID!AB165/1000</f>
        <v>0</v>
      </c>
      <c r="AC226" s="181"/>
      <c r="AD226" s="181"/>
    </row>
    <row r="227" spans="1:30" x14ac:dyDescent="0.2">
      <c r="A227" s="180"/>
      <c r="B227" s="168"/>
      <c r="C227" s="209" t="s">
        <v>36</v>
      </c>
      <c r="D227" s="181">
        <f>4428422/1000</f>
        <v>4428.4219999999996</v>
      </c>
      <c r="E227" s="181">
        <f>TOBEPAID!E166/1000</f>
        <v>4428.4219999999996</v>
      </c>
      <c r="F227" s="181">
        <f>TOBEPAID!F166/1000</f>
        <v>0</v>
      </c>
      <c r="G227" s="181">
        <f>TOBEPAID!G166/1000</f>
        <v>0</v>
      </c>
      <c r="H227" s="181">
        <f>4428422/1000</f>
        <v>4428.4219999999996</v>
      </c>
      <c r="I227" s="181">
        <f>TOBEPAID!I166/1000</f>
        <v>0</v>
      </c>
      <c r="J227" s="181">
        <f>TOBEPAID!J166/1000</f>
        <v>0</v>
      </c>
      <c r="K227" s="181">
        <f>TOBEPAID!K166/1000</f>
        <v>0</v>
      </c>
      <c r="L227" s="181">
        <f>TOBEPAID!L166/1000</f>
        <v>0</v>
      </c>
      <c r="M227" s="181">
        <f>TOBEPAID!M166/1000</f>
        <v>0</v>
      </c>
      <c r="N227" s="181">
        <f>TOBEPAID!N166/1000</f>
        <v>4428.4219999999996</v>
      </c>
      <c r="O227" s="181">
        <f>TOBEPAID!O166/1000</f>
        <v>0</v>
      </c>
      <c r="P227" s="181">
        <f>TOBEPAID!P166/1000</f>
        <v>0</v>
      </c>
      <c r="Q227" s="181">
        <f>TOBEPAID!Q166/1000</f>
        <v>0</v>
      </c>
      <c r="R227" s="181">
        <v>0</v>
      </c>
      <c r="S227" s="181">
        <f>TOBEPAID!S166/1000</f>
        <v>0</v>
      </c>
      <c r="T227" s="181">
        <f>TOBEPAID!T166/1000</f>
        <v>0</v>
      </c>
      <c r="U227" s="181">
        <f>TOBEPAID!U166/1000</f>
        <v>0</v>
      </c>
      <c r="V227" s="181">
        <f>TOBEPAID!V166/1000</f>
        <v>0</v>
      </c>
      <c r="W227" s="181">
        <f>TOBEPAID!W166/1000</f>
        <v>0</v>
      </c>
      <c r="X227" s="181">
        <f>TOBEPAID!X166/1000</f>
        <v>0</v>
      </c>
      <c r="Y227" s="181">
        <f t="shared" ref="Y227:Y233" si="38">+H227+R227</f>
        <v>4428.4219999999996</v>
      </c>
      <c r="Z227" s="181">
        <f t="shared" si="37"/>
        <v>0</v>
      </c>
      <c r="AA227" s="181">
        <f>TOBEPAID!AA166/1000</f>
        <v>0</v>
      </c>
      <c r="AB227" s="181">
        <f>TOBEPAID!AB166/1000</f>
        <v>0</v>
      </c>
      <c r="AC227" s="181"/>
      <c r="AD227" s="181"/>
    </row>
    <row r="228" spans="1:30" x14ac:dyDescent="0.2">
      <c r="C228" s="172" t="s">
        <v>290</v>
      </c>
      <c r="D228" s="165">
        <f>360000000/1000</f>
        <v>360000</v>
      </c>
      <c r="H228" s="165">
        <f>360000000/1000</f>
        <v>360000</v>
      </c>
      <c r="R228" s="181">
        <v>0</v>
      </c>
      <c r="Y228" s="181">
        <f t="shared" si="38"/>
        <v>360000</v>
      </c>
      <c r="Z228" s="181">
        <f t="shared" si="37"/>
        <v>0</v>
      </c>
    </row>
    <row r="229" spans="1:30" x14ac:dyDescent="0.2">
      <c r="C229" s="172" t="s">
        <v>402</v>
      </c>
      <c r="D229" s="165">
        <f>7234924.9/1000</f>
        <v>7234.9249</v>
      </c>
      <c r="H229" s="165">
        <f>7234924/1000</f>
        <v>7234.924</v>
      </c>
      <c r="R229" s="181">
        <v>0</v>
      </c>
      <c r="Y229" s="181">
        <f t="shared" si="38"/>
        <v>7234.924</v>
      </c>
      <c r="Z229" s="181">
        <f t="shared" si="37"/>
        <v>9.0000000000145519E-4</v>
      </c>
    </row>
    <row r="230" spans="1:30" x14ac:dyDescent="0.2">
      <c r="C230" s="172" t="s">
        <v>455</v>
      </c>
      <c r="D230" s="165">
        <f>12000000/1000</f>
        <v>12000</v>
      </c>
      <c r="H230" s="165">
        <f>12000000/1000</f>
        <v>12000</v>
      </c>
      <c r="R230" s="181">
        <v>0</v>
      </c>
      <c r="Y230" s="181">
        <f t="shared" si="38"/>
        <v>12000</v>
      </c>
      <c r="Z230" s="181">
        <f t="shared" si="37"/>
        <v>0</v>
      </c>
    </row>
    <row r="231" spans="1:30" x14ac:dyDescent="0.2">
      <c r="A231" s="180"/>
      <c r="B231" s="168"/>
      <c r="C231" s="209" t="s">
        <v>54</v>
      </c>
      <c r="D231" s="181">
        <f>1336596/1000</f>
        <v>1336.596</v>
      </c>
      <c r="E231" s="181">
        <f>TOBEPAID!E167/1000</f>
        <v>0</v>
      </c>
      <c r="F231" s="181">
        <f>TOBEPAID!F167/1000</f>
        <v>0</v>
      </c>
      <c r="G231" s="181">
        <f>TOBEPAID!G167/1000</f>
        <v>0</v>
      </c>
      <c r="H231" s="181">
        <v>0</v>
      </c>
      <c r="I231" s="181">
        <f>TOBEPAID!I167/1000</f>
        <v>0</v>
      </c>
      <c r="J231" s="181">
        <f>TOBEPAID!J167/1000</f>
        <v>0</v>
      </c>
      <c r="K231" s="181">
        <f>TOBEPAID!K167/1000</f>
        <v>0</v>
      </c>
      <c r="L231" s="181">
        <f>TOBEPAID!L167/1000</f>
        <v>0</v>
      </c>
      <c r="M231" s="181">
        <f>TOBEPAID!M167/1000</f>
        <v>0</v>
      </c>
      <c r="N231" s="181">
        <f>TOBEPAID!N167/1000</f>
        <v>0</v>
      </c>
      <c r="O231" s="181">
        <f>TOBEPAID!O167/1000</f>
        <v>0</v>
      </c>
      <c r="P231" s="181">
        <f>TOBEPAID!P167/1000</f>
        <v>0</v>
      </c>
      <c r="Q231" s="181">
        <f>TOBEPAID!Q167/1000</f>
        <v>0</v>
      </c>
      <c r="R231" s="181">
        <v>0</v>
      </c>
      <c r="S231" s="181">
        <f>TOBEPAID!S167/1000</f>
        <v>0</v>
      </c>
      <c r="T231" s="181">
        <f>TOBEPAID!T167/1000</f>
        <v>0</v>
      </c>
      <c r="U231" s="181">
        <f>TOBEPAID!U167/1000</f>
        <v>0</v>
      </c>
      <c r="V231" s="181">
        <f>TOBEPAID!V167/1000</f>
        <v>0</v>
      </c>
      <c r="W231" s="181">
        <f>TOBEPAID!W167/1000</f>
        <v>0</v>
      </c>
      <c r="X231" s="181">
        <f>TOBEPAID!X167/1000</f>
        <v>0</v>
      </c>
      <c r="Y231" s="181">
        <f t="shared" si="38"/>
        <v>0</v>
      </c>
      <c r="Z231" s="181">
        <f t="shared" si="37"/>
        <v>1336.596</v>
      </c>
      <c r="AA231" s="181">
        <f>TOBEPAID!AA167/1000</f>
        <v>0</v>
      </c>
      <c r="AB231" s="181">
        <f>TOBEPAID!AB167/1000</f>
        <v>1336.6966599999998</v>
      </c>
      <c r="AC231" s="181"/>
      <c r="AD231" s="181"/>
    </row>
    <row r="232" spans="1:30" x14ac:dyDescent="0.2">
      <c r="A232" s="180"/>
      <c r="B232" s="183"/>
      <c r="C232" s="166" t="s">
        <v>53</v>
      </c>
      <c r="D232" s="181">
        <f>16488334.11/1000</f>
        <v>16488.33411</v>
      </c>
      <c r="E232" s="181">
        <f>TOBEPAID!E168/1000</f>
        <v>0</v>
      </c>
      <c r="F232" s="181">
        <f>TOBEPAID!F168/1000</f>
        <v>0</v>
      </c>
      <c r="G232" s="181">
        <f>TOBEPAID!G168/1000</f>
        <v>0</v>
      </c>
      <c r="H232" s="181">
        <v>0</v>
      </c>
      <c r="I232" s="181">
        <f>TOBEPAID!I168/1000</f>
        <v>0</v>
      </c>
      <c r="J232" s="181">
        <f>TOBEPAID!J168/1000</f>
        <v>0</v>
      </c>
      <c r="K232" s="181">
        <f>TOBEPAID!K168/1000</f>
        <v>0</v>
      </c>
      <c r="L232" s="181">
        <f>TOBEPAID!L168/1000</f>
        <v>0</v>
      </c>
      <c r="M232" s="181">
        <f>TOBEPAID!M168/1000</f>
        <v>0</v>
      </c>
      <c r="N232" s="181">
        <f>TOBEPAID!N168/1000</f>
        <v>0</v>
      </c>
      <c r="O232" s="181">
        <f>TOBEPAID!O168/1000</f>
        <v>15909.089980000001</v>
      </c>
      <c r="P232" s="181">
        <f>TOBEPAID!P168/1000</f>
        <v>0</v>
      </c>
      <c r="Q232" s="181">
        <f>TOBEPAID!Q168/1000</f>
        <v>0</v>
      </c>
      <c r="R232" s="181">
        <f>16488334/1000</f>
        <v>16488.333999999999</v>
      </c>
      <c r="S232" s="181">
        <f>TOBEPAID!S168/1000</f>
        <v>0</v>
      </c>
      <c r="T232" s="181">
        <f>TOBEPAID!T168/1000</f>
        <v>0</v>
      </c>
      <c r="U232" s="181">
        <f>TOBEPAID!U168/1000</f>
        <v>0</v>
      </c>
      <c r="V232" s="181">
        <f>TOBEPAID!V168/1000</f>
        <v>0</v>
      </c>
      <c r="W232" s="181">
        <f>TOBEPAID!W168/1000</f>
        <v>0</v>
      </c>
      <c r="X232" s="181">
        <f>TOBEPAID!X168/1000</f>
        <v>15909.089980000001</v>
      </c>
      <c r="Y232" s="181">
        <f t="shared" si="38"/>
        <v>16488.333999999999</v>
      </c>
      <c r="Z232" s="181">
        <f t="shared" si="37"/>
        <v>1.1000000085914508E-4</v>
      </c>
      <c r="AA232" s="181">
        <f>TOBEPAID!AA168/1000</f>
        <v>0</v>
      </c>
      <c r="AB232" s="181">
        <f>TOBEPAID!AB168/1000</f>
        <v>0</v>
      </c>
      <c r="AC232" s="181"/>
      <c r="AD232" s="181"/>
    </row>
    <row r="233" spans="1:30" x14ac:dyDescent="0.2">
      <c r="A233" s="180"/>
      <c r="B233" s="183"/>
      <c r="C233" s="172" t="s">
        <v>173</v>
      </c>
      <c r="D233" s="181">
        <f>4181290/1000</f>
        <v>4181.29</v>
      </c>
      <c r="E233" s="181">
        <f>TOBEPAID!E169/1000</f>
        <v>4181.2903100000003</v>
      </c>
      <c r="F233" s="181">
        <f>TOBEPAID!F169/1000</f>
        <v>0</v>
      </c>
      <c r="G233" s="181">
        <f>TOBEPAID!G169/1000</f>
        <v>0</v>
      </c>
      <c r="H233" s="181">
        <f>4181290/1000</f>
        <v>4181.29</v>
      </c>
      <c r="I233" s="181">
        <f>TOBEPAID!I169/1000</f>
        <v>0</v>
      </c>
      <c r="J233" s="181">
        <f>TOBEPAID!J169/1000</f>
        <v>0</v>
      </c>
      <c r="K233" s="181">
        <f>TOBEPAID!K169/1000</f>
        <v>0</v>
      </c>
      <c r="L233" s="181">
        <f>TOBEPAID!L169/1000</f>
        <v>0</v>
      </c>
      <c r="M233" s="181">
        <f>TOBEPAID!M169/1000</f>
        <v>0</v>
      </c>
      <c r="N233" s="181">
        <f>TOBEPAID!N169/1000</f>
        <v>4181.2903100000003</v>
      </c>
      <c r="O233" s="181">
        <f>TOBEPAID!O169/1000</f>
        <v>0</v>
      </c>
      <c r="P233" s="181">
        <f>TOBEPAID!P169/1000</f>
        <v>0</v>
      </c>
      <c r="Q233" s="181">
        <f>TOBEPAID!Q169/1000</f>
        <v>0</v>
      </c>
      <c r="R233" s="181">
        <v>0</v>
      </c>
      <c r="S233" s="181">
        <f>TOBEPAID!S169/1000</f>
        <v>0</v>
      </c>
      <c r="T233" s="181">
        <f>TOBEPAID!T169/1000</f>
        <v>0</v>
      </c>
      <c r="U233" s="181">
        <f>TOBEPAID!U169/1000</f>
        <v>0</v>
      </c>
      <c r="V233" s="181">
        <f>TOBEPAID!V169/1000</f>
        <v>0</v>
      </c>
      <c r="W233" s="181">
        <f>TOBEPAID!W169/1000</f>
        <v>0</v>
      </c>
      <c r="X233" s="181">
        <f>TOBEPAID!X169/1000</f>
        <v>0</v>
      </c>
      <c r="Y233" s="181">
        <f t="shared" si="38"/>
        <v>4181.29</v>
      </c>
      <c r="Z233" s="181">
        <f t="shared" si="37"/>
        <v>0</v>
      </c>
      <c r="AA233" s="181">
        <f>TOBEPAID!AA169/1000</f>
        <v>0</v>
      </c>
      <c r="AB233" s="181">
        <f>TOBEPAID!AB169/1000</f>
        <v>0</v>
      </c>
      <c r="AC233" s="181"/>
      <c r="AD233" s="181"/>
    </row>
    <row r="234" spans="1:30" x14ac:dyDescent="0.2">
      <c r="A234" s="180"/>
      <c r="B234" s="183"/>
      <c r="C234" s="206"/>
      <c r="D234" s="182" t="s">
        <v>40</v>
      </c>
      <c r="E234" s="182" t="s">
        <v>40</v>
      </c>
      <c r="F234" s="182" t="s">
        <v>40</v>
      </c>
      <c r="G234" s="182"/>
      <c r="H234" s="182" t="s">
        <v>40</v>
      </c>
      <c r="I234" s="182" t="s">
        <v>40</v>
      </c>
      <c r="J234" s="182" t="s">
        <v>40</v>
      </c>
      <c r="K234" s="182" t="s">
        <v>40</v>
      </c>
      <c r="L234" s="182" t="s">
        <v>40</v>
      </c>
      <c r="M234" s="182"/>
      <c r="N234" s="182" t="s">
        <v>40</v>
      </c>
      <c r="O234" s="182" t="s">
        <v>40</v>
      </c>
      <c r="P234" s="182" t="s">
        <v>40</v>
      </c>
      <c r="Q234" s="182"/>
      <c r="R234" s="182" t="s">
        <v>40</v>
      </c>
      <c r="S234" s="182" t="s">
        <v>40</v>
      </c>
      <c r="T234" s="182" t="s">
        <v>40</v>
      </c>
      <c r="U234" s="182" t="s">
        <v>40</v>
      </c>
      <c r="V234" s="182" t="s">
        <v>40</v>
      </c>
      <c r="W234" s="182"/>
      <c r="X234" s="182" t="s">
        <v>40</v>
      </c>
      <c r="Y234" s="182" t="s">
        <v>40</v>
      </c>
      <c r="Z234" s="182" t="s">
        <v>40</v>
      </c>
      <c r="AA234" s="182" t="s">
        <v>40</v>
      </c>
      <c r="AB234" s="201" t="s">
        <v>165</v>
      </c>
      <c r="AC234" s="201"/>
      <c r="AD234" s="201"/>
    </row>
    <row r="235" spans="1:30" x14ac:dyDescent="0.2">
      <c r="A235" s="180"/>
      <c r="B235" s="166"/>
      <c r="C235" s="172"/>
      <c r="D235" s="207">
        <f>SUM(D226:D233)</f>
        <v>405669.56701</v>
      </c>
      <c r="E235" s="207">
        <f>SUM(E226:E233)</f>
        <v>8609.712309999999</v>
      </c>
      <c r="F235" s="207">
        <f>SUM(F226:F233)</f>
        <v>0</v>
      </c>
      <c r="G235" s="207"/>
      <c r="H235" s="207">
        <f>SUM(H226:H233)</f>
        <v>387844.636</v>
      </c>
      <c r="I235" s="207">
        <f>SUM(I226:I233)</f>
        <v>0</v>
      </c>
      <c r="J235" s="207">
        <f>SUM(J226:J233)</f>
        <v>0</v>
      </c>
      <c r="K235" s="207">
        <f>SUM(K226:K233)</f>
        <v>0</v>
      </c>
      <c r="L235" s="207">
        <f>SUM(L226:L233)</f>
        <v>0</v>
      </c>
      <c r="M235" s="207"/>
      <c r="N235" s="207">
        <f>SUM(N226:N233)</f>
        <v>8609.712309999999</v>
      </c>
      <c r="O235" s="207">
        <f>SUM(O226:O233)</f>
        <v>15909.089980000001</v>
      </c>
      <c r="P235" s="207">
        <f>SUM(P226:P233)</f>
        <v>0</v>
      </c>
      <c r="Q235" s="207"/>
      <c r="R235" s="207">
        <f>SUM(R226:R233)</f>
        <v>16488.333999999999</v>
      </c>
      <c r="S235" s="207">
        <f>SUM(S226:S233)</f>
        <v>0</v>
      </c>
      <c r="T235" s="207">
        <f>SUM(T226:T233)</f>
        <v>0</v>
      </c>
      <c r="U235" s="207">
        <f>SUM(U226:U233)</f>
        <v>0</v>
      </c>
      <c r="V235" s="207">
        <f>SUM(V226:V233)</f>
        <v>0</v>
      </c>
      <c r="W235" s="207"/>
      <c r="X235" s="207">
        <f>SUM(X226:X233)</f>
        <v>15909.089980000001</v>
      </c>
      <c r="Y235" s="207">
        <f>SUM(Y226:Y233)</f>
        <v>404332.97</v>
      </c>
      <c r="Z235" s="207">
        <f>SUM(Z226:Z233)</f>
        <v>1336.5970100000009</v>
      </c>
      <c r="AA235" s="207">
        <f>SUM(AA226:AA233)</f>
        <v>0</v>
      </c>
      <c r="AB235" s="207">
        <f>SUM(AB226:AB233)</f>
        <v>1336.6966599999998</v>
      </c>
      <c r="AC235" s="207"/>
      <c r="AD235" s="207"/>
    </row>
    <row r="236" spans="1:30" x14ac:dyDescent="0.2">
      <c r="A236" s="180"/>
      <c r="B236" s="166"/>
      <c r="C236" s="172"/>
      <c r="D236" s="182" t="s">
        <v>40</v>
      </c>
      <c r="E236" s="182" t="s">
        <v>40</v>
      </c>
      <c r="F236" s="182" t="s">
        <v>40</v>
      </c>
      <c r="G236" s="182"/>
      <c r="H236" s="182" t="s">
        <v>40</v>
      </c>
      <c r="I236" s="182" t="s">
        <v>40</v>
      </c>
      <c r="J236" s="182" t="s">
        <v>40</v>
      </c>
      <c r="K236" s="182" t="s">
        <v>40</v>
      </c>
      <c r="L236" s="182" t="s">
        <v>40</v>
      </c>
      <c r="M236" s="182"/>
      <c r="N236" s="182" t="s">
        <v>40</v>
      </c>
      <c r="O236" s="182" t="s">
        <v>40</v>
      </c>
      <c r="P236" s="182" t="s">
        <v>40</v>
      </c>
      <c r="Q236" s="182"/>
      <c r="R236" s="182" t="s">
        <v>40</v>
      </c>
      <c r="S236" s="182" t="s">
        <v>40</v>
      </c>
      <c r="T236" s="182" t="s">
        <v>40</v>
      </c>
      <c r="U236" s="182" t="s">
        <v>40</v>
      </c>
      <c r="V236" s="182" t="s">
        <v>40</v>
      </c>
      <c r="W236" s="182"/>
      <c r="X236" s="182" t="s">
        <v>40</v>
      </c>
      <c r="Y236" s="182" t="s">
        <v>40</v>
      </c>
      <c r="Z236" s="182" t="s">
        <v>40</v>
      </c>
      <c r="AA236" s="182" t="s">
        <v>40</v>
      </c>
      <c r="AB236" s="201" t="s">
        <v>165</v>
      </c>
      <c r="AC236" s="201"/>
      <c r="AD236" s="201"/>
    </row>
    <row r="237" spans="1:30" x14ac:dyDescent="0.2">
      <c r="A237" s="180"/>
      <c r="B237" s="166"/>
      <c r="C237" s="172"/>
      <c r="D237" s="207"/>
      <c r="E237" s="191"/>
      <c r="F237" s="181"/>
      <c r="G237" s="181"/>
      <c r="H237" s="191"/>
      <c r="I237" s="181"/>
      <c r="J237" s="181"/>
      <c r="K237" s="191"/>
      <c r="L237" s="181"/>
      <c r="M237" s="181"/>
      <c r="N237" s="181"/>
      <c r="O237" s="181"/>
      <c r="P237" s="181"/>
      <c r="Q237" s="181"/>
      <c r="R237" s="181"/>
      <c r="S237" s="181"/>
      <c r="T237" s="18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</row>
    <row r="238" spans="1:30" x14ac:dyDescent="0.2">
      <c r="A238" s="180">
        <v>16</v>
      </c>
      <c r="B238" s="166" t="s">
        <v>174</v>
      </c>
      <c r="C238" s="166" t="s">
        <v>35</v>
      </c>
      <c r="D238" s="181">
        <f>2168480.35/1000</f>
        <v>2168.4803500000003</v>
      </c>
      <c r="E238" s="181">
        <f>TOBEPAID!E174/1000</f>
        <v>0</v>
      </c>
      <c r="F238" s="181">
        <f>TOBEPAID!F174/1000</f>
        <v>0</v>
      </c>
      <c r="G238" s="181">
        <f>TOBEPAID!G174/1000</f>
        <v>0</v>
      </c>
      <c r="H238" s="181">
        <v>0</v>
      </c>
      <c r="I238" s="181">
        <f>TOBEPAID!I174/1000</f>
        <v>0</v>
      </c>
      <c r="J238" s="181">
        <f>TOBEPAID!J174/1000</f>
        <v>0</v>
      </c>
      <c r="K238" s="181">
        <f>TOBEPAID!K174/1000</f>
        <v>0</v>
      </c>
      <c r="L238" s="181">
        <f>TOBEPAID!L174/1000</f>
        <v>0</v>
      </c>
      <c r="M238" s="181">
        <f>TOBEPAID!M174/1000</f>
        <v>0</v>
      </c>
      <c r="N238" s="181">
        <f>TOBEPAID!N174/1000</f>
        <v>0</v>
      </c>
      <c r="O238" s="181">
        <f>TOBEPAID!O174/1000</f>
        <v>432.97285999999997</v>
      </c>
      <c r="P238" s="181">
        <f>TOBEPAID!P174/1000</f>
        <v>0</v>
      </c>
      <c r="Q238" s="181">
        <f>TOBEPAID!Q174/1000</f>
        <v>0</v>
      </c>
      <c r="R238" s="181">
        <f>2168480.35/1000</f>
        <v>2168.4803500000003</v>
      </c>
      <c r="S238" s="181">
        <f>TOBEPAID!S174/1000</f>
        <v>0</v>
      </c>
      <c r="T238" s="181">
        <f>TOBEPAID!T174/1000</f>
        <v>0</v>
      </c>
      <c r="U238" s="181">
        <f>TOBEPAID!U174/1000</f>
        <v>0</v>
      </c>
      <c r="V238" s="181">
        <f>TOBEPAID!V174/1000</f>
        <v>0</v>
      </c>
      <c r="W238" s="181">
        <f>TOBEPAID!W174/1000</f>
        <v>0</v>
      </c>
      <c r="X238" s="181">
        <f>TOBEPAID!X174/1000</f>
        <v>432.97285999999997</v>
      </c>
      <c r="Y238" s="181">
        <f>+H238+R238</f>
        <v>2168.4803500000003</v>
      </c>
      <c r="Z238" s="181">
        <f t="shared" ref="Z238:Z245" si="39">+D238-Y238</f>
        <v>0</v>
      </c>
      <c r="AA238" s="181">
        <f>TOBEPAID!AA174/1000</f>
        <v>0</v>
      </c>
      <c r="AB238" s="181">
        <f>TOBEPAID!AB174/1000</f>
        <v>724.89086999999995</v>
      </c>
      <c r="AC238" s="181"/>
      <c r="AD238" s="181"/>
    </row>
    <row r="239" spans="1:30" x14ac:dyDescent="0.2">
      <c r="A239" s="180"/>
      <c r="B239" s="166"/>
      <c r="C239" s="172" t="s">
        <v>36</v>
      </c>
      <c r="D239" s="181">
        <f>2463241/1000</f>
        <v>2463.241</v>
      </c>
      <c r="E239" s="181">
        <f>TOBEPAID!E175/1000</f>
        <v>2463.241</v>
      </c>
      <c r="F239" s="181">
        <f>TOBEPAID!F175/1000</f>
        <v>0</v>
      </c>
      <c r="G239" s="181">
        <f>TOBEPAID!G175/1000</f>
        <v>0</v>
      </c>
      <c r="H239" s="181">
        <f>2463241/1000</f>
        <v>2463.241</v>
      </c>
      <c r="I239" s="181">
        <f>TOBEPAID!I175/1000</f>
        <v>0</v>
      </c>
      <c r="J239" s="181">
        <f>TOBEPAID!J175/1000</f>
        <v>0</v>
      </c>
      <c r="K239" s="181">
        <f>TOBEPAID!K175/1000</f>
        <v>0</v>
      </c>
      <c r="L239" s="181">
        <f>TOBEPAID!L175/1000</f>
        <v>0</v>
      </c>
      <c r="M239" s="181">
        <f>TOBEPAID!M175/1000</f>
        <v>0</v>
      </c>
      <c r="N239" s="181">
        <f>TOBEPAID!N175/1000</f>
        <v>2463.241</v>
      </c>
      <c r="O239" s="181">
        <f>TOBEPAID!O175/1000</f>
        <v>0</v>
      </c>
      <c r="P239" s="181">
        <f>TOBEPAID!P175/1000</f>
        <v>0</v>
      </c>
      <c r="Q239" s="181">
        <f>TOBEPAID!Q175/1000</f>
        <v>0</v>
      </c>
      <c r="R239" s="181">
        <f>TOBEPAID!R175/1000</f>
        <v>0</v>
      </c>
      <c r="S239" s="181">
        <f>TOBEPAID!S175/1000</f>
        <v>0</v>
      </c>
      <c r="T239" s="181">
        <f>TOBEPAID!T175/1000</f>
        <v>0</v>
      </c>
      <c r="U239" s="181">
        <f>TOBEPAID!U175/1000</f>
        <v>0</v>
      </c>
      <c r="V239" s="181">
        <f>TOBEPAID!V175/1000</f>
        <v>0</v>
      </c>
      <c r="W239" s="181">
        <f>TOBEPAID!W175/1000</f>
        <v>0</v>
      </c>
      <c r="X239" s="181">
        <f>TOBEPAID!X175/1000</f>
        <v>0</v>
      </c>
      <c r="Y239" s="181">
        <f t="shared" ref="Y239:Y245" si="40">+H239+R239</f>
        <v>2463.241</v>
      </c>
      <c r="Z239" s="181">
        <f t="shared" si="39"/>
        <v>0</v>
      </c>
      <c r="AA239" s="181">
        <f>TOBEPAID!AA175/1000</f>
        <v>0</v>
      </c>
      <c r="AB239" s="181">
        <f>TOBEPAID!AB175/1000</f>
        <v>0</v>
      </c>
      <c r="AC239" s="181"/>
      <c r="AD239" s="181"/>
    </row>
    <row r="240" spans="1:30" x14ac:dyDescent="0.2">
      <c r="C240" s="165" t="s">
        <v>298</v>
      </c>
      <c r="D240" s="181">
        <f>8000000/1000</f>
        <v>8000</v>
      </c>
      <c r="E240" s="181">
        <f>TOBEPAID!E176/1000</f>
        <v>8000</v>
      </c>
      <c r="F240" s="181">
        <f>TOBEPAID!F176/1000</f>
        <v>0</v>
      </c>
      <c r="G240" s="181">
        <f>TOBEPAID!G176/1000</f>
        <v>0</v>
      </c>
      <c r="H240" s="181">
        <f>8000000/1000</f>
        <v>8000</v>
      </c>
      <c r="I240" s="181">
        <f>TOBEPAID!I176/1000</f>
        <v>0</v>
      </c>
      <c r="J240" s="181">
        <f>TOBEPAID!J176/1000</f>
        <v>0</v>
      </c>
      <c r="K240" s="181">
        <f>TOBEPAID!K176/1000</f>
        <v>0</v>
      </c>
      <c r="L240" s="181">
        <f>TOBEPAID!L176/1000</f>
        <v>0</v>
      </c>
      <c r="M240" s="181">
        <f>TOBEPAID!M176/1000</f>
        <v>0</v>
      </c>
      <c r="N240" s="181">
        <f>TOBEPAID!N176/1000</f>
        <v>8000</v>
      </c>
      <c r="O240" s="181">
        <f>TOBEPAID!O176/1000</f>
        <v>0</v>
      </c>
      <c r="P240" s="181">
        <f>TOBEPAID!P176/1000</f>
        <v>0</v>
      </c>
      <c r="Q240" s="181">
        <f>TOBEPAID!Q176/1000</f>
        <v>0</v>
      </c>
      <c r="R240" s="181">
        <f>TOBEPAID!R176/1000</f>
        <v>0</v>
      </c>
      <c r="S240" s="181">
        <f>TOBEPAID!S176/1000</f>
        <v>0</v>
      </c>
      <c r="T240" s="181">
        <f>TOBEPAID!T176/1000</f>
        <v>0</v>
      </c>
      <c r="U240" s="181">
        <f>TOBEPAID!U176/1000</f>
        <v>0</v>
      </c>
      <c r="V240" s="181">
        <f>TOBEPAID!V176/1000</f>
        <v>0</v>
      </c>
      <c r="W240" s="181">
        <f>TOBEPAID!W176/1000</f>
        <v>0</v>
      </c>
      <c r="X240" s="181">
        <f>TOBEPAID!X176/1000</f>
        <v>0</v>
      </c>
      <c r="Y240" s="181">
        <f t="shared" si="40"/>
        <v>8000</v>
      </c>
      <c r="Z240" s="181">
        <f t="shared" si="39"/>
        <v>0</v>
      </c>
      <c r="AA240" s="181">
        <f>TOBEPAID!AA176/1000</f>
        <v>0</v>
      </c>
      <c r="AB240" s="181">
        <f>TOBEPAID!AB176/1000</f>
        <v>0</v>
      </c>
      <c r="AC240" s="181"/>
      <c r="AD240" s="181"/>
    </row>
    <row r="241" spans="1:45" x14ac:dyDescent="0.2">
      <c r="C241" s="172" t="s">
        <v>290</v>
      </c>
      <c r="D241" s="181">
        <f>420709379.04/1000</f>
        <v>420709.37904000003</v>
      </c>
      <c r="E241" s="181">
        <f>TOBEPAID!E177/1000</f>
        <v>132709.37904</v>
      </c>
      <c r="F241" s="181">
        <f>TOBEPAID!F177/1000</f>
        <v>22000</v>
      </c>
      <c r="G241" s="181">
        <f>TOBEPAID!G177/1000</f>
        <v>0</v>
      </c>
      <c r="H241" s="181">
        <f>420709379.04/1000</f>
        <v>420709.37904000003</v>
      </c>
      <c r="I241" s="181">
        <f>TOBEPAID!I177/1000</f>
        <v>0</v>
      </c>
      <c r="J241" s="181">
        <f>TOBEPAID!J177/1000</f>
        <v>0</v>
      </c>
      <c r="K241" s="181">
        <f>TOBEPAID!K177/1000</f>
        <v>0</v>
      </c>
      <c r="L241" s="181">
        <f>TOBEPAID!L177/1000</f>
        <v>0</v>
      </c>
      <c r="M241" s="181">
        <f>TOBEPAID!M177/1000</f>
        <v>0</v>
      </c>
      <c r="N241" s="181">
        <f>TOBEPAID!N177/1000</f>
        <v>154709.37904</v>
      </c>
      <c r="O241" s="181">
        <f>TOBEPAID!O177/1000</f>
        <v>0</v>
      </c>
      <c r="P241" s="181">
        <f>TOBEPAID!P177/1000</f>
        <v>0</v>
      </c>
      <c r="Q241" s="181">
        <f>TOBEPAID!Q177/1000</f>
        <v>0</v>
      </c>
      <c r="R241" s="181">
        <f>TOBEPAID!R177/1000</f>
        <v>0</v>
      </c>
      <c r="S241" s="181">
        <f>TOBEPAID!S177/1000</f>
        <v>0</v>
      </c>
      <c r="T241" s="181">
        <f>TOBEPAID!T177/1000</f>
        <v>0</v>
      </c>
      <c r="U241" s="181">
        <f>TOBEPAID!U177/1000</f>
        <v>0</v>
      </c>
      <c r="V241" s="181">
        <f>TOBEPAID!V177/1000</f>
        <v>0</v>
      </c>
      <c r="W241" s="181">
        <f>TOBEPAID!W177/1000</f>
        <v>0</v>
      </c>
      <c r="X241" s="181">
        <f>TOBEPAID!X177/1000</f>
        <v>0</v>
      </c>
      <c r="Y241" s="181">
        <f t="shared" si="40"/>
        <v>420709.37904000003</v>
      </c>
      <c r="Z241" s="181">
        <f t="shared" si="39"/>
        <v>0</v>
      </c>
      <c r="AA241" s="181">
        <f>TOBEPAID!AA177/1000</f>
        <v>0</v>
      </c>
      <c r="AB241" s="181">
        <f>TOBEPAID!AB177/1000</f>
        <v>0</v>
      </c>
      <c r="AC241" s="181"/>
      <c r="AD241" s="181"/>
    </row>
    <row r="242" spans="1:45" x14ac:dyDescent="0.2">
      <c r="C242" s="172" t="s">
        <v>329</v>
      </c>
      <c r="D242" s="181">
        <f>1207870/1000</f>
        <v>1207.8699999999999</v>
      </c>
      <c r="E242" s="181">
        <f>TOBEPAID!E178/1000</f>
        <v>1207.8702700000001</v>
      </c>
      <c r="F242" s="181">
        <f>TOBEPAID!F178/1000</f>
        <v>0</v>
      </c>
      <c r="G242" s="181">
        <f>TOBEPAID!G178/1000</f>
        <v>0</v>
      </c>
      <c r="H242" s="181">
        <f>1207870/1000</f>
        <v>1207.8699999999999</v>
      </c>
      <c r="I242" s="181">
        <f>TOBEPAID!I178/1000</f>
        <v>0</v>
      </c>
      <c r="J242" s="181">
        <f>TOBEPAID!J178/1000</f>
        <v>0</v>
      </c>
      <c r="K242" s="181">
        <f>TOBEPAID!K178/1000</f>
        <v>0</v>
      </c>
      <c r="L242" s="181">
        <f>TOBEPAID!L178/1000</f>
        <v>0</v>
      </c>
      <c r="M242" s="181">
        <f>TOBEPAID!M178/1000</f>
        <v>0</v>
      </c>
      <c r="N242" s="181">
        <f>TOBEPAID!N178/1000</f>
        <v>1207.8702700000001</v>
      </c>
      <c r="O242" s="181">
        <f>TOBEPAID!O178/1000</f>
        <v>0</v>
      </c>
      <c r="P242" s="181">
        <f>TOBEPAID!P178/1000</f>
        <v>0</v>
      </c>
      <c r="Q242" s="181">
        <f>TOBEPAID!Q178/1000</f>
        <v>0</v>
      </c>
      <c r="R242" s="181">
        <v>0</v>
      </c>
      <c r="S242" s="181">
        <f>TOBEPAID!S178/1000</f>
        <v>0</v>
      </c>
      <c r="T242" s="181">
        <f>TOBEPAID!T178/1000</f>
        <v>0</v>
      </c>
      <c r="U242" s="181">
        <f>TOBEPAID!U178/1000</f>
        <v>0</v>
      </c>
      <c r="V242" s="181">
        <f>TOBEPAID!V178/1000</f>
        <v>0</v>
      </c>
      <c r="W242" s="181">
        <f>TOBEPAID!W178/1000</f>
        <v>0</v>
      </c>
      <c r="X242" s="181">
        <f>TOBEPAID!X178/1000</f>
        <v>0</v>
      </c>
      <c r="Y242" s="181">
        <f t="shared" si="40"/>
        <v>1207.8699999999999</v>
      </c>
      <c r="Z242" s="181">
        <f t="shared" si="39"/>
        <v>0</v>
      </c>
      <c r="AA242" s="181">
        <f>TOBEPAID!AA178/1000</f>
        <v>0</v>
      </c>
      <c r="AB242" s="181">
        <f>TOBEPAID!AB178/1000</f>
        <v>0</v>
      </c>
      <c r="AC242" s="181"/>
      <c r="AD242" s="181"/>
    </row>
    <row r="243" spans="1:45" x14ac:dyDescent="0.2">
      <c r="A243" s="180"/>
      <c r="B243" s="183"/>
      <c r="C243" s="166" t="s">
        <v>53</v>
      </c>
      <c r="D243" s="181">
        <f>18808958/1000</f>
        <v>18808.957999999999</v>
      </c>
      <c r="E243" s="181">
        <f>TOBEPAID!E179/1000</f>
        <v>0</v>
      </c>
      <c r="F243" s="181">
        <f>TOBEPAID!F179/1000</f>
        <v>0</v>
      </c>
      <c r="G243" s="181">
        <f>TOBEPAID!G179/1000</f>
        <v>0</v>
      </c>
      <c r="H243" s="181">
        <f>TOBEPAID!H179/1000</f>
        <v>0</v>
      </c>
      <c r="I243" s="181">
        <f>TOBEPAID!I179/1000</f>
        <v>0</v>
      </c>
      <c r="J243" s="181">
        <f>TOBEPAID!J179/1000</f>
        <v>0</v>
      </c>
      <c r="K243" s="181">
        <f>TOBEPAID!K179/1000</f>
        <v>0</v>
      </c>
      <c r="L243" s="181">
        <f>TOBEPAID!L179/1000</f>
        <v>0</v>
      </c>
      <c r="M243" s="181">
        <f>TOBEPAID!M179/1000</f>
        <v>0</v>
      </c>
      <c r="N243" s="181">
        <f>TOBEPAID!N179/1000</f>
        <v>0</v>
      </c>
      <c r="O243" s="181">
        <f>TOBEPAID!O179/1000</f>
        <v>18808.95852</v>
      </c>
      <c r="P243" s="181">
        <f>TOBEPAID!P179/1000</f>
        <v>0</v>
      </c>
      <c r="Q243" s="181">
        <f>TOBEPAID!Q179/1000</f>
        <v>0</v>
      </c>
      <c r="R243" s="181">
        <f>18808958/1000</f>
        <v>18808.957999999999</v>
      </c>
      <c r="S243" s="181">
        <f>TOBEPAID!S179/1000</f>
        <v>0</v>
      </c>
      <c r="T243" s="181">
        <f>TOBEPAID!T179/1000</f>
        <v>0</v>
      </c>
      <c r="U243" s="181">
        <f>TOBEPAID!U179/1000</f>
        <v>0</v>
      </c>
      <c r="V243" s="181">
        <f>TOBEPAID!V179/1000</f>
        <v>0</v>
      </c>
      <c r="W243" s="181">
        <f>TOBEPAID!W179/1000</f>
        <v>0</v>
      </c>
      <c r="X243" s="181">
        <f>TOBEPAID!X179/1000</f>
        <v>18808.95852</v>
      </c>
      <c r="Y243" s="181">
        <f t="shared" si="40"/>
        <v>18808.957999999999</v>
      </c>
      <c r="Z243" s="181">
        <f t="shared" si="39"/>
        <v>0</v>
      </c>
      <c r="AA243" s="181">
        <f>TOBEPAID!AA179/1000</f>
        <v>0</v>
      </c>
      <c r="AB243" s="181">
        <f>TOBEPAID!AB179/1000</f>
        <v>0</v>
      </c>
      <c r="AC243" s="181"/>
      <c r="AD243" s="181"/>
    </row>
    <row r="244" spans="1:45" x14ac:dyDescent="0.2">
      <c r="A244" s="180"/>
      <c r="B244" s="183"/>
      <c r="C244" s="172" t="s">
        <v>54</v>
      </c>
      <c r="D244" s="181">
        <f>6700073/1000</f>
        <v>6700.0730000000003</v>
      </c>
      <c r="E244" s="181">
        <f>TOBEPAID!E180/1000</f>
        <v>0</v>
      </c>
      <c r="F244" s="181">
        <f>TOBEPAID!F180/1000</f>
        <v>0</v>
      </c>
      <c r="G244" s="181">
        <f>TOBEPAID!G180/1000</f>
        <v>0</v>
      </c>
      <c r="H244" s="181">
        <f>TOBEPAID!H180/1000</f>
        <v>0</v>
      </c>
      <c r="I244" s="181">
        <f>TOBEPAID!I180/1000</f>
        <v>0</v>
      </c>
      <c r="J244" s="181">
        <f>TOBEPAID!J180/1000</f>
        <v>0</v>
      </c>
      <c r="K244" s="181">
        <f>TOBEPAID!K180/1000</f>
        <v>0</v>
      </c>
      <c r="L244" s="181">
        <f>TOBEPAID!L180/1000</f>
        <v>0</v>
      </c>
      <c r="M244" s="181">
        <f>TOBEPAID!M180/1000</f>
        <v>0</v>
      </c>
      <c r="N244" s="181">
        <f>TOBEPAID!N180/1000</f>
        <v>0</v>
      </c>
      <c r="O244" s="181">
        <f>TOBEPAID!O180/1000</f>
        <v>5978.0601200000001</v>
      </c>
      <c r="P244" s="181">
        <f>TOBEPAID!P180/1000</f>
        <v>0</v>
      </c>
      <c r="Q244" s="181">
        <f>TOBEPAID!Q180/1000</f>
        <v>0</v>
      </c>
      <c r="R244" s="181">
        <f>5978060/1000</f>
        <v>5978.06</v>
      </c>
      <c r="S244" s="181">
        <f>TOBEPAID!S180/1000</f>
        <v>0</v>
      </c>
      <c r="T244" s="181">
        <f>TOBEPAID!T180/1000</f>
        <v>0</v>
      </c>
      <c r="U244" s="181">
        <f>TOBEPAID!U180/1000</f>
        <v>0</v>
      </c>
      <c r="V244" s="181">
        <f>TOBEPAID!V180/1000</f>
        <v>0</v>
      </c>
      <c r="W244" s="181">
        <f>TOBEPAID!W180/1000</f>
        <v>0</v>
      </c>
      <c r="X244" s="181">
        <f>TOBEPAID!X180/1000</f>
        <v>5978.0601200000001</v>
      </c>
      <c r="Y244" s="181">
        <f t="shared" si="40"/>
        <v>5978.06</v>
      </c>
      <c r="Z244" s="181">
        <f t="shared" si="39"/>
        <v>722.01299999999992</v>
      </c>
      <c r="AA244" s="181">
        <f>TOBEPAID!AA180/1000</f>
        <v>0</v>
      </c>
      <c r="AB244" s="181">
        <f>TOBEPAID!AB180/1000</f>
        <v>722.01289999999949</v>
      </c>
      <c r="AC244" s="181"/>
      <c r="AD244" s="181"/>
    </row>
    <row r="245" spans="1:45" x14ac:dyDescent="0.2">
      <c r="A245" s="180"/>
      <c r="B245" s="183"/>
      <c r="C245" s="210" t="s">
        <v>245</v>
      </c>
      <c r="D245" s="181">
        <f>434405/1000</f>
        <v>434.40499999999997</v>
      </c>
      <c r="E245" s="181">
        <f>TOBEPAID!E181/1000</f>
        <v>0</v>
      </c>
      <c r="F245" s="181">
        <f>TOBEPAID!F181/1000</f>
        <v>0</v>
      </c>
      <c r="G245" s="181">
        <f>TOBEPAID!G181/1000</f>
        <v>0</v>
      </c>
      <c r="H245" s="181">
        <f>TOBEPAID!H181/1000</f>
        <v>0</v>
      </c>
      <c r="I245" s="181">
        <f>TOBEPAID!I181/1000</f>
        <v>0</v>
      </c>
      <c r="J245" s="181">
        <f>TOBEPAID!J181/1000</f>
        <v>0</v>
      </c>
      <c r="K245" s="181">
        <f>TOBEPAID!K181/1000</f>
        <v>0</v>
      </c>
      <c r="L245" s="181">
        <f>TOBEPAID!L181/1000</f>
        <v>0</v>
      </c>
      <c r="M245" s="181">
        <f>TOBEPAID!M181/1000</f>
        <v>0</v>
      </c>
      <c r="N245" s="181">
        <f>TOBEPAID!N181/1000</f>
        <v>0</v>
      </c>
      <c r="O245" s="181">
        <f>TOBEPAID!O181/1000</f>
        <v>0</v>
      </c>
      <c r="P245" s="181">
        <f>TOBEPAID!P181/1000</f>
        <v>0</v>
      </c>
      <c r="Q245" s="181">
        <f>TOBEPAID!Q181/1000</f>
        <v>0</v>
      </c>
      <c r="R245" s="181">
        <v>0</v>
      </c>
      <c r="S245" s="181">
        <f>TOBEPAID!S181/1000</f>
        <v>0</v>
      </c>
      <c r="T245" s="181">
        <f>TOBEPAID!T181/1000</f>
        <v>0</v>
      </c>
      <c r="U245" s="181">
        <f>TOBEPAID!U181/1000</f>
        <v>0</v>
      </c>
      <c r="V245" s="181">
        <f>TOBEPAID!V181/1000</f>
        <v>0</v>
      </c>
      <c r="W245" s="181">
        <f>TOBEPAID!W181/1000</f>
        <v>0</v>
      </c>
      <c r="X245" s="181">
        <f>TOBEPAID!X181/1000</f>
        <v>0</v>
      </c>
      <c r="Y245" s="181">
        <f t="shared" si="40"/>
        <v>0</v>
      </c>
      <c r="Z245" s="181">
        <f t="shared" si="39"/>
        <v>434.40499999999997</v>
      </c>
      <c r="AA245" s="181">
        <f>TOBEPAID!AA181/1000</f>
        <v>0</v>
      </c>
      <c r="AB245" s="181">
        <f>TOBEPAID!AB181/1000</f>
        <v>434.40499999999997</v>
      </c>
      <c r="AC245" s="181"/>
      <c r="AD245" s="181"/>
    </row>
    <row r="246" spans="1:45" x14ac:dyDescent="0.2">
      <c r="A246" s="180"/>
      <c r="B246" s="166"/>
      <c r="C246" s="210"/>
      <c r="D246" s="182" t="s">
        <v>40</v>
      </c>
      <c r="E246" s="182" t="s">
        <v>40</v>
      </c>
      <c r="F246" s="182" t="s">
        <v>40</v>
      </c>
      <c r="G246" s="182"/>
      <c r="H246" s="182" t="s">
        <v>40</v>
      </c>
      <c r="I246" s="182" t="s">
        <v>40</v>
      </c>
      <c r="J246" s="182" t="s">
        <v>40</v>
      </c>
      <c r="K246" s="182" t="s">
        <v>40</v>
      </c>
      <c r="L246" s="182" t="s">
        <v>40</v>
      </c>
      <c r="M246" s="182"/>
      <c r="N246" s="182" t="s">
        <v>40</v>
      </c>
      <c r="O246" s="182" t="s">
        <v>40</v>
      </c>
      <c r="P246" s="182" t="s">
        <v>40</v>
      </c>
      <c r="Q246" s="182"/>
      <c r="R246" s="182" t="s">
        <v>40</v>
      </c>
      <c r="S246" s="182" t="s">
        <v>40</v>
      </c>
      <c r="T246" s="182" t="s">
        <v>40</v>
      </c>
      <c r="U246" s="182" t="s">
        <v>40</v>
      </c>
      <c r="V246" s="182" t="s">
        <v>40</v>
      </c>
      <c r="W246" s="182"/>
      <c r="X246" s="182" t="s">
        <v>40</v>
      </c>
      <c r="Y246" s="182" t="s">
        <v>40</v>
      </c>
      <c r="Z246" s="182" t="s">
        <v>40</v>
      </c>
      <c r="AA246" s="182" t="s">
        <v>40</v>
      </c>
      <c r="AB246" s="201" t="s">
        <v>165</v>
      </c>
      <c r="AC246" s="201"/>
      <c r="AD246" s="201"/>
    </row>
    <row r="247" spans="1:45" x14ac:dyDescent="0.2">
      <c r="A247" s="180"/>
      <c r="B247" s="166"/>
      <c r="C247" s="210"/>
      <c r="D247" s="207">
        <f>SUM(D238:D245)</f>
        <v>460492.40639000002</v>
      </c>
      <c r="E247" s="207">
        <f>SUM(E238:E245)</f>
        <v>144380.49031000002</v>
      </c>
      <c r="F247" s="207">
        <f>SUM(F238:F245)</f>
        <v>22000</v>
      </c>
      <c r="G247" s="207"/>
      <c r="H247" s="207">
        <f>SUM(H238:H245)</f>
        <v>432380.49004</v>
      </c>
      <c r="I247" s="207">
        <f>SUM(I238:I245)</f>
        <v>0</v>
      </c>
      <c r="J247" s="207">
        <f>SUM(J238:J245)</f>
        <v>0</v>
      </c>
      <c r="K247" s="207">
        <f>SUM(K238:K245)</f>
        <v>0</v>
      </c>
      <c r="L247" s="207">
        <f>SUM(L238:L245)</f>
        <v>0</v>
      </c>
      <c r="M247" s="207"/>
      <c r="N247" s="207">
        <f>SUM(N238:N245)</f>
        <v>166380.49031000002</v>
      </c>
      <c r="O247" s="207">
        <f>SUM(O238:O245)</f>
        <v>25219.991500000004</v>
      </c>
      <c r="P247" s="207">
        <f>SUM(P238:P245)</f>
        <v>0</v>
      </c>
      <c r="Q247" s="207"/>
      <c r="R247" s="207">
        <f>SUM(R238:R245)</f>
        <v>26955.498350000002</v>
      </c>
      <c r="S247" s="207">
        <f>SUM(S238:S245)</f>
        <v>0</v>
      </c>
      <c r="T247" s="207">
        <f>SUM(T238:T245)</f>
        <v>0</v>
      </c>
      <c r="U247" s="207">
        <f>SUM(U238:U245)</f>
        <v>0</v>
      </c>
      <c r="V247" s="207">
        <f>SUM(V238:V245)</f>
        <v>0</v>
      </c>
      <c r="W247" s="207"/>
      <c r="X247" s="207">
        <f>SUM(X238:X245)</f>
        <v>25219.991500000004</v>
      </c>
      <c r="Y247" s="207">
        <f>SUM(Y238:Y245)</f>
        <v>459335.98839000001</v>
      </c>
      <c r="Z247" s="207">
        <f>SUM(Z238:Z245)</f>
        <v>1156.4179999999999</v>
      </c>
      <c r="AA247" s="207">
        <f>SUM(AA238:AA245)</f>
        <v>0</v>
      </c>
      <c r="AB247" s="207">
        <f>SUM(AB238:AB245)</f>
        <v>1881.3087699999994</v>
      </c>
      <c r="AC247" s="207"/>
      <c r="AD247" s="207"/>
    </row>
    <row r="248" spans="1:45" x14ac:dyDescent="0.2">
      <c r="A248" s="180"/>
      <c r="B248" s="166"/>
      <c r="C248" s="210"/>
      <c r="D248" s="182" t="s">
        <v>40</v>
      </c>
      <c r="E248" s="182" t="s">
        <v>40</v>
      </c>
      <c r="F248" s="182" t="s">
        <v>40</v>
      </c>
      <c r="G248" s="182"/>
      <c r="H248" s="182" t="s">
        <v>40</v>
      </c>
      <c r="I248" s="182" t="s">
        <v>40</v>
      </c>
      <c r="J248" s="182" t="s">
        <v>40</v>
      </c>
      <c r="K248" s="182" t="s">
        <v>40</v>
      </c>
      <c r="L248" s="182" t="s">
        <v>40</v>
      </c>
      <c r="M248" s="182"/>
      <c r="N248" s="182" t="s">
        <v>40</v>
      </c>
      <c r="O248" s="182" t="s">
        <v>40</v>
      </c>
      <c r="P248" s="182" t="s">
        <v>40</v>
      </c>
      <c r="Q248" s="182"/>
      <c r="R248" s="182" t="s">
        <v>40</v>
      </c>
      <c r="S248" s="182" t="s">
        <v>40</v>
      </c>
      <c r="T248" s="182" t="s">
        <v>40</v>
      </c>
      <c r="U248" s="182" t="s">
        <v>40</v>
      </c>
      <c r="V248" s="182" t="s">
        <v>40</v>
      </c>
      <c r="W248" s="182"/>
      <c r="X248" s="182" t="s">
        <v>40</v>
      </c>
      <c r="Y248" s="182" t="s">
        <v>40</v>
      </c>
      <c r="Z248" s="182" t="s">
        <v>40</v>
      </c>
      <c r="AA248" s="182" t="s">
        <v>40</v>
      </c>
      <c r="AB248" s="201" t="s">
        <v>165</v>
      </c>
      <c r="AC248" s="201"/>
      <c r="AD248" s="201"/>
    </row>
    <row r="249" spans="1:45" x14ac:dyDescent="0.2">
      <c r="A249" s="180"/>
      <c r="B249" s="183"/>
      <c r="C249" s="210"/>
      <c r="D249" s="196"/>
      <c r="E249" s="182"/>
      <c r="F249" s="203"/>
      <c r="G249" s="189"/>
      <c r="H249" s="188"/>
      <c r="I249" s="189"/>
      <c r="J249" s="189"/>
      <c r="K249" s="189"/>
      <c r="L249" s="188"/>
      <c r="M249" s="189"/>
      <c r="N249" s="182"/>
      <c r="O249" s="196"/>
      <c r="P249" s="182"/>
      <c r="Q249" s="182"/>
      <c r="R249" s="182"/>
      <c r="S249" s="182"/>
      <c r="T249" s="182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</row>
    <row r="250" spans="1:45" x14ac:dyDescent="0.2">
      <c r="A250" s="180">
        <v>17</v>
      </c>
      <c r="B250" s="183" t="s">
        <v>175</v>
      </c>
      <c r="C250" s="166" t="s">
        <v>35</v>
      </c>
      <c r="D250" s="181">
        <f>11079011/1000</f>
        <v>11079.011</v>
      </c>
      <c r="E250" s="181">
        <f>TOBEPAID!E186/1000</f>
        <v>0</v>
      </c>
      <c r="F250" s="181">
        <f>TOBEPAID!F186/1000</f>
        <v>0</v>
      </c>
      <c r="G250" s="181">
        <f>TOBEPAID!G186/1000</f>
        <v>0</v>
      </c>
      <c r="H250" s="181">
        <v>0</v>
      </c>
      <c r="I250" s="181">
        <f>TOBEPAID!I186/1000</f>
        <v>0</v>
      </c>
      <c r="J250" s="181">
        <f>TOBEPAID!J186/1000</f>
        <v>0</v>
      </c>
      <c r="K250" s="181">
        <f>TOBEPAID!K186/1000</f>
        <v>0</v>
      </c>
      <c r="L250" s="181">
        <f>TOBEPAID!L186/1000</f>
        <v>0</v>
      </c>
      <c r="M250" s="181">
        <f>TOBEPAID!M186/1000</f>
        <v>0</v>
      </c>
      <c r="N250" s="181">
        <f>TOBEPAID!N186/1000</f>
        <v>0</v>
      </c>
      <c r="O250" s="181">
        <f>TOBEPAID!O186/1000</f>
        <v>0</v>
      </c>
      <c r="P250" s="181">
        <f>TOBEPAID!P186/1000</f>
        <v>0</v>
      </c>
      <c r="Q250" s="181">
        <f>TOBEPAID!Q186/1000</f>
        <v>0</v>
      </c>
      <c r="R250" s="181">
        <f>1727232.23/1000</f>
        <v>1727.2322300000001</v>
      </c>
      <c r="S250" s="181">
        <f>TOBEPAID!S186/1000</f>
        <v>0</v>
      </c>
      <c r="T250" s="181">
        <f>TOBEPAID!T186/1000</f>
        <v>0</v>
      </c>
      <c r="U250" s="181">
        <f>TOBEPAID!U186/1000</f>
        <v>0</v>
      </c>
      <c r="V250" s="181">
        <f>TOBEPAID!V186/1000</f>
        <v>0</v>
      </c>
      <c r="W250" s="181">
        <f>TOBEPAID!W186/1000</f>
        <v>0</v>
      </c>
      <c r="X250" s="181">
        <f>TOBEPAID!X186/1000</f>
        <v>0</v>
      </c>
      <c r="Y250" s="181">
        <f>+H250+R250</f>
        <v>1727.2322300000001</v>
      </c>
      <c r="Z250" s="181">
        <f>+D250-Y250</f>
        <v>9351.7787700000008</v>
      </c>
      <c r="AA250" s="181">
        <f>TOBEPAID!AA186/1000</f>
        <v>0</v>
      </c>
      <c r="AB250" s="181">
        <f>TOBEPAID!AB186/1000</f>
        <v>11079.01172</v>
      </c>
      <c r="AC250" s="181"/>
      <c r="AD250" s="181"/>
    </row>
    <row r="251" spans="1:45" x14ac:dyDescent="0.2">
      <c r="A251" s="180"/>
      <c r="B251" s="183"/>
      <c r="C251" s="166" t="s">
        <v>255</v>
      </c>
      <c r="D251" s="181">
        <f>5097746/1000</f>
        <v>5097.7460000000001</v>
      </c>
      <c r="E251" s="181">
        <f>TOBEPAID!E187/1000</f>
        <v>5097.7460000000001</v>
      </c>
      <c r="F251" s="181">
        <f>TOBEPAID!F187/1000</f>
        <v>0</v>
      </c>
      <c r="G251" s="181">
        <f>TOBEPAID!G187/1000</f>
        <v>0</v>
      </c>
      <c r="H251" s="181">
        <f>5097746/1000</f>
        <v>5097.7460000000001</v>
      </c>
      <c r="I251" s="181">
        <f>TOBEPAID!I187/1000</f>
        <v>0</v>
      </c>
      <c r="J251" s="181">
        <f>TOBEPAID!J187/1000</f>
        <v>0</v>
      </c>
      <c r="K251" s="181">
        <f>TOBEPAID!K187/1000</f>
        <v>0</v>
      </c>
      <c r="L251" s="181">
        <f>TOBEPAID!L187/1000</f>
        <v>0</v>
      </c>
      <c r="M251" s="181">
        <f>TOBEPAID!M187/1000</f>
        <v>0</v>
      </c>
      <c r="N251" s="181">
        <f>TOBEPAID!N187/1000</f>
        <v>5097.7460000000001</v>
      </c>
      <c r="O251" s="181">
        <f>TOBEPAID!O187/1000</f>
        <v>0</v>
      </c>
      <c r="P251" s="181">
        <f>TOBEPAID!P187/1000</f>
        <v>0</v>
      </c>
      <c r="Q251" s="181">
        <f>TOBEPAID!Q187/1000</f>
        <v>0</v>
      </c>
      <c r="R251" s="181">
        <v>0</v>
      </c>
      <c r="S251" s="181">
        <f>TOBEPAID!S187/1000</f>
        <v>0</v>
      </c>
      <c r="T251" s="181">
        <f>TOBEPAID!T187/1000</f>
        <v>0</v>
      </c>
      <c r="U251" s="181">
        <f>TOBEPAID!U187/1000</f>
        <v>0</v>
      </c>
      <c r="V251" s="181">
        <f>TOBEPAID!V187/1000</f>
        <v>0</v>
      </c>
      <c r="W251" s="181">
        <f>TOBEPAID!W187/1000</f>
        <v>0</v>
      </c>
      <c r="X251" s="181">
        <f>TOBEPAID!X187/1000</f>
        <v>0</v>
      </c>
      <c r="Y251" s="181">
        <f>+H251+R251</f>
        <v>5097.7460000000001</v>
      </c>
      <c r="Z251" s="181">
        <f>+D251-Y251</f>
        <v>0</v>
      </c>
      <c r="AA251" s="181">
        <f>TOBEPAID!AA187/1000</f>
        <v>0</v>
      </c>
      <c r="AB251" s="181">
        <f>TOBEPAID!AB187/1000</f>
        <v>0</v>
      </c>
      <c r="AC251" s="181"/>
      <c r="AD251" s="181"/>
      <c r="AS251" s="195">
        <f>+AF252-AK252-AP252</f>
        <v>8.9844000001903623E-2</v>
      </c>
    </row>
    <row r="252" spans="1:45" x14ac:dyDescent="0.2">
      <c r="C252" s="165" t="s">
        <v>365</v>
      </c>
      <c r="D252" s="181">
        <f>3556595/1000</f>
        <v>3556.5949999999998</v>
      </c>
      <c r="E252" s="181">
        <f>TOBEPAID!E188/1000</f>
        <v>3556.5949999999998</v>
      </c>
      <c r="F252" s="181">
        <f>TOBEPAID!F188/1000</f>
        <v>0</v>
      </c>
      <c r="G252" s="181">
        <f>TOBEPAID!G188/1000</f>
        <v>0</v>
      </c>
      <c r="H252" s="181">
        <f>3556595/1000</f>
        <v>3556.5949999999998</v>
      </c>
      <c r="I252" s="181">
        <f>TOBEPAID!I188/1000</f>
        <v>0</v>
      </c>
      <c r="J252" s="181">
        <f>TOBEPAID!J188/1000</f>
        <v>0</v>
      </c>
      <c r="K252" s="181">
        <f>TOBEPAID!K188/1000</f>
        <v>0</v>
      </c>
      <c r="L252" s="181">
        <f>TOBEPAID!L188/1000</f>
        <v>0</v>
      </c>
      <c r="M252" s="181">
        <f>TOBEPAID!M188/1000</f>
        <v>0</v>
      </c>
      <c r="N252" s="181">
        <f>TOBEPAID!N188/1000</f>
        <v>3556.5949999999998</v>
      </c>
      <c r="O252" s="181">
        <f>TOBEPAID!O188/1000</f>
        <v>0</v>
      </c>
      <c r="P252" s="181">
        <f>TOBEPAID!P188/1000</f>
        <v>0</v>
      </c>
      <c r="Q252" s="181">
        <f>TOBEPAID!Q188/1000</f>
        <v>0</v>
      </c>
      <c r="R252" s="181">
        <v>0</v>
      </c>
      <c r="S252" s="181">
        <f>TOBEPAID!S188/1000</f>
        <v>0</v>
      </c>
      <c r="T252" s="181">
        <f>TOBEPAID!T188/1000</f>
        <v>0</v>
      </c>
      <c r="U252" s="181">
        <f>TOBEPAID!U188/1000</f>
        <v>0</v>
      </c>
      <c r="V252" s="181">
        <f>TOBEPAID!V188/1000</f>
        <v>0</v>
      </c>
      <c r="W252" s="181">
        <f>TOBEPAID!W188/1000</f>
        <v>0</v>
      </c>
      <c r="X252" s="181">
        <f>TOBEPAID!X188/1000</f>
        <v>0</v>
      </c>
      <c r="Y252" s="181">
        <f>+H252+R252</f>
        <v>3556.5949999999998</v>
      </c>
      <c r="Z252" s="181">
        <f>+D252-Y252</f>
        <v>0</v>
      </c>
      <c r="AA252" s="181">
        <f>TOBEPAID!AA188/1000</f>
        <v>0</v>
      </c>
      <c r="AB252" s="181">
        <f>TOBEPAID!AB188/1000</f>
        <v>0</v>
      </c>
      <c r="AC252" s="181"/>
      <c r="AD252" s="181"/>
      <c r="AF252" s="195">
        <f>+D252+D210+D188+D260</f>
        <v>21375.287</v>
      </c>
      <c r="AG252" s="195">
        <f>+E252+E210+E188+E260</f>
        <v>21375.197155999998</v>
      </c>
      <c r="AH252" s="195">
        <f>+F252+F210+F188+F260</f>
        <v>0</v>
      </c>
      <c r="AI252" s="195">
        <f t="shared" ref="AI252:AI259" si="41">+AG252+AH252</f>
        <v>21375.197155999998</v>
      </c>
      <c r="AJ252" s="195">
        <f>+L252+L210+L188+L260</f>
        <v>0</v>
      </c>
      <c r="AK252" s="195">
        <f t="shared" ref="AK252:AK259" si="42">+AI252+AJ252</f>
        <v>21375.197155999998</v>
      </c>
      <c r="AL252" s="195">
        <f>+O252+O210+O188+O260</f>
        <v>0</v>
      </c>
      <c r="AM252" s="195">
        <f>+P210+P252+P188+P260</f>
        <v>0</v>
      </c>
      <c r="AN252" s="195">
        <f t="shared" ref="AN252:AN259" si="43">+AL252+AM252</f>
        <v>0</v>
      </c>
      <c r="AO252" s="195">
        <f>+V252+V210+V188+V260</f>
        <v>0</v>
      </c>
      <c r="AP252" s="195">
        <f t="shared" ref="AP252:AP259" si="44">+AN252+AO252</f>
        <v>0</v>
      </c>
      <c r="AQ252" s="195">
        <f t="shared" ref="AQ252:AQ265" si="45">+AI252+AN252</f>
        <v>21375.197155999998</v>
      </c>
      <c r="AR252" s="195">
        <f t="shared" ref="AR252:AR258" si="46">+AF252-AQ252</f>
        <v>8.9844000001903623E-2</v>
      </c>
      <c r="AS252" s="195"/>
    </row>
    <row r="253" spans="1:45" x14ac:dyDescent="0.2">
      <c r="A253" s="180"/>
      <c r="B253" s="183"/>
      <c r="C253" s="210" t="s">
        <v>53</v>
      </c>
      <c r="D253" s="181">
        <f>10893520/1000</f>
        <v>10893.52</v>
      </c>
      <c r="E253" s="181">
        <f>TOBEPAID!E189/1000</f>
        <v>0</v>
      </c>
      <c r="F253" s="181">
        <f>TOBEPAID!F189/1000</f>
        <v>0</v>
      </c>
      <c r="G253" s="181">
        <f>TOBEPAID!G189/1000</f>
        <v>0</v>
      </c>
      <c r="H253" s="181">
        <v>0</v>
      </c>
      <c r="I253" s="181">
        <f>TOBEPAID!I189/1000</f>
        <v>0</v>
      </c>
      <c r="J253" s="181">
        <f>TOBEPAID!J189/1000</f>
        <v>0</v>
      </c>
      <c r="K253" s="181">
        <f>TOBEPAID!K189/1000</f>
        <v>0</v>
      </c>
      <c r="L253" s="181">
        <f>TOBEPAID!L189/1000</f>
        <v>0</v>
      </c>
      <c r="M253" s="181">
        <f>TOBEPAID!M189/1000</f>
        <v>0</v>
      </c>
      <c r="N253" s="181">
        <f>TOBEPAID!N189/1000</f>
        <v>0</v>
      </c>
      <c r="O253" s="181">
        <f>TOBEPAID!O189/1000</f>
        <v>5530.0031900000004</v>
      </c>
      <c r="P253" s="181">
        <f>TOBEPAID!P189/1000</f>
        <v>0</v>
      </c>
      <c r="Q253" s="181">
        <f>TOBEPAID!Q189/1000</f>
        <v>0</v>
      </c>
      <c r="R253" s="181">
        <f>5530003/1000</f>
        <v>5530.0029999999997</v>
      </c>
      <c r="S253" s="181">
        <f>TOBEPAID!S189/1000</f>
        <v>0</v>
      </c>
      <c r="T253" s="181">
        <f>TOBEPAID!T189/1000</f>
        <v>0</v>
      </c>
      <c r="U253" s="181">
        <f>TOBEPAID!U189/1000</f>
        <v>0</v>
      </c>
      <c r="V253" s="181">
        <f>TOBEPAID!V189/1000</f>
        <v>0</v>
      </c>
      <c r="W253" s="181">
        <f>TOBEPAID!W189/1000</f>
        <v>0</v>
      </c>
      <c r="X253" s="181">
        <f>TOBEPAID!X189/1000</f>
        <v>5530.0031900000004</v>
      </c>
      <c r="Y253" s="181">
        <f>+H253+R253</f>
        <v>5530.0029999999997</v>
      </c>
      <c r="Z253" s="181">
        <f>+D253-Y253</f>
        <v>5363.5170000000007</v>
      </c>
      <c r="AA253" s="181">
        <f>TOBEPAID!AA189/1000</f>
        <v>0</v>
      </c>
      <c r="AB253" s="181">
        <f>TOBEPAID!AB189/1000</f>
        <v>5363.5173499999983</v>
      </c>
      <c r="AC253" s="181"/>
      <c r="AD253" s="181"/>
      <c r="AE253" s="186" t="s">
        <v>317</v>
      </c>
      <c r="AF253" s="195"/>
      <c r="AG253" s="195"/>
      <c r="AH253" s="195"/>
      <c r="AI253" s="195"/>
      <c r="AJ253" s="195"/>
      <c r="AK253" s="195"/>
      <c r="AL253" s="195"/>
      <c r="AM253" s="195"/>
      <c r="AN253" s="195"/>
      <c r="AO253" s="195"/>
      <c r="AP253" s="195"/>
      <c r="AQ253" s="195"/>
      <c r="AR253" s="195"/>
      <c r="AS253" s="195">
        <f t="shared" ref="AS253:AS258" si="47">+AF254-AK254-AP254</f>
        <v>0</v>
      </c>
    </row>
    <row r="254" spans="1:45" x14ac:dyDescent="0.2">
      <c r="A254" s="180"/>
      <c r="B254" s="166"/>
      <c r="C254" s="210" t="s">
        <v>54</v>
      </c>
      <c r="D254" s="181">
        <f>5603896/1000</f>
        <v>5603.8959999999997</v>
      </c>
      <c r="E254" s="181">
        <f>TOBEPAID!E190/1000</f>
        <v>0</v>
      </c>
      <c r="F254" s="181">
        <f>TOBEPAID!F190/1000</f>
        <v>0</v>
      </c>
      <c r="G254" s="181">
        <f>TOBEPAID!G190/1000</f>
        <v>0</v>
      </c>
      <c r="H254" s="181">
        <v>0</v>
      </c>
      <c r="I254" s="181">
        <f>TOBEPAID!I190/1000</f>
        <v>0</v>
      </c>
      <c r="J254" s="181">
        <f>TOBEPAID!J190/1000</f>
        <v>0</v>
      </c>
      <c r="K254" s="181">
        <f>TOBEPAID!K190/1000</f>
        <v>0</v>
      </c>
      <c r="L254" s="181">
        <f>TOBEPAID!L190/1000</f>
        <v>0</v>
      </c>
      <c r="M254" s="181">
        <f>TOBEPAID!M190/1000</f>
        <v>0</v>
      </c>
      <c r="N254" s="181">
        <f>TOBEPAID!N190/1000</f>
        <v>0</v>
      </c>
      <c r="O254" s="181">
        <f>TOBEPAID!O190/1000</f>
        <v>5603.8962599999995</v>
      </c>
      <c r="P254" s="181">
        <f>TOBEPAID!P190/1000</f>
        <v>0</v>
      </c>
      <c r="Q254" s="181">
        <f>TOBEPAID!Q190/1000</f>
        <v>0</v>
      </c>
      <c r="R254" s="181">
        <f>5603896/1000</f>
        <v>5603.8959999999997</v>
      </c>
      <c r="S254" s="181">
        <f>TOBEPAID!S190/1000</f>
        <v>0</v>
      </c>
      <c r="T254" s="181">
        <f>TOBEPAID!T190/1000</f>
        <v>0</v>
      </c>
      <c r="U254" s="181">
        <f>TOBEPAID!U190/1000</f>
        <v>0</v>
      </c>
      <c r="V254" s="181">
        <f>TOBEPAID!V190/1000</f>
        <v>0</v>
      </c>
      <c r="W254" s="181">
        <f>TOBEPAID!W190/1000</f>
        <v>0</v>
      </c>
      <c r="X254" s="181">
        <f>TOBEPAID!X190/1000</f>
        <v>5603.8962599999995</v>
      </c>
      <c r="Y254" s="181">
        <f>+H254+R254</f>
        <v>5603.8959999999997</v>
      </c>
      <c r="Z254" s="181">
        <f>+D254-Y254</f>
        <v>0</v>
      </c>
      <c r="AA254" s="181">
        <f>TOBEPAID!AA190/1000</f>
        <v>0</v>
      </c>
      <c r="AB254" s="181">
        <f>TOBEPAID!AB190/1000</f>
        <v>0</v>
      </c>
      <c r="AC254" s="181"/>
      <c r="AD254" s="181"/>
      <c r="AE254" s="186"/>
      <c r="AF254" s="195">
        <f>+D174+D240</f>
        <v>13389</v>
      </c>
      <c r="AG254" s="195">
        <f>+E174+E240</f>
        <v>13389</v>
      </c>
      <c r="AH254" s="195">
        <f>+F174+F240</f>
        <v>0</v>
      </c>
      <c r="AI254" s="195">
        <f t="shared" si="41"/>
        <v>13389</v>
      </c>
      <c r="AJ254" s="195">
        <f>+L174+L240+L694</f>
        <v>0</v>
      </c>
      <c r="AK254" s="195">
        <f t="shared" si="42"/>
        <v>13389</v>
      </c>
      <c r="AL254" s="195">
        <f>+O174+O240+O694</f>
        <v>0</v>
      </c>
      <c r="AM254" s="195">
        <f>+P174+P240+P694</f>
        <v>0</v>
      </c>
      <c r="AN254" s="195">
        <f t="shared" si="43"/>
        <v>0</v>
      </c>
      <c r="AO254" s="195">
        <f>+V174+V240+V694</f>
        <v>0</v>
      </c>
      <c r="AP254" s="195">
        <f t="shared" si="44"/>
        <v>0</v>
      </c>
      <c r="AQ254" s="195">
        <f t="shared" si="45"/>
        <v>13389</v>
      </c>
      <c r="AR254" s="195">
        <f t="shared" si="46"/>
        <v>0</v>
      </c>
      <c r="AS254" s="195">
        <f t="shared" si="47"/>
        <v>156384.07673999999</v>
      </c>
    </row>
    <row r="255" spans="1:45" x14ac:dyDescent="0.2">
      <c r="A255" s="180"/>
      <c r="B255" s="166"/>
      <c r="C255" s="210"/>
      <c r="D255" s="182" t="s">
        <v>40</v>
      </c>
      <c r="E255" s="182" t="s">
        <v>40</v>
      </c>
      <c r="F255" s="182" t="s">
        <v>40</v>
      </c>
      <c r="G255" s="182"/>
      <c r="H255" s="182" t="s">
        <v>40</v>
      </c>
      <c r="I255" s="182" t="s">
        <v>40</v>
      </c>
      <c r="J255" s="182" t="s">
        <v>40</v>
      </c>
      <c r="K255" s="182" t="s">
        <v>40</v>
      </c>
      <c r="L255" s="182" t="s">
        <v>40</v>
      </c>
      <c r="M255" s="182"/>
      <c r="N255" s="182" t="s">
        <v>40</v>
      </c>
      <c r="O255" s="182" t="s">
        <v>40</v>
      </c>
      <c r="P255" s="182" t="s">
        <v>40</v>
      </c>
      <c r="Q255" s="182"/>
      <c r="R255" s="182" t="s">
        <v>40</v>
      </c>
      <c r="S255" s="182" t="s">
        <v>40</v>
      </c>
      <c r="T255" s="182" t="s">
        <v>40</v>
      </c>
      <c r="U255" s="182" t="s">
        <v>40</v>
      </c>
      <c r="V255" s="182" t="s">
        <v>40</v>
      </c>
      <c r="W255" s="182"/>
      <c r="X255" s="182" t="s">
        <v>40</v>
      </c>
      <c r="Y255" s="182" t="s">
        <v>40</v>
      </c>
      <c r="Z255" s="182" t="s">
        <v>40</v>
      </c>
      <c r="AA255" s="182" t="s">
        <v>40</v>
      </c>
      <c r="AB255" s="201" t="s">
        <v>165</v>
      </c>
      <c r="AC255" s="201"/>
      <c r="AD255" s="201"/>
      <c r="AE255" s="194" t="s">
        <v>298</v>
      </c>
      <c r="AF255" s="195">
        <f>D169+D186+D206+D226+D238+D250+D259</f>
        <v>159555.49742</v>
      </c>
      <c r="AG255" s="195">
        <f>E169+E186+E206+E226+E238+E250+E259</f>
        <v>0</v>
      </c>
      <c r="AH255" s="195">
        <f>F169+F186+F206+F226+F238+F250+F259</f>
        <v>0</v>
      </c>
      <c r="AI255" s="195">
        <f t="shared" si="41"/>
        <v>0</v>
      </c>
      <c r="AJ255" s="195">
        <f>L169+L186+L206+L226+L238+L250+L259</f>
        <v>0</v>
      </c>
      <c r="AK255" s="195">
        <f t="shared" si="42"/>
        <v>0</v>
      </c>
      <c r="AL255" s="195">
        <f>O169+O186+O206+O226+O238+O250+O259</f>
        <v>3171.4206799999997</v>
      </c>
      <c r="AM255" s="195">
        <f>P169+P186+P206+P226+P238+P250+P259</f>
        <v>0</v>
      </c>
      <c r="AN255" s="195">
        <f t="shared" si="43"/>
        <v>3171.4206799999997</v>
      </c>
      <c r="AO255" s="195">
        <f>V169+V186+V206+V226+V238+V250+V259</f>
        <v>0</v>
      </c>
      <c r="AP255" s="195">
        <f t="shared" si="44"/>
        <v>3171.4206799999997</v>
      </c>
      <c r="AQ255" s="195">
        <f t="shared" si="45"/>
        <v>3171.4206799999997</v>
      </c>
      <c r="AR255" s="195">
        <f t="shared" si="46"/>
        <v>156384.07673999999</v>
      </c>
      <c r="AS255" s="195">
        <f t="shared" si="47"/>
        <v>0</v>
      </c>
    </row>
    <row r="256" spans="1:45" x14ac:dyDescent="0.2">
      <c r="A256" s="180"/>
      <c r="B256" s="183"/>
      <c r="C256" s="210"/>
      <c r="D256" s="196">
        <f>SUM(D250:D254)</f>
        <v>36230.768000000004</v>
      </c>
      <c r="E256" s="196">
        <f>SUM(E250:E254)</f>
        <v>8654.3410000000003</v>
      </c>
      <c r="F256" s="196">
        <f>SUM(F250:F254)</f>
        <v>0</v>
      </c>
      <c r="G256" s="196"/>
      <c r="H256" s="196">
        <f>SUM(H250:H254)</f>
        <v>8654.3410000000003</v>
      </c>
      <c r="I256" s="196">
        <f>SUM(I250:I254)</f>
        <v>0</v>
      </c>
      <c r="J256" s="196">
        <f>SUM(J250:J254)</f>
        <v>0</v>
      </c>
      <c r="K256" s="196">
        <f>SUM(K250:K254)</f>
        <v>0</v>
      </c>
      <c r="L256" s="196">
        <f>SUM(L250:L254)</f>
        <v>0</v>
      </c>
      <c r="M256" s="196"/>
      <c r="N256" s="196">
        <f>SUM(N250:N254)</f>
        <v>8654.3410000000003</v>
      </c>
      <c r="O256" s="196">
        <f>SUM(O250:O254)</f>
        <v>11133.899450000001</v>
      </c>
      <c r="P256" s="196">
        <f>SUM(P250:P254)</f>
        <v>0</v>
      </c>
      <c r="Q256" s="196"/>
      <c r="R256" s="196">
        <f>SUM(R250:R254)</f>
        <v>12861.131229999999</v>
      </c>
      <c r="S256" s="196">
        <f>SUM(S250:S254)</f>
        <v>0</v>
      </c>
      <c r="T256" s="196">
        <f>SUM(T250:T254)</f>
        <v>0</v>
      </c>
      <c r="U256" s="196">
        <f>SUM(U250:U254)</f>
        <v>0</v>
      </c>
      <c r="V256" s="196">
        <f>SUM(V250:V254)</f>
        <v>0</v>
      </c>
      <c r="W256" s="196"/>
      <c r="X256" s="196">
        <f>SUM(X250:X254)</f>
        <v>11133.899450000001</v>
      </c>
      <c r="Y256" s="196">
        <f>SUM(Y250:Y254)</f>
        <v>21515.472229999999</v>
      </c>
      <c r="Z256" s="196">
        <f>SUM(Z250:Z254)</f>
        <v>14715.295770000001</v>
      </c>
      <c r="AA256" s="196">
        <f>SUM(AA250:AA254)</f>
        <v>0</v>
      </c>
      <c r="AB256" s="196">
        <f>SUM(AB250:AB254)</f>
        <v>16442.529069999997</v>
      </c>
      <c r="AC256" s="196"/>
      <c r="AD256" s="196"/>
      <c r="AE256" s="186" t="s">
        <v>47</v>
      </c>
      <c r="AF256" s="195">
        <f>D173+D207+D227+D239</f>
        <v>10560.642</v>
      </c>
      <c r="AG256" s="195">
        <f>E173+E207+E227+E239</f>
        <v>10560.642</v>
      </c>
      <c r="AH256" s="195">
        <f>F173+F207+F227+F239</f>
        <v>0</v>
      </c>
      <c r="AI256" s="195">
        <f t="shared" si="41"/>
        <v>10560.642</v>
      </c>
      <c r="AJ256" s="195">
        <f>L173+L207+L227+L239</f>
        <v>0</v>
      </c>
      <c r="AK256" s="195">
        <f t="shared" si="42"/>
        <v>10560.642</v>
      </c>
      <c r="AL256" s="195">
        <f>O173+O207+O227+O239</f>
        <v>0</v>
      </c>
      <c r="AM256" s="195">
        <f>P173+P207+P227+P239</f>
        <v>0</v>
      </c>
      <c r="AN256" s="195">
        <f t="shared" si="43"/>
        <v>0</v>
      </c>
      <c r="AO256" s="195">
        <f>V173+V207+V227+V239</f>
        <v>0</v>
      </c>
      <c r="AP256" s="195">
        <f t="shared" si="44"/>
        <v>0</v>
      </c>
      <c r="AQ256" s="195">
        <f t="shared" si="45"/>
        <v>10560.642</v>
      </c>
      <c r="AR256" s="195">
        <f t="shared" si="46"/>
        <v>0</v>
      </c>
      <c r="AS256" s="195">
        <f t="shared" si="47"/>
        <v>5942.7578799999901</v>
      </c>
    </row>
    <row r="257" spans="1:45" x14ac:dyDescent="0.2">
      <c r="A257" s="180"/>
      <c r="B257" s="183"/>
      <c r="C257" s="210"/>
      <c r="D257" s="182" t="s">
        <v>40</v>
      </c>
      <c r="E257" s="182" t="s">
        <v>40</v>
      </c>
      <c r="F257" s="182" t="s">
        <v>40</v>
      </c>
      <c r="G257" s="182"/>
      <c r="H257" s="182" t="s">
        <v>40</v>
      </c>
      <c r="I257" s="182" t="s">
        <v>40</v>
      </c>
      <c r="J257" s="182" t="s">
        <v>40</v>
      </c>
      <c r="K257" s="182" t="s">
        <v>40</v>
      </c>
      <c r="L257" s="182" t="s">
        <v>40</v>
      </c>
      <c r="M257" s="182"/>
      <c r="N257" s="182" t="s">
        <v>40</v>
      </c>
      <c r="O257" s="182" t="s">
        <v>40</v>
      </c>
      <c r="P257" s="182" t="s">
        <v>40</v>
      </c>
      <c r="Q257" s="182"/>
      <c r="R257" s="182" t="s">
        <v>40</v>
      </c>
      <c r="S257" s="182" t="s">
        <v>40</v>
      </c>
      <c r="T257" s="182" t="s">
        <v>40</v>
      </c>
      <c r="U257" s="182" t="s">
        <v>40</v>
      </c>
      <c r="V257" s="182" t="s">
        <v>40</v>
      </c>
      <c r="W257" s="182"/>
      <c r="X257" s="182" t="s">
        <v>40</v>
      </c>
      <c r="Y257" s="182" t="s">
        <v>40</v>
      </c>
      <c r="Z257" s="182" t="s">
        <v>40</v>
      </c>
      <c r="AA257" s="182" t="s">
        <v>40</v>
      </c>
      <c r="AB257" s="201" t="s">
        <v>165</v>
      </c>
      <c r="AC257" s="201"/>
      <c r="AD257" s="201"/>
      <c r="AE257" s="186" t="s">
        <v>36</v>
      </c>
      <c r="AF257" s="195">
        <f>D179+D198+D208+D232+D243+D253</f>
        <v>95194.861109999998</v>
      </c>
      <c r="AG257" s="195">
        <f>E179+E198+E208+E232+E243+E253</f>
        <v>0</v>
      </c>
      <c r="AH257" s="195">
        <f>F179+F198+F208+F232+F243+F253</f>
        <v>0</v>
      </c>
      <c r="AI257" s="195">
        <f t="shared" si="41"/>
        <v>0</v>
      </c>
      <c r="AJ257" s="195">
        <f>L179+L198+L208+L232+L243+L253</f>
        <v>0</v>
      </c>
      <c r="AK257" s="195">
        <f t="shared" si="42"/>
        <v>0</v>
      </c>
      <c r="AL257" s="195">
        <f>O179+O198+O208+O232+O243+O253</f>
        <v>89252.103230000008</v>
      </c>
      <c r="AM257" s="195">
        <f>P179+P198+P208+P232+P243+P253</f>
        <v>0</v>
      </c>
      <c r="AN257" s="195">
        <f t="shared" si="43"/>
        <v>89252.103230000008</v>
      </c>
      <c r="AO257" s="195">
        <f>V179+V198+V208+V232+V243+V253</f>
        <v>0</v>
      </c>
      <c r="AP257" s="195">
        <f t="shared" si="44"/>
        <v>89252.103230000008</v>
      </c>
      <c r="AQ257" s="195">
        <f t="shared" si="45"/>
        <v>89252.103230000008</v>
      </c>
      <c r="AR257" s="195">
        <f t="shared" si="46"/>
        <v>5942.7578799999901</v>
      </c>
      <c r="AS257" s="195">
        <f t="shared" si="47"/>
        <v>2058.6085900000035</v>
      </c>
    </row>
    <row r="258" spans="1:45" x14ac:dyDescent="0.2">
      <c r="A258" s="180"/>
      <c r="B258" s="183"/>
      <c r="C258" s="210"/>
      <c r="D258" s="196"/>
      <c r="E258" s="182"/>
      <c r="F258" s="182"/>
      <c r="G258" s="182"/>
      <c r="H258" s="181"/>
      <c r="I258" s="182"/>
      <c r="J258" s="182"/>
      <c r="K258" s="182"/>
      <c r="L258" s="182"/>
      <c r="M258" s="182"/>
      <c r="N258" s="191"/>
      <c r="O258" s="196"/>
      <c r="P258" s="182"/>
      <c r="Q258" s="182"/>
      <c r="R258" s="182"/>
      <c r="S258" s="182"/>
      <c r="T258" s="182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86" t="s">
        <v>53</v>
      </c>
      <c r="AF258" s="195">
        <f>D181+D200+D209+D231+D244+D254</f>
        <v>24340.828000000001</v>
      </c>
      <c r="AG258" s="195">
        <f>E181+E200+E209+E231+E244+E254</f>
        <v>0</v>
      </c>
      <c r="AH258" s="195">
        <f>F181+F200+F209+F231+F244+F254</f>
        <v>0</v>
      </c>
      <c r="AI258" s="195">
        <f t="shared" si="41"/>
        <v>0</v>
      </c>
      <c r="AJ258" s="195">
        <f>L181+L200+L209+L231+L244+L254</f>
        <v>0</v>
      </c>
      <c r="AK258" s="195">
        <f t="shared" si="42"/>
        <v>0</v>
      </c>
      <c r="AL258" s="195">
        <f>O181+O200+O209+O231+O244+O254</f>
        <v>22282.219409999998</v>
      </c>
      <c r="AM258" s="195">
        <f>P181+P200+P209+P231+P244+P254</f>
        <v>0</v>
      </c>
      <c r="AN258" s="195">
        <f t="shared" si="43"/>
        <v>22282.219409999998</v>
      </c>
      <c r="AO258" s="195">
        <f>V181+V200+V209+V231+V244+V254</f>
        <v>0</v>
      </c>
      <c r="AP258" s="195">
        <f t="shared" si="44"/>
        <v>22282.219409999998</v>
      </c>
      <c r="AQ258" s="195">
        <f t="shared" si="45"/>
        <v>22282.219409999998</v>
      </c>
      <c r="AR258" s="195">
        <f t="shared" si="46"/>
        <v>2058.6085900000035</v>
      </c>
      <c r="AS258" s="195">
        <f t="shared" si="47"/>
        <v>-2.7000000022781023E-4</v>
      </c>
    </row>
    <row r="259" spans="1:45" x14ac:dyDescent="0.2">
      <c r="A259" s="180">
        <v>18</v>
      </c>
      <c r="B259" s="183" t="s">
        <v>176</v>
      </c>
      <c r="C259" s="166" t="s">
        <v>35</v>
      </c>
      <c r="D259" s="181">
        <f>802856/1000</f>
        <v>802.85599999999999</v>
      </c>
      <c r="E259" s="181">
        <f>TOBEPAID!E195/1000</f>
        <v>0</v>
      </c>
      <c r="F259" s="181">
        <f>TOBEPAID!F195/1000</f>
        <v>0</v>
      </c>
      <c r="G259" s="181">
        <f>TOBEPAID!G195/1000</f>
        <v>0</v>
      </c>
      <c r="H259" s="181">
        <f>802000/1000</f>
        <v>802</v>
      </c>
      <c r="I259" s="181">
        <f>TOBEPAID!I195/1000</f>
        <v>0</v>
      </c>
      <c r="J259" s="181">
        <f>TOBEPAID!J195/1000</f>
        <v>0</v>
      </c>
      <c r="K259" s="181">
        <f>TOBEPAID!K195/1000</f>
        <v>0</v>
      </c>
      <c r="L259" s="181">
        <f>TOBEPAID!L195/1000</f>
        <v>0</v>
      </c>
      <c r="M259" s="181">
        <f>TOBEPAID!M195/1000</f>
        <v>0</v>
      </c>
      <c r="N259" s="181">
        <f>TOBEPAID!N195/1000</f>
        <v>0</v>
      </c>
      <c r="O259" s="181">
        <f>TOBEPAID!O195/1000</f>
        <v>0</v>
      </c>
      <c r="P259" s="181">
        <f>TOBEPAID!P195/1000</f>
        <v>0</v>
      </c>
      <c r="Q259" s="181">
        <f>TOBEPAID!Q195/1000</f>
        <v>0</v>
      </c>
      <c r="R259" s="181">
        <v>0</v>
      </c>
      <c r="S259" s="181">
        <f>TOBEPAID!S195/1000</f>
        <v>0</v>
      </c>
      <c r="T259" s="181">
        <f>TOBEPAID!T195/1000</f>
        <v>0</v>
      </c>
      <c r="U259" s="181">
        <f>TOBEPAID!U195/1000</f>
        <v>0</v>
      </c>
      <c r="V259" s="181">
        <f>TOBEPAID!V195/1000</f>
        <v>0</v>
      </c>
      <c r="W259" s="181">
        <f>TOBEPAID!W195/1000</f>
        <v>0</v>
      </c>
      <c r="X259" s="181">
        <f>TOBEPAID!X195/1000</f>
        <v>0</v>
      </c>
      <c r="Y259" s="181">
        <f>+H259+R259</f>
        <v>802</v>
      </c>
      <c r="Z259" s="181">
        <f>+D259-Y259</f>
        <v>0.85599999999999454</v>
      </c>
      <c r="AA259" s="181">
        <f>TOBEPAID!AA195/1000</f>
        <v>0</v>
      </c>
      <c r="AB259" s="181">
        <f>TOBEPAID!AB195/1000</f>
        <v>36.31156</v>
      </c>
      <c r="AC259" s="181"/>
      <c r="AD259" s="181"/>
      <c r="AE259" s="186" t="s">
        <v>54</v>
      </c>
      <c r="AF259" s="195">
        <f>+D242</f>
        <v>1207.8699999999999</v>
      </c>
      <c r="AG259" s="195">
        <f>+E242</f>
        <v>1207.8702700000001</v>
      </c>
      <c r="AH259" s="195">
        <f>+F242</f>
        <v>0</v>
      </c>
      <c r="AI259" s="195">
        <f t="shared" si="41"/>
        <v>1207.8702700000001</v>
      </c>
      <c r="AJ259" s="195">
        <f>+L242</f>
        <v>0</v>
      </c>
      <c r="AK259" s="195">
        <f t="shared" si="42"/>
        <v>1207.8702700000001</v>
      </c>
      <c r="AL259" s="195">
        <f>+O242</f>
        <v>0</v>
      </c>
      <c r="AM259" s="195">
        <f>+P242</f>
        <v>0</v>
      </c>
      <c r="AN259" s="195">
        <f t="shared" si="43"/>
        <v>0</v>
      </c>
      <c r="AO259" s="195">
        <f>+V242</f>
        <v>0</v>
      </c>
      <c r="AP259" s="195">
        <f t="shared" si="44"/>
        <v>0</v>
      </c>
      <c r="AQ259" s="195">
        <f t="shared" si="45"/>
        <v>1207.8702700000001</v>
      </c>
      <c r="AR259" s="195">
        <f>+AF259-AQ259</f>
        <v>-2.7000000022781023E-4</v>
      </c>
      <c r="AS259" s="195" t="e">
        <f>+#REF!-#REF!</f>
        <v>#REF!</v>
      </c>
    </row>
    <row r="260" spans="1:45" x14ac:dyDescent="0.2">
      <c r="C260" s="165" t="s">
        <v>375</v>
      </c>
      <c r="D260" s="181">
        <f>733455/1000</f>
        <v>733.45500000000004</v>
      </c>
      <c r="E260" s="181">
        <f>TOBEPAID!E197/1000</f>
        <v>733.45510000000002</v>
      </c>
      <c r="F260" s="181">
        <f>TOBEPAID!F197/1000</f>
        <v>0</v>
      </c>
      <c r="G260" s="181">
        <f>TOBEPAID!G197/1000</f>
        <v>0</v>
      </c>
      <c r="H260" s="181">
        <f>733455/1000</f>
        <v>733.45500000000004</v>
      </c>
      <c r="I260" s="181">
        <f>TOBEPAID!I197/1000</f>
        <v>0</v>
      </c>
      <c r="J260" s="181">
        <f>TOBEPAID!J197/1000</f>
        <v>0</v>
      </c>
      <c r="K260" s="181">
        <f>TOBEPAID!K197/1000</f>
        <v>0</v>
      </c>
      <c r="L260" s="181">
        <f>TOBEPAID!L197/1000</f>
        <v>0</v>
      </c>
      <c r="M260" s="181">
        <f>TOBEPAID!M197/1000</f>
        <v>0</v>
      </c>
      <c r="N260" s="181">
        <f>TOBEPAID!N197/1000</f>
        <v>733.45510000000002</v>
      </c>
      <c r="O260" s="181">
        <f>TOBEPAID!O197/1000</f>
        <v>0</v>
      </c>
      <c r="P260" s="181">
        <f>TOBEPAID!P197/1000</f>
        <v>0</v>
      </c>
      <c r="Q260" s="181">
        <f>TOBEPAID!Q197/1000</f>
        <v>0</v>
      </c>
      <c r="R260" s="181">
        <v>0</v>
      </c>
      <c r="S260" s="181">
        <f>TOBEPAID!S197/1000</f>
        <v>0</v>
      </c>
      <c r="T260" s="181">
        <f>TOBEPAID!T197/1000</f>
        <v>0</v>
      </c>
      <c r="U260" s="181">
        <f>TOBEPAID!U197/1000</f>
        <v>0</v>
      </c>
      <c r="V260" s="181">
        <f>TOBEPAID!V197/1000</f>
        <v>0</v>
      </c>
      <c r="W260" s="181">
        <f>TOBEPAID!W197/1000</f>
        <v>0</v>
      </c>
      <c r="X260" s="181">
        <f>TOBEPAID!X197/1000</f>
        <v>0</v>
      </c>
      <c r="Y260" s="181">
        <f>+H260+R260</f>
        <v>733.45500000000004</v>
      </c>
      <c r="Z260" s="181">
        <f>+D260-Y260</f>
        <v>0</v>
      </c>
      <c r="AA260" s="181">
        <f>+E260-Z260</f>
        <v>733.45510000000002</v>
      </c>
      <c r="AB260" s="181">
        <f>TOBEPAID!AB197/1000</f>
        <v>266.54490000000004</v>
      </c>
      <c r="AC260" s="181"/>
      <c r="AD260" s="181"/>
      <c r="AE260" s="186" t="s">
        <v>303</v>
      </c>
      <c r="AF260" s="195">
        <f>D180+D199+D263</f>
        <v>0</v>
      </c>
      <c r="AG260" s="195">
        <f>E180+E199+E263</f>
        <v>0</v>
      </c>
      <c r="AH260" s="195">
        <f>F180+F199+F263</f>
        <v>0</v>
      </c>
      <c r="AI260" s="195">
        <f>+AG260+AH260</f>
        <v>0</v>
      </c>
      <c r="AJ260" s="195">
        <f>L180+L199+L263</f>
        <v>0</v>
      </c>
      <c r="AK260" s="195">
        <f>+AI260+AJ260</f>
        <v>0</v>
      </c>
      <c r="AL260" s="195">
        <f>O180+O199+O263</f>
        <v>0</v>
      </c>
      <c r="AM260" s="195">
        <f>P180+P199+P263</f>
        <v>0</v>
      </c>
      <c r="AN260" s="195">
        <f>+AL260+AM260</f>
        <v>0</v>
      </c>
      <c r="AO260" s="195">
        <f>V180+V199+V263</f>
        <v>0</v>
      </c>
      <c r="AP260" s="195">
        <f>+AN260+AO260</f>
        <v>0</v>
      </c>
      <c r="AQ260" s="195">
        <f t="shared" si="45"/>
        <v>0</v>
      </c>
      <c r="AR260" s="195">
        <f>+AF260-AQ260</f>
        <v>0</v>
      </c>
      <c r="AS260" s="195">
        <f>+AF263-AK263-AP263</f>
        <v>-3.0999999944469891E-4</v>
      </c>
    </row>
    <row r="261" spans="1:45" x14ac:dyDescent="0.2">
      <c r="C261" s="165" t="s">
        <v>366</v>
      </c>
      <c r="D261" s="181">
        <f>5376924/1000</f>
        <v>5376.924</v>
      </c>
      <c r="E261" s="181"/>
      <c r="F261" s="181"/>
      <c r="G261" s="181"/>
      <c r="H261" s="181">
        <f>5376924/1000</f>
        <v>5376.924</v>
      </c>
      <c r="I261" s="181"/>
      <c r="J261" s="181"/>
      <c r="K261" s="181"/>
      <c r="L261" s="181"/>
      <c r="M261" s="181"/>
      <c r="N261" s="181"/>
      <c r="O261" s="181"/>
      <c r="P261" s="181"/>
      <c r="Q261" s="181"/>
      <c r="R261" s="181">
        <v>0</v>
      </c>
      <c r="S261" s="181"/>
      <c r="T261" s="181"/>
      <c r="U261" s="181"/>
      <c r="V261" s="181"/>
      <c r="W261" s="181"/>
      <c r="X261" s="181"/>
      <c r="Y261" s="181">
        <f>+H261+R261</f>
        <v>5376.924</v>
      </c>
      <c r="Z261" s="181">
        <f>+D261-Y261</f>
        <v>0</v>
      </c>
      <c r="AA261" s="181">
        <f>+E261-Z261</f>
        <v>0</v>
      </c>
      <c r="AB261" s="181"/>
      <c r="AC261" s="181"/>
      <c r="AD261" s="181"/>
      <c r="AE261" s="186"/>
      <c r="AF261" s="195"/>
      <c r="AG261" s="195"/>
      <c r="AH261" s="195"/>
      <c r="AI261" s="195"/>
      <c r="AJ261" s="195"/>
      <c r="AK261" s="195"/>
      <c r="AL261" s="195"/>
      <c r="AM261" s="195"/>
      <c r="AN261" s="195"/>
      <c r="AO261" s="195"/>
      <c r="AP261" s="195"/>
      <c r="AQ261" s="195"/>
      <c r="AR261" s="195"/>
      <c r="AS261" s="195"/>
    </row>
    <row r="262" spans="1:45" x14ac:dyDescent="0.2">
      <c r="C262" s="165" t="s">
        <v>473</v>
      </c>
      <c r="D262" s="181">
        <f>6716109.18/1000</f>
        <v>6716.1091799999995</v>
      </c>
      <c r="E262" s="181"/>
      <c r="F262" s="181"/>
      <c r="G262" s="181"/>
      <c r="H262" s="181">
        <f>6716109.18/1000</f>
        <v>6716.1091799999995</v>
      </c>
      <c r="I262" s="181"/>
      <c r="J262" s="181"/>
      <c r="K262" s="181"/>
      <c r="L262" s="181"/>
      <c r="M262" s="181"/>
      <c r="N262" s="181"/>
      <c r="O262" s="181"/>
      <c r="P262" s="181"/>
      <c r="Q262" s="181"/>
      <c r="R262" s="181">
        <v>0</v>
      </c>
      <c r="S262" s="181"/>
      <c r="T262" s="181"/>
      <c r="U262" s="181"/>
      <c r="V262" s="181"/>
      <c r="W262" s="181"/>
      <c r="X262" s="181"/>
      <c r="Y262" s="181">
        <f>+H262+R262</f>
        <v>6716.1091799999995</v>
      </c>
      <c r="Z262" s="181">
        <f>+D262-Y262</f>
        <v>0</v>
      </c>
      <c r="AA262" s="181"/>
      <c r="AB262" s="181"/>
      <c r="AC262" s="181"/>
      <c r="AD262" s="181"/>
      <c r="AE262" s="186"/>
      <c r="AF262" s="195"/>
      <c r="AG262" s="195"/>
      <c r="AH262" s="195"/>
      <c r="AI262" s="195"/>
      <c r="AJ262" s="195"/>
      <c r="AK262" s="195"/>
      <c r="AL262" s="195"/>
      <c r="AM262" s="195"/>
      <c r="AN262" s="195"/>
      <c r="AO262" s="195"/>
      <c r="AP262" s="195"/>
      <c r="AQ262" s="195"/>
      <c r="AR262" s="195"/>
      <c r="AS262" s="195"/>
    </row>
    <row r="263" spans="1:45" x14ac:dyDescent="0.2">
      <c r="A263" s="180"/>
      <c r="B263" s="166"/>
      <c r="C263" s="210" t="s">
        <v>38</v>
      </c>
      <c r="D263" s="181">
        <v>0</v>
      </c>
      <c r="E263" s="181">
        <f>TOBEPAID!E198/1000</f>
        <v>0</v>
      </c>
      <c r="F263" s="181">
        <f>TOBEPAID!F198/1000</f>
        <v>0</v>
      </c>
      <c r="G263" s="181">
        <f>TOBEPAID!G198/1000</f>
        <v>0</v>
      </c>
      <c r="H263" s="181">
        <v>0</v>
      </c>
      <c r="I263" s="181">
        <f>TOBEPAID!I198/1000</f>
        <v>0</v>
      </c>
      <c r="J263" s="181">
        <f>TOBEPAID!J198/1000</f>
        <v>0</v>
      </c>
      <c r="K263" s="181">
        <f>TOBEPAID!K198/1000</f>
        <v>0</v>
      </c>
      <c r="L263" s="181">
        <f>TOBEPAID!L198/1000</f>
        <v>0</v>
      </c>
      <c r="M263" s="181">
        <f>TOBEPAID!M198/1000</f>
        <v>0</v>
      </c>
      <c r="N263" s="181">
        <f>TOBEPAID!N198/1000</f>
        <v>0</v>
      </c>
      <c r="O263" s="181">
        <f>TOBEPAID!O198/1000</f>
        <v>0</v>
      </c>
      <c r="P263" s="181">
        <f>TOBEPAID!P198/1000</f>
        <v>0</v>
      </c>
      <c r="Q263" s="181">
        <f>TOBEPAID!Q198/1000</f>
        <v>0</v>
      </c>
      <c r="R263" s="181">
        <v>0</v>
      </c>
      <c r="S263" s="181">
        <f>TOBEPAID!S198/1000</f>
        <v>0</v>
      </c>
      <c r="T263" s="181">
        <f>TOBEPAID!T198/1000</f>
        <v>0</v>
      </c>
      <c r="U263" s="181">
        <f>TOBEPAID!U198/1000</f>
        <v>0</v>
      </c>
      <c r="V263" s="181">
        <f>TOBEPAID!V198/1000</f>
        <v>0</v>
      </c>
      <c r="W263" s="181">
        <f>TOBEPAID!W198/1000</f>
        <v>0</v>
      </c>
      <c r="X263" s="181">
        <f>TOBEPAID!X198/1000</f>
        <v>0</v>
      </c>
      <c r="Y263" s="181">
        <f>+H263+R263</f>
        <v>0</v>
      </c>
      <c r="Z263" s="181">
        <f>+D263-Y263</f>
        <v>0</v>
      </c>
      <c r="AA263" s="181">
        <f>+E263-Z263</f>
        <v>0</v>
      </c>
      <c r="AB263" s="181">
        <f>TOBEPAID!AB198/1000</f>
        <v>500</v>
      </c>
      <c r="AC263" s="181"/>
      <c r="AD263" s="181"/>
      <c r="AE263" s="186" t="s">
        <v>38</v>
      </c>
      <c r="AF263" s="195">
        <f>D217+D233+D251</f>
        <v>14279.036</v>
      </c>
      <c r="AG263" s="195">
        <f>E217+E233+E251</f>
        <v>14279.03631</v>
      </c>
      <c r="AH263" s="195">
        <f>F217+F233+F251</f>
        <v>0</v>
      </c>
      <c r="AI263" s="195">
        <f>+AG263+AH263</f>
        <v>14279.03631</v>
      </c>
      <c r="AJ263" s="195">
        <f>L217+L233+L251</f>
        <v>0</v>
      </c>
      <c r="AK263" s="195">
        <f>+AI263+AJ263</f>
        <v>14279.03631</v>
      </c>
      <c r="AL263" s="195">
        <f>O217+O233+O251</f>
        <v>0</v>
      </c>
      <c r="AM263" s="195">
        <f>P217+P233+P251</f>
        <v>0</v>
      </c>
      <c r="AN263" s="195">
        <f>+AL263+AM263</f>
        <v>0</v>
      </c>
      <c r="AO263" s="195">
        <f>V217+V233+V251</f>
        <v>0</v>
      </c>
      <c r="AP263" s="195">
        <f>+AN263+AO263</f>
        <v>0</v>
      </c>
      <c r="AQ263" s="195">
        <f t="shared" si="45"/>
        <v>14279.03631</v>
      </c>
      <c r="AR263" s="195">
        <f>+AF263-AQ263</f>
        <v>-3.0999999944469891E-4</v>
      </c>
      <c r="AS263" s="195">
        <f>+AF264-AK264-AP264</f>
        <v>434.40499999999997</v>
      </c>
    </row>
    <row r="264" spans="1:45" x14ac:dyDescent="0.2">
      <c r="A264" s="180"/>
      <c r="B264" s="183"/>
      <c r="C264" s="210"/>
      <c r="D264" s="182" t="s">
        <v>40</v>
      </c>
      <c r="E264" s="182" t="s">
        <v>40</v>
      </c>
      <c r="F264" s="182" t="s">
        <v>40</v>
      </c>
      <c r="G264" s="182"/>
      <c r="H264" s="182" t="s">
        <v>40</v>
      </c>
      <c r="I264" s="182" t="s">
        <v>40</v>
      </c>
      <c r="J264" s="182" t="s">
        <v>40</v>
      </c>
      <c r="K264" s="182" t="s">
        <v>40</v>
      </c>
      <c r="L264" s="182" t="s">
        <v>40</v>
      </c>
      <c r="M264" s="182"/>
      <c r="N264" s="182" t="s">
        <v>40</v>
      </c>
      <c r="O264" s="182" t="s">
        <v>40</v>
      </c>
      <c r="P264" s="182" t="s">
        <v>40</v>
      </c>
      <c r="Q264" s="182"/>
      <c r="R264" s="182" t="s">
        <v>40</v>
      </c>
      <c r="S264" s="182" t="s">
        <v>40</v>
      </c>
      <c r="T264" s="182" t="s">
        <v>40</v>
      </c>
      <c r="U264" s="182" t="s">
        <v>40</v>
      </c>
      <c r="V264" s="182" t="s">
        <v>40</v>
      </c>
      <c r="W264" s="182"/>
      <c r="X264" s="182" t="s">
        <v>40</v>
      </c>
      <c r="Y264" s="182" t="s">
        <v>40</v>
      </c>
      <c r="Z264" s="182" t="s">
        <v>40</v>
      </c>
      <c r="AA264" s="182" t="s">
        <v>40</v>
      </c>
      <c r="AB264" s="201" t="s">
        <v>165</v>
      </c>
      <c r="AC264" s="201"/>
      <c r="AD264" s="201"/>
      <c r="AE264" s="186" t="s">
        <v>255</v>
      </c>
      <c r="AF264" s="195">
        <f>+D245</f>
        <v>434.40499999999997</v>
      </c>
      <c r="AG264" s="195">
        <f>+E245</f>
        <v>0</v>
      </c>
      <c r="AH264" s="195">
        <f>+F245</f>
        <v>0</v>
      </c>
      <c r="AI264" s="195">
        <f>+AG264+AH264</f>
        <v>0</v>
      </c>
      <c r="AJ264" s="195">
        <f>+L245</f>
        <v>0</v>
      </c>
      <c r="AK264" s="195">
        <f>+AI264+AJ264</f>
        <v>0</v>
      </c>
      <c r="AL264" s="195">
        <f>+O245</f>
        <v>0</v>
      </c>
      <c r="AM264" s="195">
        <f>+P245</f>
        <v>0</v>
      </c>
      <c r="AN264" s="195">
        <f>+AL264+AM264</f>
        <v>0</v>
      </c>
      <c r="AO264" s="195">
        <f>+V245</f>
        <v>0</v>
      </c>
      <c r="AP264" s="195">
        <f>+AN264+AO264</f>
        <v>0</v>
      </c>
      <c r="AQ264" s="195">
        <f t="shared" si="45"/>
        <v>0</v>
      </c>
      <c r="AR264" s="195">
        <f>+AF264-AQ264</f>
        <v>434.40499999999997</v>
      </c>
      <c r="AS264" s="195">
        <f>+AF265-AK265-AP265</f>
        <v>1125</v>
      </c>
    </row>
    <row r="265" spans="1:45" x14ac:dyDescent="0.2">
      <c r="A265" s="180"/>
      <c r="B265" s="183"/>
      <c r="C265" s="211"/>
      <c r="D265" s="207">
        <f>SUM(D259:D263)</f>
        <v>13629.34418</v>
      </c>
      <c r="E265" s="207">
        <f>SUM(E259:E263)</f>
        <v>733.45510000000002</v>
      </c>
      <c r="F265" s="207">
        <f>SUM(F259:F263)</f>
        <v>0</v>
      </c>
      <c r="G265" s="207"/>
      <c r="H265" s="207">
        <f>SUM(H259:H263)</f>
        <v>13628.48818</v>
      </c>
      <c r="I265" s="207">
        <f>SUM(I259:I263)</f>
        <v>0</v>
      </c>
      <c r="J265" s="207">
        <f>SUM(J259:J263)</f>
        <v>0</v>
      </c>
      <c r="K265" s="207">
        <f>SUM(K259:K263)</f>
        <v>0</v>
      </c>
      <c r="L265" s="207">
        <f>SUM(L259:L263)</f>
        <v>0</v>
      </c>
      <c r="M265" s="207"/>
      <c r="N265" s="207">
        <f>SUM(N259:N263)</f>
        <v>733.45510000000002</v>
      </c>
      <c r="O265" s="207">
        <f>SUM(O259:O263)</f>
        <v>0</v>
      </c>
      <c r="P265" s="207">
        <f>SUM(P259:P263)</f>
        <v>0</v>
      </c>
      <c r="Q265" s="207"/>
      <c r="R265" s="207">
        <f>SUM(R259:R263)</f>
        <v>0</v>
      </c>
      <c r="S265" s="207">
        <f>SUM(S259:S263)</f>
        <v>0</v>
      </c>
      <c r="T265" s="207">
        <f>SUM(T259:T263)</f>
        <v>0</v>
      </c>
      <c r="U265" s="207">
        <f>SUM(U259:U263)</f>
        <v>0</v>
      </c>
      <c r="V265" s="207">
        <f>SUM(V259:V263)</f>
        <v>0</v>
      </c>
      <c r="W265" s="207"/>
      <c r="X265" s="207">
        <f>SUM(X259:X263)</f>
        <v>0</v>
      </c>
      <c r="Y265" s="207">
        <f>SUM(Y259:Y263)</f>
        <v>13628.48818</v>
      </c>
      <c r="Z265" s="207">
        <f>SUM(Z259:Z263)</f>
        <v>0.85599999999999454</v>
      </c>
      <c r="AA265" s="207">
        <f>SUM(AA259:AA263)</f>
        <v>733.45510000000002</v>
      </c>
      <c r="AB265" s="207">
        <f>SUM(AB259:AB263)</f>
        <v>802.85645999999997</v>
      </c>
      <c r="AC265" s="207"/>
      <c r="AD265" s="207"/>
      <c r="AE265" s="186" t="s">
        <v>245</v>
      </c>
      <c r="AF265" s="195">
        <f>+D218+D201</f>
        <v>1125</v>
      </c>
      <c r="AG265" s="195">
        <f>+E218+E201</f>
        <v>0</v>
      </c>
      <c r="AH265" s="195">
        <f>+F218+F201</f>
        <v>0</v>
      </c>
      <c r="AI265" s="195">
        <f>+AG265+AH265</f>
        <v>0</v>
      </c>
      <c r="AJ265" s="195">
        <f>+L218+L201</f>
        <v>0</v>
      </c>
      <c r="AK265" s="195">
        <f>+AI265+AJ265</f>
        <v>0</v>
      </c>
      <c r="AL265" s="195">
        <f>+O218+O201</f>
        <v>0</v>
      </c>
      <c r="AM265" s="195">
        <f>+P218+P201</f>
        <v>0</v>
      </c>
      <c r="AN265" s="195">
        <f>+AL265+AM265</f>
        <v>0</v>
      </c>
      <c r="AO265" s="195">
        <f>+V218+V201</f>
        <v>0</v>
      </c>
      <c r="AP265" s="195">
        <f>+AN265+AO265</f>
        <v>0</v>
      </c>
      <c r="AQ265" s="195">
        <f t="shared" si="45"/>
        <v>0</v>
      </c>
      <c r="AR265" s="195">
        <f>+AF265-AQ265</f>
        <v>1125</v>
      </c>
      <c r="AS265" s="195" t="e">
        <f>SUM(AS251:AS264)</f>
        <v>#REF!</v>
      </c>
    </row>
    <row r="266" spans="1:45" x14ac:dyDescent="0.2">
      <c r="A266" s="180"/>
      <c r="B266" s="183"/>
      <c r="C266" s="211"/>
      <c r="D266" s="182" t="s">
        <v>40</v>
      </c>
      <c r="E266" s="182" t="s">
        <v>40</v>
      </c>
      <c r="F266" s="182" t="s">
        <v>40</v>
      </c>
      <c r="G266" s="182"/>
      <c r="H266" s="182" t="s">
        <v>40</v>
      </c>
      <c r="I266" s="182" t="s">
        <v>40</v>
      </c>
      <c r="J266" s="182" t="s">
        <v>40</v>
      </c>
      <c r="K266" s="182" t="s">
        <v>40</v>
      </c>
      <c r="L266" s="182" t="s">
        <v>40</v>
      </c>
      <c r="M266" s="182"/>
      <c r="N266" s="182" t="s">
        <v>40</v>
      </c>
      <c r="O266" s="182" t="s">
        <v>40</v>
      </c>
      <c r="P266" s="182" t="s">
        <v>40</v>
      </c>
      <c r="Q266" s="182"/>
      <c r="R266" s="182" t="s">
        <v>40</v>
      </c>
      <c r="S266" s="182" t="s">
        <v>40</v>
      </c>
      <c r="T266" s="182" t="s">
        <v>40</v>
      </c>
      <c r="U266" s="182" t="s">
        <v>40</v>
      </c>
      <c r="V266" s="182" t="s">
        <v>40</v>
      </c>
      <c r="W266" s="182"/>
      <c r="X266" s="182" t="s">
        <v>40</v>
      </c>
      <c r="Y266" s="182" t="s">
        <v>40</v>
      </c>
      <c r="Z266" s="182" t="s">
        <v>40</v>
      </c>
      <c r="AA266" s="182" t="s">
        <v>40</v>
      </c>
      <c r="AB266" s="201" t="s">
        <v>165</v>
      </c>
      <c r="AC266" s="201"/>
      <c r="AD266" s="201"/>
      <c r="AE266" s="186" t="s">
        <v>167</v>
      </c>
      <c r="AF266" s="195">
        <f t="shared" ref="AF266:AR266" si="48">SUM(AF252:AF265)</f>
        <v>341462.42653</v>
      </c>
      <c r="AG266" s="195">
        <f t="shared" si="48"/>
        <v>60811.745735999997</v>
      </c>
      <c r="AH266" s="195">
        <f t="shared" si="48"/>
        <v>0</v>
      </c>
      <c r="AI266" s="195">
        <f t="shared" si="48"/>
        <v>60811.745735999997</v>
      </c>
      <c r="AJ266" s="195">
        <f t="shared" si="48"/>
        <v>0</v>
      </c>
      <c r="AK266" s="195">
        <f t="shared" si="48"/>
        <v>60811.745735999997</v>
      </c>
      <c r="AL266" s="195">
        <f t="shared" si="48"/>
        <v>114705.74332000001</v>
      </c>
      <c r="AM266" s="195">
        <f t="shared" si="48"/>
        <v>0</v>
      </c>
      <c r="AN266" s="195">
        <f t="shared" si="48"/>
        <v>114705.74332000001</v>
      </c>
      <c r="AO266" s="195">
        <f t="shared" si="48"/>
        <v>0</v>
      </c>
      <c r="AP266" s="195">
        <f t="shared" si="48"/>
        <v>114705.74332000001</v>
      </c>
      <c r="AQ266" s="195">
        <f t="shared" si="48"/>
        <v>175517.48905599999</v>
      </c>
      <c r="AR266" s="195">
        <f t="shared" si="48"/>
        <v>165944.93747400001</v>
      </c>
    </row>
    <row r="267" spans="1:45" x14ac:dyDescent="0.2">
      <c r="A267" s="180"/>
      <c r="B267" s="202" t="s">
        <v>177</v>
      </c>
      <c r="C267" s="211" t="s">
        <v>168</v>
      </c>
      <c r="D267" s="207">
        <f>D183+D203+D220+D235+D247+D256+D265</f>
        <v>5322009.4176500011</v>
      </c>
      <c r="E267" s="207">
        <f>E183+E203+E220+E235+E247+E256+E265</f>
        <v>623521.12477600004</v>
      </c>
      <c r="F267" s="207">
        <f>F183+F203+F220+F235+F247+F256+F265</f>
        <v>82000</v>
      </c>
      <c r="G267" s="207"/>
      <c r="H267" s="207">
        <f>H183+H203+H220+H235+H247+H256+H265</f>
        <v>4963652.0648499997</v>
      </c>
      <c r="I267" s="207">
        <f>I183+I203+I220+I235+I247+I256+I265</f>
        <v>0</v>
      </c>
      <c r="J267" s="207">
        <f>J183+J203+J220+J235+J247+J256+J265</f>
        <v>0</v>
      </c>
      <c r="K267" s="207">
        <f>K183+K203+K220+K235+K247+K256+K265</f>
        <v>0</v>
      </c>
      <c r="L267" s="207">
        <f>L183+L203+L220+L235+L247+L256+L265</f>
        <v>0</v>
      </c>
      <c r="M267" s="207"/>
      <c r="N267" s="207">
        <f>N183+N203+N220+N235+N247+N256+N265</f>
        <v>705521.12477600004</v>
      </c>
      <c r="O267" s="207">
        <f>O183+O203+O220+O235+O247+O256+O265</f>
        <v>114705.74331999999</v>
      </c>
      <c r="P267" s="207">
        <f>P183+P203+P220+P235+P247+P256+P265</f>
        <v>0</v>
      </c>
      <c r="Q267" s="207"/>
      <c r="R267" s="207">
        <f>R183+R203+R220+R235+R247+R256+R265</f>
        <v>119442.46161</v>
      </c>
      <c r="S267" s="207">
        <f>S183+S203+S220+S235+S247+S256+S265</f>
        <v>0</v>
      </c>
      <c r="T267" s="207">
        <f>T183+T203+T220+T235+T247+T256+T265</f>
        <v>0</v>
      </c>
      <c r="U267" s="207">
        <f>U183+U203+U220+U235+U247+U256+U265</f>
        <v>0</v>
      </c>
      <c r="V267" s="207">
        <f>V183+V203+V220+V235+V247+V256+V265</f>
        <v>0</v>
      </c>
      <c r="W267" s="207"/>
      <c r="X267" s="207">
        <f>X183+X203+X220+X235+X247+X256+X265</f>
        <v>114705.74331999999</v>
      </c>
      <c r="Y267" s="207">
        <f>Y183+Y203+Y220+Y235+Y247+Y256+Y265</f>
        <v>5083094.5264600003</v>
      </c>
      <c r="Z267" s="207">
        <f>Z183+Z203+Z220+Z235+Z247+Z256+Z265</f>
        <v>238915.29124999998</v>
      </c>
      <c r="AA267" s="207" t="e">
        <f>AA183+AA203+AA220+AA235+AA247+AA256+AA265</f>
        <v>#VALUE!</v>
      </c>
      <c r="AB267" s="207" t="e">
        <f>AB183+AB203+AB220+AB235+AB247+AB256+AB265</f>
        <v>#VALUE!</v>
      </c>
      <c r="AC267" s="207"/>
      <c r="AD267" s="207"/>
      <c r="AQ267" s="195"/>
    </row>
    <row r="268" spans="1:45" x14ac:dyDescent="0.2">
      <c r="A268" s="180"/>
      <c r="D268" s="212" t="s">
        <v>166</v>
      </c>
      <c r="E268" s="212" t="s">
        <v>166</v>
      </c>
      <c r="F268" s="212" t="s">
        <v>166</v>
      </c>
      <c r="G268" s="212"/>
      <c r="H268" s="212" t="s">
        <v>166</v>
      </c>
      <c r="I268" s="191"/>
      <c r="J268" s="191"/>
      <c r="K268" s="191"/>
      <c r="L268" s="212" t="s">
        <v>166</v>
      </c>
      <c r="M268" s="212"/>
      <c r="N268" s="212" t="s">
        <v>166</v>
      </c>
      <c r="O268" s="212" t="s">
        <v>166</v>
      </c>
      <c r="P268" s="212" t="s">
        <v>166</v>
      </c>
      <c r="Q268" s="212"/>
      <c r="R268" s="212" t="s">
        <v>166</v>
      </c>
      <c r="S268" s="191"/>
      <c r="T268" s="191"/>
      <c r="U268" s="191"/>
      <c r="V268" s="212" t="s">
        <v>166</v>
      </c>
      <c r="W268" s="212"/>
      <c r="X268" s="212" t="s">
        <v>166</v>
      </c>
      <c r="Y268" s="212" t="s">
        <v>166</v>
      </c>
      <c r="Z268" s="212" t="s">
        <v>166</v>
      </c>
      <c r="AA268" s="191"/>
      <c r="AB268" s="212" t="s">
        <v>166</v>
      </c>
      <c r="AC268" s="212"/>
      <c r="AD268" s="212"/>
      <c r="AS268" s="165" t="e">
        <f>+AS265-AB267</f>
        <v>#REF!</v>
      </c>
    </row>
    <row r="269" spans="1:45" x14ac:dyDescent="0.2">
      <c r="A269" s="180"/>
      <c r="D269" s="191"/>
      <c r="E269" s="191"/>
      <c r="F269" s="191"/>
      <c r="G269" s="191"/>
      <c r="H269" s="191"/>
      <c r="I269" s="191"/>
      <c r="J269" s="191"/>
      <c r="K269" s="191"/>
      <c r="L269" s="191"/>
      <c r="M269" s="191"/>
      <c r="N269" s="191"/>
      <c r="O269" s="207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</row>
    <row r="270" spans="1:45" x14ac:dyDescent="0.2">
      <c r="A270" s="180"/>
      <c r="B270" s="166" t="s">
        <v>58</v>
      </c>
      <c r="D270" s="191"/>
      <c r="E270" s="191"/>
      <c r="F270" s="191"/>
      <c r="G270" s="191"/>
      <c r="H270" s="191"/>
      <c r="I270" s="191"/>
      <c r="J270" s="191"/>
      <c r="K270" s="191"/>
      <c r="L270" s="191"/>
      <c r="M270" s="191"/>
      <c r="N270" s="191"/>
      <c r="O270" s="207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</row>
    <row r="271" spans="1:45" x14ac:dyDescent="0.2">
      <c r="A271" s="180"/>
      <c r="D271" s="191"/>
      <c r="E271" s="191"/>
      <c r="F271" s="191"/>
      <c r="G271" s="191"/>
      <c r="H271" s="191"/>
      <c r="I271" s="191"/>
      <c r="J271" s="191"/>
      <c r="K271" s="191"/>
      <c r="L271" s="191"/>
      <c r="M271" s="191"/>
      <c r="N271" s="191"/>
      <c r="O271" s="207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</row>
    <row r="272" spans="1:45" x14ac:dyDescent="0.2">
      <c r="A272" s="180">
        <v>19</v>
      </c>
      <c r="B272" s="168" t="s">
        <v>59</v>
      </c>
      <c r="C272" s="168" t="s">
        <v>35</v>
      </c>
      <c r="D272" s="181">
        <f>27107455/1000</f>
        <v>27107.455000000002</v>
      </c>
      <c r="E272" s="181">
        <f>TOBEPAID!E208/1000</f>
        <v>1500</v>
      </c>
      <c r="F272" s="181">
        <f>TOBEPAID!F208/1000</f>
        <v>0</v>
      </c>
      <c r="G272" s="181">
        <f>TOBEPAID!G208/1000</f>
        <v>0</v>
      </c>
      <c r="H272" s="181">
        <f>20278431.73/1000</f>
        <v>20278.43173</v>
      </c>
      <c r="I272" s="181">
        <f>TOBEPAID!I208/1000</f>
        <v>0</v>
      </c>
      <c r="J272" s="181">
        <f>TOBEPAID!J208/1000</f>
        <v>0</v>
      </c>
      <c r="K272" s="181">
        <f>TOBEPAID!K208/1000</f>
        <v>0</v>
      </c>
      <c r="L272" s="181">
        <f>TOBEPAID!L208/1000</f>
        <v>0</v>
      </c>
      <c r="M272" s="181">
        <f>TOBEPAID!M208/1000</f>
        <v>0</v>
      </c>
      <c r="N272" s="181">
        <f>TOBEPAID!N208/1000</f>
        <v>1500</v>
      </c>
      <c r="O272" s="181">
        <f>TOBEPAID!O208/1000</f>
        <v>1250.3587399999999</v>
      </c>
      <c r="P272" s="181">
        <f>TOBEPAID!P208/1000</f>
        <v>0</v>
      </c>
      <c r="Q272" s="181">
        <f>TOBEPAID!Q208/1000</f>
        <v>0</v>
      </c>
      <c r="R272" s="181">
        <f>5453403/1000</f>
        <v>5453.4030000000002</v>
      </c>
      <c r="S272" s="181">
        <f>TOBEPAID!S208/1000</f>
        <v>0</v>
      </c>
      <c r="T272" s="181">
        <f>TOBEPAID!T208/1000</f>
        <v>0</v>
      </c>
      <c r="U272" s="181">
        <f>TOBEPAID!U208/1000</f>
        <v>0</v>
      </c>
      <c r="V272" s="181">
        <f>TOBEPAID!V208/1000</f>
        <v>0</v>
      </c>
      <c r="W272" s="181">
        <f>TOBEPAID!W208/1000</f>
        <v>0</v>
      </c>
      <c r="X272" s="181">
        <f>TOBEPAID!X208/1000</f>
        <v>1250.3587399999999</v>
      </c>
      <c r="Y272" s="181">
        <f>+H272+R272</f>
        <v>25731.834730000002</v>
      </c>
      <c r="Z272" s="181">
        <f>+D272-Y272</f>
        <v>1375.6202699999994</v>
      </c>
      <c r="AA272" s="181">
        <f>TOBEPAID!AA208/1000</f>
        <v>2750.3587400000001</v>
      </c>
      <c r="AB272" s="181">
        <f>TOBEPAID!AB208/1000</f>
        <v>13023.518029999999</v>
      </c>
      <c r="AC272" s="181"/>
      <c r="AD272" s="181"/>
    </row>
    <row r="273" spans="1:30" x14ac:dyDescent="0.2">
      <c r="A273" s="180"/>
      <c r="C273" s="168" t="s">
        <v>36</v>
      </c>
      <c r="D273" s="181">
        <f>6001800/1000</f>
        <v>6001.8</v>
      </c>
      <c r="E273" s="181">
        <f>TOBEPAID!E209/1000</f>
        <v>6001.8</v>
      </c>
      <c r="F273" s="181">
        <f>TOBEPAID!F209/1000</f>
        <v>0</v>
      </c>
      <c r="G273" s="181">
        <f>TOBEPAID!G209/1000</f>
        <v>0</v>
      </c>
      <c r="H273" s="181">
        <f>6001800/1000</f>
        <v>6001.8</v>
      </c>
      <c r="I273" s="181">
        <f>TOBEPAID!I209/1000</f>
        <v>0</v>
      </c>
      <c r="J273" s="181">
        <f>TOBEPAID!J209/1000</f>
        <v>0</v>
      </c>
      <c r="K273" s="181">
        <f>TOBEPAID!K209/1000</f>
        <v>0</v>
      </c>
      <c r="L273" s="181">
        <f>TOBEPAID!L209/1000</f>
        <v>0</v>
      </c>
      <c r="M273" s="181">
        <f>TOBEPAID!M209/1000</f>
        <v>0</v>
      </c>
      <c r="N273" s="181">
        <f>TOBEPAID!N209/1000</f>
        <v>6001.8</v>
      </c>
      <c r="O273" s="181">
        <f>TOBEPAID!O209/1000</f>
        <v>0</v>
      </c>
      <c r="P273" s="181">
        <f>TOBEPAID!P209/1000</f>
        <v>0</v>
      </c>
      <c r="Q273" s="181">
        <f>TOBEPAID!Q209/1000</f>
        <v>0</v>
      </c>
      <c r="R273" s="181">
        <f>TOBEPAID!R209/1000</f>
        <v>0</v>
      </c>
      <c r="S273" s="181">
        <f>TOBEPAID!S209/1000</f>
        <v>0</v>
      </c>
      <c r="T273" s="181">
        <f>TOBEPAID!T209/1000</f>
        <v>0</v>
      </c>
      <c r="U273" s="181">
        <f>TOBEPAID!U209/1000</f>
        <v>0</v>
      </c>
      <c r="V273" s="181">
        <f>TOBEPAID!V209/1000</f>
        <v>0</v>
      </c>
      <c r="W273" s="181">
        <f>TOBEPAID!W209/1000</f>
        <v>0</v>
      </c>
      <c r="X273" s="181">
        <f>TOBEPAID!X209/1000</f>
        <v>0</v>
      </c>
      <c r="Y273" s="181">
        <f>TOBEPAID!Y209/1000</f>
        <v>6001.8</v>
      </c>
      <c r="Z273" s="181">
        <f>TOBEPAID!Z209/1000</f>
        <v>0</v>
      </c>
      <c r="AA273" s="181">
        <f>TOBEPAID!AA209/1000</f>
        <v>6001.8</v>
      </c>
      <c r="AB273" s="181">
        <f>TOBEPAID!AB209/1000</f>
        <v>0</v>
      </c>
      <c r="AC273" s="181"/>
      <c r="AD273" s="181"/>
    </row>
    <row r="274" spans="1:30" x14ac:dyDescent="0.2">
      <c r="A274" s="180"/>
      <c r="C274" s="168" t="s">
        <v>444</v>
      </c>
      <c r="D274" s="181">
        <f>10000000/1000</f>
        <v>10000</v>
      </c>
      <c r="E274" s="181"/>
      <c r="F274" s="181"/>
      <c r="G274" s="181"/>
      <c r="H274" s="181">
        <f>10000000/1000</f>
        <v>10000</v>
      </c>
      <c r="I274" s="181"/>
      <c r="J274" s="181"/>
      <c r="K274" s="181"/>
      <c r="L274" s="181"/>
      <c r="M274" s="181"/>
      <c r="N274" s="181"/>
      <c r="O274" s="181"/>
      <c r="P274" s="181"/>
      <c r="Q274" s="181"/>
      <c r="R274" s="181">
        <v>0</v>
      </c>
      <c r="S274" s="181"/>
      <c r="T274" s="181"/>
      <c r="U274" s="181"/>
      <c r="V274" s="181"/>
      <c r="W274" s="181"/>
      <c r="X274" s="181"/>
      <c r="Y274" s="181">
        <f>+H274+R274</f>
        <v>10000</v>
      </c>
      <c r="Z274" s="181">
        <f t="shared" ref="Z274:Z281" si="49">+D274-Y274</f>
        <v>0</v>
      </c>
      <c r="AA274" s="181"/>
      <c r="AB274" s="181"/>
      <c r="AC274" s="181"/>
      <c r="AD274" s="181"/>
    </row>
    <row r="275" spans="1:30" x14ac:dyDescent="0.2">
      <c r="A275" s="180"/>
      <c r="C275" s="168" t="s">
        <v>478</v>
      </c>
      <c r="D275" s="181">
        <f>143000000/1000</f>
        <v>143000</v>
      </c>
      <c r="E275" s="181"/>
      <c r="F275" s="181"/>
      <c r="G275" s="181"/>
      <c r="H275" s="181">
        <v>0</v>
      </c>
      <c r="I275" s="181"/>
      <c r="J275" s="181"/>
      <c r="K275" s="181"/>
      <c r="L275" s="181"/>
      <c r="M275" s="181"/>
      <c r="N275" s="181"/>
      <c r="O275" s="181"/>
      <c r="P275" s="181"/>
      <c r="Q275" s="181"/>
      <c r="R275" s="181">
        <v>0</v>
      </c>
      <c r="S275" s="181"/>
      <c r="T275" s="181"/>
      <c r="U275" s="181"/>
      <c r="V275" s="181"/>
      <c r="W275" s="181"/>
      <c r="X275" s="181"/>
      <c r="Y275" s="181">
        <f>+H275+R275</f>
        <v>0</v>
      </c>
      <c r="Z275" s="181">
        <f>+D275-Y275</f>
        <v>143000</v>
      </c>
      <c r="AA275" s="181"/>
      <c r="AB275" s="181"/>
      <c r="AC275" s="181"/>
      <c r="AD275" s="181"/>
    </row>
    <row r="276" spans="1:30" x14ac:dyDescent="0.2">
      <c r="C276" s="165" t="s">
        <v>365</v>
      </c>
      <c r="D276" s="181">
        <f>8000000/1000</f>
        <v>8000</v>
      </c>
      <c r="E276" s="181">
        <f>TOBEPAID!E210/1000</f>
        <v>7986.1920499999997</v>
      </c>
      <c r="F276" s="181">
        <f>TOBEPAID!F210/1000</f>
        <v>0</v>
      </c>
      <c r="G276" s="181">
        <f>TOBEPAID!G210/1000</f>
        <v>0</v>
      </c>
      <c r="H276" s="181">
        <f>7986192/1000</f>
        <v>7986.192</v>
      </c>
      <c r="I276" s="181">
        <f>TOBEPAID!I210/1000</f>
        <v>0</v>
      </c>
      <c r="J276" s="181">
        <f>TOBEPAID!J210/1000</f>
        <v>0</v>
      </c>
      <c r="K276" s="181">
        <f>TOBEPAID!K210/1000</f>
        <v>0</v>
      </c>
      <c r="L276" s="181">
        <f>TOBEPAID!L210/1000</f>
        <v>0</v>
      </c>
      <c r="M276" s="181">
        <f>TOBEPAID!M210/1000</f>
        <v>0</v>
      </c>
      <c r="N276" s="181">
        <f>TOBEPAID!N210/1000</f>
        <v>7986.1920499999997</v>
      </c>
      <c r="O276" s="181">
        <f>TOBEPAID!O210/1000</f>
        <v>0</v>
      </c>
      <c r="P276" s="181">
        <f>TOBEPAID!P210/1000</f>
        <v>0</v>
      </c>
      <c r="Q276" s="181">
        <f>TOBEPAID!Q210/1000</f>
        <v>0</v>
      </c>
      <c r="R276" s="181">
        <f>TOBEPAID!R210/1000</f>
        <v>0</v>
      </c>
      <c r="S276" s="181">
        <f>TOBEPAID!S210/1000</f>
        <v>0</v>
      </c>
      <c r="T276" s="181">
        <f>TOBEPAID!T210/1000</f>
        <v>0</v>
      </c>
      <c r="U276" s="181">
        <f>TOBEPAID!U210/1000</f>
        <v>0</v>
      </c>
      <c r="V276" s="181">
        <f>TOBEPAID!V210/1000</f>
        <v>0</v>
      </c>
      <c r="W276" s="181">
        <f>TOBEPAID!W210/1000</f>
        <v>0</v>
      </c>
      <c r="X276" s="181">
        <f>TOBEPAID!X210/1000</f>
        <v>0</v>
      </c>
      <c r="Y276" s="181">
        <f>+H276+R276</f>
        <v>7986.192</v>
      </c>
      <c r="Z276" s="181">
        <f t="shared" si="49"/>
        <v>13.807999999999993</v>
      </c>
      <c r="AA276" s="181">
        <f>TOBEPAID!AA210/1000</f>
        <v>7986.1920499999997</v>
      </c>
      <c r="AB276" s="181">
        <f>TOBEPAID!AB210/1000</f>
        <v>13.807950000000186</v>
      </c>
      <c r="AC276" s="181"/>
      <c r="AD276" s="181"/>
    </row>
    <row r="277" spans="1:30" x14ac:dyDescent="0.2">
      <c r="C277" s="165" t="s">
        <v>374</v>
      </c>
      <c r="D277" s="181">
        <f>8000000/1000</f>
        <v>8000</v>
      </c>
      <c r="E277" s="181"/>
      <c r="F277" s="181"/>
      <c r="G277" s="181"/>
      <c r="H277" s="181">
        <f>8000000/1000</f>
        <v>8000</v>
      </c>
      <c r="I277" s="181"/>
      <c r="J277" s="181"/>
      <c r="K277" s="181"/>
      <c r="L277" s="181"/>
      <c r="M277" s="181"/>
      <c r="N277" s="181"/>
      <c r="O277" s="181"/>
      <c r="P277" s="181"/>
      <c r="Q277" s="181"/>
      <c r="R277" s="181">
        <v>0</v>
      </c>
      <c r="S277" s="181"/>
      <c r="T277" s="181"/>
      <c r="U277" s="181"/>
      <c r="V277" s="181"/>
      <c r="W277" s="181"/>
      <c r="X277" s="181"/>
      <c r="Y277" s="181">
        <f>+H277-R277</f>
        <v>8000</v>
      </c>
      <c r="Z277" s="181">
        <f t="shared" si="49"/>
        <v>0</v>
      </c>
      <c r="AA277" s="181"/>
      <c r="AB277" s="181"/>
      <c r="AC277" s="181"/>
      <c r="AD277" s="181"/>
    </row>
    <row r="278" spans="1:30" x14ac:dyDescent="0.2">
      <c r="C278" s="165" t="s">
        <v>387</v>
      </c>
      <c r="D278" s="181">
        <f>9999965/1000</f>
        <v>9999.9650000000001</v>
      </c>
      <c r="E278" s="181"/>
      <c r="F278" s="181"/>
      <c r="G278" s="181"/>
      <c r="H278" s="181">
        <f>9999965/1000</f>
        <v>9999.9650000000001</v>
      </c>
      <c r="I278" s="181"/>
      <c r="J278" s="181"/>
      <c r="K278" s="181"/>
      <c r="L278" s="181"/>
      <c r="M278" s="181"/>
      <c r="N278" s="181"/>
      <c r="O278" s="181"/>
      <c r="P278" s="181"/>
      <c r="Q278" s="181"/>
      <c r="R278" s="181">
        <v>0</v>
      </c>
      <c r="S278" s="181"/>
      <c r="T278" s="181"/>
      <c r="U278" s="181"/>
      <c r="V278" s="181"/>
      <c r="W278" s="181"/>
      <c r="X278" s="181"/>
      <c r="Y278" s="181">
        <f>+H278+R278</f>
        <v>9999.9650000000001</v>
      </c>
      <c r="Z278" s="181">
        <f t="shared" si="49"/>
        <v>0</v>
      </c>
      <c r="AA278" s="181"/>
      <c r="AB278" s="181"/>
      <c r="AC278" s="181"/>
      <c r="AD278" s="181"/>
    </row>
    <row r="279" spans="1:30" x14ac:dyDescent="0.2">
      <c r="C279" s="165" t="s">
        <v>437</v>
      </c>
      <c r="D279" s="181">
        <f>5522166/1000</f>
        <v>5522.1660000000002</v>
      </c>
      <c r="E279" s="181"/>
      <c r="F279" s="181"/>
      <c r="G279" s="181"/>
      <c r="H279" s="181">
        <f>5522166/1000</f>
        <v>5522.1660000000002</v>
      </c>
      <c r="I279" s="181"/>
      <c r="J279" s="181"/>
      <c r="K279" s="181"/>
      <c r="L279" s="181"/>
      <c r="M279" s="181"/>
      <c r="N279" s="181"/>
      <c r="O279" s="181"/>
      <c r="P279" s="181"/>
      <c r="Q279" s="181"/>
      <c r="R279" s="181">
        <v>0</v>
      </c>
      <c r="S279" s="181"/>
      <c r="T279" s="181"/>
      <c r="U279" s="181"/>
      <c r="V279" s="181"/>
      <c r="W279" s="181"/>
      <c r="X279" s="181"/>
      <c r="Y279" s="181">
        <f>+H279+R279</f>
        <v>5522.1660000000002</v>
      </c>
      <c r="Z279" s="181">
        <f t="shared" si="49"/>
        <v>0</v>
      </c>
      <c r="AA279" s="181"/>
      <c r="AB279" s="181"/>
      <c r="AC279" s="181"/>
      <c r="AD279" s="181"/>
    </row>
    <row r="280" spans="1:30" x14ac:dyDescent="0.2">
      <c r="C280" s="165" t="s">
        <v>450</v>
      </c>
      <c r="D280" s="181">
        <f>10525000/1000</f>
        <v>10525</v>
      </c>
      <c r="E280" s="181"/>
      <c r="F280" s="181"/>
      <c r="G280" s="181"/>
      <c r="H280" s="181">
        <f>10525000/1000</f>
        <v>10525</v>
      </c>
      <c r="I280" s="181"/>
      <c r="J280" s="181"/>
      <c r="K280" s="181"/>
      <c r="L280" s="181"/>
      <c r="M280" s="181"/>
      <c r="N280" s="181"/>
      <c r="O280" s="181"/>
      <c r="P280" s="181"/>
      <c r="Q280" s="181"/>
      <c r="R280" s="181">
        <v>0</v>
      </c>
      <c r="S280" s="181"/>
      <c r="T280" s="181"/>
      <c r="U280" s="181"/>
      <c r="V280" s="181"/>
      <c r="W280" s="181"/>
      <c r="X280" s="181"/>
      <c r="Y280" s="181">
        <f>+H280+R280</f>
        <v>10525</v>
      </c>
      <c r="Z280" s="181">
        <f t="shared" si="49"/>
        <v>0</v>
      </c>
      <c r="AA280" s="181"/>
      <c r="AB280" s="181"/>
      <c r="AC280" s="181"/>
      <c r="AD280" s="181"/>
    </row>
    <row r="281" spans="1:30" x14ac:dyDescent="0.2">
      <c r="C281" s="165" t="s">
        <v>290</v>
      </c>
      <c r="D281" s="165">
        <f>477657616.38/1000</f>
        <v>477657.61638000002</v>
      </c>
      <c r="H281" s="165">
        <f>477657616.38/1000</f>
        <v>477657.61638000002</v>
      </c>
      <c r="R281" s="165">
        <v>0</v>
      </c>
      <c r="Y281" s="165">
        <f>+H281+R281</f>
        <v>477657.61638000002</v>
      </c>
      <c r="Z281" s="165">
        <f t="shared" si="49"/>
        <v>0</v>
      </c>
    </row>
    <row r="282" spans="1:30" x14ac:dyDescent="0.2">
      <c r="C282" s="165" t="s">
        <v>344</v>
      </c>
      <c r="D282" s="181">
        <f>1511746/1000</f>
        <v>1511.7460000000001</v>
      </c>
      <c r="E282" s="181">
        <f>TOBEPAID!E211/1000</f>
        <v>1511.7462499999999</v>
      </c>
      <c r="F282" s="181">
        <f>TOBEPAID!F211/1000</f>
        <v>0</v>
      </c>
      <c r="G282" s="181">
        <f>TOBEPAID!G211/1000</f>
        <v>0</v>
      </c>
      <c r="H282" s="181">
        <f>1511743/1000</f>
        <v>1511.7429999999999</v>
      </c>
      <c r="I282" s="181">
        <f>TOBEPAID!I211/1000</f>
        <v>0</v>
      </c>
      <c r="J282" s="181">
        <f>TOBEPAID!J211/1000</f>
        <v>0</v>
      </c>
      <c r="K282" s="181">
        <f>TOBEPAID!K211/1000</f>
        <v>0</v>
      </c>
      <c r="L282" s="181">
        <f>TOBEPAID!L211/1000</f>
        <v>0</v>
      </c>
      <c r="M282" s="181">
        <f>TOBEPAID!M211/1000</f>
        <v>0</v>
      </c>
      <c r="N282" s="181">
        <f>TOBEPAID!N211/1000</f>
        <v>1511.7462499999999</v>
      </c>
      <c r="O282" s="181">
        <f>TOBEPAID!O211/1000</f>
        <v>0</v>
      </c>
      <c r="P282" s="181">
        <f>TOBEPAID!P211/1000</f>
        <v>0</v>
      </c>
      <c r="Q282" s="181">
        <f>TOBEPAID!Q211/1000</f>
        <v>0</v>
      </c>
      <c r="R282" s="181">
        <f>TOBEPAID!R211/1000</f>
        <v>0</v>
      </c>
      <c r="S282" s="181">
        <f>TOBEPAID!S211/1000</f>
        <v>0</v>
      </c>
      <c r="T282" s="181">
        <f>TOBEPAID!T211/1000</f>
        <v>0</v>
      </c>
      <c r="U282" s="181">
        <f>TOBEPAID!U211/1000</f>
        <v>0</v>
      </c>
      <c r="V282" s="181">
        <f>TOBEPAID!V211/1000</f>
        <v>0</v>
      </c>
      <c r="W282" s="181">
        <f>TOBEPAID!W211/1000</f>
        <v>0</v>
      </c>
      <c r="X282" s="181">
        <f>TOBEPAID!X211/1000</f>
        <v>0</v>
      </c>
      <c r="Y282" s="181">
        <f>TOBEPAID!Y211/1000</f>
        <v>1511.7462499999999</v>
      </c>
      <c r="Z282" s="181">
        <f>TOBEPAID!Z211/1000</f>
        <v>0</v>
      </c>
      <c r="AA282" s="181">
        <f>TOBEPAID!AA211/1000</f>
        <v>1511.7462499999999</v>
      </c>
      <c r="AB282" s="181">
        <f>TOBEPAID!AB211/1000</f>
        <v>0</v>
      </c>
      <c r="AC282" s="181"/>
      <c r="AD282" s="181"/>
    </row>
    <row r="283" spans="1:30" x14ac:dyDescent="0.2">
      <c r="C283" s="165" t="s">
        <v>369</v>
      </c>
      <c r="D283" s="181">
        <v>0</v>
      </c>
      <c r="E283" s="181"/>
      <c r="F283" s="181"/>
      <c r="G283" s="181"/>
      <c r="H283" s="181">
        <v>0</v>
      </c>
      <c r="I283" s="181"/>
      <c r="J283" s="181"/>
      <c r="K283" s="181"/>
      <c r="L283" s="181"/>
      <c r="M283" s="181"/>
      <c r="N283" s="181"/>
      <c r="O283" s="181"/>
      <c r="P283" s="181"/>
      <c r="Q283" s="181"/>
      <c r="R283" s="181">
        <v>0</v>
      </c>
      <c r="S283" s="181"/>
      <c r="T283" s="181"/>
      <c r="U283" s="181"/>
      <c r="V283" s="181"/>
      <c r="W283" s="181"/>
      <c r="X283" s="181"/>
      <c r="Y283" s="181">
        <f>+H283+R283</f>
        <v>0</v>
      </c>
      <c r="Z283" s="181">
        <f>+D283-Y283</f>
        <v>0</v>
      </c>
      <c r="AA283" s="181"/>
      <c r="AB283" s="181"/>
      <c r="AC283" s="181"/>
      <c r="AD283" s="181"/>
    </row>
    <row r="284" spans="1:30" x14ac:dyDescent="0.2">
      <c r="C284" s="254" t="s">
        <v>464</v>
      </c>
      <c r="D284" s="181">
        <f>5000000/1000</f>
        <v>5000</v>
      </c>
      <c r="E284" s="181"/>
      <c r="F284" s="181"/>
      <c r="G284" s="181"/>
      <c r="H284" s="181">
        <f>5000000/1000</f>
        <v>5000</v>
      </c>
      <c r="I284" s="181"/>
      <c r="J284" s="181"/>
      <c r="K284" s="181"/>
      <c r="L284" s="181"/>
      <c r="M284" s="181"/>
      <c r="N284" s="181"/>
      <c r="O284" s="181"/>
      <c r="P284" s="181"/>
      <c r="Q284" s="181"/>
      <c r="R284" s="181">
        <v>0</v>
      </c>
      <c r="S284" s="181"/>
      <c r="T284" s="181"/>
      <c r="U284" s="181"/>
      <c r="V284" s="181"/>
      <c r="W284" s="181"/>
      <c r="X284" s="181"/>
      <c r="Y284" s="181">
        <f>+H284+R284</f>
        <v>5000</v>
      </c>
      <c r="Z284" s="181">
        <f>+D284-Y284</f>
        <v>0</v>
      </c>
      <c r="AA284" s="181"/>
      <c r="AB284" s="181"/>
      <c r="AC284" s="181"/>
      <c r="AD284" s="181"/>
    </row>
    <row r="285" spans="1:30" x14ac:dyDescent="0.2">
      <c r="A285" s="180"/>
      <c r="C285" s="168" t="s">
        <v>37</v>
      </c>
      <c r="D285" s="181">
        <v>0</v>
      </c>
      <c r="E285" s="181">
        <f>TOBEPAID!E212/1000</f>
        <v>0</v>
      </c>
      <c r="F285" s="181">
        <f>TOBEPAID!F212/1000</f>
        <v>0</v>
      </c>
      <c r="G285" s="181">
        <f>TOBEPAID!G212/1000</f>
        <v>0</v>
      </c>
      <c r="H285" s="181">
        <v>0</v>
      </c>
      <c r="I285" s="181">
        <f>TOBEPAID!I212/1000</f>
        <v>0</v>
      </c>
      <c r="J285" s="181">
        <f>TOBEPAID!J212/1000</f>
        <v>0</v>
      </c>
      <c r="K285" s="181">
        <f>TOBEPAID!K212/1000</f>
        <v>0</v>
      </c>
      <c r="L285" s="181">
        <f>TOBEPAID!L212/1000</f>
        <v>0</v>
      </c>
      <c r="M285" s="181">
        <f>TOBEPAID!M212/1000</f>
        <v>0</v>
      </c>
      <c r="N285" s="181">
        <f>TOBEPAID!N212/1000</f>
        <v>0</v>
      </c>
      <c r="O285" s="181">
        <f>TOBEPAID!O212/1000</f>
        <v>0</v>
      </c>
      <c r="P285" s="181">
        <f>TOBEPAID!P212/1000</f>
        <v>0</v>
      </c>
      <c r="Q285" s="181">
        <f>TOBEPAID!Q212/1000</f>
        <v>0</v>
      </c>
      <c r="R285" s="181">
        <f>TOBEPAID!R212/1000</f>
        <v>0</v>
      </c>
      <c r="S285" s="181">
        <f>TOBEPAID!S212/1000</f>
        <v>0</v>
      </c>
      <c r="T285" s="181">
        <f>TOBEPAID!T212/1000</f>
        <v>0</v>
      </c>
      <c r="U285" s="181">
        <f>TOBEPAID!U212/1000</f>
        <v>0</v>
      </c>
      <c r="V285" s="181">
        <f>TOBEPAID!V212/1000</f>
        <v>0</v>
      </c>
      <c r="W285" s="181">
        <f>TOBEPAID!W212/1000</f>
        <v>0</v>
      </c>
      <c r="X285" s="181">
        <f>TOBEPAID!X212/1000</f>
        <v>0</v>
      </c>
      <c r="Y285" s="181">
        <f>TOBEPAID!Y212/1000</f>
        <v>0</v>
      </c>
      <c r="Z285" s="181">
        <f>TOBEPAID!Z212/1000</f>
        <v>0</v>
      </c>
      <c r="AA285" s="181">
        <f>TOBEPAID!AA212/1000</f>
        <v>0</v>
      </c>
      <c r="AB285" s="181">
        <f>TOBEPAID!AB212/1000</f>
        <v>0</v>
      </c>
      <c r="AC285" s="181"/>
      <c r="AD285" s="181"/>
    </row>
    <row r="286" spans="1:30" x14ac:dyDescent="0.2">
      <c r="A286" s="180"/>
      <c r="C286" s="168" t="s">
        <v>38</v>
      </c>
      <c r="D286" s="181">
        <f>1401345/1000</f>
        <v>1401.345</v>
      </c>
      <c r="E286" s="181">
        <f>TOBEPAID!E213/1000</f>
        <v>0</v>
      </c>
      <c r="F286" s="181">
        <f>TOBEPAID!F213/1000</f>
        <v>0</v>
      </c>
      <c r="G286" s="181">
        <f>TOBEPAID!G213/1000</f>
        <v>0</v>
      </c>
      <c r="H286" s="181">
        <f>1260000/1000</f>
        <v>1260</v>
      </c>
      <c r="I286" s="181">
        <f>TOBEPAID!I213/1000</f>
        <v>0</v>
      </c>
      <c r="J286" s="181">
        <f>TOBEPAID!J213/1000</f>
        <v>0</v>
      </c>
      <c r="K286" s="181">
        <f>TOBEPAID!K213/1000</f>
        <v>0</v>
      </c>
      <c r="L286" s="181">
        <f>TOBEPAID!L213/1000</f>
        <v>0</v>
      </c>
      <c r="M286" s="181">
        <f>TOBEPAID!M213/1000</f>
        <v>0</v>
      </c>
      <c r="N286" s="181">
        <f>TOBEPAID!N213/1000</f>
        <v>0</v>
      </c>
      <c r="O286" s="181">
        <f>TOBEPAID!O213/1000</f>
        <v>141.34520000000001</v>
      </c>
      <c r="P286" s="181">
        <f>TOBEPAID!P213/1000</f>
        <v>0</v>
      </c>
      <c r="Q286" s="181">
        <f>TOBEPAID!Q213/1000</f>
        <v>0</v>
      </c>
      <c r="R286" s="181">
        <f>TOBEPAID!R213/1000</f>
        <v>141.34520000000001</v>
      </c>
      <c r="S286" s="181">
        <f>TOBEPAID!S213/1000</f>
        <v>0</v>
      </c>
      <c r="T286" s="181">
        <f>TOBEPAID!T213/1000</f>
        <v>0</v>
      </c>
      <c r="U286" s="181">
        <f>TOBEPAID!U213/1000</f>
        <v>0</v>
      </c>
      <c r="V286" s="181">
        <f>TOBEPAID!V213/1000</f>
        <v>0</v>
      </c>
      <c r="W286" s="181">
        <f>TOBEPAID!W213/1000</f>
        <v>0</v>
      </c>
      <c r="X286" s="181">
        <f>TOBEPAID!X213/1000</f>
        <v>141.34520000000001</v>
      </c>
      <c r="Y286" s="181">
        <f>+H286+R286</f>
        <v>1401.3452</v>
      </c>
      <c r="Z286" s="181">
        <f>+Y286-D286</f>
        <v>1.9999999994979589E-4</v>
      </c>
      <c r="AA286" s="181">
        <f>TOBEPAID!AA213/1000</f>
        <v>141.34520000000001</v>
      </c>
      <c r="AB286" s="181">
        <f>TOBEPAID!AB213/1000</f>
        <v>12044.344800000001</v>
      </c>
      <c r="AC286" s="181"/>
      <c r="AD286" s="181"/>
    </row>
    <row r="287" spans="1:30" x14ac:dyDescent="0.2">
      <c r="A287" s="180"/>
      <c r="C287" s="213" t="s">
        <v>39</v>
      </c>
      <c r="D287" s="181">
        <v>0</v>
      </c>
      <c r="E287" s="181">
        <f>TOBEPAID!E214/1000</f>
        <v>0</v>
      </c>
      <c r="F287" s="181">
        <f>TOBEPAID!F214/1000</f>
        <v>0</v>
      </c>
      <c r="G287" s="181">
        <f>TOBEPAID!G214/1000</f>
        <v>0</v>
      </c>
      <c r="H287" s="181">
        <v>0</v>
      </c>
      <c r="I287" s="181">
        <f>TOBEPAID!I214/1000</f>
        <v>0</v>
      </c>
      <c r="J287" s="181">
        <f>TOBEPAID!J214/1000</f>
        <v>0</v>
      </c>
      <c r="K287" s="181">
        <f>TOBEPAID!K214/1000</f>
        <v>0</v>
      </c>
      <c r="L287" s="181">
        <f>TOBEPAID!L214/1000</f>
        <v>0</v>
      </c>
      <c r="M287" s="181">
        <f>TOBEPAID!M214/1000</f>
        <v>0</v>
      </c>
      <c r="N287" s="181">
        <f>TOBEPAID!N214/1000</f>
        <v>0</v>
      </c>
      <c r="O287" s="181">
        <f>TOBEPAID!O214/1000</f>
        <v>0</v>
      </c>
      <c r="P287" s="181">
        <f>TOBEPAID!P214/1000</f>
        <v>0</v>
      </c>
      <c r="Q287" s="181">
        <f>TOBEPAID!Q214/1000</f>
        <v>0</v>
      </c>
      <c r="R287" s="181">
        <f>TOBEPAID!R214/1000</f>
        <v>0</v>
      </c>
      <c r="S287" s="181">
        <f>TOBEPAID!S214/1000</f>
        <v>0</v>
      </c>
      <c r="T287" s="181">
        <f>TOBEPAID!T214/1000</f>
        <v>0</v>
      </c>
      <c r="U287" s="181">
        <f>TOBEPAID!U214/1000</f>
        <v>0</v>
      </c>
      <c r="V287" s="181">
        <f>TOBEPAID!V214/1000</f>
        <v>0</v>
      </c>
      <c r="W287" s="181">
        <f>TOBEPAID!W214/1000</f>
        <v>0</v>
      </c>
      <c r="X287" s="181">
        <f>TOBEPAID!X214/1000</f>
        <v>0</v>
      </c>
      <c r="Y287" s="181">
        <f>TOBEPAID!Y214/1000</f>
        <v>0</v>
      </c>
      <c r="Z287" s="181">
        <v>0</v>
      </c>
      <c r="AA287" s="181">
        <f>TOBEPAID!AA214/1000</f>
        <v>0</v>
      </c>
      <c r="AB287" s="181">
        <f>TOBEPAID!AB214/1000</f>
        <v>549.23390000000006</v>
      </c>
      <c r="AC287" s="181"/>
      <c r="AD287" s="181"/>
    </row>
    <row r="288" spans="1:30" x14ac:dyDescent="0.2">
      <c r="A288" s="180"/>
      <c r="D288" s="182" t="s">
        <v>40</v>
      </c>
      <c r="E288" s="182" t="s">
        <v>40</v>
      </c>
      <c r="F288" s="182" t="s">
        <v>40</v>
      </c>
      <c r="G288" s="182"/>
      <c r="H288" s="182" t="s">
        <v>40</v>
      </c>
      <c r="I288" s="182" t="s">
        <v>40</v>
      </c>
      <c r="J288" s="182" t="s">
        <v>40</v>
      </c>
      <c r="K288" s="182" t="s">
        <v>40</v>
      </c>
      <c r="L288" s="182" t="s">
        <v>40</v>
      </c>
      <c r="M288" s="182"/>
      <c r="N288" s="182" t="s">
        <v>40</v>
      </c>
      <c r="O288" s="182" t="s">
        <v>40</v>
      </c>
      <c r="P288" s="182" t="s">
        <v>40</v>
      </c>
      <c r="Q288" s="182"/>
      <c r="R288" s="182" t="s">
        <v>40</v>
      </c>
      <c r="S288" s="182" t="s">
        <v>40</v>
      </c>
      <c r="T288" s="182" t="s">
        <v>40</v>
      </c>
      <c r="U288" s="182" t="s">
        <v>40</v>
      </c>
      <c r="V288" s="182" t="s">
        <v>40</v>
      </c>
      <c r="W288" s="182"/>
      <c r="X288" s="182" t="s">
        <v>40</v>
      </c>
      <c r="Y288" s="182" t="s">
        <v>40</v>
      </c>
      <c r="Z288" s="182" t="s">
        <v>40</v>
      </c>
      <c r="AA288" s="182" t="s">
        <v>40</v>
      </c>
      <c r="AB288" s="182" t="s">
        <v>40</v>
      </c>
      <c r="AC288" s="182"/>
      <c r="AD288" s="182"/>
    </row>
    <row r="289" spans="1:30" x14ac:dyDescent="0.2">
      <c r="A289" s="180"/>
      <c r="D289" s="181">
        <f>SUM(D272:D287)</f>
        <v>713727.09337999998</v>
      </c>
      <c r="E289" s="181">
        <f>SUM(E272:E287)</f>
        <v>16999.738300000001</v>
      </c>
      <c r="F289" s="181">
        <f>SUM(F272:F287)</f>
        <v>0</v>
      </c>
      <c r="G289" s="181"/>
      <c r="H289" s="181">
        <f>SUM(H272:H287)</f>
        <v>563742.91411000001</v>
      </c>
      <c r="I289" s="181">
        <f>SUM(I272:I287)</f>
        <v>0</v>
      </c>
      <c r="J289" s="181">
        <f>SUM(J272:J287)</f>
        <v>0</v>
      </c>
      <c r="K289" s="181">
        <f>SUM(K272:K287)</f>
        <v>0</v>
      </c>
      <c r="L289" s="181">
        <f>SUM(L272:L287)</f>
        <v>0</v>
      </c>
      <c r="M289" s="181"/>
      <c r="N289" s="181">
        <f>SUM(N272:N287)</f>
        <v>16999.738300000001</v>
      </c>
      <c r="O289" s="181">
        <f>SUM(O272:O287)</f>
        <v>1391.7039399999999</v>
      </c>
      <c r="P289" s="181">
        <f>SUM(P272:P287)</f>
        <v>0</v>
      </c>
      <c r="Q289" s="181"/>
      <c r="R289" s="181">
        <f>SUM(R272:R287)</f>
        <v>5594.7482</v>
      </c>
      <c r="S289" s="181">
        <f>SUM(S272:S287)</f>
        <v>0</v>
      </c>
      <c r="T289" s="181">
        <f>SUM(T272:T287)</f>
        <v>0</v>
      </c>
      <c r="U289" s="181">
        <f>SUM(U272:U287)</f>
        <v>0</v>
      </c>
      <c r="V289" s="181">
        <f>SUM(V272:V287)</f>
        <v>0</v>
      </c>
      <c r="W289" s="181"/>
      <c r="X289" s="181">
        <f>SUM(X272:X287)</f>
        <v>1391.7039399999999</v>
      </c>
      <c r="Y289" s="181">
        <f>SUM(Y272:Y287)</f>
        <v>569337.66555999999</v>
      </c>
      <c r="Z289" s="181">
        <f>SUM(Z272:Z287)</f>
        <v>144389.42847000001</v>
      </c>
      <c r="AA289" s="181">
        <f>SUM(AA272:AA287)</f>
        <v>18391.44224</v>
      </c>
      <c r="AB289" s="181">
        <f>SUM(AB272:AB287)</f>
        <v>25630.90468</v>
      </c>
      <c r="AC289" s="181"/>
      <c r="AD289" s="181"/>
    </row>
    <row r="290" spans="1:30" x14ac:dyDescent="0.2">
      <c r="A290" s="180"/>
      <c r="D290" s="182" t="s">
        <v>40</v>
      </c>
      <c r="E290" s="182" t="s">
        <v>40</v>
      </c>
      <c r="F290" s="182" t="s">
        <v>40</v>
      </c>
      <c r="G290" s="182"/>
      <c r="H290" s="182" t="s">
        <v>40</v>
      </c>
      <c r="I290" s="182" t="s">
        <v>40</v>
      </c>
      <c r="J290" s="182" t="s">
        <v>40</v>
      </c>
      <c r="K290" s="182" t="s">
        <v>40</v>
      </c>
      <c r="L290" s="182" t="s">
        <v>40</v>
      </c>
      <c r="M290" s="182"/>
      <c r="N290" s="182" t="s">
        <v>40</v>
      </c>
      <c r="O290" s="182" t="s">
        <v>40</v>
      </c>
      <c r="P290" s="182" t="s">
        <v>40</v>
      </c>
      <c r="Q290" s="182"/>
      <c r="R290" s="182" t="s">
        <v>40</v>
      </c>
      <c r="S290" s="182" t="s">
        <v>40</v>
      </c>
      <c r="T290" s="182" t="s">
        <v>40</v>
      </c>
      <c r="U290" s="182" t="s">
        <v>40</v>
      </c>
      <c r="V290" s="182" t="s">
        <v>40</v>
      </c>
      <c r="W290" s="182"/>
      <c r="X290" s="182" t="s">
        <v>40</v>
      </c>
      <c r="Y290" s="182" t="s">
        <v>40</v>
      </c>
      <c r="Z290" s="182" t="s">
        <v>40</v>
      </c>
      <c r="AA290" s="182" t="s">
        <v>40</v>
      </c>
      <c r="AB290" s="182" t="s">
        <v>40</v>
      </c>
      <c r="AC290" s="182"/>
      <c r="AD290" s="182"/>
    </row>
    <row r="291" spans="1:30" x14ac:dyDescent="0.2">
      <c r="A291" s="180"/>
      <c r="D291" s="182"/>
      <c r="E291" s="191"/>
      <c r="F291" s="199"/>
      <c r="G291" s="189"/>
      <c r="H291" s="188"/>
      <c r="I291" s="189"/>
      <c r="J291" s="189"/>
      <c r="K291" s="189"/>
      <c r="L291" s="188"/>
      <c r="M291" s="189"/>
      <c r="N291" s="182"/>
      <c r="O291" s="182"/>
      <c r="P291" s="182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</row>
    <row r="292" spans="1:30" x14ac:dyDescent="0.2">
      <c r="A292" s="180">
        <v>20</v>
      </c>
      <c r="B292" s="166" t="s">
        <v>60</v>
      </c>
      <c r="C292" s="166" t="s">
        <v>35</v>
      </c>
      <c r="D292" s="181">
        <f>TOBEPAID!D219/1000</f>
        <v>8363.3485300000011</v>
      </c>
      <c r="E292" s="181">
        <f>TOBEPAID!E219/1000</f>
        <v>0</v>
      </c>
      <c r="F292" s="181">
        <f>TOBEPAID!F219/1000</f>
        <v>0</v>
      </c>
      <c r="G292" s="181">
        <f>TOBEPAID!G219/1000</f>
        <v>0</v>
      </c>
      <c r="H292" s="181">
        <f>TOBEPAID!H219/1000</f>
        <v>0</v>
      </c>
      <c r="I292" s="181">
        <f>TOBEPAID!I219/1000</f>
        <v>0</v>
      </c>
      <c r="J292" s="181">
        <f>TOBEPAID!J219/1000</f>
        <v>0</v>
      </c>
      <c r="K292" s="181">
        <f>TOBEPAID!K219/1000</f>
        <v>0</v>
      </c>
      <c r="L292" s="181">
        <f>TOBEPAID!L219/1000</f>
        <v>0</v>
      </c>
      <c r="M292" s="181">
        <f>TOBEPAID!M219/1000</f>
        <v>0</v>
      </c>
      <c r="N292" s="181">
        <f>TOBEPAID!N219/1000</f>
        <v>0</v>
      </c>
      <c r="O292" s="181">
        <f>TOBEPAID!O219/1000</f>
        <v>5840.44193</v>
      </c>
      <c r="P292" s="181">
        <f>TOBEPAID!P219/1000</f>
        <v>0</v>
      </c>
      <c r="Q292" s="181">
        <f>TOBEPAID!Q219/1000</f>
        <v>0</v>
      </c>
      <c r="R292" s="181">
        <f>5841473/1000</f>
        <v>5841.473</v>
      </c>
      <c r="S292" s="181">
        <f>TOBEPAID!S219/1000</f>
        <v>0</v>
      </c>
      <c r="T292" s="181">
        <f>TOBEPAID!T219/1000</f>
        <v>0</v>
      </c>
      <c r="U292" s="181">
        <f>TOBEPAID!U219/1000</f>
        <v>0</v>
      </c>
      <c r="V292" s="181">
        <f>TOBEPAID!V219/1000</f>
        <v>0</v>
      </c>
      <c r="W292" s="181">
        <f>TOBEPAID!W219/1000</f>
        <v>0</v>
      </c>
      <c r="X292" s="181">
        <f>TOBEPAID!X219/1000</f>
        <v>5840.44193</v>
      </c>
      <c r="Y292" s="181">
        <f>+H292+R292</f>
        <v>5841.473</v>
      </c>
      <c r="Z292" s="181">
        <f>+D292-Y292</f>
        <v>2521.8755300000012</v>
      </c>
      <c r="AA292" s="181">
        <f>TOBEPAID!AA219/1000</f>
        <v>5840.44193</v>
      </c>
      <c r="AB292" s="181">
        <f>TOBEPAID!AB219/1000</f>
        <v>2522.9066000000007</v>
      </c>
      <c r="AC292" s="181"/>
      <c r="AD292" s="181"/>
    </row>
    <row r="293" spans="1:30" x14ac:dyDescent="0.2">
      <c r="A293" s="180"/>
      <c r="B293" s="168" t="s">
        <v>61</v>
      </c>
      <c r="C293" s="168" t="s">
        <v>36</v>
      </c>
      <c r="D293" s="181">
        <f>TOBEPAID!D220/1000</f>
        <v>2002.11168</v>
      </c>
      <c r="E293" s="181">
        <f>TOBEPAID!E220/1000</f>
        <v>2002.11168</v>
      </c>
      <c r="F293" s="181">
        <f>TOBEPAID!F220/1000</f>
        <v>0</v>
      </c>
      <c r="G293" s="181">
        <f>TOBEPAID!G220/1000</f>
        <v>0</v>
      </c>
      <c r="H293" s="181">
        <f>TOBEPAID!H220/1000</f>
        <v>2002.11168</v>
      </c>
      <c r="I293" s="181">
        <f>TOBEPAID!I220/1000</f>
        <v>0</v>
      </c>
      <c r="J293" s="181">
        <f>TOBEPAID!J220/1000</f>
        <v>0</v>
      </c>
      <c r="K293" s="181">
        <f>TOBEPAID!K220/1000</f>
        <v>0</v>
      </c>
      <c r="L293" s="181">
        <f>TOBEPAID!L220/1000</f>
        <v>0</v>
      </c>
      <c r="M293" s="181">
        <f>TOBEPAID!M220/1000</f>
        <v>0</v>
      </c>
      <c r="N293" s="181">
        <f>TOBEPAID!N220/1000</f>
        <v>2002.11168</v>
      </c>
      <c r="O293" s="181">
        <f>TOBEPAID!O220/1000</f>
        <v>0</v>
      </c>
      <c r="P293" s="181">
        <f>TOBEPAID!P220/1000</f>
        <v>0</v>
      </c>
      <c r="Q293" s="181">
        <f>TOBEPAID!Q220/1000</f>
        <v>0</v>
      </c>
      <c r="R293" s="181">
        <f>TOBEPAID!R220/1000</f>
        <v>0</v>
      </c>
      <c r="S293" s="181">
        <f>TOBEPAID!S220/1000</f>
        <v>0</v>
      </c>
      <c r="T293" s="181">
        <f>TOBEPAID!T220/1000</f>
        <v>0</v>
      </c>
      <c r="U293" s="181">
        <f>TOBEPAID!U220/1000</f>
        <v>0</v>
      </c>
      <c r="V293" s="181">
        <f>TOBEPAID!V220/1000</f>
        <v>0</v>
      </c>
      <c r="W293" s="181">
        <f>TOBEPAID!W220/1000</f>
        <v>0</v>
      </c>
      <c r="X293" s="181">
        <f>TOBEPAID!X220/1000</f>
        <v>0</v>
      </c>
      <c r="Y293" s="181">
        <f>TOBEPAID!Y220/1000</f>
        <v>2002.11168</v>
      </c>
      <c r="Z293" s="181">
        <f>TOBEPAID!Z220/1000</f>
        <v>0</v>
      </c>
      <c r="AA293" s="181">
        <f>TOBEPAID!AA220/1000</f>
        <v>2002.11168</v>
      </c>
      <c r="AB293" s="181">
        <f>TOBEPAID!AB220/1000</f>
        <v>0</v>
      </c>
      <c r="AC293" s="181"/>
      <c r="AD293" s="181"/>
    </row>
    <row r="294" spans="1:30" x14ac:dyDescent="0.2">
      <c r="A294" s="180"/>
      <c r="C294" s="168" t="s">
        <v>44</v>
      </c>
      <c r="D294" s="181">
        <f>TOBEPAID!D221/1000</f>
        <v>66643</v>
      </c>
      <c r="E294" s="181">
        <f>TOBEPAID!E221/1000</f>
        <v>66643</v>
      </c>
      <c r="F294" s="181">
        <f>TOBEPAID!F221/1000</f>
        <v>0</v>
      </c>
      <c r="G294" s="181">
        <f>TOBEPAID!G221/1000</f>
        <v>0</v>
      </c>
      <c r="H294" s="181">
        <f>TOBEPAID!H221/1000</f>
        <v>66643</v>
      </c>
      <c r="I294" s="181">
        <f>TOBEPAID!I221/1000</f>
        <v>0</v>
      </c>
      <c r="J294" s="181">
        <f>TOBEPAID!J221/1000</f>
        <v>0</v>
      </c>
      <c r="K294" s="181">
        <f>TOBEPAID!K221/1000</f>
        <v>0</v>
      </c>
      <c r="L294" s="181">
        <f>TOBEPAID!L221/1000</f>
        <v>0</v>
      </c>
      <c r="M294" s="181">
        <f>TOBEPAID!M221/1000</f>
        <v>0</v>
      </c>
      <c r="N294" s="181">
        <f>TOBEPAID!N221/1000</f>
        <v>66643</v>
      </c>
      <c r="O294" s="181">
        <f>TOBEPAID!O221/1000</f>
        <v>0</v>
      </c>
      <c r="P294" s="181">
        <f>TOBEPAID!P221/1000</f>
        <v>0</v>
      </c>
      <c r="Q294" s="181">
        <f>TOBEPAID!Q221/1000</f>
        <v>0</v>
      </c>
      <c r="R294" s="181">
        <f>TOBEPAID!R221/1000</f>
        <v>0</v>
      </c>
      <c r="S294" s="181">
        <f>TOBEPAID!S221/1000</f>
        <v>0</v>
      </c>
      <c r="T294" s="181">
        <f>TOBEPAID!T221/1000</f>
        <v>0</v>
      </c>
      <c r="U294" s="181">
        <f>TOBEPAID!U221/1000</f>
        <v>0</v>
      </c>
      <c r="V294" s="181">
        <f>TOBEPAID!V221/1000</f>
        <v>0</v>
      </c>
      <c r="W294" s="181">
        <f>TOBEPAID!W221/1000</f>
        <v>0</v>
      </c>
      <c r="X294" s="181">
        <f>TOBEPAID!X221/1000</f>
        <v>0</v>
      </c>
      <c r="Y294" s="181">
        <f>TOBEPAID!Y221/1000</f>
        <v>66643</v>
      </c>
      <c r="Z294" s="181">
        <f>TOBEPAID!Z221/1000</f>
        <v>0</v>
      </c>
      <c r="AA294" s="181">
        <f>TOBEPAID!AA221/1000</f>
        <v>66643</v>
      </c>
      <c r="AB294" s="181">
        <f>TOBEPAID!AB221/1000</f>
        <v>0</v>
      </c>
      <c r="AC294" s="181"/>
      <c r="AD294" s="181"/>
    </row>
    <row r="295" spans="1:30" x14ac:dyDescent="0.2">
      <c r="A295" s="180"/>
      <c r="C295" s="213" t="s">
        <v>62</v>
      </c>
      <c r="D295" s="181">
        <f>TOBEPAID!D222/1000</f>
        <v>3358.89077</v>
      </c>
      <c r="E295" s="181">
        <f>TOBEPAID!E222/1000</f>
        <v>3358.89077</v>
      </c>
      <c r="F295" s="181">
        <f>TOBEPAID!F222/1000</f>
        <v>0</v>
      </c>
      <c r="G295" s="181">
        <f>TOBEPAID!G222/1000</f>
        <v>0</v>
      </c>
      <c r="H295" s="181">
        <f>TOBEPAID!H222/1000</f>
        <v>3358.89077</v>
      </c>
      <c r="I295" s="181">
        <f>TOBEPAID!I222/1000</f>
        <v>0</v>
      </c>
      <c r="J295" s="181">
        <f>TOBEPAID!J222/1000</f>
        <v>0</v>
      </c>
      <c r="K295" s="181">
        <f>TOBEPAID!K222/1000</f>
        <v>0</v>
      </c>
      <c r="L295" s="181">
        <f>TOBEPAID!L222/1000</f>
        <v>0</v>
      </c>
      <c r="M295" s="181">
        <f>TOBEPAID!M222/1000</f>
        <v>0</v>
      </c>
      <c r="N295" s="181">
        <f>TOBEPAID!N222/1000</f>
        <v>3358.89077</v>
      </c>
      <c r="O295" s="181">
        <f>TOBEPAID!O222/1000</f>
        <v>0</v>
      </c>
      <c r="P295" s="181">
        <f>TOBEPAID!P222/1000</f>
        <v>0</v>
      </c>
      <c r="Q295" s="181">
        <f>TOBEPAID!Q222/1000</f>
        <v>0</v>
      </c>
      <c r="R295" s="181">
        <f>TOBEPAID!R222/1000</f>
        <v>0</v>
      </c>
      <c r="S295" s="181">
        <f>TOBEPAID!S222/1000</f>
        <v>0</v>
      </c>
      <c r="T295" s="181">
        <f>TOBEPAID!T222/1000</f>
        <v>0</v>
      </c>
      <c r="U295" s="181">
        <f>TOBEPAID!U222/1000</f>
        <v>0</v>
      </c>
      <c r="V295" s="181">
        <f>TOBEPAID!V222/1000</f>
        <v>0</v>
      </c>
      <c r="W295" s="181">
        <f>TOBEPAID!W222/1000</f>
        <v>0</v>
      </c>
      <c r="X295" s="181">
        <f>TOBEPAID!X222/1000</f>
        <v>0</v>
      </c>
      <c r="Y295" s="181">
        <f>TOBEPAID!Y222/1000</f>
        <v>3358.89077</v>
      </c>
      <c r="Z295" s="181">
        <f>TOBEPAID!Z222/1000</f>
        <v>0</v>
      </c>
      <c r="AA295" s="181">
        <f>TOBEPAID!AA222/1000</f>
        <v>3358.89077</v>
      </c>
      <c r="AB295" s="181">
        <f>TOBEPAID!AB222/1000</f>
        <v>0</v>
      </c>
      <c r="AC295" s="181"/>
      <c r="AD295" s="181"/>
    </row>
    <row r="296" spans="1:30" x14ac:dyDescent="0.2">
      <c r="A296" s="180"/>
      <c r="C296" s="166" t="s">
        <v>53</v>
      </c>
      <c r="D296" s="181">
        <f>TOBEPAID!D223/1000</f>
        <v>30402.91229</v>
      </c>
      <c r="E296" s="181">
        <f>TOBEPAID!E223/1000</f>
        <v>0</v>
      </c>
      <c r="F296" s="181">
        <f>TOBEPAID!F223/1000</f>
        <v>0</v>
      </c>
      <c r="G296" s="181">
        <f>TOBEPAID!G223/1000</f>
        <v>0</v>
      </c>
      <c r="H296" s="181">
        <f>TOBEPAID!H223/1000</f>
        <v>0</v>
      </c>
      <c r="I296" s="181">
        <f>TOBEPAID!I223/1000</f>
        <v>0</v>
      </c>
      <c r="J296" s="181">
        <f>TOBEPAID!J223/1000</f>
        <v>0</v>
      </c>
      <c r="K296" s="181">
        <f>TOBEPAID!K223/1000</f>
        <v>0</v>
      </c>
      <c r="L296" s="181">
        <f>TOBEPAID!L223/1000</f>
        <v>0</v>
      </c>
      <c r="M296" s="181">
        <f>TOBEPAID!M223/1000</f>
        <v>0</v>
      </c>
      <c r="N296" s="181">
        <f>TOBEPAID!N223/1000</f>
        <v>0</v>
      </c>
      <c r="O296" s="181">
        <f>TOBEPAID!O223/1000</f>
        <v>15770.403679999998</v>
      </c>
      <c r="P296" s="181">
        <f>TOBEPAID!P223/1000</f>
        <v>0</v>
      </c>
      <c r="Q296" s="181">
        <f>TOBEPAID!Q223/1000</f>
        <v>0</v>
      </c>
      <c r="R296" s="181">
        <f>TOBEPAID!R223/1000</f>
        <v>15770.403679999998</v>
      </c>
      <c r="S296" s="181">
        <f>TOBEPAID!S223/1000</f>
        <v>0</v>
      </c>
      <c r="T296" s="181">
        <f>TOBEPAID!T223/1000</f>
        <v>0</v>
      </c>
      <c r="U296" s="181">
        <f>TOBEPAID!U223/1000</f>
        <v>0</v>
      </c>
      <c r="V296" s="181">
        <f>TOBEPAID!V223/1000</f>
        <v>0</v>
      </c>
      <c r="W296" s="181">
        <f>TOBEPAID!W223/1000</f>
        <v>0</v>
      </c>
      <c r="X296" s="181">
        <f>TOBEPAID!X223/1000</f>
        <v>15770.403679999998</v>
      </c>
      <c r="Y296" s="181">
        <f>TOBEPAID!Y223/1000</f>
        <v>15770.403679999998</v>
      </c>
      <c r="Z296" s="181">
        <f>TOBEPAID!Z223/1000</f>
        <v>14632.508610000001</v>
      </c>
      <c r="AA296" s="181">
        <f>TOBEPAID!AA223/1000</f>
        <v>15770.403679999998</v>
      </c>
      <c r="AB296" s="181">
        <f>TOBEPAID!AB223/1000</f>
        <v>14632.508610000001</v>
      </c>
      <c r="AC296" s="181"/>
      <c r="AD296" s="181"/>
    </row>
    <row r="297" spans="1:30" ht="15.75" customHeight="1" x14ac:dyDescent="0.2">
      <c r="A297" s="180"/>
      <c r="C297" s="166" t="s">
        <v>54</v>
      </c>
      <c r="D297" s="181">
        <f>TOBEPAID!D224/1000</f>
        <v>21464.584869999999</v>
      </c>
      <c r="E297" s="181">
        <f>TOBEPAID!E224/1000</f>
        <v>0</v>
      </c>
      <c r="F297" s="181">
        <f>TOBEPAID!F224/1000</f>
        <v>0</v>
      </c>
      <c r="G297" s="181">
        <f>TOBEPAID!G224/1000</f>
        <v>0</v>
      </c>
      <c r="H297" s="181">
        <f>TOBEPAID!H224/1000</f>
        <v>0</v>
      </c>
      <c r="I297" s="181">
        <f>TOBEPAID!I224/1000</f>
        <v>0</v>
      </c>
      <c r="J297" s="181">
        <f>TOBEPAID!J224/1000</f>
        <v>0</v>
      </c>
      <c r="K297" s="181">
        <f>TOBEPAID!K224/1000</f>
        <v>0</v>
      </c>
      <c r="L297" s="181">
        <f>TOBEPAID!L224/1000</f>
        <v>0</v>
      </c>
      <c r="M297" s="181">
        <f>TOBEPAID!M224/1000</f>
        <v>0</v>
      </c>
      <c r="N297" s="181">
        <f>TOBEPAID!N224/1000</f>
        <v>0</v>
      </c>
      <c r="O297" s="181">
        <f>TOBEPAID!O224/1000</f>
        <v>21464.584870000002</v>
      </c>
      <c r="P297" s="181">
        <f>TOBEPAID!P224/1000</f>
        <v>0</v>
      </c>
      <c r="Q297" s="181">
        <f>TOBEPAID!Q224/1000</f>
        <v>0</v>
      </c>
      <c r="R297" s="181">
        <f>TOBEPAID!R224/1000</f>
        <v>21464.584870000002</v>
      </c>
      <c r="S297" s="181">
        <f>TOBEPAID!S224/1000</f>
        <v>0</v>
      </c>
      <c r="T297" s="181">
        <f>TOBEPAID!T224/1000</f>
        <v>0</v>
      </c>
      <c r="U297" s="181">
        <f>TOBEPAID!U224/1000</f>
        <v>0</v>
      </c>
      <c r="V297" s="181">
        <f>TOBEPAID!V224/1000</f>
        <v>0</v>
      </c>
      <c r="W297" s="181">
        <f>TOBEPAID!W224/1000</f>
        <v>0</v>
      </c>
      <c r="X297" s="181">
        <f>TOBEPAID!X224/1000</f>
        <v>21464.584870000002</v>
      </c>
      <c r="Y297" s="181">
        <f>TOBEPAID!Y224/1000</f>
        <v>21464.584870000002</v>
      </c>
      <c r="Z297" s="181">
        <f>TOBEPAID!Z224/1000</f>
        <v>0</v>
      </c>
      <c r="AA297" s="181">
        <f>TOBEPAID!AA224/1000</f>
        <v>21464.584870000002</v>
      </c>
      <c r="AB297" s="181">
        <f>TOBEPAID!AB224/1000</f>
        <v>0</v>
      </c>
      <c r="AC297" s="181"/>
      <c r="AD297" s="181"/>
    </row>
    <row r="298" spans="1:30" ht="16.5" customHeight="1" x14ac:dyDescent="0.2">
      <c r="A298" s="180"/>
      <c r="D298" s="182" t="s">
        <v>40</v>
      </c>
      <c r="E298" s="182" t="s">
        <v>40</v>
      </c>
      <c r="F298" s="182" t="s">
        <v>40</v>
      </c>
      <c r="G298" s="182"/>
      <c r="H298" s="182" t="s">
        <v>40</v>
      </c>
      <c r="I298" s="182" t="s">
        <v>40</v>
      </c>
      <c r="J298" s="182" t="s">
        <v>40</v>
      </c>
      <c r="K298" s="182" t="s">
        <v>40</v>
      </c>
      <c r="L298" s="182" t="s">
        <v>40</v>
      </c>
      <c r="M298" s="182"/>
      <c r="N298" s="182" t="s">
        <v>40</v>
      </c>
      <c r="O298" s="182" t="s">
        <v>40</v>
      </c>
      <c r="P298" s="182" t="s">
        <v>40</v>
      </c>
      <c r="Q298" s="182"/>
      <c r="R298" s="182" t="s">
        <v>40</v>
      </c>
      <c r="S298" s="182" t="s">
        <v>40</v>
      </c>
      <c r="T298" s="182" t="s">
        <v>40</v>
      </c>
      <c r="U298" s="182" t="s">
        <v>40</v>
      </c>
      <c r="V298" s="182" t="s">
        <v>40</v>
      </c>
      <c r="W298" s="182"/>
      <c r="X298" s="182" t="s">
        <v>40</v>
      </c>
      <c r="Y298" s="182" t="s">
        <v>40</v>
      </c>
      <c r="Z298" s="182" t="s">
        <v>40</v>
      </c>
      <c r="AA298" s="182" t="s">
        <v>40</v>
      </c>
      <c r="AB298" s="182" t="s">
        <v>40</v>
      </c>
      <c r="AC298" s="182"/>
      <c r="AD298" s="182"/>
    </row>
    <row r="299" spans="1:30" x14ac:dyDescent="0.2">
      <c r="A299" s="180"/>
      <c r="D299" s="181">
        <f t="shared" ref="D299:AB299" si="50">SUM(D292:D297)</f>
        <v>132234.84813999999</v>
      </c>
      <c r="E299" s="181">
        <f t="shared" si="50"/>
        <v>72004.00245</v>
      </c>
      <c r="F299" s="181">
        <f t="shared" si="50"/>
        <v>0</v>
      </c>
      <c r="G299" s="181"/>
      <c r="H299" s="181">
        <f t="shared" si="50"/>
        <v>72004.00245</v>
      </c>
      <c r="I299" s="181">
        <f t="shared" si="50"/>
        <v>0</v>
      </c>
      <c r="J299" s="181">
        <f t="shared" si="50"/>
        <v>0</v>
      </c>
      <c r="K299" s="181">
        <f t="shared" si="50"/>
        <v>0</v>
      </c>
      <c r="L299" s="181">
        <f t="shared" si="50"/>
        <v>0</v>
      </c>
      <c r="M299" s="181"/>
      <c r="N299" s="181">
        <f t="shared" si="50"/>
        <v>72004.00245</v>
      </c>
      <c r="O299" s="181">
        <f t="shared" si="50"/>
        <v>43075.430479999995</v>
      </c>
      <c r="P299" s="181">
        <f t="shared" si="50"/>
        <v>0</v>
      </c>
      <c r="Q299" s="181"/>
      <c r="R299" s="181">
        <f t="shared" si="50"/>
        <v>43076.46155</v>
      </c>
      <c r="S299" s="181">
        <f t="shared" si="50"/>
        <v>0</v>
      </c>
      <c r="T299" s="181">
        <f t="shared" si="50"/>
        <v>0</v>
      </c>
      <c r="U299" s="181">
        <f t="shared" si="50"/>
        <v>0</v>
      </c>
      <c r="V299" s="181">
        <f t="shared" si="50"/>
        <v>0</v>
      </c>
      <c r="W299" s="181"/>
      <c r="X299" s="181">
        <f t="shared" si="50"/>
        <v>43075.430479999995</v>
      </c>
      <c r="Y299" s="181">
        <f t="shared" si="50"/>
        <v>115080.46400000001</v>
      </c>
      <c r="Z299" s="181">
        <f t="shared" si="50"/>
        <v>17154.384140000002</v>
      </c>
      <c r="AA299" s="181">
        <f t="shared" si="50"/>
        <v>115079.43293000001</v>
      </c>
      <c r="AB299" s="181">
        <f t="shared" si="50"/>
        <v>17155.415210000003</v>
      </c>
      <c r="AC299" s="181"/>
      <c r="AD299" s="181"/>
    </row>
    <row r="300" spans="1:30" ht="16.5" customHeight="1" x14ac:dyDescent="0.2">
      <c r="A300" s="180"/>
      <c r="B300" s="165" t="s">
        <v>309</v>
      </c>
      <c r="D300" s="182" t="s">
        <v>40</v>
      </c>
      <c r="E300" s="182" t="s">
        <v>40</v>
      </c>
      <c r="F300" s="182" t="s">
        <v>40</v>
      </c>
      <c r="G300" s="182"/>
      <c r="H300" s="182" t="s">
        <v>40</v>
      </c>
      <c r="I300" s="182" t="s">
        <v>40</v>
      </c>
      <c r="J300" s="182" t="s">
        <v>40</v>
      </c>
      <c r="K300" s="182" t="s">
        <v>40</v>
      </c>
      <c r="L300" s="182" t="s">
        <v>40</v>
      </c>
      <c r="M300" s="182"/>
      <c r="N300" s="182" t="s">
        <v>40</v>
      </c>
      <c r="O300" s="182" t="s">
        <v>40</v>
      </c>
      <c r="P300" s="182" t="s">
        <v>40</v>
      </c>
      <c r="Q300" s="182"/>
      <c r="R300" s="182" t="s">
        <v>40</v>
      </c>
      <c r="S300" s="182" t="s">
        <v>40</v>
      </c>
      <c r="T300" s="182" t="s">
        <v>40</v>
      </c>
      <c r="U300" s="182" t="s">
        <v>40</v>
      </c>
      <c r="V300" s="182" t="s">
        <v>40</v>
      </c>
      <c r="W300" s="182"/>
      <c r="X300" s="182" t="s">
        <v>40</v>
      </c>
      <c r="Y300" s="182" t="s">
        <v>40</v>
      </c>
      <c r="Z300" s="182" t="s">
        <v>40</v>
      </c>
      <c r="AA300" s="182" t="s">
        <v>40</v>
      </c>
      <c r="AB300" s="182" t="s">
        <v>40</v>
      </c>
      <c r="AC300" s="182"/>
      <c r="AD300" s="182"/>
    </row>
    <row r="301" spans="1:30" ht="15.75" thickBot="1" x14ac:dyDescent="0.25">
      <c r="A301" s="180"/>
      <c r="B301" s="183" t="s">
        <v>292</v>
      </c>
      <c r="D301" s="184">
        <f>TOBEPAID!D228/1000</f>
        <v>181.75254999999999</v>
      </c>
      <c r="E301" s="181">
        <f>TOBEPAID!E228/1000</f>
        <v>0</v>
      </c>
      <c r="F301" s="181">
        <f>TOBEPAID!F228/1000</f>
        <v>0</v>
      </c>
      <c r="G301" s="181">
        <f>TOBEPAID!G228/1000</f>
        <v>0</v>
      </c>
      <c r="H301" s="181"/>
      <c r="I301" s="181">
        <f>TOBEPAID!I228/1000</f>
        <v>0</v>
      </c>
      <c r="J301" s="181">
        <f>TOBEPAID!J228/1000</f>
        <v>0</v>
      </c>
      <c r="K301" s="181">
        <f>TOBEPAID!K228/1000</f>
        <v>0</v>
      </c>
      <c r="L301" s="181">
        <f>TOBEPAID!L228/1000</f>
        <v>0</v>
      </c>
      <c r="M301" s="181">
        <f>TOBEPAID!M228/1000</f>
        <v>0</v>
      </c>
      <c r="N301" s="181">
        <f>TOBEPAID!N228/1000</f>
        <v>0</v>
      </c>
      <c r="O301" s="181">
        <f>TOBEPAID!O228/1000</f>
        <v>181.75254999999999</v>
      </c>
      <c r="P301" s="181">
        <f>TOBEPAID!P228/1000</f>
        <v>0</v>
      </c>
      <c r="Q301" s="181">
        <f>TOBEPAID!Q228/1000</f>
        <v>0</v>
      </c>
      <c r="R301" s="184">
        <f>TOBEPAID!R228/1000</f>
        <v>181.75254999999999</v>
      </c>
      <c r="S301" s="181">
        <f>TOBEPAID!S228/1000</f>
        <v>0</v>
      </c>
      <c r="T301" s="181">
        <f>TOBEPAID!T228/1000</f>
        <v>0</v>
      </c>
      <c r="U301" s="181">
        <f>TOBEPAID!U228/1000</f>
        <v>0</v>
      </c>
      <c r="V301" s="181">
        <f>TOBEPAID!V228/1000</f>
        <v>0</v>
      </c>
      <c r="W301" s="181">
        <f>TOBEPAID!W228/1000</f>
        <v>0</v>
      </c>
      <c r="X301" s="181">
        <f>TOBEPAID!X228/1000</f>
        <v>0</v>
      </c>
      <c r="Y301" s="184">
        <f>+H301+R301</f>
        <v>181.75254999999999</v>
      </c>
      <c r="Z301" s="184">
        <f>TOBEPAID!Z228/1000</f>
        <v>0</v>
      </c>
      <c r="AA301" s="181">
        <f>TOBEPAID!AA228/1000</f>
        <v>0</v>
      </c>
      <c r="AB301" s="181">
        <f>TOBEPAID!AB228/1000</f>
        <v>0</v>
      </c>
      <c r="AC301" s="181"/>
      <c r="AD301" s="181"/>
    </row>
    <row r="302" spans="1:30" ht="55.5" customHeight="1" thickTop="1" x14ac:dyDescent="0.2">
      <c r="A302" s="180">
        <v>21</v>
      </c>
      <c r="B302" s="166" t="s">
        <v>64</v>
      </c>
      <c r="C302" s="166" t="s">
        <v>35</v>
      </c>
      <c r="D302" s="181">
        <f>11381949/1000</f>
        <v>11381.949000000001</v>
      </c>
      <c r="E302" s="181">
        <f>TOBEPAID!E229/1000</f>
        <v>0</v>
      </c>
      <c r="F302" s="181">
        <f>TOBEPAID!F229/1000</f>
        <v>0</v>
      </c>
      <c r="G302" s="181">
        <f>TOBEPAID!G229/1000</f>
        <v>0</v>
      </c>
      <c r="H302" s="181">
        <f>11381949/1000</f>
        <v>11381.949000000001</v>
      </c>
      <c r="I302" s="181">
        <f>TOBEPAID!I229/1000</f>
        <v>0</v>
      </c>
      <c r="J302" s="181">
        <f>TOBEPAID!J229/1000</f>
        <v>0</v>
      </c>
      <c r="K302" s="181">
        <f>TOBEPAID!K229/1000</f>
        <v>0</v>
      </c>
      <c r="L302" s="181">
        <f>TOBEPAID!L229/1000</f>
        <v>0</v>
      </c>
      <c r="M302" s="181">
        <f>TOBEPAID!M229/1000</f>
        <v>0</v>
      </c>
      <c r="N302" s="181">
        <f>TOBEPAID!N229/1000</f>
        <v>0</v>
      </c>
      <c r="O302" s="181">
        <f>TOBEPAID!O229/1000</f>
        <v>0</v>
      </c>
      <c r="P302" s="181">
        <f>TOBEPAID!P229/1000</f>
        <v>0</v>
      </c>
      <c r="Q302" s="181">
        <f>TOBEPAID!Q229/1000</f>
        <v>0</v>
      </c>
      <c r="R302" s="181">
        <v>0</v>
      </c>
      <c r="S302" s="181">
        <f>TOBEPAID!S229/1000</f>
        <v>0</v>
      </c>
      <c r="T302" s="181">
        <f>TOBEPAID!T229/1000</f>
        <v>0</v>
      </c>
      <c r="U302" s="181">
        <f>TOBEPAID!U229/1000</f>
        <v>0</v>
      </c>
      <c r="V302" s="181">
        <f>TOBEPAID!V229/1000</f>
        <v>0</v>
      </c>
      <c r="W302" s="181">
        <f>TOBEPAID!W229/1000</f>
        <v>0</v>
      </c>
      <c r="X302" s="181">
        <f>TOBEPAID!X229/1000</f>
        <v>0</v>
      </c>
      <c r="Y302" s="181">
        <f>+H302+R302</f>
        <v>11381.949000000001</v>
      </c>
      <c r="Z302" s="181">
        <f t="shared" ref="Z302:Z311" si="51">+D302-Y302</f>
        <v>0</v>
      </c>
      <c r="AA302" s="181">
        <f>TOBEPAID!AA229/1000</f>
        <v>0</v>
      </c>
      <c r="AB302" s="181">
        <f>TOBEPAID!AB229/1000</f>
        <v>18211.914420000001</v>
      </c>
      <c r="AC302" s="181"/>
      <c r="AD302" s="181"/>
    </row>
    <row r="303" spans="1:30" ht="15.75" customHeight="1" x14ac:dyDescent="0.2">
      <c r="A303" s="180"/>
      <c r="B303" s="166"/>
      <c r="C303" s="166" t="s">
        <v>459</v>
      </c>
      <c r="D303" s="181">
        <f>190525000/1000</f>
        <v>190525</v>
      </c>
      <c r="E303" s="181"/>
      <c r="F303" s="181"/>
      <c r="G303" s="181"/>
      <c r="H303" s="181">
        <f>47612134/1000</f>
        <v>47612.133999999998</v>
      </c>
      <c r="I303" s="181"/>
      <c r="J303" s="181"/>
      <c r="K303" s="181"/>
      <c r="L303" s="181"/>
      <c r="M303" s="181"/>
      <c r="N303" s="181"/>
      <c r="O303" s="181"/>
      <c r="P303" s="181"/>
      <c r="Q303" s="181"/>
      <c r="R303" s="181">
        <v>0</v>
      </c>
      <c r="S303" s="181"/>
      <c r="T303" s="181"/>
      <c r="U303" s="181"/>
      <c r="V303" s="181"/>
      <c r="W303" s="181"/>
      <c r="X303" s="181"/>
      <c r="Y303" s="181">
        <f>+H303+R303</f>
        <v>47612.133999999998</v>
      </c>
      <c r="Z303" s="181">
        <f t="shared" si="51"/>
        <v>142912.86600000001</v>
      </c>
      <c r="AA303" s="181"/>
      <c r="AB303" s="181"/>
      <c r="AC303" s="181"/>
      <c r="AD303" s="181"/>
    </row>
    <row r="304" spans="1:30" x14ac:dyDescent="0.2">
      <c r="C304" s="165" t="s">
        <v>365</v>
      </c>
      <c r="D304" s="181">
        <f>6525670/1000</f>
        <v>6525.67</v>
      </c>
      <c r="E304" s="181">
        <f>TOBEPAID!E230/1000</f>
        <v>6525.6702500000001</v>
      </c>
      <c r="F304" s="181">
        <f>TOBEPAID!F230/1000</f>
        <v>0</v>
      </c>
      <c r="G304" s="181">
        <f>TOBEPAID!G230/1000</f>
        <v>0</v>
      </c>
      <c r="H304" s="181">
        <f>6525670/1000</f>
        <v>6525.67</v>
      </c>
      <c r="I304" s="181">
        <f>TOBEPAID!I230/1000</f>
        <v>0</v>
      </c>
      <c r="J304" s="181">
        <f>TOBEPAID!J230/1000</f>
        <v>0</v>
      </c>
      <c r="K304" s="181">
        <f>TOBEPAID!K230/1000</f>
        <v>0</v>
      </c>
      <c r="L304" s="181">
        <f>TOBEPAID!L230/1000</f>
        <v>0</v>
      </c>
      <c r="M304" s="181">
        <f>TOBEPAID!M230/1000</f>
        <v>0</v>
      </c>
      <c r="N304" s="181">
        <f>TOBEPAID!N230/1000</f>
        <v>6525.6702500000001</v>
      </c>
      <c r="O304" s="181">
        <f>TOBEPAID!O230/1000</f>
        <v>0</v>
      </c>
      <c r="P304" s="181">
        <f>TOBEPAID!P230/1000</f>
        <v>0</v>
      </c>
      <c r="Q304" s="181">
        <f>TOBEPAID!Q230/1000</f>
        <v>0</v>
      </c>
      <c r="R304" s="181">
        <v>0</v>
      </c>
      <c r="S304" s="181">
        <f>TOBEPAID!S230/1000</f>
        <v>0</v>
      </c>
      <c r="T304" s="181">
        <f>TOBEPAID!T230/1000</f>
        <v>0</v>
      </c>
      <c r="U304" s="181">
        <f>TOBEPAID!U230/1000</f>
        <v>0</v>
      </c>
      <c r="V304" s="181">
        <f>TOBEPAID!V230/1000</f>
        <v>0</v>
      </c>
      <c r="W304" s="181">
        <f>TOBEPAID!W230/1000</f>
        <v>0</v>
      </c>
      <c r="X304" s="181">
        <f>TOBEPAID!X230/1000</f>
        <v>0</v>
      </c>
      <c r="Y304" s="181">
        <f t="shared" ref="Y304:Y311" si="52">+H304+R304</f>
        <v>6525.67</v>
      </c>
      <c r="Z304" s="181">
        <f t="shared" si="51"/>
        <v>0</v>
      </c>
      <c r="AA304" s="181">
        <f>TOBEPAID!AA230/1000</f>
        <v>6525.6702500000001</v>
      </c>
      <c r="AB304" s="181">
        <f>TOBEPAID!AB230/1000</f>
        <v>0</v>
      </c>
      <c r="AC304" s="181"/>
      <c r="AD304" s="181"/>
    </row>
    <row r="305" spans="1:30" x14ac:dyDescent="0.2">
      <c r="C305" s="165" t="s">
        <v>366</v>
      </c>
      <c r="D305" s="181">
        <f>6526000/1000</f>
        <v>6526</v>
      </c>
      <c r="E305" s="181"/>
      <c r="F305" s="181"/>
      <c r="G305" s="181"/>
      <c r="H305" s="181">
        <f>6526000/1000</f>
        <v>6526</v>
      </c>
      <c r="I305" s="181"/>
      <c r="J305" s="181"/>
      <c r="K305" s="181"/>
      <c r="L305" s="181"/>
      <c r="M305" s="181"/>
      <c r="N305" s="181"/>
      <c r="O305" s="181"/>
      <c r="P305" s="181"/>
      <c r="Q305" s="181"/>
      <c r="R305" s="181">
        <v>0</v>
      </c>
      <c r="S305" s="181"/>
      <c r="T305" s="181"/>
      <c r="U305" s="181"/>
      <c r="V305" s="181"/>
      <c r="W305" s="181"/>
      <c r="X305" s="181"/>
      <c r="Y305" s="181">
        <f t="shared" si="52"/>
        <v>6526</v>
      </c>
      <c r="Z305" s="181">
        <f t="shared" si="51"/>
        <v>0</v>
      </c>
      <c r="AA305" s="181"/>
      <c r="AB305" s="181"/>
      <c r="AC305" s="181"/>
      <c r="AD305" s="181"/>
    </row>
    <row r="306" spans="1:30" x14ac:dyDescent="0.2">
      <c r="C306" s="165" t="s">
        <v>374</v>
      </c>
      <c r="D306" s="181">
        <f>20074460/1000</f>
        <v>20074.46</v>
      </c>
      <c r="E306" s="181"/>
      <c r="F306" s="181"/>
      <c r="G306" s="181"/>
      <c r="H306" s="181">
        <f>20074460/1000</f>
        <v>20074.46</v>
      </c>
      <c r="I306" s="181"/>
      <c r="J306" s="181"/>
      <c r="K306" s="181"/>
      <c r="L306" s="181"/>
      <c r="M306" s="181"/>
      <c r="N306" s="181"/>
      <c r="O306" s="181"/>
      <c r="P306" s="181"/>
      <c r="Q306" s="181"/>
      <c r="R306" s="181">
        <v>0</v>
      </c>
      <c r="S306" s="181"/>
      <c r="T306" s="181"/>
      <c r="U306" s="181"/>
      <c r="V306" s="181"/>
      <c r="W306" s="181"/>
      <c r="X306" s="181"/>
      <c r="Y306" s="181">
        <f t="shared" si="52"/>
        <v>20074.46</v>
      </c>
      <c r="Z306" s="181">
        <f t="shared" si="51"/>
        <v>0</v>
      </c>
      <c r="AA306" s="181"/>
      <c r="AB306" s="181"/>
      <c r="AC306" s="181"/>
      <c r="AD306" s="181"/>
    </row>
    <row r="307" spans="1:30" x14ac:dyDescent="0.2">
      <c r="A307" s="180"/>
      <c r="C307" s="168" t="s">
        <v>36</v>
      </c>
      <c r="D307" s="181">
        <f>1918446/1000</f>
        <v>1918.4459999999999</v>
      </c>
      <c r="E307" s="181">
        <f>TOBEPAID!E231/1000</f>
        <v>1918.4463500000002</v>
      </c>
      <c r="F307" s="181">
        <f>TOBEPAID!F231/1000</f>
        <v>0</v>
      </c>
      <c r="G307" s="181">
        <f>TOBEPAID!G231/1000</f>
        <v>0</v>
      </c>
      <c r="H307" s="181">
        <f>1918446/1000</f>
        <v>1918.4459999999999</v>
      </c>
      <c r="I307" s="181">
        <f>TOBEPAID!I231/1000</f>
        <v>0</v>
      </c>
      <c r="J307" s="181">
        <f>TOBEPAID!J231/1000</f>
        <v>0</v>
      </c>
      <c r="K307" s="181">
        <f>TOBEPAID!K231/1000</f>
        <v>0</v>
      </c>
      <c r="L307" s="181">
        <f>TOBEPAID!L231/1000</f>
        <v>0</v>
      </c>
      <c r="M307" s="181">
        <f>TOBEPAID!M231/1000</f>
        <v>0</v>
      </c>
      <c r="N307" s="181">
        <f>TOBEPAID!N231/1000</f>
        <v>1918.4463500000002</v>
      </c>
      <c r="O307" s="181">
        <f>TOBEPAID!O231/1000</f>
        <v>0</v>
      </c>
      <c r="P307" s="181">
        <f>TOBEPAID!P231/1000</f>
        <v>0</v>
      </c>
      <c r="Q307" s="181">
        <f>TOBEPAID!Q231/1000</f>
        <v>0</v>
      </c>
      <c r="R307" s="181">
        <v>0</v>
      </c>
      <c r="S307" s="181">
        <f>TOBEPAID!S231/1000</f>
        <v>0</v>
      </c>
      <c r="T307" s="181">
        <f>TOBEPAID!T231/1000</f>
        <v>0</v>
      </c>
      <c r="U307" s="181">
        <f>TOBEPAID!U231/1000</f>
        <v>0</v>
      </c>
      <c r="V307" s="181">
        <f>TOBEPAID!V231/1000</f>
        <v>0</v>
      </c>
      <c r="W307" s="181">
        <f>TOBEPAID!W231/1000</f>
        <v>0</v>
      </c>
      <c r="X307" s="181">
        <f>TOBEPAID!X231/1000</f>
        <v>0</v>
      </c>
      <c r="Y307" s="181">
        <f t="shared" si="52"/>
        <v>1918.4459999999999</v>
      </c>
      <c r="Z307" s="181">
        <f t="shared" si="51"/>
        <v>0</v>
      </c>
      <c r="AA307" s="181">
        <f>TOBEPAID!AA231/1000</f>
        <v>1918.4463500000002</v>
      </c>
      <c r="AB307" s="181">
        <f>TOBEPAID!AB231/1000</f>
        <v>0</v>
      </c>
      <c r="AC307" s="181"/>
      <c r="AD307" s="181"/>
    </row>
    <row r="308" spans="1:30" x14ac:dyDescent="0.2">
      <c r="A308" s="180"/>
      <c r="C308" s="168" t="s">
        <v>65</v>
      </c>
      <c r="D308" s="181">
        <f>53471000/1000</f>
        <v>53471</v>
      </c>
      <c r="E308" s="181">
        <f>TOBEPAID!E232/1000</f>
        <v>53471</v>
      </c>
      <c r="F308" s="181">
        <f>TOBEPAID!F232/1000</f>
        <v>0</v>
      </c>
      <c r="G308" s="181">
        <f>TOBEPAID!G232/1000</f>
        <v>0</v>
      </c>
      <c r="H308" s="181">
        <f>53471000/1000</f>
        <v>53471</v>
      </c>
      <c r="I308" s="181">
        <f>TOBEPAID!I232/1000</f>
        <v>0</v>
      </c>
      <c r="J308" s="181">
        <f>TOBEPAID!J232/1000</f>
        <v>0</v>
      </c>
      <c r="K308" s="181">
        <f>TOBEPAID!K232/1000</f>
        <v>0</v>
      </c>
      <c r="L308" s="181">
        <f>TOBEPAID!L232/1000</f>
        <v>0</v>
      </c>
      <c r="M308" s="181">
        <f>TOBEPAID!M232/1000</f>
        <v>0</v>
      </c>
      <c r="N308" s="181">
        <f>TOBEPAID!N232/1000</f>
        <v>53471</v>
      </c>
      <c r="O308" s="181">
        <f>TOBEPAID!O232/1000</f>
        <v>0</v>
      </c>
      <c r="P308" s="181">
        <f>TOBEPAID!P232/1000</f>
        <v>0</v>
      </c>
      <c r="Q308" s="181">
        <f>TOBEPAID!Q232/1000</f>
        <v>0</v>
      </c>
      <c r="R308" s="181">
        <v>0</v>
      </c>
      <c r="S308" s="181">
        <f>TOBEPAID!S232/1000</f>
        <v>0</v>
      </c>
      <c r="T308" s="181">
        <f>TOBEPAID!T232/1000</f>
        <v>0</v>
      </c>
      <c r="U308" s="181">
        <f>TOBEPAID!U232/1000</f>
        <v>0</v>
      </c>
      <c r="V308" s="181">
        <f>TOBEPAID!V232/1000</f>
        <v>0</v>
      </c>
      <c r="W308" s="181">
        <f>TOBEPAID!W232/1000</f>
        <v>0</v>
      </c>
      <c r="X308" s="181">
        <f>TOBEPAID!X232/1000</f>
        <v>0</v>
      </c>
      <c r="Y308" s="181">
        <f t="shared" si="52"/>
        <v>53471</v>
      </c>
      <c r="Z308" s="181">
        <f t="shared" si="51"/>
        <v>0</v>
      </c>
      <c r="AA308" s="181">
        <f>TOBEPAID!AA232/1000</f>
        <v>53471</v>
      </c>
      <c r="AB308" s="181">
        <f>TOBEPAID!AB232/1000</f>
        <v>0</v>
      </c>
      <c r="AC308" s="181"/>
      <c r="AD308" s="181"/>
    </row>
    <row r="309" spans="1:30" x14ac:dyDescent="0.2">
      <c r="A309" s="180"/>
      <c r="C309" s="213" t="s">
        <v>62</v>
      </c>
      <c r="D309" s="181">
        <f>10740906/1000</f>
        <v>10740.906000000001</v>
      </c>
      <c r="E309" s="181">
        <f>TOBEPAID!E233/1000</f>
        <v>10740.90675</v>
      </c>
      <c r="F309" s="181">
        <f>TOBEPAID!F233/1000</f>
        <v>0</v>
      </c>
      <c r="G309" s="181">
        <f>TOBEPAID!G233/1000</f>
        <v>0</v>
      </c>
      <c r="H309" s="181">
        <f>10740906/1000</f>
        <v>10740.906000000001</v>
      </c>
      <c r="I309" s="181">
        <f>TOBEPAID!I233/1000</f>
        <v>0</v>
      </c>
      <c r="J309" s="181">
        <f>TOBEPAID!J233/1000</f>
        <v>0</v>
      </c>
      <c r="K309" s="181">
        <f>TOBEPAID!K233/1000</f>
        <v>0</v>
      </c>
      <c r="L309" s="181">
        <f>TOBEPAID!L233/1000</f>
        <v>0</v>
      </c>
      <c r="M309" s="181">
        <f>TOBEPAID!M233/1000</f>
        <v>0</v>
      </c>
      <c r="N309" s="181">
        <f>TOBEPAID!N233/1000</f>
        <v>10740.90675</v>
      </c>
      <c r="O309" s="181">
        <f>TOBEPAID!O233/1000</f>
        <v>0</v>
      </c>
      <c r="P309" s="181">
        <f>TOBEPAID!P233/1000</f>
        <v>0</v>
      </c>
      <c r="Q309" s="181">
        <f>TOBEPAID!Q233/1000</f>
        <v>0</v>
      </c>
      <c r="R309" s="181">
        <v>0</v>
      </c>
      <c r="S309" s="181">
        <f>TOBEPAID!S233/1000</f>
        <v>0</v>
      </c>
      <c r="T309" s="181">
        <f>TOBEPAID!T233/1000</f>
        <v>0</v>
      </c>
      <c r="U309" s="181">
        <f>TOBEPAID!U233/1000</f>
        <v>0</v>
      </c>
      <c r="V309" s="181">
        <f>TOBEPAID!V233/1000</f>
        <v>0</v>
      </c>
      <c r="W309" s="181">
        <f>TOBEPAID!W233/1000</f>
        <v>0</v>
      </c>
      <c r="X309" s="181">
        <f>TOBEPAID!X233/1000</f>
        <v>0</v>
      </c>
      <c r="Y309" s="181">
        <f t="shared" si="52"/>
        <v>10740.906000000001</v>
      </c>
      <c r="Z309" s="181">
        <f t="shared" si="51"/>
        <v>0</v>
      </c>
      <c r="AA309" s="181">
        <f>TOBEPAID!AA233/1000</f>
        <v>10740.90675</v>
      </c>
      <c r="AB309" s="181">
        <f>TOBEPAID!AB233/1000</f>
        <v>0</v>
      </c>
      <c r="AC309" s="181"/>
      <c r="AD309" s="181"/>
    </row>
    <row r="310" spans="1:30" x14ac:dyDescent="0.2">
      <c r="A310" s="180"/>
      <c r="C310" s="166" t="s">
        <v>53</v>
      </c>
      <c r="D310" s="181">
        <f>7001815/1000</f>
        <v>7001.8149999999996</v>
      </c>
      <c r="E310" s="181">
        <f>TOBEPAID!E234/1000</f>
        <v>0</v>
      </c>
      <c r="F310" s="181">
        <f>TOBEPAID!F234/1000</f>
        <v>0</v>
      </c>
      <c r="G310" s="181">
        <f>TOBEPAID!G234/1000</f>
        <v>0</v>
      </c>
      <c r="H310" s="181">
        <v>0</v>
      </c>
      <c r="I310" s="181">
        <f>TOBEPAID!I234/1000</f>
        <v>0</v>
      </c>
      <c r="J310" s="181">
        <f>TOBEPAID!J234/1000</f>
        <v>0</v>
      </c>
      <c r="K310" s="181">
        <f>TOBEPAID!K234/1000</f>
        <v>0</v>
      </c>
      <c r="L310" s="181">
        <f>TOBEPAID!L234/1000</f>
        <v>0</v>
      </c>
      <c r="M310" s="181">
        <f>TOBEPAID!M234/1000</f>
        <v>0</v>
      </c>
      <c r="N310" s="181">
        <f>TOBEPAID!N234/1000</f>
        <v>0</v>
      </c>
      <c r="O310" s="181">
        <f>TOBEPAID!O234/1000</f>
        <v>7001.9344499999997</v>
      </c>
      <c r="P310" s="181">
        <f>TOBEPAID!P234/1000</f>
        <v>0</v>
      </c>
      <c r="Q310" s="181">
        <f>TOBEPAID!Q234/1000</f>
        <v>0</v>
      </c>
      <c r="R310" s="181">
        <f>8999462/1000</f>
        <v>8999.4619999999995</v>
      </c>
      <c r="S310" s="181">
        <f>TOBEPAID!S234/1000</f>
        <v>0</v>
      </c>
      <c r="T310" s="181">
        <f>TOBEPAID!T234/1000</f>
        <v>0</v>
      </c>
      <c r="U310" s="181">
        <f>TOBEPAID!U234/1000</f>
        <v>0</v>
      </c>
      <c r="V310" s="181">
        <f>TOBEPAID!V234/1000</f>
        <v>0</v>
      </c>
      <c r="W310" s="181">
        <f>TOBEPAID!W234/1000</f>
        <v>0</v>
      </c>
      <c r="X310" s="181">
        <f>TOBEPAID!X234/1000</f>
        <v>7001.9344499999997</v>
      </c>
      <c r="Y310" s="181">
        <f t="shared" si="52"/>
        <v>8999.4619999999995</v>
      </c>
      <c r="Z310" s="181">
        <f t="shared" si="51"/>
        <v>-1997.6469999999999</v>
      </c>
      <c r="AA310" s="181">
        <f>TOBEPAID!AA234/1000</f>
        <v>7001.9344499999997</v>
      </c>
      <c r="AB310" s="181">
        <f>TOBEPAID!AB234/1000</f>
        <v>7770.3765599999997</v>
      </c>
      <c r="AC310" s="181" t="s">
        <v>321</v>
      </c>
      <c r="AD310" s="181"/>
    </row>
    <row r="311" spans="1:30" x14ac:dyDescent="0.2">
      <c r="A311" s="180"/>
      <c r="C311" s="166" t="s">
        <v>54</v>
      </c>
      <c r="D311" s="181">
        <f>10700263/1000</f>
        <v>10700.263000000001</v>
      </c>
      <c r="E311" s="181">
        <f>TOBEPAID!E235/1000</f>
        <v>0</v>
      </c>
      <c r="F311" s="181">
        <f>TOBEPAID!F235/1000</f>
        <v>0</v>
      </c>
      <c r="G311" s="181">
        <f>TOBEPAID!G235/1000</f>
        <v>0</v>
      </c>
      <c r="H311" s="181">
        <v>0</v>
      </c>
      <c r="I311" s="181">
        <f>TOBEPAID!I235/1000</f>
        <v>0</v>
      </c>
      <c r="J311" s="181">
        <f>TOBEPAID!J235/1000</f>
        <v>0</v>
      </c>
      <c r="K311" s="181">
        <f>TOBEPAID!K235/1000</f>
        <v>0</v>
      </c>
      <c r="L311" s="181">
        <f>TOBEPAID!L235/1000</f>
        <v>0</v>
      </c>
      <c r="M311" s="181">
        <f>TOBEPAID!M235/1000</f>
        <v>0</v>
      </c>
      <c r="N311" s="181">
        <f>TOBEPAID!N235/1000</f>
        <v>0</v>
      </c>
      <c r="O311" s="181">
        <f>TOBEPAID!O235/1000</f>
        <v>10700.26303</v>
      </c>
      <c r="P311" s="181">
        <f>TOBEPAID!P235/1000</f>
        <v>0</v>
      </c>
      <c r="Q311" s="181">
        <f>TOBEPAID!Q235/1000</f>
        <v>0</v>
      </c>
      <c r="R311" s="181">
        <f>10700263/1000</f>
        <v>10700.263000000001</v>
      </c>
      <c r="S311" s="181">
        <f>TOBEPAID!S235/1000</f>
        <v>0</v>
      </c>
      <c r="T311" s="181">
        <f>TOBEPAID!T235/1000</f>
        <v>0</v>
      </c>
      <c r="U311" s="181">
        <f>TOBEPAID!U235/1000</f>
        <v>0</v>
      </c>
      <c r="V311" s="181">
        <f>TOBEPAID!V235/1000</f>
        <v>0</v>
      </c>
      <c r="W311" s="181">
        <f>TOBEPAID!W235/1000</f>
        <v>0</v>
      </c>
      <c r="X311" s="181">
        <f>TOBEPAID!X235/1000</f>
        <v>10700.26303</v>
      </c>
      <c r="Y311" s="181">
        <f t="shared" si="52"/>
        <v>10700.263000000001</v>
      </c>
      <c r="Z311" s="181">
        <f t="shared" si="51"/>
        <v>0</v>
      </c>
      <c r="AA311" s="181">
        <f>TOBEPAID!AA235/1000</f>
        <v>10700.26303</v>
      </c>
      <c r="AB311" s="181">
        <f>TOBEPAID!AB235/1000</f>
        <v>0</v>
      </c>
      <c r="AC311" s="181"/>
      <c r="AD311" s="181"/>
    </row>
    <row r="312" spans="1:30" x14ac:dyDescent="0.2">
      <c r="A312" s="180"/>
      <c r="D312" s="182" t="s">
        <v>40</v>
      </c>
      <c r="E312" s="182" t="s">
        <v>40</v>
      </c>
      <c r="F312" s="182" t="s">
        <v>40</v>
      </c>
      <c r="G312" s="182"/>
      <c r="H312" s="182" t="s">
        <v>40</v>
      </c>
      <c r="I312" s="182" t="s">
        <v>40</v>
      </c>
      <c r="J312" s="182" t="s">
        <v>40</v>
      </c>
      <c r="K312" s="182" t="s">
        <v>40</v>
      </c>
      <c r="L312" s="182" t="s">
        <v>40</v>
      </c>
      <c r="M312" s="182"/>
      <c r="N312" s="182" t="s">
        <v>40</v>
      </c>
      <c r="O312" s="182" t="s">
        <v>40</v>
      </c>
      <c r="P312" s="182" t="s">
        <v>40</v>
      </c>
      <c r="Q312" s="182"/>
      <c r="R312" s="182" t="s">
        <v>40</v>
      </c>
      <c r="S312" s="182" t="s">
        <v>40</v>
      </c>
      <c r="T312" s="182" t="s">
        <v>40</v>
      </c>
      <c r="U312" s="182" t="s">
        <v>40</v>
      </c>
      <c r="V312" s="182" t="s">
        <v>40</v>
      </c>
      <c r="W312" s="182"/>
      <c r="X312" s="182" t="s">
        <v>40</v>
      </c>
      <c r="Y312" s="182" t="s">
        <v>40</v>
      </c>
      <c r="Z312" s="182" t="s">
        <v>40</v>
      </c>
      <c r="AA312" s="182" t="s">
        <v>40</v>
      </c>
      <c r="AB312" s="182" t="s">
        <v>40</v>
      </c>
      <c r="AC312" s="182"/>
      <c r="AD312" s="182"/>
    </row>
    <row r="313" spans="1:30" x14ac:dyDescent="0.2">
      <c r="A313" s="180"/>
      <c r="D313" s="181">
        <f>SUM(D302:D311)</f>
        <v>318865.50900000002</v>
      </c>
      <c r="E313" s="181">
        <f>SUM(E302:E311)</f>
        <v>72656.023350000003</v>
      </c>
      <c r="F313" s="181">
        <f>SUM(F302:F311)</f>
        <v>0</v>
      </c>
      <c r="G313" s="181"/>
      <c r="H313" s="181">
        <f>SUM(H302:H311)</f>
        <v>158250.56499999997</v>
      </c>
      <c r="I313" s="181">
        <f>SUM(I302:I311)</f>
        <v>0</v>
      </c>
      <c r="J313" s="181">
        <f>SUM(J302:J311)</f>
        <v>0</v>
      </c>
      <c r="K313" s="181">
        <f>SUM(K302:K311)</f>
        <v>0</v>
      </c>
      <c r="L313" s="181">
        <f>SUM(L302:L311)</f>
        <v>0</v>
      </c>
      <c r="M313" s="181"/>
      <c r="N313" s="181">
        <f>SUM(N302:N311)</f>
        <v>72656.023350000003</v>
      </c>
      <c r="O313" s="181">
        <f>SUM(O302:O311)</f>
        <v>17702.197479999999</v>
      </c>
      <c r="P313" s="181">
        <f>SUM(P302:P311)</f>
        <v>0</v>
      </c>
      <c r="Q313" s="181"/>
      <c r="R313" s="181">
        <f>SUM(R302:R311)</f>
        <v>19699.724999999999</v>
      </c>
      <c r="S313" s="181">
        <f>SUM(S302:S311)</f>
        <v>0</v>
      </c>
      <c r="T313" s="181">
        <f>SUM(T302:T311)</f>
        <v>0</v>
      </c>
      <c r="U313" s="181">
        <f>SUM(U302:U311)</f>
        <v>0</v>
      </c>
      <c r="V313" s="181">
        <f>SUM(V302:V311)</f>
        <v>0</v>
      </c>
      <c r="W313" s="181"/>
      <c r="X313" s="181">
        <f>SUM(X302:X311)</f>
        <v>17702.197479999999</v>
      </c>
      <c r="Y313" s="181">
        <f>SUM(Y302:Y311)</f>
        <v>177950.28999999998</v>
      </c>
      <c r="Z313" s="181">
        <f>SUM(Z302:Z311)</f>
        <v>140915.21900000001</v>
      </c>
      <c r="AA313" s="181">
        <f>SUM(AA302:AA311)</f>
        <v>90358.220830000006</v>
      </c>
      <c r="AB313" s="181">
        <f>SUM(AB302:AB311)</f>
        <v>25982.290980000002</v>
      </c>
      <c r="AC313" s="181"/>
      <c r="AD313" s="181"/>
    </row>
    <row r="314" spans="1:30" x14ac:dyDescent="0.2">
      <c r="A314" s="180"/>
      <c r="B314" s="172"/>
      <c r="D314" s="182" t="s">
        <v>40</v>
      </c>
      <c r="E314" s="182" t="s">
        <v>40</v>
      </c>
      <c r="F314" s="182" t="s">
        <v>40</v>
      </c>
      <c r="G314" s="182"/>
      <c r="H314" s="182" t="s">
        <v>40</v>
      </c>
      <c r="I314" s="182" t="s">
        <v>40</v>
      </c>
      <c r="J314" s="182" t="s">
        <v>40</v>
      </c>
      <c r="K314" s="182" t="s">
        <v>40</v>
      </c>
      <c r="L314" s="182" t="s">
        <v>40</v>
      </c>
      <c r="M314" s="182"/>
      <c r="N314" s="182" t="s">
        <v>40</v>
      </c>
      <c r="O314" s="182" t="s">
        <v>40</v>
      </c>
      <c r="P314" s="182" t="s">
        <v>40</v>
      </c>
      <c r="Q314" s="182"/>
      <c r="R314" s="182" t="s">
        <v>40</v>
      </c>
      <c r="S314" s="182" t="s">
        <v>40</v>
      </c>
      <c r="T314" s="182" t="s">
        <v>40</v>
      </c>
      <c r="U314" s="182" t="s">
        <v>40</v>
      </c>
      <c r="V314" s="182" t="s">
        <v>40</v>
      </c>
      <c r="W314" s="182"/>
      <c r="X314" s="182" t="s">
        <v>40</v>
      </c>
      <c r="Y314" s="182" t="s">
        <v>40</v>
      </c>
      <c r="Z314" s="182" t="s">
        <v>40</v>
      </c>
      <c r="AA314" s="182" t="s">
        <v>40</v>
      </c>
      <c r="AB314" s="182" t="s">
        <v>40</v>
      </c>
      <c r="AC314" s="182"/>
      <c r="AD314" s="182"/>
    </row>
    <row r="315" spans="1:30" ht="15.75" thickBot="1" x14ac:dyDescent="0.25">
      <c r="A315" s="180"/>
      <c r="B315" s="172"/>
      <c r="D315" s="182"/>
      <c r="E315" s="182"/>
      <c r="F315" s="182"/>
      <c r="G315" s="182"/>
      <c r="H315" s="182"/>
      <c r="I315" s="182"/>
      <c r="J315" s="182"/>
      <c r="K315" s="182"/>
      <c r="L315" s="182"/>
      <c r="M315" s="182"/>
      <c r="N315" s="182"/>
      <c r="O315" s="182"/>
      <c r="P315" s="182"/>
      <c r="Q315" s="182"/>
      <c r="S315" s="182"/>
      <c r="T315" s="182"/>
      <c r="U315" s="182"/>
      <c r="V315" s="182"/>
      <c r="W315" s="182"/>
      <c r="X315" s="182"/>
      <c r="Y315" s="231" t="s">
        <v>396</v>
      </c>
      <c r="Z315" s="231"/>
      <c r="AA315" s="182"/>
      <c r="AB315" s="182"/>
      <c r="AC315" s="182"/>
      <c r="AD315" s="182"/>
    </row>
    <row r="316" spans="1:30" ht="22.5" customHeight="1" thickTop="1" x14ac:dyDescent="0.2">
      <c r="A316" s="180"/>
      <c r="B316" s="172"/>
      <c r="D316" s="182"/>
      <c r="E316" s="182"/>
      <c r="F316" s="182"/>
      <c r="G316" s="182"/>
      <c r="H316" s="182"/>
      <c r="I316" s="182"/>
      <c r="J316" s="182"/>
      <c r="K316" s="182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</row>
    <row r="317" spans="1:30" x14ac:dyDescent="0.2">
      <c r="A317" s="180"/>
      <c r="B317" s="172"/>
      <c r="D317" s="182"/>
      <c r="E317" s="182"/>
      <c r="F317" s="182"/>
      <c r="G317" s="182"/>
      <c r="H317" s="182"/>
      <c r="I317" s="182"/>
      <c r="J317" s="182"/>
      <c r="K317" s="182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</row>
    <row r="318" spans="1:30" x14ac:dyDescent="0.2">
      <c r="A318" s="180">
        <v>22</v>
      </c>
      <c r="B318" s="166" t="s">
        <v>66</v>
      </c>
      <c r="C318" s="166" t="s">
        <v>35</v>
      </c>
      <c r="D318" s="181">
        <f>25472440/1000</f>
        <v>25472.44</v>
      </c>
      <c r="E318" s="181">
        <f>TOBEPAID!E240/1000</f>
        <v>9500</v>
      </c>
      <c r="F318" s="181">
        <f>TOBEPAID!F240/1000</f>
        <v>0</v>
      </c>
      <c r="G318" s="181">
        <f>TOBEPAID!G240/1000</f>
        <v>0</v>
      </c>
      <c r="H318" s="181">
        <f>19900000/1000</f>
        <v>19900</v>
      </c>
      <c r="I318" s="181">
        <f>TOBEPAID!I240/1000</f>
        <v>0</v>
      </c>
      <c r="J318" s="181">
        <f>TOBEPAID!J240/1000</f>
        <v>0</v>
      </c>
      <c r="K318" s="181">
        <f>TOBEPAID!K240/1000</f>
        <v>0</v>
      </c>
      <c r="L318" s="181">
        <f>TOBEPAID!L240/1000</f>
        <v>0</v>
      </c>
      <c r="M318" s="181">
        <f>TOBEPAID!M240/1000</f>
        <v>0</v>
      </c>
      <c r="N318" s="181">
        <f>TOBEPAID!N240/1000</f>
        <v>9500</v>
      </c>
      <c r="O318" s="181">
        <f>TOBEPAID!O240/1000</f>
        <v>3310.5217000000002</v>
      </c>
      <c r="P318" s="181">
        <f>TOBEPAID!P240/1000</f>
        <v>0</v>
      </c>
      <c r="Q318" s="181">
        <f>TOBEPAID!Q240/1000</f>
        <v>0</v>
      </c>
      <c r="R318" s="181">
        <f>5567020/1000</f>
        <v>5567.02</v>
      </c>
      <c r="S318" s="181">
        <f>TOBEPAID!S240/1000</f>
        <v>0</v>
      </c>
      <c r="T318" s="181">
        <f>TOBEPAID!T240/1000</f>
        <v>0</v>
      </c>
      <c r="U318" s="181">
        <f>TOBEPAID!U240/1000</f>
        <v>0</v>
      </c>
      <c r="V318" s="181">
        <f>TOBEPAID!V240/1000</f>
        <v>0</v>
      </c>
      <c r="W318" s="181">
        <f>TOBEPAID!W240/1000</f>
        <v>0</v>
      </c>
      <c r="X318" s="181">
        <f>TOBEPAID!X240/1000</f>
        <v>3310.5217000000002</v>
      </c>
      <c r="Y318" s="181">
        <f>+H318+R318</f>
        <v>25467.02</v>
      </c>
      <c r="Z318" s="181">
        <f>+D318-Y318</f>
        <v>5.4199999999982538</v>
      </c>
      <c r="AA318" s="181">
        <f>TOBEPAID!AA240/1000</f>
        <v>12810.521699999999</v>
      </c>
      <c r="AB318" s="181">
        <f>TOBEPAID!AB240/1000</f>
        <v>9287.8874400000022</v>
      </c>
      <c r="AC318" s="181"/>
      <c r="AD318" s="181"/>
    </row>
    <row r="319" spans="1:30" x14ac:dyDescent="0.2">
      <c r="C319" s="165" t="s">
        <v>365</v>
      </c>
      <c r="D319" s="181">
        <f>4998998/1000</f>
        <v>4998.9979999999996</v>
      </c>
      <c r="E319" s="181">
        <f>TOBEPAID!E241/1000</f>
        <v>4998.9979999999996</v>
      </c>
      <c r="F319" s="181">
        <f>TOBEPAID!F241/1000</f>
        <v>0</v>
      </c>
      <c r="G319" s="181">
        <f>TOBEPAID!G241/1000</f>
        <v>0</v>
      </c>
      <c r="H319" s="181">
        <f>TOBEPAID!H241/1000</f>
        <v>4998.9979999999996</v>
      </c>
      <c r="I319" s="181">
        <f>TOBEPAID!I241/1000</f>
        <v>0</v>
      </c>
      <c r="J319" s="181">
        <f>TOBEPAID!J241/1000</f>
        <v>0</v>
      </c>
      <c r="K319" s="181">
        <f>TOBEPAID!K241/1000</f>
        <v>0</v>
      </c>
      <c r="L319" s="181">
        <f>TOBEPAID!L241/1000</f>
        <v>0</v>
      </c>
      <c r="M319" s="181">
        <f>TOBEPAID!M241/1000</f>
        <v>0</v>
      </c>
      <c r="N319" s="181">
        <f>TOBEPAID!N241/1000</f>
        <v>4998.9979999999996</v>
      </c>
      <c r="O319" s="181">
        <f>TOBEPAID!O241/1000</f>
        <v>0</v>
      </c>
      <c r="P319" s="181">
        <f>TOBEPAID!P241/1000</f>
        <v>0</v>
      </c>
      <c r="Q319" s="181">
        <f>TOBEPAID!Q241/1000</f>
        <v>0</v>
      </c>
      <c r="R319" s="181">
        <v>0</v>
      </c>
      <c r="S319" s="181">
        <f>TOBEPAID!S241/1000</f>
        <v>0</v>
      </c>
      <c r="T319" s="181">
        <f>TOBEPAID!T241/1000</f>
        <v>0</v>
      </c>
      <c r="U319" s="181">
        <f>TOBEPAID!U241/1000</f>
        <v>0</v>
      </c>
      <c r="V319" s="181">
        <f>TOBEPAID!V241/1000</f>
        <v>0</v>
      </c>
      <c r="W319" s="181">
        <f>TOBEPAID!W241/1000</f>
        <v>0</v>
      </c>
      <c r="X319" s="181">
        <f>TOBEPAID!X241/1000</f>
        <v>0</v>
      </c>
      <c r="Y319" s="181">
        <f t="shared" ref="Y319:Y327" si="53">+H319+R319</f>
        <v>4998.9979999999996</v>
      </c>
      <c r="Z319" s="181">
        <f>+D319-Y319</f>
        <v>0</v>
      </c>
      <c r="AA319" s="181">
        <f>TOBEPAID!AA241/1000</f>
        <v>4998.9979999999996</v>
      </c>
      <c r="AB319" s="181">
        <f>TOBEPAID!AB241/1000</f>
        <v>0</v>
      </c>
      <c r="AC319" s="181"/>
      <c r="AD319" s="181"/>
    </row>
    <row r="320" spans="1:30" x14ac:dyDescent="0.2">
      <c r="C320" s="165" t="s">
        <v>413</v>
      </c>
      <c r="D320" s="181">
        <f>12000000/1000</f>
        <v>12000</v>
      </c>
      <c r="E320" s="181"/>
      <c r="F320" s="181"/>
      <c r="G320" s="181"/>
      <c r="H320" s="181">
        <f>12000000/1000</f>
        <v>12000</v>
      </c>
      <c r="I320" s="181"/>
      <c r="J320" s="181"/>
      <c r="K320" s="181"/>
      <c r="L320" s="181"/>
      <c r="M320" s="181"/>
      <c r="N320" s="181"/>
      <c r="O320" s="181"/>
      <c r="P320" s="181"/>
      <c r="Q320" s="181"/>
      <c r="R320" s="181">
        <v>0</v>
      </c>
      <c r="S320" s="181"/>
      <c r="T320" s="181"/>
      <c r="U320" s="181"/>
      <c r="V320" s="181"/>
      <c r="W320" s="181"/>
      <c r="X320" s="181"/>
      <c r="Y320" s="181">
        <f t="shared" si="53"/>
        <v>12000</v>
      </c>
      <c r="Z320" s="181">
        <f>+D320-Y320</f>
        <v>0</v>
      </c>
      <c r="AA320" s="181"/>
      <c r="AB320" s="181"/>
      <c r="AC320" s="181"/>
      <c r="AD320" s="181"/>
    </row>
    <row r="321" spans="1:30" x14ac:dyDescent="0.2">
      <c r="C321" s="165" t="s">
        <v>290</v>
      </c>
      <c r="D321" s="181">
        <f>255655117/1000</f>
        <v>255655.117</v>
      </c>
      <c r="E321" s="181"/>
      <c r="F321" s="181"/>
      <c r="G321" s="181"/>
      <c r="H321" s="181">
        <f>255655117/1000</f>
        <v>255655.117</v>
      </c>
      <c r="I321" s="181"/>
      <c r="J321" s="181"/>
      <c r="K321" s="181"/>
      <c r="L321" s="181"/>
      <c r="M321" s="181"/>
      <c r="N321" s="181"/>
      <c r="O321" s="181"/>
      <c r="P321" s="181"/>
      <c r="Q321" s="181"/>
      <c r="R321" s="181">
        <v>0</v>
      </c>
      <c r="S321" s="181"/>
      <c r="T321" s="181"/>
      <c r="U321" s="181"/>
      <c r="V321" s="181"/>
      <c r="W321" s="181"/>
      <c r="X321" s="181"/>
      <c r="Y321" s="181">
        <f>+H321+R321</f>
        <v>255655.117</v>
      </c>
      <c r="Z321" s="181">
        <f>+D321-Y321</f>
        <v>0</v>
      </c>
      <c r="AA321" s="181"/>
      <c r="AB321" s="181"/>
      <c r="AC321" s="181"/>
      <c r="AD321" s="181"/>
    </row>
    <row r="322" spans="1:30" x14ac:dyDescent="0.2">
      <c r="C322" s="165" t="s">
        <v>483</v>
      </c>
      <c r="D322" s="181">
        <f>150000000/1000</f>
        <v>150000</v>
      </c>
      <c r="E322" s="181"/>
      <c r="F322" s="181"/>
      <c r="G322" s="181"/>
      <c r="H322" s="181">
        <f>150000000/1000</f>
        <v>150000</v>
      </c>
      <c r="I322" s="181"/>
      <c r="J322" s="181"/>
      <c r="K322" s="181"/>
      <c r="L322" s="181"/>
      <c r="M322" s="181"/>
      <c r="N322" s="181"/>
      <c r="O322" s="181"/>
      <c r="P322" s="181"/>
      <c r="Q322" s="181"/>
      <c r="R322" s="181">
        <v>0</v>
      </c>
      <c r="S322" s="181"/>
      <c r="T322" s="181"/>
      <c r="U322" s="181"/>
      <c r="V322" s="181"/>
      <c r="W322" s="181"/>
      <c r="X322" s="181"/>
      <c r="Y322" s="181">
        <f>+H322+R322</f>
        <v>150000</v>
      </c>
      <c r="Z322" s="181">
        <f>+D322-Y322</f>
        <v>0</v>
      </c>
      <c r="AA322" s="181"/>
      <c r="AB322" s="181"/>
      <c r="AC322" s="181"/>
      <c r="AD322" s="181"/>
    </row>
    <row r="323" spans="1:30" x14ac:dyDescent="0.2">
      <c r="A323" s="180"/>
      <c r="C323" s="168" t="s">
        <v>36</v>
      </c>
      <c r="D323" s="181">
        <f>12905293/1000</f>
        <v>12905.293</v>
      </c>
      <c r="E323" s="181">
        <f>TOBEPAID!E242/1000</f>
        <v>12905.293800000001</v>
      </c>
      <c r="F323" s="181">
        <f>TOBEPAID!F242/1000</f>
        <v>0</v>
      </c>
      <c r="G323" s="181">
        <f>TOBEPAID!G242/1000</f>
        <v>0</v>
      </c>
      <c r="H323" s="181">
        <f>TOBEPAID!H242/1000</f>
        <v>12905.293800000001</v>
      </c>
      <c r="I323" s="181">
        <f>TOBEPAID!I242/1000</f>
        <v>0</v>
      </c>
      <c r="J323" s="181">
        <f>TOBEPAID!J242/1000</f>
        <v>0</v>
      </c>
      <c r="K323" s="181">
        <f>TOBEPAID!K242/1000</f>
        <v>0</v>
      </c>
      <c r="L323" s="181">
        <f>TOBEPAID!L242/1000</f>
        <v>0</v>
      </c>
      <c r="M323" s="181">
        <f>TOBEPAID!M242/1000</f>
        <v>0</v>
      </c>
      <c r="N323" s="181">
        <f>TOBEPAID!N242/1000</f>
        <v>12905.293800000001</v>
      </c>
      <c r="O323" s="181">
        <f>TOBEPAID!O242/1000</f>
        <v>0</v>
      </c>
      <c r="P323" s="181">
        <f>TOBEPAID!P242/1000</f>
        <v>0</v>
      </c>
      <c r="Q323" s="181">
        <f>TOBEPAID!Q242/1000</f>
        <v>0</v>
      </c>
      <c r="R323" s="181">
        <v>0</v>
      </c>
      <c r="S323" s="181">
        <f>TOBEPAID!S242/1000</f>
        <v>0</v>
      </c>
      <c r="T323" s="181">
        <f>TOBEPAID!T242/1000</f>
        <v>0</v>
      </c>
      <c r="U323" s="181">
        <f>TOBEPAID!U242/1000</f>
        <v>0</v>
      </c>
      <c r="V323" s="181">
        <f>TOBEPAID!V242/1000</f>
        <v>0</v>
      </c>
      <c r="W323" s="181">
        <f>TOBEPAID!W242/1000</f>
        <v>0</v>
      </c>
      <c r="X323" s="181">
        <f>TOBEPAID!X242/1000</f>
        <v>0</v>
      </c>
      <c r="Y323" s="181">
        <f t="shared" si="53"/>
        <v>12905.293800000001</v>
      </c>
      <c r="Z323" s="181">
        <f>+Y323-D323</f>
        <v>8.0000000161817297E-4</v>
      </c>
      <c r="AA323" s="181">
        <f>TOBEPAID!AA242/1000</f>
        <v>12905.293800000001</v>
      </c>
      <c r="AB323" s="181">
        <f>TOBEPAID!AB242/1000</f>
        <v>0</v>
      </c>
      <c r="AC323" s="181"/>
      <c r="AD323" s="181"/>
    </row>
    <row r="324" spans="1:30" x14ac:dyDescent="0.2">
      <c r="A324" s="180"/>
      <c r="C324" s="168" t="s">
        <v>65</v>
      </c>
      <c r="D324" s="181">
        <f>65638000/1000</f>
        <v>65638</v>
      </c>
      <c r="E324" s="181">
        <f>TOBEPAID!E243/1000</f>
        <v>65638</v>
      </c>
      <c r="F324" s="181">
        <f>TOBEPAID!F243/1000</f>
        <v>0</v>
      </c>
      <c r="G324" s="181">
        <f>TOBEPAID!G243/1000</f>
        <v>0</v>
      </c>
      <c r="H324" s="181">
        <f>TOBEPAID!H243/1000</f>
        <v>65638</v>
      </c>
      <c r="I324" s="181">
        <f>TOBEPAID!I243/1000</f>
        <v>0</v>
      </c>
      <c r="J324" s="181">
        <f>TOBEPAID!J243/1000</f>
        <v>0</v>
      </c>
      <c r="K324" s="181">
        <f>TOBEPAID!K243/1000</f>
        <v>0</v>
      </c>
      <c r="L324" s="181">
        <f>TOBEPAID!L243/1000</f>
        <v>0</v>
      </c>
      <c r="M324" s="181">
        <f>TOBEPAID!M243/1000</f>
        <v>0</v>
      </c>
      <c r="N324" s="181">
        <f>TOBEPAID!N243/1000</f>
        <v>65638</v>
      </c>
      <c r="O324" s="181">
        <f>TOBEPAID!O243/1000</f>
        <v>0</v>
      </c>
      <c r="P324" s="181">
        <f>TOBEPAID!P243/1000</f>
        <v>0</v>
      </c>
      <c r="Q324" s="181">
        <f>TOBEPAID!Q243/1000</f>
        <v>0</v>
      </c>
      <c r="R324" s="181">
        <v>0</v>
      </c>
      <c r="S324" s="181">
        <f>TOBEPAID!S243/1000</f>
        <v>0</v>
      </c>
      <c r="T324" s="181">
        <f>TOBEPAID!T243/1000</f>
        <v>0</v>
      </c>
      <c r="U324" s="181">
        <f>TOBEPAID!U243/1000</f>
        <v>0</v>
      </c>
      <c r="V324" s="181">
        <f>TOBEPAID!V243/1000</f>
        <v>0</v>
      </c>
      <c r="W324" s="181">
        <f>TOBEPAID!W243/1000</f>
        <v>0</v>
      </c>
      <c r="X324" s="181">
        <f>TOBEPAID!X243/1000</f>
        <v>0</v>
      </c>
      <c r="Y324" s="181">
        <f t="shared" si="53"/>
        <v>65638</v>
      </c>
      <c r="Z324" s="181">
        <f>+D324-Y324</f>
        <v>0</v>
      </c>
      <c r="AA324" s="181">
        <f>TOBEPAID!AA243/1000</f>
        <v>65638</v>
      </c>
      <c r="AB324" s="181">
        <f>TOBEPAID!AB243/1000</f>
        <v>0</v>
      </c>
      <c r="AC324" s="181"/>
      <c r="AD324" s="181"/>
    </row>
    <row r="325" spans="1:30" x14ac:dyDescent="0.2">
      <c r="A325" s="180"/>
      <c r="C325" s="213" t="s">
        <v>62</v>
      </c>
      <c r="D325" s="181">
        <f>2082100/1000</f>
        <v>2082.1</v>
      </c>
      <c r="E325" s="181">
        <f>TOBEPAID!E244/1000</f>
        <v>2082.1004400000002</v>
      </c>
      <c r="F325" s="181">
        <f>TOBEPAID!F244/1000</f>
        <v>0</v>
      </c>
      <c r="G325" s="181">
        <f>TOBEPAID!G244/1000</f>
        <v>0</v>
      </c>
      <c r="H325" s="181">
        <f>TOBEPAID!H244/1000</f>
        <v>2082.1004400000002</v>
      </c>
      <c r="I325" s="181">
        <f>TOBEPAID!I244/1000</f>
        <v>0</v>
      </c>
      <c r="J325" s="181">
        <f>TOBEPAID!J244/1000</f>
        <v>0</v>
      </c>
      <c r="K325" s="181">
        <f>TOBEPAID!K244/1000</f>
        <v>0</v>
      </c>
      <c r="L325" s="181">
        <f>TOBEPAID!L244/1000</f>
        <v>0</v>
      </c>
      <c r="M325" s="181">
        <f>TOBEPAID!M244/1000</f>
        <v>0</v>
      </c>
      <c r="N325" s="181">
        <f>TOBEPAID!N244/1000</f>
        <v>2082.1004400000002</v>
      </c>
      <c r="O325" s="181">
        <f>TOBEPAID!O244/1000</f>
        <v>0</v>
      </c>
      <c r="P325" s="181">
        <f>TOBEPAID!P244/1000</f>
        <v>0</v>
      </c>
      <c r="Q325" s="181">
        <f>TOBEPAID!Q244/1000</f>
        <v>0</v>
      </c>
      <c r="R325" s="181">
        <v>0</v>
      </c>
      <c r="S325" s="181">
        <f>TOBEPAID!S244/1000</f>
        <v>0</v>
      </c>
      <c r="T325" s="181">
        <f>TOBEPAID!T244/1000</f>
        <v>0</v>
      </c>
      <c r="U325" s="181">
        <f>TOBEPAID!U244/1000</f>
        <v>0</v>
      </c>
      <c r="V325" s="181">
        <f>TOBEPAID!V244/1000</f>
        <v>0</v>
      </c>
      <c r="W325" s="181">
        <f>TOBEPAID!W244/1000</f>
        <v>0</v>
      </c>
      <c r="X325" s="181">
        <f>TOBEPAID!X244/1000</f>
        <v>0</v>
      </c>
      <c r="Y325" s="181">
        <f t="shared" si="53"/>
        <v>2082.1004400000002</v>
      </c>
      <c r="Z325" s="181">
        <f>+Y325-D325</f>
        <v>4.4000000025334884E-4</v>
      </c>
      <c r="AA325" s="181">
        <f>TOBEPAID!AA244/1000</f>
        <v>2082.1004400000002</v>
      </c>
      <c r="AB325" s="181">
        <f>TOBEPAID!AB244/1000</f>
        <v>0</v>
      </c>
      <c r="AC325" s="181"/>
      <c r="AD325" s="181"/>
    </row>
    <row r="326" spans="1:30" x14ac:dyDescent="0.2">
      <c r="A326" s="180"/>
      <c r="C326" s="168" t="s">
        <v>53</v>
      </c>
      <c r="D326" s="181">
        <f>7344521/1000</f>
        <v>7344.5209999999997</v>
      </c>
      <c r="E326" s="181">
        <f>TOBEPAID!E245/1000</f>
        <v>0</v>
      </c>
      <c r="F326" s="181">
        <f>TOBEPAID!F245/1000</f>
        <v>0</v>
      </c>
      <c r="G326" s="181">
        <f>TOBEPAID!G245/1000</f>
        <v>0</v>
      </c>
      <c r="H326" s="181">
        <f>TOBEPAID!H245/1000</f>
        <v>0</v>
      </c>
      <c r="I326" s="181">
        <f>TOBEPAID!I245/1000</f>
        <v>0</v>
      </c>
      <c r="J326" s="181">
        <f>TOBEPAID!J245/1000</f>
        <v>0</v>
      </c>
      <c r="K326" s="181">
        <f>TOBEPAID!K245/1000</f>
        <v>0</v>
      </c>
      <c r="L326" s="181">
        <f>TOBEPAID!L245/1000</f>
        <v>0</v>
      </c>
      <c r="M326" s="181">
        <f>TOBEPAID!M245/1000</f>
        <v>0</v>
      </c>
      <c r="N326" s="181">
        <f>TOBEPAID!N245/1000</f>
        <v>0</v>
      </c>
      <c r="O326" s="181">
        <f>TOBEPAID!O245/1000</f>
        <v>7344.5211499999996</v>
      </c>
      <c r="P326" s="181">
        <f>TOBEPAID!P245/1000</f>
        <v>0</v>
      </c>
      <c r="Q326" s="181">
        <f>TOBEPAID!Q245/1000</f>
        <v>0</v>
      </c>
      <c r="R326" s="181">
        <f>7344521/1000</f>
        <v>7344.5209999999997</v>
      </c>
      <c r="S326" s="181">
        <f>TOBEPAID!S245/1000</f>
        <v>0</v>
      </c>
      <c r="T326" s="181">
        <f>TOBEPAID!T245/1000</f>
        <v>0</v>
      </c>
      <c r="U326" s="181">
        <f>TOBEPAID!U245/1000</f>
        <v>0</v>
      </c>
      <c r="V326" s="181">
        <f>TOBEPAID!V245/1000</f>
        <v>0</v>
      </c>
      <c r="W326" s="181">
        <f>TOBEPAID!W245/1000</f>
        <v>0</v>
      </c>
      <c r="X326" s="181">
        <f>TOBEPAID!X245/1000</f>
        <v>7344.5211499999996</v>
      </c>
      <c r="Y326" s="181">
        <f t="shared" si="53"/>
        <v>7344.5209999999997</v>
      </c>
      <c r="Z326" s="181">
        <f>+D326-Y326</f>
        <v>0</v>
      </c>
      <c r="AA326" s="181">
        <f>TOBEPAID!AA245/1000</f>
        <v>7344.5211499999996</v>
      </c>
      <c r="AB326" s="181">
        <f>TOBEPAID!AB245/1000</f>
        <v>0</v>
      </c>
      <c r="AC326" s="181"/>
      <c r="AD326" s="181"/>
    </row>
    <row r="327" spans="1:30" x14ac:dyDescent="0.2">
      <c r="A327" s="180"/>
      <c r="C327" s="166" t="s">
        <v>54</v>
      </c>
      <c r="D327" s="181">
        <f>5603896/1000</f>
        <v>5603.8959999999997</v>
      </c>
      <c r="E327" s="181">
        <f>TOBEPAID!E246/1000</f>
        <v>0</v>
      </c>
      <c r="F327" s="181">
        <f>TOBEPAID!F246/1000</f>
        <v>0</v>
      </c>
      <c r="G327" s="181">
        <f>TOBEPAID!G246/1000</f>
        <v>0</v>
      </c>
      <c r="H327" s="181">
        <f>TOBEPAID!H246/1000</f>
        <v>0</v>
      </c>
      <c r="I327" s="181">
        <f>TOBEPAID!I246/1000</f>
        <v>0</v>
      </c>
      <c r="J327" s="181">
        <f>TOBEPAID!J246/1000</f>
        <v>0</v>
      </c>
      <c r="K327" s="181">
        <f>TOBEPAID!K246/1000</f>
        <v>0</v>
      </c>
      <c r="L327" s="181">
        <f>TOBEPAID!L246/1000</f>
        <v>0</v>
      </c>
      <c r="M327" s="181">
        <f>TOBEPAID!M246/1000</f>
        <v>0</v>
      </c>
      <c r="N327" s="181">
        <f>TOBEPAID!N246/1000</f>
        <v>0</v>
      </c>
      <c r="O327" s="181">
        <f>TOBEPAID!O246/1000</f>
        <v>5603.8962599999995</v>
      </c>
      <c r="P327" s="181">
        <f>TOBEPAID!P246/1000</f>
        <v>0</v>
      </c>
      <c r="Q327" s="181">
        <f>TOBEPAID!Q246/1000</f>
        <v>0</v>
      </c>
      <c r="R327" s="181">
        <f>5603895/1000</f>
        <v>5603.8950000000004</v>
      </c>
      <c r="S327" s="181">
        <f>TOBEPAID!S246/1000</f>
        <v>0</v>
      </c>
      <c r="T327" s="181">
        <f>TOBEPAID!T246/1000</f>
        <v>0</v>
      </c>
      <c r="U327" s="181">
        <f>TOBEPAID!U246/1000</f>
        <v>0</v>
      </c>
      <c r="V327" s="181">
        <f>TOBEPAID!V246/1000</f>
        <v>0</v>
      </c>
      <c r="W327" s="181">
        <f>TOBEPAID!W246/1000</f>
        <v>0</v>
      </c>
      <c r="X327" s="181">
        <f>TOBEPAID!X246/1000</f>
        <v>5603.8962599999995</v>
      </c>
      <c r="Y327" s="181">
        <f t="shared" si="53"/>
        <v>5603.8950000000004</v>
      </c>
      <c r="Z327" s="181">
        <f>+D327-Y327</f>
        <v>9.9999999929423211E-4</v>
      </c>
      <c r="AA327" s="181">
        <f>TOBEPAID!AA246/1000</f>
        <v>5603.8962599999995</v>
      </c>
      <c r="AB327" s="181">
        <f>TOBEPAID!AB246/1000</f>
        <v>3374.0312400000003</v>
      </c>
      <c r="AC327" s="181"/>
      <c r="AD327" s="181"/>
    </row>
    <row r="328" spans="1:30" x14ac:dyDescent="0.2">
      <c r="A328" s="180"/>
      <c r="D328" s="182" t="s">
        <v>40</v>
      </c>
      <c r="E328" s="182" t="s">
        <v>40</v>
      </c>
      <c r="F328" s="182" t="s">
        <v>40</v>
      </c>
      <c r="G328" s="182"/>
      <c r="H328" s="182" t="s">
        <v>40</v>
      </c>
      <c r="I328" s="182" t="s">
        <v>40</v>
      </c>
      <c r="J328" s="182" t="s">
        <v>40</v>
      </c>
      <c r="K328" s="182" t="s">
        <v>40</v>
      </c>
      <c r="L328" s="182" t="s">
        <v>40</v>
      </c>
      <c r="M328" s="182"/>
      <c r="N328" s="182" t="s">
        <v>40</v>
      </c>
      <c r="O328" s="182" t="s">
        <v>40</v>
      </c>
      <c r="P328" s="182" t="s">
        <v>40</v>
      </c>
      <c r="Q328" s="182"/>
      <c r="R328" s="182" t="s">
        <v>40</v>
      </c>
      <c r="S328" s="182" t="s">
        <v>40</v>
      </c>
      <c r="T328" s="182" t="s">
        <v>40</v>
      </c>
      <c r="U328" s="182" t="s">
        <v>40</v>
      </c>
      <c r="V328" s="182" t="s">
        <v>40</v>
      </c>
      <c r="W328" s="182"/>
      <c r="X328" s="182" t="s">
        <v>40</v>
      </c>
      <c r="Y328" s="182" t="s">
        <v>40</v>
      </c>
      <c r="Z328" s="182" t="s">
        <v>40</v>
      </c>
      <c r="AA328" s="182" t="s">
        <v>40</v>
      </c>
      <c r="AB328" s="182" t="s">
        <v>40</v>
      </c>
      <c r="AC328" s="182"/>
      <c r="AD328" s="182"/>
    </row>
    <row r="329" spans="1:30" x14ac:dyDescent="0.2">
      <c r="A329" s="180"/>
      <c r="D329" s="181">
        <f>SUM(D318:D327)</f>
        <v>541700.36499999987</v>
      </c>
      <c r="E329" s="181">
        <f>SUM(E318:E327)</f>
        <v>95124.392240000001</v>
      </c>
      <c r="F329" s="181">
        <f>SUM(F318:F327)</f>
        <v>0</v>
      </c>
      <c r="G329" s="181"/>
      <c r="H329" s="181">
        <f>SUM(H318:H327)</f>
        <v>523179.50923999998</v>
      </c>
      <c r="I329" s="181">
        <f>SUM(I318:I327)</f>
        <v>0</v>
      </c>
      <c r="J329" s="181">
        <f>SUM(J318:J327)</f>
        <v>0</v>
      </c>
      <c r="K329" s="181">
        <f>SUM(K318:K327)</f>
        <v>0</v>
      </c>
      <c r="L329" s="181">
        <f>SUM(L318:L327)</f>
        <v>0</v>
      </c>
      <c r="M329" s="181"/>
      <c r="N329" s="181">
        <f>SUM(N318:N327)</f>
        <v>95124.392240000001</v>
      </c>
      <c r="O329" s="181">
        <f>SUM(O318:O327)</f>
        <v>16258.939109999999</v>
      </c>
      <c r="P329" s="181">
        <f>SUM(P318:P327)</f>
        <v>0</v>
      </c>
      <c r="Q329" s="181"/>
      <c r="R329" s="181">
        <f>SUM(R318:R327)</f>
        <v>18515.436000000002</v>
      </c>
      <c r="S329" s="181">
        <f>SUM(S318:S327)</f>
        <v>0</v>
      </c>
      <c r="T329" s="181">
        <f>SUM(T318:T327)</f>
        <v>0</v>
      </c>
      <c r="U329" s="181">
        <f>SUM(U318:U327)</f>
        <v>0</v>
      </c>
      <c r="V329" s="181">
        <f>SUM(V318:V327)</f>
        <v>0</v>
      </c>
      <c r="W329" s="181"/>
      <c r="X329" s="181">
        <f>SUM(X318:X327)</f>
        <v>16258.939109999999</v>
      </c>
      <c r="Y329" s="181">
        <f>SUM(Y318:Y327)</f>
        <v>541694.94523999991</v>
      </c>
      <c r="Z329" s="181">
        <f>SUM(Z318:Z327)</f>
        <v>5.4222399999994195</v>
      </c>
      <c r="AA329" s="181">
        <f>SUM(AA318:AA327)</f>
        <v>111383.33134999998</v>
      </c>
      <c r="AB329" s="181">
        <f>SUM(AB318:AB327)</f>
        <v>12661.918680000002</v>
      </c>
      <c r="AC329" s="181"/>
      <c r="AD329" s="181"/>
    </row>
    <row r="330" spans="1:30" x14ac:dyDescent="0.2">
      <c r="A330" s="180"/>
      <c r="D330" s="182" t="s">
        <v>40</v>
      </c>
      <c r="E330" s="182" t="s">
        <v>40</v>
      </c>
      <c r="F330" s="182" t="s">
        <v>40</v>
      </c>
      <c r="G330" s="182"/>
      <c r="H330" s="182" t="s">
        <v>40</v>
      </c>
      <c r="I330" s="182" t="s">
        <v>40</v>
      </c>
      <c r="J330" s="182" t="s">
        <v>40</v>
      </c>
      <c r="K330" s="182" t="s">
        <v>40</v>
      </c>
      <c r="L330" s="182" t="s">
        <v>40</v>
      </c>
      <c r="M330" s="182"/>
      <c r="N330" s="182" t="s">
        <v>40</v>
      </c>
      <c r="O330" s="182" t="s">
        <v>40</v>
      </c>
      <c r="P330" s="182" t="s">
        <v>40</v>
      </c>
      <c r="Q330" s="182"/>
      <c r="R330" s="182" t="s">
        <v>40</v>
      </c>
      <c r="S330" s="182" t="s">
        <v>40</v>
      </c>
      <c r="T330" s="182" t="s">
        <v>40</v>
      </c>
      <c r="U330" s="182" t="s">
        <v>40</v>
      </c>
      <c r="V330" s="182" t="s">
        <v>40</v>
      </c>
      <c r="W330" s="182"/>
      <c r="X330" s="182" t="s">
        <v>40</v>
      </c>
      <c r="Y330" s="182" t="s">
        <v>40</v>
      </c>
      <c r="Z330" s="182" t="s">
        <v>40</v>
      </c>
      <c r="AA330" s="182" t="s">
        <v>40</v>
      </c>
      <c r="AB330" s="182" t="s">
        <v>40</v>
      </c>
      <c r="AC330" s="182"/>
      <c r="AD330" s="182"/>
    </row>
    <row r="331" spans="1:30" x14ac:dyDescent="0.2">
      <c r="A331" s="180"/>
      <c r="D331" s="182"/>
      <c r="E331" s="182"/>
      <c r="F331" s="182"/>
      <c r="G331" s="182"/>
      <c r="H331" s="182"/>
      <c r="I331" s="182"/>
      <c r="J331" s="182"/>
      <c r="K331" s="182"/>
      <c r="L331" s="182"/>
      <c r="M331" s="182"/>
      <c r="N331" s="182"/>
      <c r="O331" s="182"/>
      <c r="P331" s="182"/>
      <c r="Q331" s="182"/>
      <c r="R331" s="182"/>
      <c r="S331" s="182"/>
      <c r="T331" s="182"/>
      <c r="U331" s="182"/>
      <c r="V331" s="182"/>
      <c r="W331" s="182"/>
      <c r="X331" s="182"/>
      <c r="Y331" s="182"/>
      <c r="Z331" s="182"/>
      <c r="AA331" s="182"/>
      <c r="AB331" s="182"/>
      <c r="AC331" s="182"/>
      <c r="AD331" s="182"/>
    </row>
    <row r="332" spans="1:30" x14ac:dyDescent="0.2">
      <c r="A332" s="180">
        <v>23</v>
      </c>
      <c r="B332" s="166" t="s">
        <v>67</v>
      </c>
      <c r="C332" s="166" t="s">
        <v>35</v>
      </c>
      <c r="D332" s="181">
        <f>79827573/1000</f>
        <v>79827.573000000004</v>
      </c>
      <c r="E332" s="181">
        <f>TOBEPAID!E251/1000</f>
        <v>2000</v>
      </c>
      <c r="F332" s="181">
        <f>TOBEPAID!F251/1000</f>
        <v>0</v>
      </c>
      <c r="G332" s="181">
        <f>TOBEPAID!G251/1000</f>
        <v>0</v>
      </c>
      <c r="H332" s="181">
        <f>2000000/1000</f>
        <v>2000</v>
      </c>
      <c r="I332" s="181">
        <f>TOBEPAID!I251/1000</f>
        <v>0</v>
      </c>
      <c r="J332" s="181">
        <f>TOBEPAID!J251/1000</f>
        <v>0</v>
      </c>
      <c r="K332" s="181">
        <f>TOBEPAID!K251/1000</f>
        <v>0</v>
      </c>
      <c r="L332" s="181">
        <f>TOBEPAID!L251/1000</f>
        <v>0</v>
      </c>
      <c r="M332" s="181">
        <f>TOBEPAID!M251/1000</f>
        <v>0</v>
      </c>
      <c r="N332" s="181">
        <f>TOBEPAID!N251/1000</f>
        <v>2000</v>
      </c>
      <c r="O332" s="181">
        <f>TOBEPAID!O251/1000</f>
        <v>7857.4011700000001</v>
      </c>
      <c r="P332" s="181">
        <f>TOBEPAID!P251/1000</f>
        <v>0</v>
      </c>
      <c r="Q332" s="181">
        <f>TOBEPAID!Q251/1000</f>
        <v>0</v>
      </c>
      <c r="R332" s="181">
        <f>12395583.86/1000</f>
        <v>12395.583859999999</v>
      </c>
      <c r="S332" s="181">
        <f>TOBEPAID!S251/1000</f>
        <v>0</v>
      </c>
      <c r="T332" s="181">
        <f>TOBEPAID!T251/1000</f>
        <v>0</v>
      </c>
      <c r="U332" s="181">
        <f>TOBEPAID!U251/1000</f>
        <v>0</v>
      </c>
      <c r="V332" s="181">
        <f>TOBEPAID!V251/1000</f>
        <v>0</v>
      </c>
      <c r="W332" s="181">
        <f>TOBEPAID!W251/1000</f>
        <v>0</v>
      </c>
      <c r="X332" s="181">
        <f>TOBEPAID!X251/1000</f>
        <v>7857.4011700000001</v>
      </c>
      <c r="Y332" s="181">
        <f>+H332+R332</f>
        <v>14395.583859999999</v>
      </c>
      <c r="Z332" s="181">
        <f t="shared" ref="Z332:Z340" si="54">+D332-Y332</f>
        <v>65431.989140000005</v>
      </c>
      <c r="AA332" s="181">
        <f>TOBEPAID!AA251/1000</f>
        <v>9857.4011699999992</v>
      </c>
      <c r="AB332" s="181">
        <f>TOBEPAID!AB251/1000</f>
        <v>69970.172820000007</v>
      </c>
      <c r="AC332" s="181"/>
      <c r="AD332" s="181"/>
    </row>
    <row r="333" spans="1:30" x14ac:dyDescent="0.2">
      <c r="A333" s="180"/>
      <c r="C333" s="168" t="s">
        <v>36</v>
      </c>
      <c r="D333" s="181">
        <f>2084500/1000</f>
        <v>2084.5</v>
      </c>
      <c r="E333" s="181">
        <f>TOBEPAID!E252/1000</f>
        <v>2084.5</v>
      </c>
      <c r="F333" s="181">
        <f>TOBEPAID!F252/1000</f>
        <v>0</v>
      </c>
      <c r="G333" s="181">
        <f>TOBEPAID!G252/1000</f>
        <v>0</v>
      </c>
      <c r="H333" s="181">
        <f>2084500/1000</f>
        <v>2084.5</v>
      </c>
      <c r="I333" s="181">
        <f>TOBEPAID!I252/1000</f>
        <v>0</v>
      </c>
      <c r="J333" s="181">
        <f>TOBEPAID!J252/1000</f>
        <v>0</v>
      </c>
      <c r="K333" s="181">
        <f>TOBEPAID!K252/1000</f>
        <v>0</v>
      </c>
      <c r="L333" s="181">
        <f>TOBEPAID!L252/1000</f>
        <v>0</v>
      </c>
      <c r="M333" s="181">
        <f>TOBEPAID!M252/1000</f>
        <v>0</v>
      </c>
      <c r="N333" s="181">
        <f>TOBEPAID!N252/1000</f>
        <v>2084.5</v>
      </c>
      <c r="O333" s="181">
        <f>TOBEPAID!O252/1000</f>
        <v>0</v>
      </c>
      <c r="P333" s="181">
        <f>TOBEPAID!P252/1000</f>
        <v>0</v>
      </c>
      <c r="Q333" s="181">
        <f>TOBEPAID!Q252/1000</f>
        <v>0</v>
      </c>
      <c r="R333" s="181">
        <v>0</v>
      </c>
      <c r="S333" s="181">
        <f>TOBEPAID!S252/1000</f>
        <v>0</v>
      </c>
      <c r="T333" s="181">
        <f>TOBEPAID!T252/1000</f>
        <v>0</v>
      </c>
      <c r="U333" s="181">
        <f>TOBEPAID!U252/1000</f>
        <v>0</v>
      </c>
      <c r="V333" s="181">
        <f>TOBEPAID!V252/1000</f>
        <v>0</v>
      </c>
      <c r="W333" s="181">
        <f>TOBEPAID!W252/1000</f>
        <v>0</v>
      </c>
      <c r="X333" s="181">
        <f>TOBEPAID!X252/1000</f>
        <v>0</v>
      </c>
      <c r="Y333" s="181">
        <f t="shared" ref="Y333:Y340" si="55">+H333+R333</f>
        <v>2084.5</v>
      </c>
      <c r="Z333" s="181">
        <f t="shared" si="54"/>
        <v>0</v>
      </c>
      <c r="AA333" s="181">
        <f>TOBEPAID!AA252/1000</f>
        <v>2084.5</v>
      </c>
      <c r="AB333" s="181">
        <f>TOBEPAID!AB252/1000</f>
        <v>0</v>
      </c>
      <c r="AC333" s="181"/>
      <c r="AD333" s="181"/>
    </row>
    <row r="334" spans="1:30" x14ac:dyDescent="0.2">
      <c r="A334" s="180"/>
      <c r="C334" s="168" t="s">
        <v>65</v>
      </c>
      <c r="D334" s="181">
        <f>20736000/1000</f>
        <v>20736</v>
      </c>
      <c r="E334" s="181">
        <f>TOBEPAID!E253/1000</f>
        <v>20736</v>
      </c>
      <c r="F334" s="181">
        <f>TOBEPAID!F253/1000</f>
        <v>0</v>
      </c>
      <c r="G334" s="181">
        <f>TOBEPAID!G253/1000</f>
        <v>0</v>
      </c>
      <c r="H334" s="181">
        <f>TOBEPAID!H253/1000</f>
        <v>20736</v>
      </c>
      <c r="I334" s="181">
        <f>TOBEPAID!I253/1000</f>
        <v>0</v>
      </c>
      <c r="J334" s="181">
        <f>TOBEPAID!J253/1000</f>
        <v>0</v>
      </c>
      <c r="K334" s="181">
        <f>TOBEPAID!K253/1000</f>
        <v>0</v>
      </c>
      <c r="L334" s="181">
        <f>TOBEPAID!L253/1000</f>
        <v>0</v>
      </c>
      <c r="M334" s="181">
        <f>TOBEPAID!M253/1000</f>
        <v>0</v>
      </c>
      <c r="N334" s="181">
        <f>TOBEPAID!N253/1000</f>
        <v>20736</v>
      </c>
      <c r="O334" s="181">
        <f>TOBEPAID!O253/1000</f>
        <v>0</v>
      </c>
      <c r="P334" s="181">
        <f>TOBEPAID!P253/1000</f>
        <v>0</v>
      </c>
      <c r="Q334" s="181">
        <f>TOBEPAID!Q253/1000</f>
        <v>0</v>
      </c>
      <c r="R334" s="181">
        <v>0</v>
      </c>
      <c r="S334" s="181">
        <f>TOBEPAID!S253/1000</f>
        <v>0</v>
      </c>
      <c r="T334" s="181">
        <f>TOBEPAID!T253/1000</f>
        <v>0</v>
      </c>
      <c r="U334" s="181">
        <f>TOBEPAID!U253/1000</f>
        <v>0</v>
      </c>
      <c r="V334" s="181">
        <f>TOBEPAID!V253/1000</f>
        <v>0</v>
      </c>
      <c r="W334" s="181">
        <f>TOBEPAID!W253/1000</f>
        <v>0</v>
      </c>
      <c r="X334" s="181">
        <f>TOBEPAID!X253/1000</f>
        <v>0</v>
      </c>
      <c r="Y334" s="181">
        <f t="shared" si="55"/>
        <v>20736</v>
      </c>
      <c r="Z334" s="181">
        <f t="shared" si="54"/>
        <v>0</v>
      </c>
      <c r="AA334" s="181">
        <f>TOBEPAID!AA253/1000</f>
        <v>20736</v>
      </c>
      <c r="AB334" s="181">
        <f>TOBEPAID!AB253/1000</f>
        <v>0</v>
      </c>
      <c r="AC334" s="181"/>
      <c r="AD334" s="181"/>
    </row>
    <row r="335" spans="1:30" x14ac:dyDescent="0.2">
      <c r="A335" s="180"/>
      <c r="C335" s="168" t="s">
        <v>425</v>
      </c>
      <c r="D335" s="181">
        <f>170000000/1000</f>
        <v>170000</v>
      </c>
      <c r="E335" s="181"/>
      <c r="F335" s="181"/>
      <c r="G335" s="181"/>
      <c r="H335" s="181">
        <f>170000000/1000</f>
        <v>170000</v>
      </c>
      <c r="I335" s="181"/>
      <c r="J335" s="181"/>
      <c r="K335" s="181"/>
      <c r="L335" s="181"/>
      <c r="M335" s="181"/>
      <c r="N335" s="181"/>
      <c r="O335" s="181"/>
      <c r="P335" s="181"/>
      <c r="Q335" s="181"/>
      <c r="R335" s="181">
        <v>0</v>
      </c>
      <c r="S335" s="181"/>
      <c r="T335" s="181"/>
      <c r="U335" s="181"/>
      <c r="V335" s="181"/>
      <c r="W335" s="181"/>
      <c r="X335" s="181"/>
      <c r="Y335" s="181">
        <f>+H335+R335</f>
        <v>170000</v>
      </c>
      <c r="Z335" s="181">
        <f>+D335-Y335</f>
        <v>0</v>
      </c>
      <c r="AA335" s="181"/>
      <c r="AB335" s="181"/>
      <c r="AC335" s="181"/>
      <c r="AD335" s="181"/>
    </row>
    <row r="336" spans="1:30" x14ac:dyDescent="0.2">
      <c r="C336" s="165" t="s">
        <v>375</v>
      </c>
      <c r="D336" s="181">
        <v>0</v>
      </c>
      <c r="E336" s="181">
        <f>TOBEPAID!E254/1000</f>
        <v>3347.7730000000001</v>
      </c>
      <c r="F336" s="181">
        <f>TOBEPAID!F254/1000</f>
        <v>0</v>
      </c>
      <c r="G336" s="181">
        <f>TOBEPAID!G254/1000</f>
        <v>0</v>
      </c>
      <c r="H336" s="181">
        <v>0</v>
      </c>
      <c r="I336" s="181">
        <f>TOBEPAID!I254/1000</f>
        <v>0</v>
      </c>
      <c r="J336" s="181">
        <f>TOBEPAID!J254/1000</f>
        <v>0</v>
      </c>
      <c r="K336" s="181">
        <f>TOBEPAID!K254/1000</f>
        <v>0</v>
      </c>
      <c r="L336" s="181">
        <f>TOBEPAID!L254/1000</f>
        <v>0</v>
      </c>
      <c r="M336" s="181">
        <f>TOBEPAID!M254/1000</f>
        <v>0</v>
      </c>
      <c r="N336" s="181">
        <f>TOBEPAID!N254/1000</f>
        <v>3347.7730000000001</v>
      </c>
      <c r="O336" s="181">
        <f>TOBEPAID!O254/1000</f>
        <v>0</v>
      </c>
      <c r="P336" s="181">
        <f>TOBEPAID!P254/1000</f>
        <v>0</v>
      </c>
      <c r="Q336" s="181">
        <f>TOBEPAID!Q254/1000</f>
        <v>0</v>
      </c>
      <c r="R336" s="181">
        <v>0</v>
      </c>
      <c r="S336" s="181">
        <f>TOBEPAID!S254/1000</f>
        <v>0</v>
      </c>
      <c r="T336" s="181">
        <f>TOBEPAID!T254/1000</f>
        <v>0</v>
      </c>
      <c r="U336" s="181">
        <f>TOBEPAID!U254/1000</f>
        <v>0</v>
      </c>
      <c r="V336" s="181">
        <f>TOBEPAID!V254/1000</f>
        <v>0</v>
      </c>
      <c r="W336" s="181">
        <f>TOBEPAID!W254/1000</f>
        <v>0</v>
      </c>
      <c r="X336" s="181">
        <f>TOBEPAID!X254/1000</f>
        <v>0</v>
      </c>
      <c r="Y336" s="181">
        <f t="shared" si="55"/>
        <v>0</v>
      </c>
      <c r="Z336" s="181">
        <f t="shared" si="54"/>
        <v>0</v>
      </c>
      <c r="AA336" s="181">
        <f>TOBEPAID!AA254/1000</f>
        <v>3347.7730000000001</v>
      </c>
      <c r="AB336" s="181">
        <f>TOBEPAID!AB254/1000</f>
        <v>7.5000000000000002E-4</v>
      </c>
      <c r="AC336" s="181"/>
      <c r="AD336" s="181"/>
    </row>
    <row r="337" spans="1:30" x14ac:dyDescent="0.2">
      <c r="C337" s="165" t="s">
        <v>298</v>
      </c>
      <c r="D337" s="181">
        <f>6720000/1000</f>
        <v>6720</v>
      </c>
      <c r="E337" s="181">
        <f>TOBEPAID!E255/1000</f>
        <v>6720</v>
      </c>
      <c r="F337" s="181">
        <f>TOBEPAID!F255/1000</f>
        <v>0</v>
      </c>
      <c r="G337" s="181">
        <f>TOBEPAID!G255/1000</f>
        <v>0</v>
      </c>
      <c r="H337" s="181">
        <f>TOBEPAID!H255/1000</f>
        <v>6720</v>
      </c>
      <c r="I337" s="181">
        <f>TOBEPAID!I255/1000</f>
        <v>0</v>
      </c>
      <c r="J337" s="181">
        <f>TOBEPAID!J255/1000</f>
        <v>0</v>
      </c>
      <c r="K337" s="181">
        <f>TOBEPAID!K255/1000</f>
        <v>0</v>
      </c>
      <c r="L337" s="181">
        <f>TOBEPAID!L255/1000</f>
        <v>0</v>
      </c>
      <c r="M337" s="181">
        <f>TOBEPAID!M255/1000</f>
        <v>0</v>
      </c>
      <c r="N337" s="181">
        <f>TOBEPAID!N255/1000</f>
        <v>6720</v>
      </c>
      <c r="O337" s="181">
        <f>TOBEPAID!O255/1000</f>
        <v>0</v>
      </c>
      <c r="P337" s="181">
        <f>TOBEPAID!P255/1000</f>
        <v>0</v>
      </c>
      <c r="Q337" s="181">
        <f>TOBEPAID!Q255/1000</f>
        <v>0</v>
      </c>
      <c r="R337" s="181">
        <v>0</v>
      </c>
      <c r="S337" s="181">
        <f>TOBEPAID!S255/1000</f>
        <v>0</v>
      </c>
      <c r="T337" s="181">
        <f>TOBEPAID!T255/1000</f>
        <v>0</v>
      </c>
      <c r="U337" s="181">
        <f>TOBEPAID!U255/1000</f>
        <v>0</v>
      </c>
      <c r="V337" s="181">
        <f>TOBEPAID!V255/1000</f>
        <v>0</v>
      </c>
      <c r="W337" s="181">
        <f>TOBEPAID!W255/1000</f>
        <v>0</v>
      </c>
      <c r="X337" s="181">
        <f>TOBEPAID!X255/1000</f>
        <v>0</v>
      </c>
      <c r="Y337" s="181">
        <f t="shared" si="55"/>
        <v>6720</v>
      </c>
      <c r="Z337" s="181">
        <f t="shared" si="54"/>
        <v>0</v>
      </c>
      <c r="AA337" s="181">
        <f>TOBEPAID!AA255/1000</f>
        <v>6720</v>
      </c>
      <c r="AB337" s="181">
        <f>TOBEPAID!AB255/1000</f>
        <v>0</v>
      </c>
      <c r="AC337" s="181"/>
      <c r="AD337" s="181"/>
    </row>
    <row r="338" spans="1:30" x14ac:dyDescent="0.2">
      <c r="A338" s="180"/>
      <c r="C338" s="213" t="s">
        <v>62</v>
      </c>
      <c r="D338" s="181">
        <f>6697870/1000</f>
        <v>6697.87</v>
      </c>
      <c r="E338" s="181">
        <f>TOBEPAID!E256/1000</f>
        <v>6697.87</v>
      </c>
      <c r="F338" s="181">
        <f>TOBEPAID!F256/1000</f>
        <v>0</v>
      </c>
      <c r="G338" s="181">
        <f>TOBEPAID!G256/1000</f>
        <v>0</v>
      </c>
      <c r="H338" s="181">
        <f>TOBEPAID!H256/1000</f>
        <v>6697.87</v>
      </c>
      <c r="I338" s="181">
        <f>TOBEPAID!I256/1000</f>
        <v>0</v>
      </c>
      <c r="J338" s="181">
        <f>TOBEPAID!J256/1000</f>
        <v>0</v>
      </c>
      <c r="K338" s="181">
        <f>TOBEPAID!K256/1000</f>
        <v>0</v>
      </c>
      <c r="L338" s="181">
        <f>TOBEPAID!L256/1000</f>
        <v>0</v>
      </c>
      <c r="M338" s="181">
        <f>TOBEPAID!M256/1000</f>
        <v>0</v>
      </c>
      <c r="N338" s="181">
        <f>TOBEPAID!N256/1000</f>
        <v>6697.87</v>
      </c>
      <c r="O338" s="181">
        <f>TOBEPAID!O256/1000</f>
        <v>0</v>
      </c>
      <c r="P338" s="181">
        <f>TOBEPAID!P256/1000</f>
        <v>0</v>
      </c>
      <c r="Q338" s="181">
        <f>TOBEPAID!Q256/1000</f>
        <v>0</v>
      </c>
      <c r="R338" s="181">
        <v>0</v>
      </c>
      <c r="S338" s="181">
        <f>TOBEPAID!S256/1000</f>
        <v>0</v>
      </c>
      <c r="T338" s="181">
        <f>TOBEPAID!T256/1000</f>
        <v>0</v>
      </c>
      <c r="U338" s="181">
        <f>TOBEPAID!U256/1000</f>
        <v>0</v>
      </c>
      <c r="V338" s="181">
        <f>TOBEPAID!V256/1000</f>
        <v>0</v>
      </c>
      <c r="W338" s="181">
        <f>TOBEPAID!W256/1000</f>
        <v>0</v>
      </c>
      <c r="X338" s="181">
        <f>TOBEPAID!X256/1000</f>
        <v>0</v>
      </c>
      <c r="Y338" s="181">
        <f t="shared" si="55"/>
        <v>6697.87</v>
      </c>
      <c r="Z338" s="181">
        <f t="shared" si="54"/>
        <v>0</v>
      </c>
      <c r="AA338" s="181">
        <f>TOBEPAID!AA256/1000</f>
        <v>6697.87</v>
      </c>
      <c r="AB338" s="181">
        <f>TOBEPAID!AB256/1000</f>
        <v>0</v>
      </c>
      <c r="AC338" s="181"/>
      <c r="AD338" s="181"/>
    </row>
    <row r="339" spans="1:30" x14ac:dyDescent="0.2">
      <c r="A339" s="180"/>
      <c r="C339" s="166" t="s">
        <v>37</v>
      </c>
      <c r="D339" s="181">
        <f>TOBEPAID!D257/1000</f>
        <v>24800.022869999997</v>
      </c>
      <c r="E339" s="181">
        <f>TOBEPAID!E257/1000</f>
        <v>0</v>
      </c>
      <c r="F339" s="181">
        <f>TOBEPAID!F257/1000</f>
        <v>0</v>
      </c>
      <c r="G339" s="181">
        <f>TOBEPAID!G257/1000</f>
        <v>0</v>
      </c>
      <c r="H339" s="181">
        <f>TOBEPAID!H257/1000</f>
        <v>0</v>
      </c>
      <c r="I339" s="181">
        <f>TOBEPAID!I257/1000</f>
        <v>0</v>
      </c>
      <c r="J339" s="181">
        <f>TOBEPAID!J257/1000</f>
        <v>0</v>
      </c>
      <c r="K339" s="181">
        <f>TOBEPAID!K257/1000</f>
        <v>0</v>
      </c>
      <c r="L339" s="181">
        <f>TOBEPAID!L257/1000</f>
        <v>0</v>
      </c>
      <c r="M339" s="181">
        <f>TOBEPAID!M257/1000</f>
        <v>0</v>
      </c>
      <c r="N339" s="181">
        <f>TOBEPAID!N257/1000</f>
        <v>0</v>
      </c>
      <c r="O339" s="181">
        <f>TOBEPAID!O257/1000</f>
        <v>1249.32295</v>
      </c>
      <c r="P339" s="181">
        <f>TOBEPAID!P257/1000</f>
        <v>0</v>
      </c>
      <c r="Q339" s="181">
        <f>TOBEPAID!Q257/1000</f>
        <v>0</v>
      </c>
      <c r="R339" s="181">
        <f>1249322/1000</f>
        <v>1249.3219999999999</v>
      </c>
      <c r="S339" s="181">
        <f>TOBEPAID!S257/1000</f>
        <v>0</v>
      </c>
      <c r="T339" s="181">
        <f>TOBEPAID!T257/1000</f>
        <v>0</v>
      </c>
      <c r="U339" s="181">
        <f>TOBEPAID!U257/1000</f>
        <v>0</v>
      </c>
      <c r="V339" s="181">
        <f>TOBEPAID!V257/1000</f>
        <v>0</v>
      </c>
      <c r="W339" s="181">
        <f>TOBEPAID!W257/1000</f>
        <v>0</v>
      </c>
      <c r="X339" s="181">
        <f>TOBEPAID!X257/1000</f>
        <v>1249.32295</v>
      </c>
      <c r="Y339" s="181">
        <f t="shared" si="55"/>
        <v>1249.3219999999999</v>
      </c>
      <c r="Z339" s="181">
        <f t="shared" si="54"/>
        <v>23550.700869999997</v>
      </c>
      <c r="AA339" s="181">
        <f>TOBEPAID!AA257/1000</f>
        <v>1249.32295</v>
      </c>
      <c r="AB339" s="181">
        <f>TOBEPAID!AB257/1000</f>
        <v>23550.699919999999</v>
      </c>
      <c r="AC339" s="181"/>
      <c r="AD339" s="181"/>
    </row>
    <row r="340" spans="1:30" x14ac:dyDescent="0.2">
      <c r="A340" s="180"/>
      <c r="C340" s="166" t="s">
        <v>39</v>
      </c>
      <c r="D340" s="181">
        <f>TOBEPAID!D258/1000</f>
        <v>5654.2043700000004</v>
      </c>
      <c r="E340" s="181">
        <f>TOBEPAID!E258/1000</f>
        <v>0</v>
      </c>
      <c r="F340" s="181">
        <f>TOBEPAID!F258/1000</f>
        <v>0</v>
      </c>
      <c r="G340" s="181">
        <f>TOBEPAID!G258/1000</f>
        <v>0</v>
      </c>
      <c r="H340" s="181">
        <f>TOBEPAID!H258/1000</f>
        <v>0</v>
      </c>
      <c r="I340" s="181">
        <f>TOBEPAID!I258/1000</f>
        <v>0</v>
      </c>
      <c r="J340" s="181">
        <f>TOBEPAID!J258/1000</f>
        <v>0</v>
      </c>
      <c r="K340" s="181">
        <f>TOBEPAID!K258/1000</f>
        <v>0</v>
      </c>
      <c r="L340" s="181">
        <f>TOBEPAID!L258/1000</f>
        <v>0</v>
      </c>
      <c r="M340" s="181">
        <f>TOBEPAID!M258/1000</f>
        <v>0</v>
      </c>
      <c r="N340" s="181">
        <f>TOBEPAID!N258/1000</f>
        <v>0</v>
      </c>
      <c r="O340" s="181">
        <f>TOBEPAID!O258/1000</f>
        <v>0</v>
      </c>
      <c r="P340" s="181">
        <f>TOBEPAID!P258/1000</f>
        <v>0</v>
      </c>
      <c r="Q340" s="181">
        <f>TOBEPAID!Q258/1000</f>
        <v>0</v>
      </c>
      <c r="R340" s="181">
        <f>TOBEPAID!R258/1000</f>
        <v>0</v>
      </c>
      <c r="S340" s="181">
        <f>TOBEPAID!S258/1000</f>
        <v>0</v>
      </c>
      <c r="T340" s="181">
        <f>TOBEPAID!T258/1000</f>
        <v>0</v>
      </c>
      <c r="U340" s="181">
        <f>TOBEPAID!U258/1000</f>
        <v>0</v>
      </c>
      <c r="V340" s="181">
        <f>TOBEPAID!V258/1000</f>
        <v>0</v>
      </c>
      <c r="W340" s="181">
        <f>TOBEPAID!W258/1000</f>
        <v>0</v>
      </c>
      <c r="X340" s="181">
        <f>TOBEPAID!X258/1000</f>
        <v>0</v>
      </c>
      <c r="Y340" s="181">
        <f t="shared" si="55"/>
        <v>0</v>
      </c>
      <c r="Z340" s="181">
        <f t="shared" si="54"/>
        <v>5654.2043700000004</v>
      </c>
      <c r="AA340" s="181">
        <f>TOBEPAID!AA258/1000</f>
        <v>0</v>
      </c>
      <c r="AB340" s="181">
        <f>TOBEPAID!AB258/1000</f>
        <v>5654.2043700000004</v>
      </c>
      <c r="AC340" s="181"/>
      <c r="AD340" s="181"/>
    </row>
    <row r="341" spans="1:30" ht="16.5" customHeight="1" x14ac:dyDescent="0.2">
      <c r="A341" s="180"/>
      <c r="D341" s="182" t="s">
        <v>40</v>
      </c>
      <c r="E341" s="182" t="s">
        <v>40</v>
      </c>
      <c r="F341" s="182" t="s">
        <v>40</v>
      </c>
      <c r="G341" s="182"/>
      <c r="H341" s="182" t="s">
        <v>40</v>
      </c>
      <c r="I341" s="182" t="s">
        <v>40</v>
      </c>
      <c r="J341" s="182" t="s">
        <v>40</v>
      </c>
      <c r="K341" s="182" t="s">
        <v>40</v>
      </c>
      <c r="L341" s="182" t="s">
        <v>40</v>
      </c>
      <c r="M341" s="182"/>
      <c r="N341" s="182" t="s">
        <v>40</v>
      </c>
      <c r="O341" s="182" t="s">
        <v>40</v>
      </c>
      <c r="P341" s="182" t="s">
        <v>40</v>
      </c>
      <c r="Q341" s="182"/>
      <c r="R341" s="182" t="s">
        <v>40</v>
      </c>
      <c r="S341" s="182" t="s">
        <v>40</v>
      </c>
      <c r="T341" s="182" t="s">
        <v>40</v>
      </c>
      <c r="U341" s="182" t="s">
        <v>40</v>
      </c>
      <c r="V341" s="182" t="s">
        <v>40</v>
      </c>
      <c r="W341" s="182"/>
      <c r="X341" s="182" t="s">
        <v>40</v>
      </c>
      <c r="Y341" s="182" t="s">
        <v>40</v>
      </c>
      <c r="Z341" s="182" t="s">
        <v>40</v>
      </c>
      <c r="AA341" s="182" t="s">
        <v>40</v>
      </c>
      <c r="AB341" s="182" t="s">
        <v>40</v>
      </c>
      <c r="AC341" s="182"/>
      <c r="AD341" s="182"/>
    </row>
    <row r="342" spans="1:30" x14ac:dyDescent="0.2">
      <c r="A342" s="180"/>
      <c r="D342" s="181">
        <f>SUM(D332:D340)</f>
        <v>316520.17023999995</v>
      </c>
      <c r="E342" s="181">
        <f>SUM(E332:E340)</f>
        <v>41586.143000000004</v>
      </c>
      <c r="F342" s="181">
        <f>SUM(F332:F340)</f>
        <v>0</v>
      </c>
      <c r="G342" s="181"/>
      <c r="H342" s="181">
        <f>SUM(H332:H340)</f>
        <v>208238.37</v>
      </c>
      <c r="I342" s="181">
        <f>SUM(I332:I340)</f>
        <v>0</v>
      </c>
      <c r="J342" s="181">
        <f>SUM(J332:J340)</f>
        <v>0</v>
      </c>
      <c r="K342" s="181">
        <f>SUM(K332:K340)</f>
        <v>0</v>
      </c>
      <c r="L342" s="181">
        <f>SUM(L332:L340)</f>
        <v>0</v>
      </c>
      <c r="M342" s="181"/>
      <c r="N342" s="181">
        <f>SUM(N332:N340)</f>
        <v>41586.143000000004</v>
      </c>
      <c r="O342" s="181">
        <f>SUM(O332:O340)</f>
        <v>9106.7241200000008</v>
      </c>
      <c r="P342" s="181">
        <f>SUM(P332:P340)</f>
        <v>0</v>
      </c>
      <c r="Q342" s="181"/>
      <c r="R342" s="181">
        <f>SUM(R332:R340)</f>
        <v>13644.905859999999</v>
      </c>
      <c r="S342" s="181">
        <f>SUM(S332:S340)</f>
        <v>0</v>
      </c>
      <c r="T342" s="181">
        <f>SUM(T332:T340)</f>
        <v>0</v>
      </c>
      <c r="U342" s="181">
        <f>SUM(U332:U340)</f>
        <v>0</v>
      </c>
      <c r="V342" s="181">
        <f>SUM(V332:V340)</f>
        <v>0</v>
      </c>
      <c r="W342" s="181"/>
      <c r="X342" s="181">
        <f>SUM(X332:X340)</f>
        <v>9106.7241200000008</v>
      </c>
      <c r="Y342" s="181">
        <f>SUM(Y332:Y340)</f>
        <v>221883.27585999999</v>
      </c>
      <c r="Z342" s="181">
        <f>SUM(Z332:Z340)</f>
        <v>94636.894380000012</v>
      </c>
      <c r="AA342" s="181">
        <f>SUM(AA332:AA340)</f>
        <v>50692.867120000003</v>
      </c>
      <c r="AB342" s="181">
        <f>SUM(AB332:AB340)</f>
        <v>99175.077860000019</v>
      </c>
      <c r="AC342" s="181"/>
      <c r="AD342" s="181"/>
    </row>
    <row r="343" spans="1:30" x14ac:dyDescent="0.2">
      <c r="A343" s="180"/>
      <c r="D343" s="182" t="s">
        <v>40</v>
      </c>
      <c r="E343" s="182" t="s">
        <v>40</v>
      </c>
      <c r="F343" s="182" t="s">
        <v>40</v>
      </c>
      <c r="G343" s="182"/>
      <c r="H343" s="182" t="s">
        <v>40</v>
      </c>
      <c r="I343" s="182" t="s">
        <v>40</v>
      </c>
      <c r="J343" s="182" t="s">
        <v>40</v>
      </c>
      <c r="K343" s="182" t="s">
        <v>40</v>
      </c>
      <c r="L343" s="182" t="s">
        <v>40</v>
      </c>
      <c r="M343" s="182"/>
      <c r="N343" s="182" t="s">
        <v>40</v>
      </c>
      <c r="O343" s="182" t="s">
        <v>40</v>
      </c>
      <c r="P343" s="182" t="s">
        <v>40</v>
      </c>
      <c r="Q343" s="182"/>
      <c r="R343" s="182" t="s">
        <v>40</v>
      </c>
      <c r="S343" s="182" t="s">
        <v>40</v>
      </c>
      <c r="T343" s="182" t="s">
        <v>40</v>
      </c>
      <c r="U343" s="182" t="s">
        <v>40</v>
      </c>
      <c r="V343" s="182" t="s">
        <v>40</v>
      </c>
      <c r="W343" s="182"/>
      <c r="X343" s="182" t="s">
        <v>40</v>
      </c>
      <c r="Y343" s="182" t="s">
        <v>40</v>
      </c>
      <c r="Z343" s="182" t="s">
        <v>40</v>
      </c>
      <c r="AA343" s="182" t="s">
        <v>40</v>
      </c>
      <c r="AB343" s="182" t="s">
        <v>40</v>
      </c>
      <c r="AC343" s="182"/>
      <c r="AD343" s="182"/>
    </row>
    <row r="344" spans="1:30" x14ac:dyDescent="0.2">
      <c r="A344" s="180"/>
      <c r="D344" s="188"/>
      <c r="E344" s="189"/>
      <c r="F344" s="189"/>
      <c r="G344" s="174"/>
      <c r="H344" s="174"/>
      <c r="I344" s="189"/>
      <c r="J344" s="189"/>
      <c r="K344" s="189"/>
      <c r="L344" s="189"/>
      <c r="M344" s="189"/>
      <c r="N344" s="189"/>
      <c r="O344" s="188"/>
      <c r="P344" s="189"/>
      <c r="Q344" s="199"/>
      <c r="R344" s="199"/>
      <c r="S344" s="189"/>
      <c r="T344" s="189"/>
      <c r="U344" s="189"/>
      <c r="V344" s="199"/>
      <c r="W344" s="189"/>
      <c r="X344" s="189"/>
      <c r="Y344" s="189"/>
      <c r="Z344" s="182"/>
      <c r="AA344" s="182"/>
      <c r="AB344" s="182"/>
      <c r="AC344" s="182"/>
      <c r="AD344" s="182"/>
    </row>
    <row r="345" spans="1:30" x14ac:dyDescent="0.2">
      <c r="A345" s="180"/>
      <c r="D345" s="182"/>
      <c r="E345" s="182"/>
      <c r="F345" s="182"/>
      <c r="G345" s="182"/>
      <c r="H345" s="182"/>
      <c r="I345" s="182"/>
      <c r="J345" s="182"/>
      <c r="K345" s="182"/>
      <c r="L345" s="182"/>
      <c r="M345" s="182"/>
      <c r="N345" s="182"/>
      <c r="O345" s="182"/>
      <c r="P345" s="182"/>
      <c r="Q345" s="182"/>
      <c r="R345" s="182"/>
      <c r="S345" s="182"/>
      <c r="T345" s="182"/>
      <c r="U345" s="182"/>
      <c r="V345" s="182"/>
      <c r="W345" s="182"/>
      <c r="X345" s="182"/>
      <c r="Y345" s="182"/>
      <c r="Z345" s="182"/>
      <c r="AA345" s="182"/>
      <c r="AB345" s="182"/>
      <c r="AC345" s="182"/>
      <c r="AD345" s="182"/>
    </row>
    <row r="346" spans="1:30" x14ac:dyDescent="0.2">
      <c r="A346" s="180">
        <v>24</v>
      </c>
      <c r="B346" s="166" t="s">
        <v>68</v>
      </c>
      <c r="C346" s="166" t="s">
        <v>35</v>
      </c>
      <c r="D346" s="181">
        <f>254173/1000</f>
        <v>254.173</v>
      </c>
      <c r="E346" s="181">
        <f>TOBEPAID!E264/1000</f>
        <v>0</v>
      </c>
      <c r="F346" s="181">
        <f>TOBEPAID!F264/1000</f>
        <v>0</v>
      </c>
      <c r="G346" s="181">
        <f>TOBEPAID!G264/1000</f>
        <v>0</v>
      </c>
      <c r="H346" s="181">
        <v>0</v>
      </c>
      <c r="I346" s="181">
        <f>TOBEPAID!I264/1000</f>
        <v>0</v>
      </c>
      <c r="J346" s="181">
        <f>TOBEPAID!J264/1000</f>
        <v>0</v>
      </c>
      <c r="K346" s="181">
        <f>TOBEPAID!K264/1000</f>
        <v>0</v>
      </c>
      <c r="L346" s="181">
        <f>TOBEPAID!L264/1000</f>
        <v>0</v>
      </c>
      <c r="M346" s="181">
        <f>TOBEPAID!M264/1000</f>
        <v>0</v>
      </c>
      <c r="N346" s="181">
        <f>TOBEPAID!N264/1000</f>
        <v>0</v>
      </c>
      <c r="O346" s="181">
        <f>TOBEPAID!O264/1000</f>
        <v>0</v>
      </c>
      <c r="P346" s="181">
        <f>TOBEPAID!P264/1000</f>
        <v>0</v>
      </c>
      <c r="Q346" s="181">
        <f>TOBEPAID!Q264/1000</f>
        <v>0</v>
      </c>
      <c r="R346" s="181">
        <v>0</v>
      </c>
      <c r="S346" s="181">
        <f>TOBEPAID!S264/1000</f>
        <v>0</v>
      </c>
      <c r="T346" s="181">
        <f>TOBEPAID!T264/1000</f>
        <v>0</v>
      </c>
      <c r="U346" s="181">
        <f>TOBEPAID!U264/1000</f>
        <v>0</v>
      </c>
      <c r="V346" s="181">
        <f>TOBEPAID!V264/1000</f>
        <v>0</v>
      </c>
      <c r="W346" s="181">
        <f>TOBEPAID!W264/1000</f>
        <v>0</v>
      </c>
      <c r="X346" s="181">
        <f>TOBEPAID!X264/1000</f>
        <v>0</v>
      </c>
      <c r="Y346" s="181">
        <f>+H346+R346</f>
        <v>0</v>
      </c>
      <c r="Z346" s="181">
        <f t="shared" ref="Z346:Z351" si="56">+D346-Y346</f>
        <v>254.173</v>
      </c>
      <c r="AA346" s="181">
        <f>TOBEPAID!AA264/1000</f>
        <v>0</v>
      </c>
      <c r="AB346" s="181">
        <f>TOBEPAID!AB264/1000</f>
        <v>254.17354</v>
      </c>
      <c r="AC346" s="181"/>
      <c r="AD346" s="181"/>
    </row>
    <row r="347" spans="1:30" x14ac:dyDescent="0.2">
      <c r="A347" s="180"/>
      <c r="B347" s="166"/>
      <c r="C347" s="166" t="s">
        <v>374</v>
      </c>
      <c r="D347" s="181">
        <f>2500000/1000</f>
        <v>2500</v>
      </c>
      <c r="E347" s="181"/>
      <c r="F347" s="181"/>
      <c r="G347" s="181"/>
      <c r="H347" s="181">
        <f>2500000/1000</f>
        <v>2500</v>
      </c>
      <c r="I347" s="181"/>
      <c r="J347" s="181"/>
      <c r="K347" s="181"/>
      <c r="L347" s="181"/>
      <c r="M347" s="181"/>
      <c r="N347" s="181"/>
      <c r="O347" s="181"/>
      <c r="P347" s="181"/>
      <c r="Q347" s="181"/>
      <c r="R347" s="181">
        <v>0</v>
      </c>
      <c r="S347" s="181"/>
      <c r="T347" s="181"/>
      <c r="U347" s="181"/>
      <c r="V347" s="181"/>
      <c r="W347" s="181"/>
      <c r="X347" s="181"/>
      <c r="Y347" s="181">
        <f>+H347+R347</f>
        <v>2500</v>
      </c>
      <c r="Z347" s="181">
        <f t="shared" si="56"/>
        <v>0</v>
      </c>
      <c r="AA347" s="181"/>
      <c r="AB347" s="181"/>
      <c r="AC347" s="181"/>
      <c r="AD347" s="181"/>
    </row>
    <row r="348" spans="1:30" x14ac:dyDescent="0.2">
      <c r="A348" s="180"/>
      <c r="B348" s="166"/>
      <c r="C348" s="166" t="s">
        <v>413</v>
      </c>
      <c r="D348" s="181">
        <f>7166143/1000</f>
        <v>7166.143</v>
      </c>
      <c r="E348" s="181"/>
      <c r="F348" s="181"/>
      <c r="G348" s="181"/>
      <c r="H348" s="181">
        <f>7166143/1000</f>
        <v>7166.143</v>
      </c>
      <c r="I348" s="181"/>
      <c r="J348" s="181"/>
      <c r="K348" s="181"/>
      <c r="L348" s="181"/>
      <c r="M348" s="181"/>
      <c r="N348" s="181"/>
      <c r="O348" s="181"/>
      <c r="P348" s="181"/>
      <c r="Q348" s="181"/>
      <c r="R348" s="181">
        <v>0</v>
      </c>
      <c r="S348" s="181"/>
      <c r="T348" s="181"/>
      <c r="U348" s="181"/>
      <c r="V348" s="181"/>
      <c r="W348" s="181"/>
      <c r="X348" s="181"/>
      <c r="Y348" s="181">
        <f>+H348+R348</f>
        <v>7166.143</v>
      </c>
      <c r="Z348" s="181">
        <f t="shared" si="56"/>
        <v>0</v>
      </c>
      <c r="AA348" s="181"/>
      <c r="AB348" s="181"/>
      <c r="AC348" s="181"/>
      <c r="AD348" s="181"/>
    </row>
    <row r="349" spans="1:30" x14ac:dyDescent="0.2">
      <c r="A349" s="180"/>
      <c r="B349" s="166"/>
      <c r="C349" s="166" t="s">
        <v>482</v>
      </c>
      <c r="D349" s="181">
        <f>9960000/1000</f>
        <v>9960</v>
      </c>
      <c r="E349" s="181"/>
      <c r="F349" s="181"/>
      <c r="G349" s="181"/>
      <c r="H349" s="181">
        <f>9956003.29/1000</f>
        <v>9956.0032899999987</v>
      </c>
      <c r="I349" s="181"/>
      <c r="J349" s="181"/>
      <c r="K349" s="181"/>
      <c r="L349" s="181"/>
      <c r="M349" s="181"/>
      <c r="N349" s="181"/>
      <c r="O349" s="181"/>
      <c r="P349" s="181"/>
      <c r="Q349" s="181"/>
      <c r="R349" s="181">
        <v>0</v>
      </c>
      <c r="S349" s="181"/>
      <c r="T349" s="181"/>
      <c r="U349" s="181"/>
      <c r="V349" s="181"/>
      <c r="W349" s="181"/>
      <c r="X349" s="181"/>
      <c r="Y349" s="181">
        <f>+H349+R349</f>
        <v>9956.0032899999987</v>
      </c>
      <c r="Z349" s="181">
        <f t="shared" si="56"/>
        <v>3.9967100000012579</v>
      </c>
      <c r="AA349" s="181"/>
      <c r="AB349" s="181"/>
      <c r="AC349" s="181"/>
      <c r="AD349" s="181"/>
    </row>
    <row r="350" spans="1:30" x14ac:dyDescent="0.2">
      <c r="C350" s="165" t="s">
        <v>298</v>
      </c>
      <c r="D350" s="181">
        <f>3882200/1000</f>
        <v>3882.2</v>
      </c>
      <c r="E350" s="181">
        <f>TOBEPAID!E265/1000</f>
        <v>3882.2</v>
      </c>
      <c r="F350" s="181">
        <f>TOBEPAID!F265/1000</f>
        <v>0</v>
      </c>
      <c r="G350" s="181">
        <f>TOBEPAID!G265/1000</f>
        <v>0</v>
      </c>
      <c r="H350" s="181">
        <f>3882200/1000</f>
        <v>3882.2</v>
      </c>
      <c r="I350" s="181">
        <f>TOBEPAID!I265/1000</f>
        <v>0</v>
      </c>
      <c r="J350" s="181">
        <f>TOBEPAID!J265/1000</f>
        <v>0</v>
      </c>
      <c r="K350" s="181">
        <f>TOBEPAID!K265/1000</f>
        <v>0</v>
      </c>
      <c r="L350" s="181">
        <f>TOBEPAID!L265/1000</f>
        <v>0</v>
      </c>
      <c r="M350" s="181">
        <f>TOBEPAID!M265/1000</f>
        <v>0</v>
      </c>
      <c r="N350" s="181">
        <f>TOBEPAID!N265/1000</f>
        <v>3882.2</v>
      </c>
      <c r="O350" s="181">
        <f>TOBEPAID!O265/1000</f>
        <v>0</v>
      </c>
      <c r="P350" s="181">
        <f>TOBEPAID!P265/1000</f>
        <v>0</v>
      </c>
      <c r="Q350" s="181">
        <f>TOBEPAID!Q265/1000</f>
        <v>0</v>
      </c>
      <c r="R350" s="181">
        <v>0</v>
      </c>
      <c r="S350" s="181">
        <f>TOBEPAID!S265/1000</f>
        <v>0</v>
      </c>
      <c r="T350" s="181">
        <f>TOBEPAID!T265/1000</f>
        <v>0</v>
      </c>
      <c r="U350" s="181">
        <f>TOBEPAID!U265/1000</f>
        <v>0</v>
      </c>
      <c r="V350" s="181">
        <f>TOBEPAID!V265/1000</f>
        <v>0</v>
      </c>
      <c r="W350" s="181">
        <f>TOBEPAID!W265/1000</f>
        <v>0</v>
      </c>
      <c r="X350" s="181">
        <f>TOBEPAID!X265/1000</f>
        <v>0</v>
      </c>
      <c r="Y350" s="181">
        <f>TOBEPAID!Y265/1000</f>
        <v>3882.2</v>
      </c>
      <c r="Z350" s="181">
        <f t="shared" si="56"/>
        <v>0</v>
      </c>
      <c r="AA350" s="181">
        <f>TOBEPAID!AA265/1000</f>
        <v>3882.2</v>
      </c>
      <c r="AB350" s="181">
        <f>TOBEPAID!AB265/1000</f>
        <v>0</v>
      </c>
      <c r="AC350" s="181"/>
      <c r="AD350" s="181"/>
    </row>
    <row r="351" spans="1:30" x14ac:dyDescent="0.2">
      <c r="A351" s="180"/>
      <c r="C351" s="213" t="s">
        <v>62</v>
      </c>
      <c r="D351" s="181">
        <f>2917000/1000</f>
        <v>2917</v>
      </c>
      <c r="E351" s="181">
        <f>TOBEPAID!E266/1000</f>
        <v>2917</v>
      </c>
      <c r="F351" s="181">
        <f>TOBEPAID!F266/1000</f>
        <v>0</v>
      </c>
      <c r="G351" s="181">
        <f>TOBEPAID!G266/1000</f>
        <v>0</v>
      </c>
      <c r="H351" s="181">
        <f>2917000/1000</f>
        <v>2917</v>
      </c>
      <c r="I351" s="181">
        <f>TOBEPAID!I266/1000</f>
        <v>0</v>
      </c>
      <c r="J351" s="181">
        <f>TOBEPAID!J266/1000</f>
        <v>0</v>
      </c>
      <c r="K351" s="181">
        <f>TOBEPAID!K266/1000</f>
        <v>0</v>
      </c>
      <c r="L351" s="181">
        <f>TOBEPAID!L266/1000</f>
        <v>0</v>
      </c>
      <c r="M351" s="181">
        <f>TOBEPAID!M266/1000</f>
        <v>0</v>
      </c>
      <c r="N351" s="181">
        <f>TOBEPAID!N266/1000</f>
        <v>2917</v>
      </c>
      <c r="O351" s="181">
        <f>TOBEPAID!O266/1000</f>
        <v>0</v>
      </c>
      <c r="P351" s="181">
        <f>TOBEPAID!P266/1000</f>
        <v>0</v>
      </c>
      <c r="Q351" s="181">
        <f>TOBEPAID!Q266/1000</f>
        <v>0</v>
      </c>
      <c r="R351" s="181">
        <v>0</v>
      </c>
      <c r="S351" s="181">
        <f>TOBEPAID!S266/1000</f>
        <v>0</v>
      </c>
      <c r="T351" s="181">
        <f>TOBEPAID!T266/1000</f>
        <v>0</v>
      </c>
      <c r="U351" s="181">
        <f>TOBEPAID!U266/1000</f>
        <v>0</v>
      </c>
      <c r="V351" s="181">
        <f>TOBEPAID!V266/1000</f>
        <v>0</v>
      </c>
      <c r="W351" s="181">
        <f>TOBEPAID!W266/1000</f>
        <v>0</v>
      </c>
      <c r="X351" s="181">
        <f>TOBEPAID!X266/1000</f>
        <v>0</v>
      </c>
      <c r="Y351" s="181">
        <f>TOBEPAID!Y266/1000</f>
        <v>2917</v>
      </c>
      <c r="Z351" s="181">
        <f t="shared" si="56"/>
        <v>0</v>
      </c>
      <c r="AA351" s="181">
        <f>TOBEPAID!AA266/1000</f>
        <v>2917</v>
      </c>
      <c r="AB351" s="181">
        <f>TOBEPAID!AB266/1000</f>
        <v>0</v>
      </c>
      <c r="AC351" s="181"/>
      <c r="AD351" s="181"/>
    </row>
    <row r="352" spans="1:30" x14ac:dyDescent="0.2">
      <c r="A352" s="180"/>
      <c r="D352" s="182" t="s">
        <v>40</v>
      </c>
      <c r="E352" s="182" t="s">
        <v>40</v>
      </c>
      <c r="F352" s="182" t="s">
        <v>40</v>
      </c>
      <c r="G352" s="182"/>
      <c r="H352" s="182" t="s">
        <v>40</v>
      </c>
      <c r="I352" s="182" t="s">
        <v>40</v>
      </c>
      <c r="J352" s="182" t="s">
        <v>40</v>
      </c>
      <c r="K352" s="182" t="s">
        <v>40</v>
      </c>
      <c r="L352" s="182" t="s">
        <v>40</v>
      </c>
      <c r="M352" s="182"/>
      <c r="N352" s="182" t="s">
        <v>40</v>
      </c>
      <c r="O352" s="182" t="s">
        <v>40</v>
      </c>
      <c r="P352" s="182" t="s">
        <v>40</v>
      </c>
      <c r="Q352" s="182"/>
      <c r="R352" s="182" t="s">
        <v>40</v>
      </c>
      <c r="S352" s="182" t="s">
        <v>40</v>
      </c>
      <c r="T352" s="182" t="s">
        <v>40</v>
      </c>
      <c r="U352" s="182" t="s">
        <v>40</v>
      </c>
      <c r="V352" s="182" t="s">
        <v>40</v>
      </c>
      <c r="W352" s="182"/>
      <c r="X352" s="182" t="s">
        <v>40</v>
      </c>
      <c r="Y352" s="182" t="s">
        <v>40</v>
      </c>
      <c r="Z352" s="182" t="s">
        <v>40</v>
      </c>
      <c r="AA352" s="182" t="s">
        <v>40</v>
      </c>
      <c r="AB352" s="182" t="s">
        <v>40</v>
      </c>
      <c r="AC352" s="182"/>
      <c r="AD352" s="182"/>
    </row>
    <row r="353" spans="1:30" x14ac:dyDescent="0.2">
      <c r="A353" s="180"/>
      <c r="D353" s="181">
        <f>SUM(D346:D351)</f>
        <v>26679.516</v>
      </c>
      <c r="E353" s="181">
        <f t="shared" ref="E353:AB353" si="57">SUM(E346:E351)</f>
        <v>6799.2</v>
      </c>
      <c r="F353" s="181">
        <f t="shared" si="57"/>
        <v>0</v>
      </c>
      <c r="G353" s="181"/>
      <c r="H353" s="181">
        <f t="shared" si="57"/>
        <v>26421.346289999998</v>
      </c>
      <c r="I353" s="181">
        <f t="shared" si="57"/>
        <v>0</v>
      </c>
      <c r="J353" s="181">
        <f t="shared" si="57"/>
        <v>0</v>
      </c>
      <c r="K353" s="181">
        <f t="shared" si="57"/>
        <v>0</v>
      </c>
      <c r="L353" s="181">
        <f t="shared" si="57"/>
        <v>0</v>
      </c>
      <c r="M353" s="181"/>
      <c r="N353" s="181">
        <f t="shared" si="57"/>
        <v>6799.2</v>
      </c>
      <c r="O353" s="181">
        <f t="shared" si="57"/>
        <v>0</v>
      </c>
      <c r="P353" s="181">
        <f t="shared" si="57"/>
        <v>0</v>
      </c>
      <c r="Q353" s="181"/>
      <c r="R353" s="181">
        <f t="shared" si="57"/>
        <v>0</v>
      </c>
      <c r="S353" s="181">
        <f t="shared" si="57"/>
        <v>0</v>
      </c>
      <c r="T353" s="181">
        <f t="shared" si="57"/>
        <v>0</v>
      </c>
      <c r="U353" s="181">
        <f t="shared" si="57"/>
        <v>0</v>
      </c>
      <c r="V353" s="181">
        <f t="shared" si="57"/>
        <v>0</v>
      </c>
      <c r="W353" s="181"/>
      <c r="X353" s="181">
        <f t="shared" si="57"/>
        <v>0</v>
      </c>
      <c r="Y353" s="181">
        <f t="shared" si="57"/>
        <v>26421.346289999998</v>
      </c>
      <c r="Z353" s="181">
        <f t="shared" si="57"/>
        <v>258.16971000000126</v>
      </c>
      <c r="AA353" s="181">
        <f t="shared" si="57"/>
        <v>6799.2</v>
      </c>
      <c r="AB353" s="181">
        <f t="shared" si="57"/>
        <v>254.17354</v>
      </c>
      <c r="AC353" s="181"/>
      <c r="AD353" s="181"/>
    </row>
    <row r="354" spans="1:30" x14ac:dyDescent="0.2">
      <c r="A354" s="180"/>
      <c r="D354" s="182" t="s">
        <v>40</v>
      </c>
      <c r="E354" s="182" t="s">
        <v>40</v>
      </c>
      <c r="F354" s="182" t="s">
        <v>40</v>
      </c>
      <c r="G354" s="182"/>
      <c r="H354" s="182" t="s">
        <v>40</v>
      </c>
      <c r="I354" s="182" t="s">
        <v>40</v>
      </c>
      <c r="J354" s="182" t="s">
        <v>40</v>
      </c>
      <c r="K354" s="182" t="s">
        <v>40</v>
      </c>
      <c r="L354" s="182" t="s">
        <v>40</v>
      </c>
      <c r="M354" s="182"/>
      <c r="N354" s="182" t="s">
        <v>40</v>
      </c>
      <c r="O354" s="182" t="s">
        <v>40</v>
      </c>
      <c r="P354" s="182" t="s">
        <v>40</v>
      </c>
      <c r="Q354" s="182"/>
      <c r="R354" s="182" t="s">
        <v>40</v>
      </c>
      <c r="S354" s="182" t="s">
        <v>40</v>
      </c>
      <c r="T354" s="182" t="s">
        <v>40</v>
      </c>
      <c r="U354" s="182" t="s">
        <v>40</v>
      </c>
      <c r="V354" s="182" t="s">
        <v>40</v>
      </c>
      <c r="W354" s="182"/>
      <c r="X354" s="182" t="s">
        <v>40</v>
      </c>
      <c r="Y354" s="182" t="s">
        <v>40</v>
      </c>
      <c r="Z354" s="182" t="s">
        <v>40</v>
      </c>
      <c r="AA354" s="182" t="s">
        <v>40</v>
      </c>
      <c r="AB354" s="182" t="s">
        <v>40</v>
      </c>
      <c r="AC354" s="182"/>
      <c r="AD354" s="182"/>
    </row>
    <row r="355" spans="1:30" x14ac:dyDescent="0.2">
      <c r="A355" s="180"/>
      <c r="D355" s="182"/>
      <c r="E355" s="182"/>
      <c r="F355" s="182"/>
      <c r="G355" s="182"/>
      <c r="H355" s="182"/>
      <c r="I355" s="182"/>
      <c r="J355" s="182"/>
      <c r="K355" s="182"/>
      <c r="L355" s="182"/>
      <c r="M355" s="182"/>
      <c r="N355" s="182"/>
      <c r="O355" s="182"/>
      <c r="P355" s="182"/>
      <c r="Q355" s="182"/>
      <c r="R355" s="182"/>
      <c r="S355" s="182"/>
      <c r="T355" s="182"/>
      <c r="U355" s="182"/>
      <c r="V355" s="182"/>
      <c r="W355" s="182"/>
      <c r="X355" s="182"/>
      <c r="Y355" s="182"/>
      <c r="Z355" s="182"/>
      <c r="AA355" s="182"/>
      <c r="AB355" s="182"/>
      <c r="AC355" s="182"/>
      <c r="AD355" s="182"/>
    </row>
    <row r="356" spans="1:30" x14ac:dyDescent="0.2">
      <c r="A356" s="180">
        <v>25</v>
      </c>
      <c r="B356" s="166" t="s">
        <v>246</v>
      </c>
      <c r="C356" s="165" t="str">
        <f>+C346</f>
        <v>RURAL ELEC.</v>
      </c>
      <c r="D356" s="181">
        <f>6381629/1000</f>
        <v>6381.6289999999999</v>
      </c>
      <c r="E356" s="181">
        <f>TOBEPAID!E271/1000</f>
        <v>0</v>
      </c>
      <c r="F356" s="181">
        <f>TOBEPAID!F271/1000</f>
        <v>0</v>
      </c>
      <c r="G356" s="181">
        <f>TOBEPAID!G271/1000</f>
        <v>0</v>
      </c>
      <c r="H356" s="181">
        <v>0</v>
      </c>
      <c r="I356" s="181">
        <f>TOBEPAID!I271/1000</f>
        <v>0</v>
      </c>
      <c r="J356" s="181">
        <f>TOBEPAID!J271/1000</f>
        <v>0</v>
      </c>
      <c r="K356" s="181">
        <f>TOBEPAID!K271/1000</f>
        <v>0</v>
      </c>
      <c r="L356" s="181">
        <f>TOBEPAID!L271/1000</f>
        <v>0</v>
      </c>
      <c r="M356" s="181">
        <f>TOBEPAID!M271/1000</f>
        <v>0</v>
      </c>
      <c r="N356" s="181">
        <f>TOBEPAID!N271/1000</f>
        <v>0</v>
      </c>
      <c r="O356" s="181">
        <f>TOBEPAID!O271/1000</f>
        <v>6898.96443</v>
      </c>
      <c r="P356" s="181">
        <f>TOBEPAID!P271/1000</f>
        <v>0</v>
      </c>
      <c r="Q356" s="181">
        <f>TOBEPAID!Q271/1000</f>
        <v>0</v>
      </c>
      <c r="R356" s="181">
        <f>6898964/1000</f>
        <v>6898.9639999999999</v>
      </c>
      <c r="S356" s="181">
        <f>TOBEPAID!S271/1000</f>
        <v>210.24659999999992</v>
      </c>
      <c r="T356" s="181">
        <f>TOBEPAID!T271/1000</f>
        <v>210.2466</v>
      </c>
      <c r="U356" s="181">
        <f>TOBEPAID!U271/1000</f>
        <v>0</v>
      </c>
      <c r="V356" s="181">
        <f>TOBEPAID!V271/1000</f>
        <v>0</v>
      </c>
      <c r="W356" s="181">
        <f>TOBEPAID!W271/1000</f>
        <v>0</v>
      </c>
      <c r="X356" s="181">
        <f>TOBEPAID!X271/1000</f>
        <v>6898.96443</v>
      </c>
      <c r="Y356" s="181">
        <f t="shared" ref="Y356:Y362" si="58">+H356+R356</f>
        <v>6898.9639999999999</v>
      </c>
      <c r="Z356" s="181">
        <f t="shared" ref="Z356:Z362" si="59">+D356-Y356</f>
        <v>-517.33500000000004</v>
      </c>
      <c r="AA356" s="181">
        <f>TOBEPAID!AA271/1000</f>
        <v>6898.96443</v>
      </c>
      <c r="AB356" s="181">
        <f>TOBEPAID!AB271/1000</f>
        <v>-517.34499999999912</v>
      </c>
      <c r="AC356" s="165" t="s">
        <v>321</v>
      </c>
      <c r="AD356" s="181"/>
    </row>
    <row r="357" spans="1:30" x14ac:dyDescent="0.2">
      <c r="A357" s="180"/>
      <c r="B357" s="166"/>
      <c r="C357" s="166" t="s">
        <v>374</v>
      </c>
      <c r="D357" s="181">
        <f>12000000/1000</f>
        <v>12000</v>
      </c>
      <c r="E357" s="181"/>
      <c r="F357" s="181"/>
      <c r="G357" s="181"/>
      <c r="H357" s="181">
        <f>12000000/1000</f>
        <v>12000</v>
      </c>
      <c r="I357" s="181"/>
      <c r="J357" s="181"/>
      <c r="K357" s="181"/>
      <c r="L357" s="181"/>
      <c r="M357" s="181"/>
      <c r="N357" s="181"/>
      <c r="O357" s="181"/>
      <c r="P357" s="181"/>
      <c r="Q357" s="181"/>
      <c r="R357" s="181">
        <v>0</v>
      </c>
      <c r="S357" s="181"/>
      <c r="T357" s="181"/>
      <c r="U357" s="181"/>
      <c r="V357" s="181"/>
      <c r="W357" s="181"/>
      <c r="X357" s="181"/>
      <c r="Y357" s="181">
        <f t="shared" si="58"/>
        <v>12000</v>
      </c>
      <c r="Z357" s="181">
        <f t="shared" si="59"/>
        <v>0</v>
      </c>
      <c r="AA357" s="181"/>
      <c r="AB357" s="181"/>
      <c r="AD357" s="181"/>
    </row>
    <row r="358" spans="1:30" x14ac:dyDescent="0.2">
      <c r="A358" s="180"/>
      <c r="B358" s="166"/>
      <c r="C358" s="166" t="s">
        <v>459</v>
      </c>
      <c r="D358" s="181">
        <f>35000000/1000</f>
        <v>35000</v>
      </c>
      <c r="E358" s="181"/>
      <c r="F358" s="181"/>
      <c r="G358" s="181"/>
      <c r="H358" s="181">
        <f>35000000/1000</f>
        <v>35000</v>
      </c>
      <c r="I358" s="181"/>
      <c r="J358" s="181"/>
      <c r="K358" s="181"/>
      <c r="L358" s="181"/>
      <c r="M358" s="181"/>
      <c r="N358" s="181"/>
      <c r="O358" s="181"/>
      <c r="P358" s="181"/>
      <c r="Q358" s="181"/>
      <c r="R358" s="181">
        <v>0</v>
      </c>
      <c r="S358" s="181"/>
      <c r="T358" s="181"/>
      <c r="U358" s="181"/>
      <c r="V358" s="181"/>
      <c r="W358" s="181"/>
      <c r="X358" s="181"/>
      <c r="Y358" s="181">
        <f t="shared" si="58"/>
        <v>35000</v>
      </c>
      <c r="Z358" s="181">
        <f t="shared" si="59"/>
        <v>0</v>
      </c>
      <c r="AA358" s="181"/>
      <c r="AB358" s="181"/>
      <c r="AD358" s="181"/>
    </row>
    <row r="359" spans="1:30" x14ac:dyDescent="0.2">
      <c r="A359" s="180"/>
      <c r="B359" s="166"/>
      <c r="C359" s="166" t="s">
        <v>478</v>
      </c>
      <c r="D359" s="181">
        <f>115000000/1000</f>
        <v>115000</v>
      </c>
      <c r="E359" s="181"/>
      <c r="F359" s="181"/>
      <c r="G359" s="181"/>
      <c r="H359" s="181">
        <v>0</v>
      </c>
      <c r="I359" s="181"/>
      <c r="J359" s="181"/>
      <c r="K359" s="181"/>
      <c r="L359" s="181"/>
      <c r="M359" s="181"/>
      <c r="N359" s="181"/>
      <c r="O359" s="181"/>
      <c r="P359" s="181"/>
      <c r="Q359" s="181"/>
      <c r="R359" s="181">
        <v>0</v>
      </c>
      <c r="S359" s="181"/>
      <c r="T359" s="181"/>
      <c r="U359" s="181"/>
      <c r="V359" s="181"/>
      <c r="W359" s="181"/>
      <c r="X359" s="181"/>
      <c r="Y359" s="181">
        <f>+H359+R359</f>
        <v>0</v>
      </c>
      <c r="Z359" s="181">
        <f>+D359-Y359</f>
        <v>115000</v>
      </c>
      <c r="AA359" s="181"/>
      <c r="AB359" s="181"/>
      <c r="AD359" s="181"/>
    </row>
    <row r="360" spans="1:30" x14ac:dyDescent="0.2">
      <c r="A360" s="180"/>
      <c r="C360" s="168" t="s">
        <v>36</v>
      </c>
      <c r="D360" s="181">
        <f>2708365/1000</f>
        <v>2708.3649999999998</v>
      </c>
      <c r="E360" s="181">
        <f>TOBEPAID!E272/1000</f>
        <v>2708.3659199999997</v>
      </c>
      <c r="F360" s="181">
        <f>TOBEPAID!F272/1000</f>
        <v>0</v>
      </c>
      <c r="G360" s="181">
        <f>TOBEPAID!G272/1000</f>
        <v>0</v>
      </c>
      <c r="H360" s="181">
        <f>2708365/1000</f>
        <v>2708.3649999999998</v>
      </c>
      <c r="I360" s="181">
        <f>TOBEPAID!I272/1000</f>
        <v>0</v>
      </c>
      <c r="J360" s="181">
        <f>TOBEPAID!J272/1000</f>
        <v>0</v>
      </c>
      <c r="K360" s="181">
        <f>TOBEPAID!K272/1000</f>
        <v>0</v>
      </c>
      <c r="L360" s="181">
        <f>TOBEPAID!L272/1000</f>
        <v>0</v>
      </c>
      <c r="M360" s="181">
        <f>TOBEPAID!M272/1000</f>
        <v>0</v>
      </c>
      <c r="N360" s="181">
        <f>TOBEPAID!N272/1000</f>
        <v>2708.3659199999997</v>
      </c>
      <c r="O360" s="181">
        <f>TOBEPAID!O272/1000</f>
        <v>0</v>
      </c>
      <c r="P360" s="181">
        <f>TOBEPAID!P272/1000</f>
        <v>0</v>
      </c>
      <c r="Q360" s="181">
        <f>TOBEPAID!Q272/1000</f>
        <v>0</v>
      </c>
      <c r="R360" s="181">
        <v>0</v>
      </c>
      <c r="S360" s="181">
        <f>TOBEPAID!S272/1000</f>
        <v>0</v>
      </c>
      <c r="T360" s="181">
        <f>TOBEPAID!T272/1000</f>
        <v>0</v>
      </c>
      <c r="U360" s="181">
        <f>TOBEPAID!U272/1000</f>
        <v>0</v>
      </c>
      <c r="V360" s="181">
        <f>TOBEPAID!V272/1000</f>
        <v>0</v>
      </c>
      <c r="W360" s="181">
        <f>TOBEPAID!W272/1000</f>
        <v>0</v>
      </c>
      <c r="X360" s="181">
        <f>TOBEPAID!X272/1000</f>
        <v>0</v>
      </c>
      <c r="Y360" s="181">
        <f t="shared" si="58"/>
        <v>2708.3649999999998</v>
      </c>
      <c r="Z360" s="181">
        <f t="shared" si="59"/>
        <v>0</v>
      </c>
      <c r="AA360" s="181">
        <f>TOBEPAID!AA272/1000</f>
        <v>2708.3659199999997</v>
      </c>
      <c r="AB360" s="181">
        <f>TOBEPAID!AB272/1000</f>
        <v>0</v>
      </c>
      <c r="AC360" s="181"/>
      <c r="AD360" s="181"/>
    </row>
    <row r="361" spans="1:30" x14ac:dyDescent="0.2">
      <c r="A361" s="180"/>
      <c r="C361" s="168" t="s">
        <v>65</v>
      </c>
      <c r="D361" s="181">
        <f>49855000/1000</f>
        <v>49855</v>
      </c>
      <c r="E361" s="181">
        <f>TOBEPAID!E273/1000</f>
        <v>49855</v>
      </c>
      <c r="F361" s="181">
        <f>TOBEPAID!F273/1000</f>
        <v>0</v>
      </c>
      <c r="G361" s="181">
        <f>TOBEPAID!G273/1000</f>
        <v>0</v>
      </c>
      <c r="H361" s="181">
        <f>49855000/1000</f>
        <v>49855</v>
      </c>
      <c r="I361" s="181">
        <f>TOBEPAID!I273/1000</f>
        <v>0</v>
      </c>
      <c r="J361" s="181">
        <f>TOBEPAID!J273/1000</f>
        <v>0</v>
      </c>
      <c r="K361" s="181">
        <f>TOBEPAID!K273/1000</f>
        <v>0</v>
      </c>
      <c r="L361" s="181">
        <f>TOBEPAID!L273/1000</f>
        <v>0</v>
      </c>
      <c r="M361" s="181">
        <f>TOBEPAID!M273/1000</f>
        <v>0</v>
      </c>
      <c r="N361" s="181">
        <f>TOBEPAID!N273/1000</f>
        <v>49855</v>
      </c>
      <c r="O361" s="181">
        <f>TOBEPAID!O273/1000</f>
        <v>0</v>
      </c>
      <c r="P361" s="181">
        <f>TOBEPAID!P273/1000</f>
        <v>0</v>
      </c>
      <c r="Q361" s="181">
        <f>TOBEPAID!Q273/1000</f>
        <v>0</v>
      </c>
      <c r="R361" s="181">
        <v>0</v>
      </c>
      <c r="S361" s="181">
        <f>TOBEPAID!S273/1000</f>
        <v>0</v>
      </c>
      <c r="T361" s="181">
        <f>TOBEPAID!T273/1000</f>
        <v>0</v>
      </c>
      <c r="U361" s="181">
        <f>TOBEPAID!U273/1000</f>
        <v>0</v>
      </c>
      <c r="V361" s="181">
        <f>TOBEPAID!V273/1000</f>
        <v>0</v>
      </c>
      <c r="W361" s="181">
        <f>TOBEPAID!W273/1000</f>
        <v>0</v>
      </c>
      <c r="X361" s="181">
        <f>TOBEPAID!X273/1000</f>
        <v>0</v>
      </c>
      <c r="Y361" s="181">
        <f t="shared" si="58"/>
        <v>49855</v>
      </c>
      <c r="Z361" s="181">
        <f t="shared" si="59"/>
        <v>0</v>
      </c>
      <c r="AA361" s="181">
        <f>TOBEPAID!AA273/1000</f>
        <v>49855</v>
      </c>
      <c r="AB361" s="181">
        <f>TOBEPAID!AB273/1000</f>
        <v>0</v>
      </c>
      <c r="AC361" s="181"/>
      <c r="AD361" s="181"/>
    </row>
    <row r="362" spans="1:30" x14ac:dyDescent="0.2">
      <c r="A362" s="180"/>
      <c r="C362" s="168" t="s">
        <v>54</v>
      </c>
      <c r="D362" s="181">
        <f>10256792/1000</f>
        <v>10256.791999999999</v>
      </c>
      <c r="E362" s="181">
        <f>TOBEPAID!E274/1000</f>
        <v>0</v>
      </c>
      <c r="F362" s="181">
        <f>TOBEPAID!F274/1000</f>
        <v>0</v>
      </c>
      <c r="G362" s="181">
        <f>TOBEPAID!G274/1000</f>
        <v>0</v>
      </c>
      <c r="H362" s="181">
        <v>0</v>
      </c>
      <c r="I362" s="181">
        <f>TOBEPAID!I274/1000</f>
        <v>0</v>
      </c>
      <c r="J362" s="181">
        <f>TOBEPAID!J274/1000</f>
        <v>0</v>
      </c>
      <c r="K362" s="181">
        <f>TOBEPAID!K274/1000</f>
        <v>0</v>
      </c>
      <c r="L362" s="181">
        <f>TOBEPAID!L274/1000</f>
        <v>0</v>
      </c>
      <c r="M362" s="181">
        <f>TOBEPAID!M274/1000</f>
        <v>0</v>
      </c>
      <c r="N362" s="181">
        <f>TOBEPAID!N274/1000</f>
        <v>0</v>
      </c>
      <c r="O362" s="181">
        <f>TOBEPAID!O274/1000</f>
        <v>10256.79235</v>
      </c>
      <c r="P362" s="181">
        <f>TOBEPAID!P274/1000</f>
        <v>0</v>
      </c>
      <c r="Q362" s="181">
        <f>TOBEPAID!Q274/1000</f>
        <v>0</v>
      </c>
      <c r="R362" s="181">
        <f>10256792/1000</f>
        <v>10256.791999999999</v>
      </c>
      <c r="S362" s="181">
        <f>TOBEPAID!S274/1000</f>
        <v>0</v>
      </c>
      <c r="T362" s="181">
        <f>TOBEPAID!T274/1000</f>
        <v>0</v>
      </c>
      <c r="U362" s="181">
        <f>TOBEPAID!U274/1000</f>
        <v>0</v>
      </c>
      <c r="V362" s="181">
        <f>TOBEPAID!V274/1000</f>
        <v>0</v>
      </c>
      <c r="W362" s="181">
        <f>TOBEPAID!W274/1000</f>
        <v>0</v>
      </c>
      <c r="X362" s="181">
        <f>TOBEPAID!X274/1000</f>
        <v>10256.79235</v>
      </c>
      <c r="Y362" s="181">
        <f t="shared" si="58"/>
        <v>10256.791999999999</v>
      </c>
      <c r="Z362" s="181">
        <f t="shared" si="59"/>
        <v>0</v>
      </c>
      <c r="AA362" s="181">
        <f>TOBEPAID!AA274/1000</f>
        <v>10256.79235</v>
      </c>
      <c r="AB362" s="181">
        <f>TOBEPAID!AB274/1000</f>
        <v>0</v>
      </c>
      <c r="AC362" s="181"/>
      <c r="AD362" s="181"/>
    </row>
    <row r="363" spans="1:30" x14ac:dyDescent="0.2">
      <c r="A363" s="180"/>
      <c r="D363" s="182" t="s">
        <v>40</v>
      </c>
      <c r="E363" s="182" t="s">
        <v>40</v>
      </c>
      <c r="F363" s="182" t="s">
        <v>40</v>
      </c>
      <c r="G363" s="182"/>
      <c r="H363" s="182" t="s">
        <v>40</v>
      </c>
      <c r="I363" s="182" t="s">
        <v>40</v>
      </c>
      <c r="J363" s="182" t="s">
        <v>40</v>
      </c>
      <c r="K363" s="182" t="s">
        <v>40</v>
      </c>
      <c r="L363" s="182" t="s">
        <v>40</v>
      </c>
      <c r="M363" s="182"/>
      <c r="N363" s="182" t="s">
        <v>40</v>
      </c>
      <c r="O363" s="182" t="s">
        <v>40</v>
      </c>
      <c r="P363" s="182" t="s">
        <v>40</v>
      </c>
      <c r="Q363" s="182"/>
      <c r="R363" s="182" t="s">
        <v>40</v>
      </c>
      <c r="S363" s="182" t="s">
        <v>40</v>
      </c>
      <c r="T363" s="182" t="s">
        <v>40</v>
      </c>
      <c r="U363" s="182" t="s">
        <v>40</v>
      </c>
      <c r="V363" s="182" t="s">
        <v>40</v>
      </c>
      <c r="W363" s="182"/>
      <c r="X363" s="182" t="s">
        <v>40</v>
      </c>
      <c r="Y363" s="182" t="s">
        <v>40</v>
      </c>
      <c r="Z363" s="182" t="s">
        <v>40</v>
      </c>
      <c r="AA363" s="182" t="s">
        <v>40</v>
      </c>
      <c r="AB363" s="182" t="s">
        <v>40</v>
      </c>
      <c r="AC363" s="182"/>
      <c r="AD363" s="182"/>
    </row>
    <row r="364" spans="1:30" x14ac:dyDescent="0.2">
      <c r="A364" s="180"/>
      <c r="D364" s="181">
        <f t="shared" ref="D364:AB364" si="60">SUM(D356:D362)</f>
        <v>231201.78599999999</v>
      </c>
      <c r="E364" s="181">
        <f t="shared" si="60"/>
        <v>52563.365919999997</v>
      </c>
      <c r="F364" s="181">
        <f t="shared" si="60"/>
        <v>0</v>
      </c>
      <c r="G364" s="181"/>
      <c r="H364" s="181">
        <f t="shared" si="60"/>
        <v>99563.364999999991</v>
      </c>
      <c r="I364" s="181">
        <f t="shared" si="60"/>
        <v>0</v>
      </c>
      <c r="J364" s="181">
        <f t="shared" si="60"/>
        <v>0</v>
      </c>
      <c r="K364" s="181">
        <f t="shared" si="60"/>
        <v>0</v>
      </c>
      <c r="L364" s="181">
        <f t="shared" si="60"/>
        <v>0</v>
      </c>
      <c r="M364" s="181"/>
      <c r="N364" s="181">
        <f t="shared" si="60"/>
        <v>52563.365919999997</v>
      </c>
      <c r="O364" s="181">
        <f t="shared" si="60"/>
        <v>17155.75678</v>
      </c>
      <c r="P364" s="181">
        <f t="shared" si="60"/>
        <v>0</v>
      </c>
      <c r="Q364" s="181"/>
      <c r="R364" s="181">
        <f t="shared" si="60"/>
        <v>17155.756000000001</v>
      </c>
      <c r="S364" s="181">
        <f t="shared" si="60"/>
        <v>210.24659999999992</v>
      </c>
      <c r="T364" s="181">
        <f t="shared" si="60"/>
        <v>210.2466</v>
      </c>
      <c r="U364" s="181">
        <f t="shared" si="60"/>
        <v>0</v>
      </c>
      <c r="V364" s="181">
        <f t="shared" si="60"/>
        <v>0</v>
      </c>
      <c r="W364" s="181"/>
      <c r="X364" s="181">
        <f t="shared" si="60"/>
        <v>17155.75678</v>
      </c>
      <c r="Y364" s="181">
        <f t="shared" si="60"/>
        <v>116719.121</v>
      </c>
      <c r="Z364" s="181">
        <f t="shared" si="60"/>
        <v>114482.66499999999</v>
      </c>
      <c r="AA364" s="181">
        <f t="shared" si="60"/>
        <v>69719.122700000007</v>
      </c>
      <c r="AB364" s="181">
        <f t="shared" si="60"/>
        <v>-517.34499999999912</v>
      </c>
      <c r="AC364" s="181"/>
      <c r="AD364" s="181"/>
    </row>
    <row r="365" spans="1:30" x14ac:dyDescent="0.2">
      <c r="A365" s="180"/>
      <c r="D365" s="182" t="s">
        <v>40</v>
      </c>
      <c r="E365" s="182" t="s">
        <v>40</v>
      </c>
      <c r="F365" s="182" t="s">
        <v>40</v>
      </c>
      <c r="G365" s="182"/>
      <c r="H365" s="182" t="s">
        <v>40</v>
      </c>
      <c r="I365" s="182" t="s">
        <v>40</v>
      </c>
      <c r="J365" s="182" t="s">
        <v>40</v>
      </c>
      <c r="K365" s="182" t="s">
        <v>40</v>
      </c>
      <c r="L365" s="182" t="s">
        <v>40</v>
      </c>
      <c r="M365" s="182"/>
      <c r="N365" s="182" t="s">
        <v>40</v>
      </c>
      <c r="O365" s="182" t="s">
        <v>40</v>
      </c>
      <c r="P365" s="182" t="s">
        <v>40</v>
      </c>
      <c r="Q365" s="182"/>
      <c r="R365" s="182" t="s">
        <v>40</v>
      </c>
      <c r="S365" s="182" t="s">
        <v>40</v>
      </c>
      <c r="T365" s="182" t="s">
        <v>40</v>
      </c>
      <c r="U365" s="182" t="s">
        <v>40</v>
      </c>
      <c r="V365" s="182" t="s">
        <v>40</v>
      </c>
      <c r="W365" s="182"/>
      <c r="X365" s="182" t="s">
        <v>40</v>
      </c>
      <c r="Y365" s="182" t="s">
        <v>40</v>
      </c>
      <c r="Z365" s="182" t="s">
        <v>40</v>
      </c>
      <c r="AA365" s="182" t="s">
        <v>40</v>
      </c>
      <c r="AB365" s="182" t="s">
        <v>40</v>
      </c>
      <c r="AC365" s="182"/>
      <c r="AD365" s="182"/>
    </row>
    <row r="366" spans="1:30" ht="15.75" thickBot="1" x14ac:dyDescent="0.25">
      <c r="A366" s="180"/>
      <c r="D366" s="182"/>
      <c r="E366" s="182"/>
      <c r="F366" s="182"/>
      <c r="G366" s="182"/>
      <c r="H366" s="182"/>
      <c r="I366" s="182"/>
      <c r="J366" s="182"/>
      <c r="K366" s="182"/>
      <c r="L366" s="182"/>
      <c r="M366" s="182"/>
      <c r="N366" s="182"/>
      <c r="O366" s="182"/>
      <c r="P366" s="182"/>
      <c r="Q366" s="182"/>
      <c r="R366" s="182"/>
      <c r="S366" s="182"/>
      <c r="T366" s="182"/>
      <c r="U366" s="182"/>
      <c r="V366" s="182"/>
      <c r="W366" s="182"/>
      <c r="X366" s="182"/>
      <c r="Y366" s="214" t="s">
        <v>409</v>
      </c>
      <c r="Z366" s="215"/>
      <c r="AA366" s="182"/>
      <c r="AB366" s="182"/>
      <c r="AC366" s="182"/>
      <c r="AD366" s="182"/>
    </row>
    <row r="367" spans="1:30" ht="15.75" thickTop="1" x14ac:dyDescent="0.2">
      <c r="A367" s="180"/>
      <c r="D367" s="182"/>
      <c r="E367" s="182"/>
      <c r="F367" s="182"/>
      <c r="G367" s="182"/>
      <c r="H367" s="182"/>
      <c r="I367" s="182"/>
      <c r="J367" s="182"/>
      <c r="K367" s="182"/>
      <c r="L367" s="182"/>
      <c r="M367" s="182"/>
      <c r="N367" s="182"/>
      <c r="O367" s="182"/>
      <c r="P367" s="182"/>
      <c r="Q367" s="182"/>
      <c r="R367" s="182"/>
      <c r="S367" s="182"/>
      <c r="T367" s="182"/>
      <c r="U367" s="182"/>
      <c r="V367" s="182"/>
      <c r="W367" s="182"/>
      <c r="X367" s="182"/>
      <c r="Y367" s="188"/>
      <c r="AA367" s="182"/>
      <c r="AB367" s="182"/>
      <c r="AC367" s="182"/>
      <c r="AD367" s="182"/>
    </row>
    <row r="368" spans="1:30" x14ac:dyDescent="0.2"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</row>
    <row r="369" spans="1:30" x14ac:dyDescent="0.2">
      <c r="A369" s="180">
        <v>26</v>
      </c>
      <c r="B369" s="166" t="s">
        <v>370</v>
      </c>
      <c r="C369" s="166" t="s">
        <v>35</v>
      </c>
      <c r="D369" s="181">
        <f>63098747.54/1000</f>
        <v>63098.747539999997</v>
      </c>
      <c r="E369" s="181">
        <f>TOBEPAID!E280/1000</f>
        <v>0</v>
      </c>
      <c r="F369" s="181">
        <f>TOBEPAID!F280/1000</f>
        <v>0</v>
      </c>
      <c r="G369" s="181">
        <f>TOBEPAID!G280/1000</f>
        <v>0</v>
      </c>
      <c r="H369" s="181">
        <f>63098747/1000</f>
        <v>63098.747000000003</v>
      </c>
      <c r="I369" s="181">
        <f>TOBEPAID!I280/1000</f>
        <v>0</v>
      </c>
      <c r="J369" s="181">
        <f>TOBEPAID!J280/1000</f>
        <v>0</v>
      </c>
      <c r="K369" s="181">
        <f>TOBEPAID!K280/1000</f>
        <v>0</v>
      </c>
      <c r="L369" s="181">
        <f>TOBEPAID!L280/1000</f>
        <v>0</v>
      </c>
      <c r="M369" s="181">
        <f>TOBEPAID!M280/1000</f>
        <v>0</v>
      </c>
      <c r="N369" s="181">
        <f>TOBEPAID!N280/1000</f>
        <v>0</v>
      </c>
      <c r="O369" s="181">
        <f>TOBEPAID!O280/1000</f>
        <v>0</v>
      </c>
      <c r="P369" s="181">
        <f>TOBEPAID!P280/1000</f>
        <v>0</v>
      </c>
      <c r="Q369" s="181">
        <f>TOBEPAID!Q280/1000</f>
        <v>0</v>
      </c>
      <c r="R369" s="181">
        <f>84022/1000</f>
        <v>84.022000000000006</v>
      </c>
      <c r="S369" s="181">
        <f>TOBEPAID!S280/1000</f>
        <v>0</v>
      </c>
      <c r="T369" s="181">
        <f>TOBEPAID!T280/1000</f>
        <v>0</v>
      </c>
      <c r="U369" s="181">
        <f>TOBEPAID!U280/1000</f>
        <v>0</v>
      </c>
      <c r="V369" s="181">
        <f>TOBEPAID!V280/1000</f>
        <v>0</v>
      </c>
      <c r="W369" s="181">
        <f>TOBEPAID!W280/1000</f>
        <v>0</v>
      </c>
      <c r="X369" s="181">
        <f>TOBEPAID!X280/1000</f>
        <v>0</v>
      </c>
      <c r="Y369" s="181">
        <f>+H369+R369</f>
        <v>63182.769</v>
      </c>
      <c r="Z369" s="181">
        <f t="shared" ref="Z369:Z381" si="61">+D369-Y369</f>
        <v>-84.021460000003572</v>
      </c>
      <c r="AA369" s="181">
        <f>TOBEPAID!AA280/1000</f>
        <v>0</v>
      </c>
      <c r="AB369" s="181">
        <f>TOBEPAID!AB280/1000</f>
        <v>36481.759050000001</v>
      </c>
      <c r="AC369" s="181" t="s">
        <v>321</v>
      </c>
      <c r="AD369" s="181"/>
    </row>
    <row r="370" spans="1:30" x14ac:dyDescent="0.2">
      <c r="A370" s="180"/>
      <c r="B370" s="165" t="s">
        <v>371</v>
      </c>
      <c r="C370" s="168" t="s">
        <v>36</v>
      </c>
      <c r="D370" s="181">
        <f>TOBEPAID!D281/1000</f>
        <v>1244.39624</v>
      </c>
      <c r="E370" s="181">
        <f>TOBEPAID!E281/1000</f>
        <v>1244.39624</v>
      </c>
      <c r="F370" s="181">
        <f>TOBEPAID!F281/1000</f>
        <v>0</v>
      </c>
      <c r="G370" s="181">
        <f>TOBEPAID!G281/1000</f>
        <v>0</v>
      </c>
      <c r="H370" s="181">
        <f>1244396/1000</f>
        <v>1244.396</v>
      </c>
      <c r="I370" s="181">
        <f>TOBEPAID!I281/1000</f>
        <v>0</v>
      </c>
      <c r="J370" s="181">
        <f>TOBEPAID!J281/1000</f>
        <v>0</v>
      </c>
      <c r="K370" s="181">
        <f>TOBEPAID!K281/1000</f>
        <v>0</v>
      </c>
      <c r="L370" s="181">
        <f>TOBEPAID!L281/1000</f>
        <v>0</v>
      </c>
      <c r="M370" s="181">
        <f>TOBEPAID!M281/1000</f>
        <v>0</v>
      </c>
      <c r="N370" s="181">
        <f>TOBEPAID!N281/1000</f>
        <v>1244.39624</v>
      </c>
      <c r="O370" s="181">
        <f>TOBEPAID!O281/1000</f>
        <v>0</v>
      </c>
      <c r="P370" s="181">
        <f>TOBEPAID!P281/1000</f>
        <v>0</v>
      </c>
      <c r="Q370" s="181">
        <f>TOBEPAID!Q281/1000</f>
        <v>0</v>
      </c>
      <c r="R370" s="181">
        <v>0</v>
      </c>
      <c r="S370" s="181">
        <f>TOBEPAID!S281/1000</f>
        <v>0</v>
      </c>
      <c r="T370" s="181">
        <f>TOBEPAID!T281/1000</f>
        <v>0</v>
      </c>
      <c r="U370" s="181">
        <f>TOBEPAID!U281/1000</f>
        <v>0</v>
      </c>
      <c r="V370" s="181">
        <f>TOBEPAID!V281/1000</f>
        <v>0</v>
      </c>
      <c r="W370" s="181">
        <f>TOBEPAID!W281/1000</f>
        <v>0</v>
      </c>
      <c r="X370" s="181">
        <f>TOBEPAID!X281/1000</f>
        <v>0</v>
      </c>
      <c r="Y370" s="181">
        <f t="shared" ref="Y370:Y381" si="62">+H370+R370</f>
        <v>1244.396</v>
      </c>
      <c r="Z370" s="181">
        <f t="shared" si="61"/>
        <v>2.4000000007617928E-4</v>
      </c>
      <c r="AA370" s="181">
        <f>TOBEPAID!AA281/1000</f>
        <v>1244.39624</v>
      </c>
      <c r="AB370" s="181">
        <f>TOBEPAID!AB281/1000</f>
        <v>0</v>
      </c>
      <c r="AC370" s="181"/>
      <c r="AD370" s="181"/>
    </row>
    <row r="371" spans="1:30" x14ac:dyDescent="0.2">
      <c r="A371" s="180"/>
      <c r="C371" s="168" t="s">
        <v>457</v>
      </c>
      <c r="D371" s="181">
        <f>151161000/1000</f>
        <v>151161</v>
      </c>
      <c r="E371" s="181"/>
      <c r="F371" s="181"/>
      <c r="G371" s="181"/>
      <c r="H371" s="181">
        <f>151161000/1000</f>
        <v>151161</v>
      </c>
      <c r="I371" s="181"/>
      <c r="J371" s="181"/>
      <c r="K371" s="181"/>
      <c r="L371" s="181"/>
      <c r="M371" s="181"/>
      <c r="N371" s="181"/>
      <c r="O371" s="181"/>
      <c r="P371" s="181"/>
      <c r="Q371" s="181"/>
      <c r="R371" s="181">
        <v>0</v>
      </c>
      <c r="S371" s="181"/>
      <c r="T371" s="181"/>
      <c r="U371" s="181"/>
      <c r="V371" s="181"/>
      <c r="W371" s="181"/>
      <c r="X371" s="181"/>
      <c r="Y371" s="181">
        <f t="shared" si="62"/>
        <v>151161</v>
      </c>
      <c r="Z371" s="181">
        <f t="shared" si="61"/>
        <v>0</v>
      </c>
      <c r="AA371" s="181"/>
      <c r="AB371" s="181"/>
      <c r="AC371" s="181"/>
      <c r="AD371" s="181"/>
    </row>
    <row r="372" spans="1:30" x14ac:dyDescent="0.2">
      <c r="A372" s="180"/>
      <c r="C372" s="168" t="s">
        <v>456</v>
      </c>
      <c r="D372" s="181">
        <f>250430000/1000</f>
        <v>250430</v>
      </c>
      <c r="E372" s="181"/>
      <c r="F372" s="181"/>
      <c r="G372" s="181"/>
      <c r="H372" s="181">
        <f>30008381.82/1000</f>
        <v>30008.381819999999</v>
      </c>
      <c r="I372" s="181"/>
      <c r="J372" s="181"/>
      <c r="K372" s="181"/>
      <c r="L372" s="181"/>
      <c r="M372" s="181"/>
      <c r="N372" s="181"/>
      <c r="O372" s="181"/>
      <c r="P372" s="181"/>
      <c r="Q372" s="181"/>
      <c r="R372" s="181">
        <v>0</v>
      </c>
      <c r="S372" s="181"/>
      <c r="T372" s="181"/>
      <c r="U372" s="181"/>
      <c r="V372" s="181"/>
      <c r="W372" s="181"/>
      <c r="X372" s="181"/>
      <c r="Y372" s="181">
        <f>+H372+R372</f>
        <v>30008.381819999999</v>
      </c>
      <c r="Z372" s="181">
        <f t="shared" si="61"/>
        <v>220421.61817999999</v>
      </c>
      <c r="AA372" s="181"/>
      <c r="AB372" s="181"/>
      <c r="AC372" s="181"/>
      <c r="AD372" s="181"/>
    </row>
    <row r="373" spans="1:30" x14ac:dyDescent="0.2">
      <c r="C373" s="165" t="s">
        <v>304</v>
      </c>
      <c r="D373" s="181">
        <v>0</v>
      </c>
      <c r="E373" s="181">
        <f>TOBEPAID!E282/1000</f>
        <v>20000</v>
      </c>
      <c r="F373" s="181">
        <f>TOBEPAID!F282/1000</f>
        <v>0</v>
      </c>
      <c r="G373" s="181">
        <f>TOBEPAID!G282/1000</f>
        <v>0</v>
      </c>
      <c r="H373" s="181">
        <v>0</v>
      </c>
      <c r="I373" s="181">
        <f>TOBEPAID!I282/1000</f>
        <v>0</v>
      </c>
      <c r="J373" s="181">
        <f>TOBEPAID!J282/1000</f>
        <v>0</v>
      </c>
      <c r="K373" s="181">
        <f>TOBEPAID!K282/1000</f>
        <v>0</v>
      </c>
      <c r="L373" s="181">
        <f>TOBEPAID!L282/1000</f>
        <v>0</v>
      </c>
      <c r="M373" s="181">
        <f>TOBEPAID!M282/1000</f>
        <v>0</v>
      </c>
      <c r="N373" s="181">
        <f>TOBEPAID!N282/1000</f>
        <v>20000</v>
      </c>
      <c r="O373" s="181">
        <f>TOBEPAID!O282/1000</f>
        <v>0</v>
      </c>
      <c r="P373" s="181">
        <f>TOBEPAID!P282/1000</f>
        <v>0</v>
      </c>
      <c r="Q373" s="181">
        <f>TOBEPAID!Q282/1000</f>
        <v>0</v>
      </c>
      <c r="R373" s="181">
        <v>0</v>
      </c>
      <c r="S373" s="181">
        <f>TOBEPAID!S282/1000</f>
        <v>0</v>
      </c>
      <c r="T373" s="181">
        <f>TOBEPAID!T282/1000</f>
        <v>0</v>
      </c>
      <c r="U373" s="181">
        <f>TOBEPAID!U282/1000</f>
        <v>0</v>
      </c>
      <c r="V373" s="181">
        <f>TOBEPAID!V282/1000</f>
        <v>0</v>
      </c>
      <c r="W373" s="181">
        <f>TOBEPAID!W282/1000</f>
        <v>0</v>
      </c>
      <c r="X373" s="181">
        <f>TOBEPAID!X282/1000</f>
        <v>0</v>
      </c>
      <c r="Y373" s="181">
        <f t="shared" si="62"/>
        <v>0</v>
      </c>
      <c r="Z373" s="181">
        <f t="shared" si="61"/>
        <v>0</v>
      </c>
      <c r="AA373" s="181">
        <f>TOBEPAID!AA282/1000</f>
        <v>20000</v>
      </c>
      <c r="AB373" s="181">
        <f>TOBEPAID!AB282/1000</f>
        <v>0</v>
      </c>
      <c r="AC373" s="181"/>
      <c r="AD373" s="181"/>
    </row>
    <row r="374" spans="1:30" x14ac:dyDescent="0.2">
      <c r="C374" s="165" t="s">
        <v>374</v>
      </c>
      <c r="D374" s="181">
        <f>4793000/1000</f>
        <v>4793</v>
      </c>
      <c r="E374" s="181"/>
      <c r="F374" s="181"/>
      <c r="G374" s="181"/>
      <c r="H374" s="181">
        <f>4793000/1000</f>
        <v>4793</v>
      </c>
      <c r="I374" s="181"/>
      <c r="J374" s="181"/>
      <c r="K374" s="181"/>
      <c r="L374" s="181"/>
      <c r="M374" s="181"/>
      <c r="N374" s="181"/>
      <c r="O374" s="181"/>
      <c r="P374" s="181"/>
      <c r="Q374" s="181"/>
      <c r="R374" s="181">
        <v>0</v>
      </c>
      <c r="S374" s="181"/>
      <c r="T374" s="181"/>
      <c r="U374" s="181"/>
      <c r="V374" s="181"/>
      <c r="W374" s="181"/>
      <c r="X374" s="181"/>
      <c r="Y374" s="181">
        <f t="shared" si="62"/>
        <v>4793</v>
      </c>
      <c r="Z374" s="181">
        <f t="shared" si="61"/>
        <v>0</v>
      </c>
      <c r="AA374" s="181"/>
      <c r="AB374" s="181"/>
      <c r="AC374" s="181"/>
      <c r="AD374" s="181"/>
    </row>
    <row r="375" spans="1:30" x14ac:dyDescent="0.2">
      <c r="C375" s="165" t="s">
        <v>365</v>
      </c>
      <c r="D375" s="181">
        <f>7841133/1000</f>
        <v>7841.1329999999998</v>
      </c>
      <c r="E375" s="181">
        <f>TOBEPAID!E283/1000</f>
        <v>7841.1329999999998</v>
      </c>
      <c r="F375" s="181">
        <f>TOBEPAID!F283/1000</f>
        <v>0</v>
      </c>
      <c r="G375" s="181">
        <f>TOBEPAID!G283/1000</f>
        <v>0</v>
      </c>
      <c r="H375" s="181">
        <f>7841133/1000</f>
        <v>7841.1329999999998</v>
      </c>
      <c r="I375" s="181">
        <f>TOBEPAID!I283/1000</f>
        <v>0</v>
      </c>
      <c r="J375" s="181">
        <f>TOBEPAID!J283/1000</f>
        <v>0</v>
      </c>
      <c r="K375" s="181">
        <f>TOBEPAID!K283/1000</f>
        <v>0</v>
      </c>
      <c r="L375" s="181">
        <f>TOBEPAID!L283/1000</f>
        <v>0</v>
      </c>
      <c r="M375" s="181">
        <f>TOBEPAID!M283/1000</f>
        <v>0</v>
      </c>
      <c r="N375" s="181">
        <f>TOBEPAID!N283/1000</f>
        <v>7841.1329999999998</v>
      </c>
      <c r="O375" s="181">
        <f>TOBEPAID!O283/1000</f>
        <v>0</v>
      </c>
      <c r="P375" s="181">
        <f>TOBEPAID!P283/1000</f>
        <v>0</v>
      </c>
      <c r="Q375" s="181">
        <f>TOBEPAID!Q283/1000</f>
        <v>0</v>
      </c>
      <c r="R375" s="181">
        <v>0</v>
      </c>
      <c r="S375" s="181">
        <f>TOBEPAID!S283/1000</f>
        <v>0</v>
      </c>
      <c r="T375" s="181">
        <f>TOBEPAID!T283/1000</f>
        <v>0</v>
      </c>
      <c r="U375" s="181">
        <f>TOBEPAID!U283/1000</f>
        <v>0</v>
      </c>
      <c r="V375" s="181">
        <f>TOBEPAID!V283/1000</f>
        <v>0</v>
      </c>
      <c r="W375" s="181">
        <f>TOBEPAID!W283/1000</f>
        <v>0</v>
      </c>
      <c r="X375" s="181">
        <f>TOBEPAID!X283/1000</f>
        <v>0</v>
      </c>
      <c r="Y375" s="181">
        <f t="shared" si="62"/>
        <v>7841.1329999999998</v>
      </c>
      <c r="Z375" s="181">
        <f t="shared" si="61"/>
        <v>0</v>
      </c>
      <c r="AA375" s="181">
        <f>TOBEPAID!AA283/1000</f>
        <v>7841.1329999999998</v>
      </c>
      <c r="AB375" s="181">
        <f>TOBEPAID!AB283/1000</f>
        <v>0</v>
      </c>
      <c r="AC375" s="181"/>
      <c r="AD375" s="181"/>
    </row>
    <row r="376" spans="1:30" x14ac:dyDescent="0.2">
      <c r="C376" s="165" t="s">
        <v>290</v>
      </c>
      <c r="D376" s="181">
        <f>917817185/1000</f>
        <v>917817.18500000006</v>
      </c>
      <c r="E376" s="181">
        <f>TOBEPAID!E284/1000</f>
        <v>280000</v>
      </c>
      <c r="F376" s="181">
        <f>TOBEPAID!F284/1000</f>
        <v>13160.93316</v>
      </c>
      <c r="G376" s="181">
        <f>TOBEPAID!G284/1000</f>
        <v>0</v>
      </c>
      <c r="H376" s="181">
        <f>917817185/1000</f>
        <v>917817.18500000006</v>
      </c>
      <c r="I376" s="181">
        <f>TOBEPAID!I284/1000</f>
        <v>0</v>
      </c>
      <c r="J376" s="181">
        <f>TOBEPAID!J284/1000</f>
        <v>0</v>
      </c>
      <c r="K376" s="181">
        <f>TOBEPAID!K284/1000</f>
        <v>0</v>
      </c>
      <c r="L376" s="181">
        <f>TOBEPAID!L284/1000</f>
        <v>0</v>
      </c>
      <c r="M376" s="181">
        <f>TOBEPAID!M284/1000</f>
        <v>0</v>
      </c>
      <c r="N376" s="181">
        <f>TOBEPAID!N284/1000</f>
        <v>293160.93316000002</v>
      </c>
      <c r="O376" s="181">
        <f>TOBEPAID!O284/1000</f>
        <v>0</v>
      </c>
      <c r="P376" s="181">
        <f>TOBEPAID!P284/1000</f>
        <v>0</v>
      </c>
      <c r="Q376" s="181">
        <f>TOBEPAID!Q284/1000</f>
        <v>0</v>
      </c>
      <c r="R376" s="181">
        <v>0</v>
      </c>
      <c r="S376" s="181">
        <f>TOBEPAID!S284/1000</f>
        <v>0</v>
      </c>
      <c r="T376" s="181">
        <f>TOBEPAID!T284/1000</f>
        <v>0</v>
      </c>
      <c r="U376" s="181">
        <f>TOBEPAID!U284/1000</f>
        <v>0</v>
      </c>
      <c r="V376" s="181">
        <f>TOBEPAID!V284/1000</f>
        <v>0</v>
      </c>
      <c r="W376" s="181">
        <f>TOBEPAID!W284/1000</f>
        <v>0</v>
      </c>
      <c r="X376" s="181">
        <f>TOBEPAID!X284/1000</f>
        <v>0</v>
      </c>
      <c r="Y376" s="181">
        <f t="shared" si="62"/>
        <v>917817.18500000006</v>
      </c>
      <c r="Z376" s="181">
        <f t="shared" si="61"/>
        <v>0</v>
      </c>
      <c r="AA376" s="181">
        <f>TOBEPAID!AA284/1000</f>
        <v>293160.93316000002</v>
      </c>
      <c r="AB376" s="181">
        <f>TOBEPAID!AB284/1000</f>
        <v>0</v>
      </c>
      <c r="AC376" s="181"/>
      <c r="AD376" s="181"/>
    </row>
    <row r="377" spans="1:30" x14ac:dyDescent="0.2">
      <c r="A377" s="180"/>
      <c r="C377" s="168" t="s">
        <v>44</v>
      </c>
      <c r="D377" s="181">
        <f>32258000/1000</f>
        <v>32258</v>
      </c>
      <c r="E377" s="181">
        <f>TOBEPAID!E285/1000</f>
        <v>32258</v>
      </c>
      <c r="F377" s="181">
        <f>TOBEPAID!F285/1000</f>
        <v>0</v>
      </c>
      <c r="G377" s="181">
        <f>TOBEPAID!G285/1000</f>
        <v>0</v>
      </c>
      <c r="H377" s="181">
        <f>32258000/1000</f>
        <v>32258</v>
      </c>
      <c r="I377" s="181">
        <f>TOBEPAID!I285/1000</f>
        <v>0</v>
      </c>
      <c r="J377" s="181">
        <f>TOBEPAID!J285/1000</f>
        <v>0</v>
      </c>
      <c r="K377" s="181">
        <f>TOBEPAID!K285/1000</f>
        <v>0</v>
      </c>
      <c r="L377" s="181">
        <f>TOBEPAID!L285/1000</f>
        <v>0</v>
      </c>
      <c r="M377" s="181">
        <f>TOBEPAID!M285/1000</f>
        <v>0</v>
      </c>
      <c r="N377" s="181">
        <f>TOBEPAID!N285/1000</f>
        <v>32258</v>
      </c>
      <c r="O377" s="181">
        <f>TOBEPAID!O285/1000</f>
        <v>0</v>
      </c>
      <c r="P377" s="181">
        <f>TOBEPAID!P285/1000</f>
        <v>0</v>
      </c>
      <c r="Q377" s="181">
        <f>TOBEPAID!Q285/1000</f>
        <v>0</v>
      </c>
      <c r="R377" s="181">
        <v>0</v>
      </c>
      <c r="S377" s="181">
        <f>TOBEPAID!S285/1000</f>
        <v>0</v>
      </c>
      <c r="T377" s="181">
        <f>TOBEPAID!T285/1000</f>
        <v>0</v>
      </c>
      <c r="U377" s="181">
        <f>TOBEPAID!U285/1000</f>
        <v>0</v>
      </c>
      <c r="V377" s="181">
        <f>TOBEPAID!V285/1000</f>
        <v>0</v>
      </c>
      <c r="W377" s="181">
        <f>TOBEPAID!W285/1000</f>
        <v>0</v>
      </c>
      <c r="X377" s="181">
        <f>TOBEPAID!X285/1000</f>
        <v>0</v>
      </c>
      <c r="Y377" s="181">
        <f t="shared" si="62"/>
        <v>32258</v>
      </c>
      <c r="Z377" s="181">
        <f t="shared" si="61"/>
        <v>0</v>
      </c>
      <c r="AA377" s="181">
        <f>TOBEPAID!AA285/1000</f>
        <v>32258</v>
      </c>
      <c r="AB377" s="181">
        <f>TOBEPAID!AB285/1000</f>
        <v>0</v>
      </c>
      <c r="AC377" s="181"/>
      <c r="AD377" s="181"/>
    </row>
    <row r="378" spans="1:30" x14ac:dyDescent="0.2">
      <c r="A378" s="180"/>
      <c r="C378" s="168" t="s">
        <v>48</v>
      </c>
      <c r="D378" s="181">
        <f>966136/1000</f>
        <v>966.13599999999997</v>
      </c>
      <c r="E378" s="181">
        <f>TOBEPAID!E286/1000</f>
        <v>966.13601000000006</v>
      </c>
      <c r="F378" s="181">
        <f>TOBEPAID!F286/1000</f>
        <v>0</v>
      </c>
      <c r="G378" s="181">
        <f>TOBEPAID!G286/1000</f>
        <v>0</v>
      </c>
      <c r="H378" s="181">
        <f>966136/1000</f>
        <v>966.13599999999997</v>
      </c>
      <c r="I378" s="181">
        <f>TOBEPAID!I286/1000</f>
        <v>0</v>
      </c>
      <c r="J378" s="181">
        <f>TOBEPAID!J286/1000</f>
        <v>0</v>
      </c>
      <c r="K378" s="181">
        <f>TOBEPAID!K286/1000</f>
        <v>0</v>
      </c>
      <c r="L378" s="181">
        <f>TOBEPAID!L286/1000</f>
        <v>0</v>
      </c>
      <c r="M378" s="181">
        <f>TOBEPAID!M286/1000</f>
        <v>0</v>
      </c>
      <c r="N378" s="181">
        <f>TOBEPAID!N286/1000</f>
        <v>966.13601000000006</v>
      </c>
      <c r="O378" s="181">
        <f>TOBEPAID!O286/1000</f>
        <v>0</v>
      </c>
      <c r="P378" s="181">
        <f>TOBEPAID!P286/1000</f>
        <v>0</v>
      </c>
      <c r="Q378" s="181">
        <f>TOBEPAID!Q286/1000</f>
        <v>0</v>
      </c>
      <c r="R378" s="181">
        <v>0</v>
      </c>
      <c r="S378" s="181">
        <f>TOBEPAID!S286/1000</f>
        <v>0</v>
      </c>
      <c r="T378" s="181">
        <f>TOBEPAID!T286/1000</f>
        <v>0</v>
      </c>
      <c r="U378" s="181">
        <f>TOBEPAID!U286/1000</f>
        <v>0</v>
      </c>
      <c r="V378" s="181">
        <f>TOBEPAID!V286/1000</f>
        <v>0</v>
      </c>
      <c r="W378" s="181">
        <f>TOBEPAID!W286/1000</f>
        <v>0</v>
      </c>
      <c r="X378" s="181">
        <f>TOBEPAID!X286/1000</f>
        <v>0</v>
      </c>
      <c r="Y378" s="181">
        <f t="shared" si="62"/>
        <v>966.13599999999997</v>
      </c>
      <c r="Z378" s="181">
        <f t="shared" si="61"/>
        <v>0</v>
      </c>
      <c r="AA378" s="181">
        <f>TOBEPAID!AA286/1000</f>
        <v>966.13601000000006</v>
      </c>
      <c r="AB378" s="181">
        <f>TOBEPAID!AB286/1000</f>
        <v>0</v>
      </c>
      <c r="AC378" s="181"/>
      <c r="AD378" s="181"/>
    </row>
    <row r="379" spans="1:30" x14ac:dyDescent="0.2">
      <c r="A379" s="180"/>
      <c r="C379" s="166" t="s">
        <v>53</v>
      </c>
      <c r="D379" s="181">
        <f>25070595/1000</f>
        <v>25070.595000000001</v>
      </c>
      <c r="E379" s="181">
        <f>TOBEPAID!E287/1000</f>
        <v>0</v>
      </c>
      <c r="F379" s="181">
        <f>TOBEPAID!F287/1000</f>
        <v>0</v>
      </c>
      <c r="G379" s="181">
        <f>TOBEPAID!G287/1000</f>
        <v>0</v>
      </c>
      <c r="H379" s="181">
        <v>0</v>
      </c>
      <c r="I379" s="181">
        <f>TOBEPAID!I287/1000</f>
        <v>0</v>
      </c>
      <c r="J379" s="181">
        <f>TOBEPAID!J287/1000</f>
        <v>0</v>
      </c>
      <c r="K379" s="181">
        <f>TOBEPAID!K287/1000</f>
        <v>0</v>
      </c>
      <c r="L379" s="181">
        <f>TOBEPAID!L287/1000</f>
        <v>0</v>
      </c>
      <c r="M379" s="181">
        <f>TOBEPAID!M287/1000</f>
        <v>0</v>
      </c>
      <c r="N379" s="181">
        <f>TOBEPAID!N287/1000</f>
        <v>0</v>
      </c>
      <c r="O379" s="181">
        <f>TOBEPAID!O287/1000</f>
        <v>25070.595559999998</v>
      </c>
      <c r="P379" s="181">
        <f>TOBEPAID!P287/1000</f>
        <v>0</v>
      </c>
      <c r="Q379" s="181">
        <f>TOBEPAID!Q287/1000</f>
        <v>0</v>
      </c>
      <c r="R379" s="181">
        <f>25070595/1000</f>
        <v>25070.595000000001</v>
      </c>
      <c r="S379" s="181">
        <f>TOBEPAID!S287/1000</f>
        <v>0</v>
      </c>
      <c r="T379" s="181">
        <f>TOBEPAID!T287/1000</f>
        <v>0</v>
      </c>
      <c r="U379" s="181">
        <f>TOBEPAID!U287/1000</f>
        <v>0</v>
      </c>
      <c r="V379" s="181">
        <f>TOBEPAID!V287/1000</f>
        <v>0</v>
      </c>
      <c r="W379" s="181">
        <f>TOBEPAID!W287/1000</f>
        <v>0</v>
      </c>
      <c r="X379" s="181">
        <f>TOBEPAID!X287/1000</f>
        <v>25070.595559999998</v>
      </c>
      <c r="Y379" s="181">
        <f t="shared" si="62"/>
        <v>25070.595000000001</v>
      </c>
      <c r="Z379" s="181">
        <f t="shared" si="61"/>
        <v>0</v>
      </c>
      <c r="AA379" s="181">
        <f>TOBEPAID!AA287/1000</f>
        <v>25070.595559999998</v>
      </c>
      <c r="AB379" s="181">
        <f>TOBEPAID!AB287/1000</f>
        <v>31409.988490000007</v>
      </c>
      <c r="AC379" s="181"/>
      <c r="AD379" s="181"/>
    </row>
    <row r="380" spans="1:30" x14ac:dyDescent="0.2">
      <c r="A380" s="180"/>
      <c r="C380" s="166" t="s">
        <v>54</v>
      </c>
      <c r="D380" s="181">
        <f>15796629/1000</f>
        <v>15796.629000000001</v>
      </c>
      <c r="E380" s="181">
        <f>TOBEPAID!E288/1000</f>
        <v>0</v>
      </c>
      <c r="F380" s="181">
        <f>TOBEPAID!F288/1000</f>
        <v>0</v>
      </c>
      <c r="G380" s="181">
        <f>TOBEPAID!G288/1000</f>
        <v>0</v>
      </c>
      <c r="H380" s="181">
        <f>TOBEPAID!H288/1000</f>
        <v>0</v>
      </c>
      <c r="I380" s="181">
        <f>TOBEPAID!I288/1000</f>
        <v>0</v>
      </c>
      <c r="J380" s="181">
        <f>TOBEPAID!J288/1000</f>
        <v>0</v>
      </c>
      <c r="K380" s="181">
        <f>TOBEPAID!K288/1000</f>
        <v>0</v>
      </c>
      <c r="L380" s="181">
        <f>TOBEPAID!L288/1000</f>
        <v>0</v>
      </c>
      <c r="M380" s="181">
        <f>TOBEPAID!M288/1000</f>
        <v>0</v>
      </c>
      <c r="N380" s="181">
        <f>TOBEPAID!N288/1000</f>
        <v>0</v>
      </c>
      <c r="O380" s="181">
        <f>TOBEPAID!O288/1000</f>
        <v>15796.629800000001</v>
      </c>
      <c r="P380" s="181">
        <f>TOBEPAID!P288/1000</f>
        <v>0</v>
      </c>
      <c r="Q380" s="181">
        <f>TOBEPAID!Q288/1000</f>
        <v>0</v>
      </c>
      <c r="R380" s="181">
        <f>15796629/1000</f>
        <v>15796.629000000001</v>
      </c>
      <c r="S380" s="181">
        <f>TOBEPAID!S288/1000</f>
        <v>0</v>
      </c>
      <c r="T380" s="181">
        <f>TOBEPAID!T288/1000</f>
        <v>0</v>
      </c>
      <c r="U380" s="181">
        <f>TOBEPAID!U288/1000</f>
        <v>0</v>
      </c>
      <c r="V380" s="181">
        <f>TOBEPAID!V288/1000</f>
        <v>0</v>
      </c>
      <c r="W380" s="181">
        <f>TOBEPAID!W288/1000</f>
        <v>0</v>
      </c>
      <c r="X380" s="181">
        <f>TOBEPAID!X288/1000</f>
        <v>15796.629800000001</v>
      </c>
      <c r="Y380" s="181">
        <f t="shared" si="62"/>
        <v>15796.629000000001</v>
      </c>
      <c r="Z380" s="181">
        <f t="shared" si="61"/>
        <v>0</v>
      </c>
      <c r="AA380" s="181">
        <f>TOBEPAID!AA288/1000</f>
        <v>15796.629800000001</v>
      </c>
      <c r="AB380" s="181">
        <f>TOBEPAID!AB288/1000</f>
        <v>0</v>
      </c>
      <c r="AC380" s="181"/>
      <c r="AD380" s="181"/>
    </row>
    <row r="381" spans="1:30" x14ac:dyDescent="0.2">
      <c r="A381" s="180"/>
      <c r="C381" s="166" t="s">
        <v>143</v>
      </c>
      <c r="D381" s="181">
        <f>837838/1000</f>
        <v>837.83799999999997</v>
      </c>
      <c r="E381" s="181">
        <f>TOBEPAID!E289/1000</f>
        <v>837.83857</v>
      </c>
      <c r="F381" s="181">
        <f>TOBEPAID!F289/1000</f>
        <v>0</v>
      </c>
      <c r="G381" s="181">
        <f>TOBEPAID!G289/1000</f>
        <v>0</v>
      </c>
      <c r="H381" s="181">
        <f>TOBEPAID!H289/1000</f>
        <v>837.83857</v>
      </c>
      <c r="I381" s="181">
        <f>TOBEPAID!I289/1000</f>
        <v>0</v>
      </c>
      <c r="J381" s="181">
        <f>TOBEPAID!J289/1000</f>
        <v>0</v>
      </c>
      <c r="K381" s="181">
        <f>TOBEPAID!K289/1000</f>
        <v>0</v>
      </c>
      <c r="L381" s="181">
        <f>TOBEPAID!L289/1000</f>
        <v>0</v>
      </c>
      <c r="M381" s="181">
        <f>TOBEPAID!M289/1000</f>
        <v>0</v>
      </c>
      <c r="N381" s="181">
        <f>TOBEPAID!N289/1000</f>
        <v>837.83857</v>
      </c>
      <c r="O381" s="181">
        <f>TOBEPAID!O289/1000</f>
        <v>0</v>
      </c>
      <c r="P381" s="181">
        <f>TOBEPAID!P289/1000</f>
        <v>0</v>
      </c>
      <c r="Q381" s="181">
        <f>TOBEPAID!Q289/1000</f>
        <v>0</v>
      </c>
      <c r="R381" s="181">
        <v>0</v>
      </c>
      <c r="S381" s="181">
        <f>TOBEPAID!S289/1000</f>
        <v>0</v>
      </c>
      <c r="T381" s="181">
        <f>TOBEPAID!T289/1000</f>
        <v>0</v>
      </c>
      <c r="U381" s="181">
        <f>TOBEPAID!U289/1000</f>
        <v>0</v>
      </c>
      <c r="V381" s="181">
        <f>TOBEPAID!V289/1000</f>
        <v>0</v>
      </c>
      <c r="W381" s="181">
        <f>TOBEPAID!W289/1000</f>
        <v>0</v>
      </c>
      <c r="X381" s="181">
        <f>TOBEPAID!X289/1000</f>
        <v>0</v>
      </c>
      <c r="Y381" s="181">
        <f t="shared" si="62"/>
        <v>837.83857</v>
      </c>
      <c r="Z381" s="181">
        <f t="shared" si="61"/>
        <v>-5.7000000003881723E-4</v>
      </c>
      <c r="AA381" s="181">
        <f>TOBEPAID!AA289/1000</f>
        <v>837.83857</v>
      </c>
      <c r="AB381" s="181">
        <f>TOBEPAID!AB289/1000</f>
        <v>0</v>
      </c>
      <c r="AC381" s="181"/>
      <c r="AD381" s="181"/>
    </row>
    <row r="382" spans="1:30" x14ac:dyDescent="0.2">
      <c r="A382" s="180"/>
      <c r="D382" s="182" t="s">
        <v>40</v>
      </c>
      <c r="E382" s="182" t="s">
        <v>40</v>
      </c>
      <c r="F382" s="182" t="s">
        <v>40</v>
      </c>
      <c r="G382" s="182"/>
      <c r="H382" s="182" t="s">
        <v>40</v>
      </c>
      <c r="I382" s="182" t="s">
        <v>40</v>
      </c>
      <c r="J382" s="182" t="s">
        <v>40</v>
      </c>
      <c r="K382" s="182" t="s">
        <v>40</v>
      </c>
      <c r="L382" s="182" t="s">
        <v>40</v>
      </c>
      <c r="M382" s="182"/>
      <c r="N382" s="182" t="s">
        <v>40</v>
      </c>
      <c r="O382" s="182" t="s">
        <v>40</v>
      </c>
      <c r="P382" s="182" t="s">
        <v>40</v>
      </c>
      <c r="Q382" s="182"/>
      <c r="R382" s="182" t="s">
        <v>40</v>
      </c>
      <c r="S382" s="182" t="s">
        <v>40</v>
      </c>
      <c r="T382" s="182" t="s">
        <v>40</v>
      </c>
      <c r="U382" s="182" t="s">
        <v>40</v>
      </c>
      <c r="V382" s="182" t="s">
        <v>40</v>
      </c>
      <c r="W382" s="182"/>
      <c r="X382" s="182" t="s">
        <v>40</v>
      </c>
      <c r="Y382" s="182" t="s">
        <v>40</v>
      </c>
      <c r="Z382" s="182" t="s">
        <v>40</v>
      </c>
      <c r="AA382" s="182" t="s">
        <v>40</v>
      </c>
      <c r="AB382" s="182" t="s">
        <v>40</v>
      </c>
      <c r="AC382" s="182"/>
      <c r="AD382" s="182"/>
    </row>
    <row r="383" spans="1:30" x14ac:dyDescent="0.2">
      <c r="A383" s="180"/>
      <c r="D383" s="181">
        <f>SUM(D369:D381)</f>
        <v>1471314.6597799999</v>
      </c>
      <c r="E383" s="181">
        <f>SUM(E369:E381)</f>
        <v>343147.50382000004</v>
      </c>
      <c r="F383" s="181">
        <f>SUM(F369:F381)</f>
        <v>13160.93316</v>
      </c>
      <c r="G383" s="181"/>
      <c r="H383" s="181">
        <f>SUM(H369:H381)</f>
        <v>1210025.81739</v>
      </c>
      <c r="I383" s="181">
        <f>SUM(I369:I381)</f>
        <v>0</v>
      </c>
      <c r="J383" s="181">
        <f>SUM(J369:J381)</f>
        <v>0</v>
      </c>
      <c r="K383" s="181">
        <f>SUM(K369:K381)</f>
        <v>0</v>
      </c>
      <c r="L383" s="181">
        <f>SUM(L369:L381)</f>
        <v>0</v>
      </c>
      <c r="M383" s="181"/>
      <c r="N383" s="181">
        <f>SUM(N369:N381)</f>
        <v>356308.43698000006</v>
      </c>
      <c r="O383" s="181">
        <f>SUM(O369:O381)</f>
        <v>40867.225359999997</v>
      </c>
      <c r="P383" s="181">
        <f>SUM(P369:P381)</f>
        <v>0</v>
      </c>
      <c r="Q383" s="181"/>
      <c r="R383" s="181">
        <f>SUM(R369:R381)</f>
        <v>40951.245999999999</v>
      </c>
      <c r="S383" s="181">
        <f>SUM(S369:S381)</f>
        <v>0</v>
      </c>
      <c r="T383" s="181">
        <f>SUM(T369:T381)</f>
        <v>0</v>
      </c>
      <c r="U383" s="181">
        <f>SUM(U369:U381)</f>
        <v>0</v>
      </c>
      <c r="V383" s="181">
        <f>SUM(V369:V381)</f>
        <v>0</v>
      </c>
      <c r="W383" s="181"/>
      <c r="X383" s="181">
        <f>SUM(X369:X381)</f>
        <v>40867.225359999997</v>
      </c>
      <c r="Y383" s="181">
        <f>SUM(Y369:Y381)</f>
        <v>1250977.0633899998</v>
      </c>
      <c r="Z383" s="181">
        <f>SUM(Z369:Z381)</f>
        <v>220337.59638999999</v>
      </c>
      <c r="AA383" s="181">
        <f>SUM(AA369:AA381)</f>
        <v>397175.66234000004</v>
      </c>
      <c r="AB383" s="181">
        <f>SUM(AB369:AB381)</f>
        <v>67891.747540000011</v>
      </c>
      <c r="AC383" s="181"/>
      <c r="AD383" s="181"/>
    </row>
    <row r="384" spans="1:30" x14ac:dyDescent="0.2">
      <c r="A384" s="180"/>
      <c r="D384" s="182" t="s">
        <v>40</v>
      </c>
      <c r="E384" s="182" t="s">
        <v>40</v>
      </c>
      <c r="F384" s="182" t="s">
        <v>40</v>
      </c>
      <c r="G384" s="182"/>
      <c r="H384" s="182" t="s">
        <v>40</v>
      </c>
      <c r="I384" s="182" t="s">
        <v>40</v>
      </c>
      <c r="J384" s="182" t="s">
        <v>40</v>
      </c>
      <c r="K384" s="182" t="s">
        <v>40</v>
      </c>
      <c r="L384" s="182" t="s">
        <v>40</v>
      </c>
      <c r="M384" s="182"/>
      <c r="N384" s="182" t="s">
        <v>40</v>
      </c>
      <c r="O384" s="182" t="s">
        <v>40</v>
      </c>
      <c r="P384" s="182" t="s">
        <v>40</v>
      </c>
      <c r="Q384" s="182"/>
      <c r="R384" s="182" t="s">
        <v>40</v>
      </c>
      <c r="S384" s="182" t="s">
        <v>40</v>
      </c>
      <c r="T384" s="182" t="s">
        <v>40</v>
      </c>
      <c r="U384" s="182" t="s">
        <v>40</v>
      </c>
      <c r="V384" s="182" t="s">
        <v>40</v>
      </c>
      <c r="W384" s="182"/>
      <c r="X384" s="182" t="s">
        <v>40</v>
      </c>
      <c r="Y384" s="182" t="s">
        <v>40</v>
      </c>
      <c r="Z384" s="182" t="s">
        <v>40</v>
      </c>
      <c r="AA384" s="182" t="s">
        <v>40</v>
      </c>
      <c r="AB384" s="182" t="s">
        <v>40</v>
      </c>
      <c r="AC384" s="182"/>
      <c r="AD384" s="182"/>
    </row>
    <row r="385" spans="1:30" x14ac:dyDescent="0.2">
      <c r="A385" s="180"/>
      <c r="D385" s="182"/>
      <c r="E385" s="182"/>
      <c r="F385" s="182"/>
      <c r="G385" s="182"/>
      <c r="H385" s="182"/>
      <c r="I385" s="182"/>
      <c r="J385" s="182"/>
      <c r="K385" s="182"/>
      <c r="L385" s="182"/>
      <c r="M385" s="182"/>
      <c r="N385" s="182"/>
      <c r="O385" s="182"/>
      <c r="P385" s="182"/>
      <c r="Q385" s="182"/>
      <c r="R385" s="182" t="s">
        <v>393</v>
      </c>
      <c r="S385" s="182"/>
      <c r="T385" s="182"/>
      <c r="U385" s="182"/>
      <c r="V385" s="182"/>
      <c r="W385" s="182"/>
      <c r="X385" s="182"/>
      <c r="Y385" s="182"/>
      <c r="Z385" s="182"/>
      <c r="AA385" s="182"/>
      <c r="AB385" s="182"/>
      <c r="AC385" s="182"/>
      <c r="AD385" s="182"/>
    </row>
    <row r="386" spans="1:30" x14ac:dyDescent="0.2">
      <c r="A386" s="180"/>
      <c r="D386" s="182"/>
      <c r="E386" s="182"/>
      <c r="F386" s="182"/>
      <c r="G386" s="182"/>
      <c r="H386" s="182"/>
      <c r="I386" s="182"/>
      <c r="J386" s="182"/>
      <c r="K386" s="182"/>
      <c r="L386" s="182"/>
      <c r="M386" s="182"/>
      <c r="N386" s="182"/>
      <c r="O386" s="182"/>
      <c r="P386" s="182"/>
      <c r="Q386" s="182"/>
      <c r="R386" s="182" t="s">
        <v>394</v>
      </c>
      <c r="S386" s="182"/>
      <c r="T386" s="182"/>
      <c r="U386" s="182"/>
      <c r="V386" s="182"/>
      <c r="W386" s="182"/>
      <c r="X386" s="182"/>
      <c r="Y386" s="182"/>
      <c r="Z386" s="182"/>
      <c r="AA386" s="182"/>
      <c r="AB386" s="182"/>
      <c r="AC386" s="182"/>
      <c r="AD386" s="182"/>
    </row>
    <row r="387" spans="1:30" x14ac:dyDescent="0.2">
      <c r="A387" s="180"/>
      <c r="D387" s="182"/>
      <c r="E387" s="182"/>
      <c r="F387" s="182"/>
      <c r="G387" s="182"/>
      <c r="H387" s="182"/>
      <c r="I387" s="182"/>
      <c r="J387" s="182"/>
      <c r="K387" s="182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2"/>
      <c r="Z387" s="182"/>
      <c r="AA387" s="182"/>
      <c r="AB387" s="182"/>
      <c r="AC387" s="182"/>
      <c r="AD387" s="182"/>
    </row>
    <row r="388" spans="1:30" x14ac:dyDescent="0.2">
      <c r="A388" s="180"/>
      <c r="D388" s="182"/>
      <c r="E388" s="182"/>
      <c r="F388" s="182"/>
      <c r="G388" s="182"/>
      <c r="H388" s="182"/>
      <c r="I388" s="182"/>
      <c r="J388" s="182"/>
      <c r="K388" s="182"/>
      <c r="L388" s="182"/>
      <c r="M388" s="182"/>
      <c r="N388" s="182"/>
      <c r="O388" s="182"/>
      <c r="P388" s="182"/>
      <c r="Q388" s="182"/>
      <c r="R388" s="182"/>
      <c r="S388" s="182"/>
      <c r="T388" s="182"/>
      <c r="U388" s="182"/>
      <c r="V388" s="182"/>
      <c r="W388" s="182"/>
      <c r="X388" s="182"/>
      <c r="Y388" s="182"/>
      <c r="Z388" s="182"/>
      <c r="AA388" s="182"/>
      <c r="AB388" s="182"/>
      <c r="AC388" s="182"/>
      <c r="AD388" s="182"/>
    </row>
    <row r="389" spans="1:30" x14ac:dyDescent="0.2">
      <c r="A389" s="180"/>
      <c r="D389" s="182"/>
      <c r="E389" s="182"/>
      <c r="F389" s="182"/>
      <c r="G389" s="182"/>
      <c r="H389" s="182"/>
      <c r="I389" s="182"/>
      <c r="J389" s="182"/>
      <c r="K389" s="182"/>
      <c r="L389" s="182"/>
      <c r="M389" s="182"/>
      <c r="N389" s="182"/>
      <c r="O389" s="182"/>
      <c r="P389" s="182"/>
      <c r="Q389" s="182"/>
      <c r="R389" s="182"/>
      <c r="S389" s="182"/>
      <c r="T389" s="182"/>
      <c r="U389" s="182"/>
      <c r="V389" s="182"/>
      <c r="W389" s="182"/>
      <c r="X389" s="182"/>
      <c r="Y389" s="182"/>
      <c r="Z389" s="182"/>
      <c r="AA389" s="182"/>
      <c r="AB389" s="182"/>
      <c r="AC389" s="182"/>
      <c r="AD389" s="182"/>
    </row>
    <row r="390" spans="1:30" x14ac:dyDescent="0.2">
      <c r="A390" s="180"/>
      <c r="B390" s="166" t="s">
        <v>370</v>
      </c>
      <c r="C390" s="166" t="s">
        <v>35</v>
      </c>
      <c r="D390" s="196">
        <f>308970313/1000</f>
        <v>308970.31300000002</v>
      </c>
      <c r="E390" s="182"/>
      <c r="F390" s="182"/>
      <c r="G390" s="182"/>
      <c r="H390" s="196">
        <f>308970313/1000</f>
        <v>308970.31300000002</v>
      </c>
      <c r="I390" s="182"/>
      <c r="J390" s="182"/>
      <c r="K390" s="182"/>
      <c r="L390" s="182"/>
      <c r="M390" s="182"/>
      <c r="N390" s="182"/>
      <c r="O390" s="182"/>
      <c r="P390" s="182"/>
      <c r="Q390" s="182"/>
      <c r="R390" s="196">
        <v>0</v>
      </c>
      <c r="S390" s="196"/>
      <c r="T390" s="196"/>
      <c r="U390" s="196"/>
      <c r="V390" s="196"/>
      <c r="W390" s="196"/>
      <c r="X390" s="196"/>
      <c r="Y390" s="196">
        <f>+H390+R390</f>
        <v>308970.31300000002</v>
      </c>
      <c r="Z390" s="196">
        <f>+D390-Y390</f>
        <v>0</v>
      </c>
      <c r="AA390" s="182"/>
      <c r="AB390" s="182"/>
      <c r="AC390" s="182"/>
      <c r="AD390" s="182"/>
    </row>
    <row r="391" spans="1:30" x14ac:dyDescent="0.2">
      <c r="A391" s="180"/>
      <c r="B391" s="165" t="s">
        <v>372</v>
      </c>
      <c r="C391" s="166" t="s">
        <v>456</v>
      </c>
      <c r="D391" s="196">
        <f>320000000/1000</f>
        <v>320000</v>
      </c>
      <c r="E391" s="182"/>
      <c r="F391" s="182"/>
      <c r="G391" s="182"/>
      <c r="H391" s="196">
        <f>(50196171.04+32932099.1)/1000</f>
        <v>83128.270140000008</v>
      </c>
      <c r="I391" s="182"/>
      <c r="J391" s="182"/>
      <c r="K391" s="182"/>
      <c r="L391" s="182"/>
      <c r="M391" s="182"/>
      <c r="N391" s="182"/>
      <c r="O391" s="182"/>
      <c r="P391" s="182"/>
      <c r="Q391" s="182"/>
      <c r="R391" s="196">
        <v>0</v>
      </c>
      <c r="S391" s="196"/>
      <c r="T391" s="196"/>
      <c r="U391" s="196"/>
      <c r="V391" s="196"/>
      <c r="W391" s="196"/>
      <c r="X391" s="196"/>
      <c r="Y391" s="196">
        <f>+H391+R391</f>
        <v>83128.270140000008</v>
      </c>
      <c r="Z391" s="196">
        <f>+D391-Y391</f>
        <v>236871.72985999999</v>
      </c>
      <c r="AA391" s="182"/>
      <c r="AB391" s="182"/>
      <c r="AC391" s="182"/>
      <c r="AD391" s="182"/>
    </row>
    <row r="392" spans="1:30" x14ac:dyDescent="0.2">
      <c r="A392" s="180"/>
      <c r="C392" s="166" t="s">
        <v>450</v>
      </c>
      <c r="D392" s="196">
        <f>12000000/1000</f>
        <v>12000</v>
      </c>
      <c r="E392" s="182"/>
      <c r="F392" s="182"/>
      <c r="G392" s="182"/>
      <c r="H392" s="196">
        <f>12000000/1000</f>
        <v>12000</v>
      </c>
      <c r="I392" s="182"/>
      <c r="J392" s="182"/>
      <c r="K392" s="182"/>
      <c r="L392" s="182"/>
      <c r="M392" s="182"/>
      <c r="N392" s="182"/>
      <c r="O392" s="182"/>
      <c r="P392" s="182"/>
      <c r="Q392" s="182"/>
      <c r="R392" s="196">
        <v>0</v>
      </c>
      <c r="S392" s="196"/>
      <c r="T392" s="196"/>
      <c r="U392" s="196"/>
      <c r="V392" s="196"/>
      <c r="W392" s="196"/>
      <c r="X392" s="196"/>
      <c r="Y392" s="196">
        <f>+H392+R392</f>
        <v>12000</v>
      </c>
      <c r="Z392" s="196">
        <f>+D392-Y392</f>
        <v>0</v>
      </c>
      <c r="AA392" s="182"/>
      <c r="AB392" s="182"/>
      <c r="AC392" s="182"/>
      <c r="AD392" s="182"/>
    </row>
    <row r="393" spans="1:30" x14ac:dyDescent="0.2">
      <c r="A393" s="180"/>
      <c r="C393" s="166" t="s">
        <v>437</v>
      </c>
      <c r="D393" s="196">
        <f>12000000/1000</f>
        <v>12000</v>
      </c>
      <c r="E393" s="182"/>
      <c r="F393" s="182"/>
      <c r="G393" s="182"/>
      <c r="H393" s="196">
        <f>12000000/1000</f>
        <v>12000</v>
      </c>
      <c r="I393" s="182"/>
      <c r="J393" s="182"/>
      <c r="K393" s="182"/>
      <c r="L393" s="182"/>
      <c r="M393" s="182"/>
      <c r="N393" s="182"/>
      <c r="O393" s="182"/>
      <c r="P393" s="182"/>
      <c r="Q393" s="182"/>
      <c r="R393" s="196">
        <v>0</v>
      </c>
      <c r="S393" s="196"/>
      <c r="T393" s="196"/>
      <c r="U393" s="196"/>
      <c r="V393" s="196"/>
      <c r="W393" s="196"/>
      <c r="X393" s="196"/>
      <c r="Y393" s="196">
        <f>+H393+R393</f>
        <v>12000</v>
      </c>
      <c r="Z393" s="196">
        <f>+D393-Y393</f>
        <v>0</v>
      </c>
      <c r="AA393" s="182"/>
      <c r="AB393" s="182"/>
      <c r="AC393" s="182"/>
      <c r="AD393" s="182"/>
    </row>
    <row r="394" spans="1:30" x14ac:dyDescent="0.2">
      <c r="A394" s="180"/>
      <c r="D394" s="182" t="s">
        <v>40</v>
      </c>
      <c r="E394" s="182" t="s">
        <v>40</v>
      </c>
      <c r="F394" s="182" t="s">
        <v>40</v>
      </c>
      <c r="G394" s="182"/>
      <c r="H394" s="182" t="s">
        <v>40</v>
      </c>
      <c r="I394" s="182" t="s">
        <v>40</v>
      </c>
      <c r="J394" s="182" t="s">
        <v>40</v>
      </c>
      <c r="K394" s="182" t="s">
        <v>40</v>
      </c>
      <c r="L394" s="182" t="s">
        <v>40</v>
      </c>
      <c r="M394" s="182"/>
      <c r="N394" s="182" t="s">
        <v>40</v>
      </c>
      <c r="O394" s="182" t="s">
        <v>40</v>
      </c>
      <c r="P394" s="182" t="s">
        <v>40</v>
      </c>
      <c r="Q394" s="182"/>
      <c r="R394" s="182" t="s">
        <v>40</v>
      </c>
      <c r="S394" s="182" t="s">
        <v>40</v>
      </c>
      <c r="T394" s="182" t="s">
        <v>40</v>
      </c>
      <c r="U394" s="182" t="s">
        <v>40</v>
      </c>
      <c r="V394" s="182" t="s">
        <v>40</v>
      </c>
      <c r="W394" s="182"/>
      <c r="X394" s="182" t="s">
        <v>40</v>
      </c>
      <c r="Y394" s="182" t="s">
        <v>40</v>
      </c>
      <c r="Z394" s="182" t="s">
        <v>40</v>
      </c>
      <c r="AA394" s="182"/>
      <c r="AB394" s="182"/>
      <c r="AC394" s="182"/>
      <c r="AD394" s="182"/>
    </row>
    <row r="395" spans="1:30" x14ac:dyDescent="0.2">
      <c r="A395" s="180"/>
      <c r="D395" s="196">
        <f>SUM(D390:D393)</f>
        <v>652970.31300000008</v>
      </c>
      <c r="E395" s="196"/>
      <c r="F395" s="196"/>
      <c r="G395" s="196"/>
      <c r="H395" s="196">
        <f>SUM(H390:H393)</f>
        <v>416098.58314</v>
      </c>
      <c r="I395" s="196">
        <f t="shared" ref="I395:X395" si="63">+I390+I393</f>
        <v>0</v>
      </c>
      <c r="J395" s="196">
        <f t="shared" si="63"/>
        <v>0</v>
      </c>
      <c r="K395" s="196">
        <f t="shared" si="63"/>
        <v>0</v>
      </c>
      <c r="L395" s="196">
        <f t="shared" si="63"/>
        <v>0</v>
      </c>
      <c r="M395" s="196">
        <f t="shared" si="63"/>
        <v>0</v>
      </c>
      <c r="N395" s="196">
        <f t="shared" si="63"/>
        <v>0</v>
      </c>
      <c r="O395" s="196">
        <f t="shared" si="63"/>
        <v>0</v>
      </c>
      <c r="P395" s="196">
        <f t="shared" si="63"/>
        <v>0</v>
      </c>
      <c r="Q395" s="196">
        <f t="shared" si="63"/>
        <v>0</v>
      </c>
      <c r="R395" s="196">
        <f>SUM(R390:R393)</f>
        <v>0</v>
      </c>
      <c r="S395" s="196">
        <f t="shared" si="63"/>
        <v>0</v>
      </c>
      <c r="T395" s="196">
        <f t="shared" si="63"/>
        <v>0</v>
      </c>
      <c r="U395" s="196">
        <f t="shared" si="63"/>
        <v>0</v>
      </c>
      <c r="V395" s="196">
        <f t="shared" si="63"/>
        <v>0</v>
      </c>
      <c r="W395" s="196">
        <f t="shared" si="63"/>
        <v>0</v>
      </c>
      <c r="X395" s="196">
        <f t="shared" si="63"/>
        <v>0</v>
      </c>
      <c r="Y395" s="196">
        <f>SUM(Y390:Y393)</f>
        <v>416098.58314</v>
      </c>
      <c r="Z395" s="196">
        <f>SUM(Z390:Z393)</f>
        <v>236871.72985999999</v>
      </c>
      <c r="AA395" s="182"/>
      <c r="AB395" s="182"/>
      <c r="AC395" s="182"/>
      <c r="AD395" s="182"/>
    </row>
    <row r="396" spans="1:30" x14ac:dyDescent="0.2">
      <c r="A396" s="180"/>
      <c r="D396" s="182" t="s">
        <v>40</v>
      </c>
      <c r="E396" s="182" t="s">
        <v>40</v>
      </c>
      <c r="F396" s="182" t="s">
        <v>40</v>
      </c>
      <c r="G396" s="182"/>
      <c r="H396" s="182" t="s">
        <v>40</v>
      </c>
      <c r="I396" s="182" t="s">
        <v>40</v>
      </c>
      <c r="J396" s="182" t="s">
        <v>40</v>
      </c>
      <c r="K396" s="182" t="s">
        <v>40</v>
      </c>
      <c r="L396" s="182" t="s">
        <v>40</v>
      </c>
      <c r="M396" s="182"/>
      <c r="N396" s="182" t="s">
        <v>40</v>
      </c>
      <c r="O396" s="182" t="s">
        <v>40</v>
      </c>
      <c r="P396" s="182" t="s">
        <v>40</v>
      </c>
      <c r="Q396" s="182"/>
      <c r="R396" s="182" t="s">
        <v>40</v>
      </c>
      <c r="S396" s="182" t="s">
        <v>40</v>
      </c>
      <c r="T396" s="182" t="s">
        <v>40</v>
      </c>
      <c r="U396" s="182" t="s">
        <v>40</v>
      </c>
      <c r="V396" s="182" t="s">
        <v>40</v>
      </c>
      <c r="W396" s="182"/>
      <c r="X396" s="182" t="s">
        <v>40</v>
      </c>
      <c r="Y396" s="182" t="s">
        <v>40</v>
      </c>
      <c r="Z396" s="182" t="s">
        <v>40</v>
      </c>
      <c r="AA396" s="182"/>
      <c r="AB396" s="182"/>
      <c r="AC396" s="182"/>
      <c r="AD396" s="182"/>
    </row>
    <row r="397" spans="1:30" x14ac:dyDescent="0.2">
      <c r="A397" s="180"/>
      <c r="D397" s="182"/>
      <c r="E397" s="182"/>
      <c r="F397" s="182"/>
      <c r="G397" s="182"/>
      <c r="H397" s="182"/>
      <c r="I397" s="182"/>
      <c r="J397" s="182"/>
      <c r="K397" s="182"/>
      <c r="L397" s="182"/>
      <c r="M397" s="182"/>
      <c r="N397" s="182"/>
      <c r="O397" s="182"/>
      <c r="P397" s="182"/>
      <c r="Q397" s="182"/>
      <c r="R397" s="182"/>
      <c r="S397" s="182"/>
      <c r="T397" s="182"/>
      <c r="U397" s="182"/>
      <c r="V397" s="182"/>
      <c r="W397" s="182"/>
      <c r="X397" s="182"/>
      <c r="Y397" s="182"/>
      <c r="Z397" s="182"/>
      <c r="AA397" s="182"/>
      <c r="AB397" s="182"/>
      <c r="AC397" s="182"/>
      <c r="AD397" s="182"/>
    </row>
    <row r="398" spans="1:30" x14ac:dyDescent="0.2">
      <c r="A398" s="180"/>
      <c r="D398" s="182"/>
      <c r="E398" s="182"/>
      <c r="F398" s="182"/>
      <c r="G398" s="182"/>
      <c r="H398" s="182"/>
      <c r="I398" s="182"/>
      <c r="J398" s="182"/>
      <c r="K398" s="182"/>
      <c r="L398" s="182"/>
      <c r="M398" s="182"/>
      <c r="N398" s="182"/>
      <c r="O398" s="182"/>
      <c r="P398" s="182"/>
      <c r="Q398" s="182"/>
      <c r="R398" s="182"/>
      <c r="S398" s="182"/>
      <c r="T398" s="182"/>
      <c r="U398" s="182"/>
      <c r="V398" s="182"/>
      <c r="W398" s="182"/>
      <c r="X398" s="182"/>
      <c r="Y398" s="182"/>
      <c r="Z398" s="182"/>
      <c r="AA398" s="182"/>
      <c r="AB398" s="182"/>
      <c r="AC398" s="182"/>
      <c r="AD398" s="182"/>
    </row>
    <row r="399" spans="1:30" x14ac:dyDescent="0.2">
      <c r="A399" s="180">
        <v>27</v>
      </c>
      <c r="B399" s="166" t="s">
        <v>69</v>
      </c>
      <c r="C399" s="166" t="s">
        <v>35</v>
      </c>
      <c r="D399" s="181">
        <f>26635000/1000</f>
        <v>26635</v>
      </c>
      <c r="E399" s="181">
        <f>TOBEPAID!E294/1000</f>
        <v>0</v>
      </c>
      <c r="F399" s="181">
        <f>TOBEPAID!F294/1000</f>
        <v>0</v>
      </c>
      <c r="G399" s="181">
        <f>TOBEPAID!G294/1000</f>
        <v>0</v>
      </c>
      <c r="H399" s="181">
        <v>0</v>
      </c>
      <c r="I399" s="181">
        <f>TOBEPAID!I294/1000</f>
        <v>0</v>
      </c>
      <c r="J399" s="181">
        <f>TOBEPAID!J294/1000</f>
        <v>0</v>
      </c>
      <c r="K399" s="181">
        <f>TOBEPAID!K294/1000</f>
        <v>0</v>
      </c>
      <c r="L399" s="181">
        <f>TOBEPAID!L294/1000</f>
        <v>0</v>
      </c>
      <c r="M399" s="181">
        <f>TOBEPAID!M294/1000</f>
        <v>0</v>
      </c>
      <c r="N399" s="181">
        <f>TOBEPAID!N294/1000</f>
        <v>0</v>
      </c>
      <c r="O399" s="181">
        <f>TOBEPAID!O294/1000</f>
        <v>0</v>
      </c>
      <c r="P399" s="181">
        <f>TOBEPAID!P294/1000</f>
        <v>0</v>
      </c>
      <c r="Q399" s="181">
        <f>TOBEPAID!Q294/1000</f>
        <v>0</v>
      </c>
      <c r="R399" s="181">
        <v>0</v>
      </c>
      <c r="S399" s="181">
        <f>TOBEPAID!S294/1000</f>
        <v>0</v>
      </c>
      <c r="T399" s="181">
        <f>TOBEPAID!T294/1000</f>
        <v>0</v>
      </c>
      <c r="U399" s="181">
        <f>TOBEPAID!U294/1000</f>
        <v>0</v>
      </c>
      <c r="V399" s="181">
        <f>TOBEPAID!V294/1000</f>
        <v>0</v>
      </c>
      <c r="W399" s="181">
        <f>TOBEPAID!W294/1000</f>
        <v>0</v>
      </c>
      <c r="X399" s="181">
        <f>TOBEPAID!X294/1000</f>
        <v>0</v>
      </c>
      <c r="Y399" s="181">
        <f>+H399+R399</f>
        <v>0</v>
      </c>
      <c r="Z399" s="181">
        <f>+D399-Y399</f>
        <v>26635</v>
      </c>
      <c r="AA399" s="181">
        <f>TOBEPAID!AA294/1000</f>
        <v>0</v>
      </c>
      <c r="AB399" s="181">
        <f>TOBEPAID!AB294/1000</f>
        <v>26635</v>
      </c>
      <c r="AC399" s="181"/>
      <c r="AD399" s="181"/>
    </row>
    <row r="400" spans="1:30" x14ac:dyDescent="0.2">
      <c r="A400" s="180"/>
      <c r="C400" s="166" t="s">
        <v>37</v>
      </c>
      <c r="D400" s="181">
        <f>43698000/1000</f>
        <v>43698</v>
      </c>
      <c r="E400" s="181">
        <f>TOBEPAID!E295/1000</f>
        <v>0</v>
      </c>
      <c r="F400" s="181">
        <f>TOBEPAID!F295/1000</f>
        <v>0</v>
      </c>
      <c r="G400" s="181">
        <f>TOBEPAID!G295/1000</f>
        <v>0</v>
      </c>
      <c r="H400" s="181">
        <v>0</v>
      </c>
      <c r="I400" s="181">
        <f>TOBEPAID!I295/1000</f>
        <v>0</v>
      </c>
      <c r="J400" s="181">
        <f>TOBEPAID!J295/1000</f>
        <v>0</v>
      </c>
      <c r="K400" s="181">
        <f>TOBEPAID!K295/1000</f>
        <v>0</v>
      </c>
      <c r="L400" s="181">
        <f>TOBEPAID!L295/1000</f>
        <v>0</v>
      </c>
      <c r="M400" s="181">
        <f>TOBEPAID!M295/1000</f>
        <v>0</v>
      </c>
      <c r="N400" s="181">
        <f>TOBEPAID!N295/1000</f>
        <v>0</v>
      </c>
      <c r="O400" s="181">
        <f>TOBEPAID!O295/1000</f>
        <v>0</v>
      </c>
      <c r="P400" s="181">
        <f>TOBEPAID!P295/1000</f>
        <v>0</v>
      </c>
      <c r="Q400" s="181">
        <f>TOBEPAID!Q295/1000</f>
        <v>0</v>
      </c>
      <c r="R400" s="181">
        <v>0</v>
      </c>
      <c r="S400" s="181">
        <f>TOBEPAID!S295/1000</f>
        <v>0</v>
      </c>
      <c r="T400" s="181">
        <f>TOBEPAID!T295/1000</f>
        <v>0</v>
      </c>
      <c r="U400" s="181">
        <f>TOBEPAID!U295/1000</f>
        <v>0</v>
      </c>
      <c r="V400" s="181">
        <f>TOBEPAID!V295/1000</f>
        <v>0</v>
      </c>
      <c r="W400" s="181">
        <f>TOBEPAID!W295/1000</f>
        <v>0</v>
      </c>
      <c r="X400" s="181">
        <f>TOBEPAID!X295/1000</f>
        <v>0</v>
      </c>
      <c r="Y400" s="181">
        <f>+H400+R400</f>
        <v>0</v>
      </c>
      <c r="Z400" s="181">
        <f>+D400-Y400</f>
        <v>43698</v>
      </c>
      <c r="AA400" s="181">
        <f>TOBEPAID!AA295/1000</f>
        <v>0</v>
      </c>
      <c r="AB400" s="181">
        <f>TOBEPAID!AB295/1000</f>
        <v>43698</v>
      </c>
      <c r="AC400" s="181"/>
      <c r="AD400" s="181"/>
    </row>
    <row r="401" spans="1:30" x14ac:dyDescent="0.2">
      <c r="A401" s="180"/>
      <c r="C401" s="166" t="s">
        <v>38</v>
      </c>
      <c r="D401" s="181">
        <f>6594000/1000</f>
        <v>6594</v>
      </c>
      <c r="E401" s="181">
        <f>TOBEPAID!E296/1000</f>
        <v>0</v>
      </c>
      <c r="F401" s="181">
        <f>TOBEPAID!F296/1000</f>
        <v>0</v>
      </c>
      <c r="G401" s="181">
        <f>TOBEPAID!G296/1000</f>
        <v>0</v>
      </c>
      <c r="H401" s="181">
        <v>0</v>
      </c>
      <c r="I401" s="181">
        <f>TOBEPAID!I296/1000</f>
        <v>0</v>
      </c>
      <c r="J401" s="181">
        <f>TOBEPAID!J296/1000</f>
        <v>0</v>
      </c>
      <c r="K401" s="181">
        <f>TOBEPAID!K296/1000</f>
        <v>0</v>
      </c>
      <c r="L401" s="181">
        <f>TOBEPAID!L296/1000</f>
        <v>0</v>
      </c>
      <c r="M401" s="181">
        <f>TOBEPAID!M296/1000</f>
        <v>0</v>
      </c>
      <c r="N401" s="181">
        <f>TOBEPAID!N296/1000</f>
        <v>0</v>
      </c>
      <c r="O401" s="181">
        <f>TOBEPAID!O296/1000</f>
        <v>0</v>
      </c>
      <c r="P401" s="181">
        <f>TOBEPAID!P296/1000</f>
        <v>0</v>
      </c>
      <c r="Q401" s="181">
        <f>TOBEPAID!Q296/1000</f>
        <v>0</v>
      </c>
      <c r="R401" s="181">
        <v>0</v>
      </c>
      <c r="S401" s="181">
        <f>TOBEPAID!S296/1000</f>
        <v>0</v>
      </c>
      <c r="T401" s="181">
        <f>TOBEPAID!T296/1000</f>
        <v>0</v>
      </c>
      <c r="U401" s="181">
        <f>TOBEPAID!U296/1000</f>
        <v>0</v>
      </c>
      <c r="V401" s="181">
        <f>TOBEPAID!V296/1000</f>
        <v>0</v>
      </c>
      <c r="W401" s="181">
        <f>TOBEPAID!W296/1000</f>
        <v>0</v>
      </c>
      <c r="X401" s="181">
        <f>TOBEPAID!X296/1000</f>
        <v>0</v>
      </c>
      <c r="Y401" s="181">
        <f>+H401+R401</f>
        <v>0</v>
      </c>
      <c r="Z401" s="181">
        <f>+D401-Y401</f>
        <v>6594</v>
      </c>
      <c r="AA401" s="181">
        <f>TOBEPAID!AA296/1000</f>
        <v>0</v>
      </c>
      <c r="AB401" s="181">
        <f>TOBEPAID!AB296/1000</f>
        <v>6594</v>
      </c>
      <c r="AC401" s="181"/>
      <c r="AD401" s="181"/>
    </row>
    <row r="402" spans="1:30" x14ac:dyDescent="0.2">
      <c r="A402" s="180"/>
      <c r="C402" s="192" t="s">
        <v>39</v>
      </c>
      <c r="D402" s="181">
        <f>6302000/1000</f>
        <v>6302</v>
      </c>
      <c r="E402" s="181">
        <f>TOBEPAID!E297/1000</f>
        <v>0</v>
      </c>
      <c r="F402" s="181">
        <f>TOBEPAID!F297/1000</f>
        <v>0</v>
      </c>
      <c r="G402" s="181">
        <f>TOBEPAID!G297/1000</f>
        <v>0</v>
      </c>
      <c r="H402" s="181">
        <v>0</v>
      </c>
      <c r="I402" s="181">
        <f>TOBEPAID!I297/1000</f>
        <v>0</v>
      </c>
      <c r="J402" s="181">
        <f>TOBEPAID!J297/1000</f>
        <v>0</v>
      </c>
      <c r="K402" s="181">
        <f>TOBEPAID!K297/1000</f>
        <v>0</v>
      </c>
      <c r="L402" s="181">
        <f>TOBEPAID!L297/1000</f>
        <v>0</v>
      </c>
      <c r="M402" s="181">
        <f>TOBEPAID!M297/1000</f>
        <v>0</v>
      </c>
      <c r="N402" s="181">
        <f>TOBEPAID!N297/1000</f>
        <v>0</v>
      </c>
      <c r="O402" s="181">
        <f>TOBEPAID!O297/1000</f>
        <v>0</v>
      </c>
      <c r="P402" s="181">
        <f>TOBEPAID!P297/1000</f>
        <v>0</v>
      </c>
      <c r="Q402" s="181">
        <f>TOBEPAID!Q297/1000</f>
        <v>0</v>
      </c>
      <c r="R402" s="181">
        <v>0</v>
      </c>
      <c r="S402" s="181">
        <f>TOBEPAID!S297/1000</f>
        <v>0</v>
      </c>
      <c r="T402" s="181">
        <f>TOBEPAID!T297/1000</f>
        <v>0</v>
      </c>
      <c r="U402" s="181">
        <f>TOBEPAID!U297/1000</f>
        <v>0</v>
      </c>
      <c r="V402" s="181">
        <f>TOBEPAID!V297/1000</f>
        <v>0</v>
      </c>
      <c r="W402" s="181">
        <f>TOBEPAID!W297/1000</f>
        <v>0</v>
      </c>
      <c r="X402" s="181">
        <f>TOBEPAID!X297/1000</f>
        <v>0</v>
      </c>
      <c r="Y402" s="181">
        <f>+H402+R402</f>
        <v>0</v>
      </c>
      <c r="Z402" s="181">
        <f>+D402-Y402</f>
        <v>6302</v>
      </c>
      <c r="AA402" s="181">
        <f>TOBEPAID!AA297/1000</f>
        <v>0</v>
      </c>
      <c r="AB402" s="181">
        <f>TOBEPAID!AB297/1000</f>
        <v>6302</v>
      </c>
      <c r="AC402" s="181"/>
      <c r="AD402" s="181"/>
    </row>
    <row r="403" spans="1:30" x14ac:dyDescent="0.2">
      <c r="A403" s="180"/>
      <c r="D403" s="182" t="s">
        <v>40</v>
      </c>
      <c r="E403" s="182" t="s">
        <v>40</v>
      </c>
      <c r="F403" s="182" t="s">
        <v>40</v>
      </c>
      <c r="G403" s="182"/>
      <c r="H403" s="182" t="s">
        <v>40</v>
      </c>
      <c r="I403" s="182" t="s">
        <v>40</v>
      </c>
      <c r="J403" s="182" t="s">
        <v>40</v>
      </c>
      <c r="K403" s="182" t="s">
        <v>40</v>
      </c>
      <c r="L403" s="182" t="s">
        <v>40</v>
      </c>
      <c r="M403" s="182"/>
      <c r="N403" s="182" t="s">
        <v>40</v>
      </c>
      <c r="O403" s="182" t="s">
        <v>40</v>
      </c>
      <c r="P403" s="182" t="s">
        <v>40</v>
      </c>
      <c r="Q403" s="182"/>
      <c r="R403" s="182" t="s">
        <v>40</v>
      </c>
      <c r="S403" s="182" t="s">
        <v>40</v>
      </c>
      <c r="T403" s="182" t="s">
        <v>40</v>
      </c>
      <c r="U403" s="182" t="s">
        <v>40</v>
      </c>
      <c r="V403" s="182" t="s">
        <v>40</v>
      </c>
      <c r="W403" s="182"/>
      <c r="X403" s="182" t="s">
        <v>40</v>
      </c>
      <c r="Y403" s="182" t="s">
        <v>40</v>
      </c>
      <c r="Z403" s="182" t="s">
        <v>40</v>
      </c>
      <c r="AA403" s="182" t="s">
        <v>40</v>
      </c>
      <c r="AB403" s="182" t="s">
        <v>40</v>
      </c>
      <c r="AC403" s="182"/>
      <c r="AD403" s="182"/>
    </row>
    <row r="404" spans="1:30" x14ac:dyDescent="0.2">
      <c r="A404" s="180"/>
      <c r="D404" s="181">
        <f t="shared" ref="D404:AB404" si="64">SUM(D399:D402)</f>
        <v>83229</v>
      </c>
      <c r="E404" s="181">
        <f t="shared" si="64"/>
        <v>0</v>
      </c>
      <c r="F404" s="181">
        <f t="shared" si="64"/>
        <v>0</v>
      </c>
      <c r="G404" s="181"/>
      <c r="H404" s="181">
        <f t="shared" si="64"/>
        <v>0</v>
      </c>
      <c r="I404" s="181">
        <f t="shared" si="64"/>
        <v>0</v>
      </c>
      <c r="J404" s="181">
        <f t="shared" si="64"/>
        <v>0</v>
      </c>
      <c r="K404" s="181">
        <f t="shared" si="64"/>
        <v>0</v>
      </c>
      <c r="L404" s="181">
        <f t="shared" si="64"/>
        <v>0</v>
      </c>
      <c r="M404" s="181"/>
      <c r="N404" s="181">
        <f t="shared" si="64"/>
        <v>0</v>
      </c>
      <c r="O404" s="181">
        <f t="shared" si="64"/>
        <v>0</v>
      </c>
      <c r="P404" s="181">
        <f t="shared" si="64"/>
        <v>0</v>
      </c>
      <c r="Q404" s="181"/>
      <c r="R404" s="181">
        <f t="shared" si="64"/>
        <v>0</v>
      </c>
      <c r="S404" s="181">
        <f t="shared" si="64"/>
        <v>0</v>
      </c>
      <c r="T404" s="181">
        <f t="shared" si="64"/>
        <v>0</v>
      </c>
      <c r="U404" s="181">
        <f t="shared" si="64"/>
        <v>0</v>
      </c>
      <c r="V404" s="181">
        <f t="shared" si="64"/>
        <v>0</v>
      </c>
      <c r="W404" s="181"/>
      <c r="X404" s="181">
        <f t="shared" si="64"/>
        <v>0</v>
      </c>
      <c r="Y404" s="181">
        <f t="shared" si="64"/>
        <v>0</v>
      </c>
      <c r="Z404" s="181">
        <f t="shared" si="64"/>
        <v>83229</v>
      </c>
      <c r="AA404" s="181">
        <f t="shared" si="64"/>
        <v>0</v>
      </c>
      <c r="AB404" s="181">
        <f t="shared" si="64"/>
        <v>83229</v>
      </c>
      <c r="AC404" s="181"/>
      <c r="AD404" s="181"/>
    </row>
    <row r="405" spans="1:30" x14ac:dyDescent="0.2">
      <c r="A405" s="180"/>
      <c r="D405" s="182" t="s">
        <v>40</v>
      </c>
      <c r="E405" s="182" t="s">
        <v>40</v>
      </c>
      <c r="F405" s="182" t="s">
        <v>40</v>
      </c>
      <c r="G405" s="182"/>
      <c r="H405" s="182" t="s">
        <v>40</v>
      </c>
      <c r="I405" s="182" t="s">
        <v>40</v>
      </c>
      <c r="J405" s="182" t="s">
        <v>40</v>
      </c>
      <c r="K405" s="182" t="s">
        <v>40</v>
      </c>
      <c r="L405" s="182" t="s">
        <v>40</v>
      </c>
      <c r="M405" s="182"/>
      <c r="N405" s="182" t="s">
        <v>40</v>
      </c>
      <c r="O405" s="182" t="s">
        <v>40</v>
      </c>
      <c r="P405" s="182" t="s">
        <v>40</v>
      </c>
      <c r="Q405" s="182"/>
      <c r="R405" s="182" t="s">
        <v>40</v>
      </c>
      <c r="S405" s="182" t="s">
        <v>40</v>
      </c>
      <c r="T405" s="182" t="s">
        <v>40</v>
      </c>
      <c r="U405" s="182" t="s">
        <v>40</v>
      </c>
      <c r="V405" s="182" t="s">
        <v>40</v>
      </c>
      <c r="W405" s="182"/>
      <c r="X405" s="182" t="s">
        <v>40</v>
      </c>
      <c r="Y405" s="182" t="s">
        <v>40</v>
      </c>
      <c r="Z405" s="182" t="s">
        <v>40</v>
      </c>
      <c r="AA405" s="182" t="s">
        <v>40</v>
      </c>
      <c r="AB405" s="182" t="s">
        <v>40</v>
      </c>
      <c r="AC405" s="182"/>
      <c r="AD405" s="182"/>
    </row>
    <row r="406" spans="1:30" x14ac:dyDescent="0.2">
      <c r="A406" s="180"/>
      <c r="D406" s="182"/>
      <c r="E406" s="182"/>
      <c r="F406" s="182"/>
      <c r="G406" s="182"/>
      <c r="H406" s="182"/>
      <c r="I406" s="182"/>
      <c r="J406" s="182"/>
      <c r="K406" s="182"/>
      <c r="L406" s="182"/>
      <c r="M406" s="182"/>
      <c r="N406" s="182"/>
      <c r="O406" s="182"/>
      <c r="P406" s="182"/>
      <c r="Q406" s="182"/>
      <c r="R406" s="182"/>
      <c r="S406" s="182"/>
      <c r="T406" s="182"/>
      <c r="U406" s="182"/>
      <c r="V406" s="182"/>
      <c r="W406" s="182"/>
      <c r="X406" s="182"/>
      <c r="Y406" s="182"/>
      <c r="Z406" s="182"/>
      <c r="AA406" s="182"/>
      <c r="AB406" s="182"/>
      <c r="AC406" s="182"/>
      <c r="AD406" s="182"/>
    </row>
    <row r="407" spans="1:30" x14ac:dyDescent="0.2">
      <c r="A407" s="180">
        <v>28</v>
      </c>
      <c r="B407" s="166" t="s">
        <v>70</v>
      </c>
      <c r="C407" s="166" t="s">
        <v>35</v>
      </c>
      <c r="D407" s="181">
        <f>25891490/1000</f>
        <v>25891.49</v>
      </c>
      <c r="E407" s="181">
        <f>TOBEPAID!E302/1000</f>
        <v>0</v>
      </c>
      <c r="F407" s="181">
        <f>TOBEPAID!F302/1000</f>
        <v>0</v>
      </c>
      <c r="G407" s="181">
        <f>TOBEPAID!G302/1000</f>
        <v>0</v>
      </c>
      <c r="H407" s="181">
        <f>21000000/1000</f>
        <v>21000</v>
      </c>
      <c r="I407" s="181">
        <f>TOBEPAID!I302/1000</f>
        <v>0</v>
      </c>
      <c r="J407" s="181">
        <f>TOBEPAID!J302/1000</f>
        <v>0</v>
      </c>
      <c r="K407" s="181">
        <f>TOBEPAID!K302/1000</f>
        <v>0</v>
      </c>
      <c r="L407" s="181">
        <f>TOBEPAID!L302/1000</f>
        <v>0</v>
      </c>
      <c r="M407" s="181">
        <f>TOBEPAID!M302/1000</f>
        <v>0</v>
      </c>
      <c r="N407" s="181">
        <f>TOBEPAID!N302/1000</f>
        <v>0</v>
      </c>
      <c r="O407" s="181">
        <f>TOBEPAID!O302/1000</f>
        <v>484.42798999999997</v>
      </c>
      <c r="P407" s="181">
        <f>TOBEPAID!P302/1000</f>
        <v>0</v>
      </c>
      <c r="Q407" s="181">
        <f>TOBEPAID!Q302/1000</f>
        <v>0</v>
      </c>
      <c r="R407" s="181">
        <f>4891490/1000</f>
        <v>4891.49</v>
      </c>
      <c r="S407" s="181">
        <f>TOBEPAID!S302/1000</f>
        <v>0</v>
      </c>
      <c r="T407" s="181">
        <f>TOBEPAID!T302/1000</f>
        <v>0</v>
      </c>
      <c r="U407" s="181">
        <f>TOBEPAID!U302/1000</f>
        <v>0</v>
      </c>
      <c r="V407" s="181">
        <f>TOBEPAID!V302/1000</f>
        <v>0</v>
      </c>
      <c r="W407" s="181">
        <f>TOBEPAID!W302/1000</f>
        <v>0</v>
      </c>
      <c r="X407" s="181">
        <f>TOBEPAID!X302/1000</f>
        <v>484.42798999999997</v>
      </c>
      <c r="Y407" s="181">
        <f>+H407+R407</f>
        <v>25891.489999999998</v>
      </c>
      <c r="Z407" s="181">
        <f t="shared" ref="Z407:Z415" si="65">+D407-Y407</f>
        <v>0</v>
      </c>
      <c r="AA407" s="181">
        <f>TOBEPAID!AA302/1000</f>
        <v>484.42798999999997</v>
      </c>
      <c r="AB407" s="181">
        <f>TOBEPAID!AB302/1000</f>
        <v>972.35546999999997</v>
      </c>
      <c r="AC407" s="181" t="s">
        <v>321</v>
      </c>
      <c r="AD407" s="181"/>
    </row>
    <row r="408" spans="1:30" x14ac:dyDescent="0.2">
      <c r="A408" s="180"/>
      <c r="B408" s="166"/>
      <c r="C408" s="166" t="s">
        <v>457</v>
      </c>
      <c r="D408" s="181">
        <f>130000000/1000</f>
        <v>130000</v>
      </c>
      <c r="E408" s="181"/>
      <c r="F408" s="181"/>
      <c r="G408" s="181"/>
      <c r="H408" s="181">
        <f>84683545.74/1000</f>
        <v>84683.545740000001</v>
      </c>
      <c r="I408" s="181"/>
      <c r="J408" s="181"/>
      <c r="K408" s="181"/>
      <c r="L408" s="181"/>
      <c r="M408" s="181"/>
      <c r="N408" s="181"/>
      <c r="O408" s="181"/>
      <c r="P408" s="181"/>
      <c r="Q408" s="181"/>
      <c r="R408" s="181">
        <v>0</v>
      </c>
      <c r="S408" s="181"/>
      <c r="T408" s="181"/>
      <c r="U408" s="181"/>
      <c r="V408" s="181"/>
      <c r="W408" s="181"/>
      <c r="X408" s="181"/>
      <c r="Y408" s="181">
        <f t="shared" ref="Y408:Y415" si="66">+H408+R408</f>
        <v>84683.545740000001</v>
      </c>
      <c r="Z408" s="181">
        <f t="shared" si="65"/>
        <v>45316.454259999999</v>
      </c>
      <c r="AA408" s="181"/>
      <c r="AB408" s="181"/>
      <c r="AC408" s="181"/>
      <c r="AD408" s="181"/>
    </row>
    <row r="409" spans="1:30" x14ac:dyDescent="0.2">
      <c r="A409" s="180"/>
      <c r="C409" s="168" t="s">
        <v>36</v>
      </c>
      <c r="D409" s="181">
        <f>6312175/1000</f>
        <v>6312.1750000000002</v>
      </c>
      <c r="E409" s="181">
        <f>TOBEPAID!E303/1000</f>
        <v>6312.1754199999996</v>
      </c>
      <c r="F409" s="181">
        <f>TOBEPAID!F303/1000</f>
        <v>0</v>
      </c>
      <c r="G409" s="181">
        <f>TOBEPAID!G303/1000</f>
        <v>0</v>
      </c>
      <c r="H409" s="181">
        <f>6312175/1000</f>
        <v>6312.1750000000002</v>
      </c>
      <c r="I409" s="181">
        <f>TOBEPAID!I303/1000</f>
        <v>0</v>
      </c>
      <c r="J409" s="181">
        <f>TOBEPAID!J303/1000</f>
        <v>0</v>
      </c>
      <c r="K409" s="181">
        <f>TOBEPAID!K303/1000</f>
        <v>0</v>
      </c>
      <c r="L409" s="181">
        <f>TOBEPAID!L303/1000</f>
        <v>0</v>
      </c>
      <c r="M409" s="181">
        <f>TOBEPAID!M303/1000</f>
        <v>0</v>
      </c>
      <c r="N409" s="181">
        <f>TOBEPAID!N303/1000</f>
        <v>6312.1754199999996</v>
      </c>
      <c r="O409" s="181">
        <f>TOBEPAID!O303/1000</f>
        <v>0</v>
      </c>
      <c r="P409" s="181">
        <f>TOBEPAID!P303/1000</f>
        <v>0</v>
      </c>
      <c r="Q409" s="181">
        <f>TOBEPAID!Q303/1000</f>
        <v>0</v>
      </c>
      <c r="R409" s="181">
        <v>0</v>
      </c>
      <c r="S409" s="181">
        <f>TOBEPAID!S303/1000</f>
        <v>0</v>
      </c>
      <c r="T409" s="181">
        <f>TOBEPAID!T303/1000</f>
        <v>0</v>
      </c>
      <c r="U409" s="181">
        <f>TOBEPAID!U303/1000</f>
        <v>0</v>
      </c>
      <c r="V409" s="181">
        <f>TOBEPAID!V303/1000</f>
        <v>0</v>
      </c>
      <c r="W409" s="181">
        <f>TOBEPAID!W303/1000</f>
        <v>0</v>
      </c>
      <c r="X409" s="181">
        <f>TOBEPAID!X303/1000</f>
        <v>0</v>
      </c>
      <c r="Y409" s="181">
        <f t="shared" si="66"/>
        <v>6312.1750000000002</v>
      </c>
      <c r="Z409" s="181">
        <f t="shared" si="65"/>
        <v>0</v>
      </c>
      <c r="AA409" s="181">
        <f>TOBEPAID!AA303/1000</f>
        <v>6312.1754199999996</v>
      </c>
      <c r="AB409" s="181">
        <f>TOBEPAID!AB303/1000</f>
        <v>0</v>
      </c>
      <c r="AC409" s="181"/>
      <c r="AD409" s="181"/>
    </row>
    <row r="410" spans="1:30" x14ac:dyDescent="0.2">
      <c r="A410" s="180"/>
      <c r="C410" s="168" t="s">
        <v>44</v>
      </c>
      <c r="D410" s="181">
        <f>17130000/1000</f>
        <v>17130</v>
      </c>
      <c r="E410" s="181">
        <f>TOBEPAID!E304/1000</f>
        <v>17130</v>
      </c>
      <c r="F410" s="181">
        <f>TOBEPAID!F304/1000</f>
        <v>0</v>
      </c>
      <c r="G410" s="181">
        <f>TOBEPAID!G304/1000</f>
        <v>0</v>
      </c>
      <c r="H410" s="181">
        <f>17130000/1000</f>
        <v>17130</v>
      </c>
      <c r="I410" s="181">
        <f>TOBEPAID!I304/1000</f>
        <v>0</v>
      </c>
      <c r="J410" s="181">
        <f>TOBEPAID!J304/1000</f>
        <v>0</v>
      </c>
      <c r="K410" s="181">
        <f>TOBEPAID!K304/1000</f>
        <v>0</v>
      </c>
      <c r="L410" s="181">
        <f>TOBEPAID!L304/1000</f>
        <v>0</v>
      </c>
      <c r="M410" s="181">
        <f>TOBEPAID!M304/1000</f>
        <v>0</v>
      </c>
      <c r="N410" s="181">
        <f>TOBEPAID!N304/1000</f>
        <v>17130</v>
      </c>
      <c r="O410" s="181">
        <f>TOBEPAID!O304/1000</f>
        <v>0</v>
      </c>
      <c r="P410" s="181">
        <f>TOBEPAID!P304/1000</f>
        <v>0</v>
      </c>
      <c r="Q410" s="181">
        <f>TOBEPAID!Q304/1000</f>
        <v>0</v>
      </c>
      <c r="R410" s="181">
        <v>0</v>
      </c>
      <c r="S410" s="181">
        <f>TOBEPAID!S304/1000</f>
        <v>0</v>
      </c>
      <c r="T410" s="181">
        <f>TOBEPAID!T304/1000</f>
        <v>0</v>
      </c>
      <c r="U410" s="181">
        <f>TOBEPAID!U304/1000</f>
        <v>0</v>
      </c>
      <c r="V410" s="181">
        <f>TOBEPAID!V304/1000</f>
        <v>0</v>
      </c>
      <c r="W410" s="181">
        <f>TOBEPAID!W304/1000</f>
        <v>0</v>
      </c>
      <c r="X410" s="181">
        <f>TOBEPAID!X304/1000</f>
        <v>0</v>
      </c>
      <c r="Y410" s="181">
        <f t="shared" si="66"/>
        <v>17130</v>
      </c>
      <c r="Z410" s="181">
        <f t="shared" si="65"/>
        <v>0</v>
      </c>
      <c r="AA410" s="181">
        <f>TOBEPAID!AA304/1000</f>
        <v>17130</v>
      </c>
      <c r="AB410" s="181">
        <f>TOBEPAID!AB304/1000</f>
        <v>0</v>
      </c>
      <c r="AC410" s="181"/>
      <c r="AD410" s="181"/>
    </row>
    <row r="411" spans="1:30" x14ac:dyDescent="0.2">
      <c r="A411" s="180"/>
      <c r="C411" s="166" t="s">
        <v>142</v>
      </c>
      <c r="D411" s="181">
        <f>1545852/1000</f>
        <v>1545.8520000000001</v>
      </c>
      <c r="E411" s="181">
        <f>TOBEPAID!E305/1000</f>
        <v>0</v>
      </c>
      <c r="F411" s="181">
        <f>TOBEPAID!F305/1000</f>
        <v>0</v>
      </c>
      <c r="G411" s="181">
        <f>TOBEPAID!G305/1000</f>
        <v>0</v>
      </c>
      <c r="H411" s="181">
        <v>0</v>
      </c>
      <c r="I411" s="181">
        <f>TOBEPAID!I305/1000</f>
        <v>0</v>
      </c>
      <c r="J411" s="181">
        <f>TOBEPAID!J305/1000</f>
        <v>0</v>
      </c>
      <c r="K411" s="181">
        <f>TOBEPAID!K305/1000</f>
        <v>0</v>
      </c>
      <c r="L411" s="181">
        <f>TOBEPAID!L305/1000</f>
        <v>0</v>
      </c>
      <c r="M411" s="181">
        <f>TOBEPAID!M305/1000</f>
        <v>0</v>
      </c>
      <c r="N411" s="181">
        <f>TOBEPAID!N305/1000</f>
        <v>0</v>
      </c>
      <c r="O411" s="181">
        <f>TOBEPAID!O305/1000</f>
        <v>1545.8522800000003</v>
      </c>
      <c r="P411" s="181">
        <f>TOBEPAID!P305/1000</f>
        <v>0</v>
      </c>
      <c r="Q411" s="181">
        <f>TOBEPAID!Q305/1000</f>
        <v>0</v>
      </c>
      <c r="R411" s="181">
        <f>1545852/1000</f>
        <v>1545.8520000000001</v>
      </c>
      <c r="S411" s="181">
        <f>TOBEPAID!S305/1000</f>
        <v>0</v>
      </c>
      <c r="T411" s="181">
        <f>TOBEPAID!T305/1000</f>
        <v>0</v>
      </c>
      <c r="U411" s="181">
        <f>TOBEPAID!U305/1000</f>
        <v>0</v>
      </c>
      <c r="V411" s="181">
        <f>TOBEPAID!V305/1000</f>
        <v>0</v>
      </c>
      <c r="W411" s="181">
        <f>TOBEPAID!W305/1000</f>
        <v>0</v>
      </c>
      <c r="X411" s="181">
        <f>TOBEPAID!X305/1000</f>
        <v>1545.8522800000003</v>
      </c>
      <c r="Y411" s="181">
        <f t="shared" si="66"/>
        <v>1545.8520000000001</v>
      </c>
      <c r="Z411" s="181">
        <f t="shared" si="65"/>
        <v>0</v>
      </c>
      <c r="AA411" s="181">
        <f>TOBEPAID!AA305/1000</f>
        <v>1545.8522800000003</v>
      </c>
      <c r="AB411" s="181">
        <f>TOBEPAID!AB305/1000</f>
        <v>0</v>
      </c>
      <c r="AC411" s="181"/>
      <c r="AD411" s="181"/>
    </row>
    <row r="412" spans="1:30" x14ac:dyDescent="0.2">
      <c r="A412" s="180"/>
      <c r="C412" s="166" t="s">
        <v>374</v>
      </c>
      <c r="D412" s="181">
        <f>12000000/1000</f>
        <v>12000</v>
      </c>
      <c r="E412" s="181"/>
      <c r="F412" s="181"/>
      <c r="G412" s="181"/>
      <c r="H412" s="181">
        <f>12000000/1000</f>
        <v>12000</v>
      </c>
      <c r="I412" s="181"/>
      <c r="J412" s="181"/>
      <c r="K412" s="181"/>
      <c r="L412" s="181"/>
      <c r="M412" s="181"/>
      <c r="N412" s="181"/>
      <c r="O412" s="181"/>
      <c r="P412" s="181"/>
      <c r="Q412" s="181"/>
      <c r="R412" s="181">
        <v>0</v>
      </c>
      <c r="S412" s="181"/>
      <c r="T412" s="181"/>
      <c r="U412" s="181"/>
      <c r="V412" s="181"/>
      <c r="W412" s="181"/>
      <c r="X412" s="181"/>
      <c r="Y412" s="181">
        <f t="shared" si="66"/>
        <v>12000</v>
      </c>
      <c r="Z412" s="181">
        <f t="shared" si="65"/>
        <v>0</v>
      </c>
      <c r="AA412" s="181"/>
      <c r="AB412" s="181"/>
      <c r="AC412" s="181"/>
      <c r="AD412" s="181"/>
    </row>
    <row r="413" spans="1:30" x14ac:dyDescent="0.2">
      <c r="A413" s="180"/>
      <c r="C413" s="166" t="s">
        <v>38</v>
      </c>
      <c r="D413" s="181">
        <v>0</v>
      </c>
      <c r="E413" s="181">
        <f>TOBEPAID!E306/1000</f>
        <v>0</v>
      </c>
      <c r="F413" s="181">
        <f>TOBEPAID!F306/1000</f>
        <v>0</v>
      </c>
      <c r="G413" s="181">
        <f>TOBEPAID!G306/1000</f>
        <v>0</v>
      </c>
      <c r="H413" s="181">
        <v>0</v>
      </c>
      <c r="I413" s="181">
        <f>TOBEPAID!I306/1000</f>
        <v>0</v>
      </c>
      <c r="J413" s="181">
        <f>TOBEPAID!J306/1000</f>
        <v>0</v>
      </c>
      <c r="K413" s="181">
        <f>TOBEPAID!K306/1000</f>
        <v>0</v>
      </c>
      <c r="L413" s="181">
        <f>TOBEPAID!L306/1000</f>
        <v>0</v>
      </c>
      <c r="M413" s="181">
        <f>TOBEPAID!M306/1000</f>
        <v>0</v>
      </c>
      <c r="N413" s="181">
        <f>TOBEPAID!N306/1000</f>
        <v>0</v>
      </c>
      <c r="O413" s="181">
        <f>TOBEPAID!O306/1000</f>
        <v>0</v>
      </c>
      <c r="P413" s="181">
        <f>TOBEPAID!P306/1000</f>
        <v>0</v>
      </c>
      <c r="Q413" s="181">
        <f>TOBEPAID!Q306/1000</f>
        <v>0</v>
      </c>
      <c r="R413" s="181">
        <v>0</v>
      </c>
      <c r="S413" s="181">
        <f>TOBEPAID!S306/1000</f>
        <v>0</v>
      </c>
      <c r="T413" s="181">
        <f>TOBEPAID!T306/1000</f>
        <v>0</v>
      </c>
      <c r="U413" s="181">
        <f>TOBEPAID!U306/1000</f>
        <v>0</v>
      </c>
      <c r="V413" s="181">
        <f>TOBEPAID!V306/1000</f>
        <v>0</v>
      </c>
      <c r="W413" s="181">
        <f>TOBEPAID!W306/1000</f>
        <v>0</v>
      </c>
      <c r="X413" s="181">
        <f>TOBEPAID!X306/1000</f>
        <v>0</v>
      </c>
      <c r="Y413" s="181">
        <f t="shared" si="66"/>
        <v>0</v>
      </c>
      <c r="Z413" s="181">
        <f t="shared" si="65"/>
        <v>0</v>
      </c>
      <c r="AA413" s="181">
        <f>TOBEPAID!AA306/1000</f>
        <v>0</v>
      </c>
      <c r="AB413" s="181">
        <f>TOBEPAID!AB306/1000</f>
        <v>13773.2</v>
      </c>
      <c r="AC413" s="181"/>
      <c r="AD413" s="181"/>
    </row>
    <row r="414" spans="1:30" x14ac:dyDescent="0.2">
      <c r="A414" s="180"/>
      <c r="C414" s="192" t="s">
        <v>39</v>
      </c>
      <c r="D414" s="181">
        <v>0</v>
      </c>
      <c r="E414" s="181">
        <f>TOBEPAID!E307/1000</f>
        <v>0</v>
      </c>
      <c r="F414" s="181">
        <f>TOBEPAID!F307/1000</f>
        <v>0</v>
      </c>
      <c r="G414" s="181">
        <f>TOBEPAID!G307/1000</f>
        <v>0</v>
      </c>
      <c r="H414" s="181">
        <v>0</v>
      </c>
      <c r="I414" s="181">
        <f>TOBEPAID!I307/1000</f>
        <v>0</v>
      </c>
      <c r="J414" s="181">
        <f>TOBEPAID!J307/1000</f>
        <v>0</v>
      </c>
      <c r="K414" s="181">
        <f>TOBEPAID!K307/1000</f>
        <v>0</v>
      </c>
      <c r="L414" s="181">
        <f>TOBEPAID!L307/1000</f>
        <v>0</v>
      </c>
      <c r="M414" s="181">
        <f>TOBEPAID!M307/1000</f>
        <v>0</v>
      </c>
      <c r="N414" s="181">
        <f>TOBEPAID!N307/1000</f>
        <v>0</v>
      </c>
      <c r="O414" s="181">
        <f>TOBEPAID!O307/1000</f>
        <v>0</v>
      </c>
      <c r="P414" s="181">
        <f>TOBEPAID!P307/1000</f>
        <v>0</v>
      </c>
      <c r="Q414" s="181">
        <f>TOBEPAID!Q307/1000</f>
        <v>0</v>
      </c>
      <c r="R414" s="181">
        <v>0</v>
      </c>
      <c r="S414" s="181">
        <f>TOBEPAID!S307/1000</f>
        <v>0</v>
      </c>
      <c r="T414" s="181">
        <f>TOBEPAID!T307/1000</f>
        <v>0</v>
      </c>
      <c r="U414" s="181">
        <f>TOBEPAID!U307/1000</f>
        <v>0</v>
      </c>
      <c r="V414" s="181">
        <f>TOBEPAID!V307/1000</f>
        <v>0</v>
      </c>
      <c r="W414" s="181">
        <f>TOBEPAID!W307/1000</f>
        <v>0</v>
      </c>
      <c r="X414" s="181">
        <f>TOBEPAID!X307/1000</f>
        <v>0</v>
      </c>
      <c r="Y414" s="181">
        <f t="shared" si="66"/>
        <v>0</v>
      </c>
      <c r="Z414" s="181">
        <f t="shared" si="65"/>
        <v>0</v>
      </c>
      <c r="AA414" s="181">
        <f>TOBEPAID!AA307/1000</f>
        <v>0</v>
      </c>
      <c r="AB414" s="181">
        <f>TOBEPAID!AB307/1000</f>
        <v>3836.0554900000002</v>
      </c>
      <c r="AC414" s="181"/>
      <c r="AD414" s="181"/>
    </row>
    <row r="415" spans="1:30" ht="16.5" customHeight="1" x14ac:dyDescent="0.2">
      <c r="A415" s="180"/>
      <c r="C415" s="166" t="str">
        <f>+C91</f>
        <v>WB-RERP- STNG. AREA</v>
      </c>
      <c r="D415" s="181">
        <f>7039799/1000</f>
        <v>7039.799</v>
      </c>
      <c r="E415" s="181">
        <f>TOBEPAID!E308/1000</f>
        <v>5549.05519</v>
      </c>
      <c r="F415" s="181">
        <f>TOBEPAID!F308/1000</f>
        <v>0</v>
      </c>
      <c r="G415" s="181">
        <f>TOBEPAID!G308/1000</f>
        <v>0</v>
      </c>
      <c r="H415" s="181">
        <f>5549055.19/1000</f>
        <v>5549.05519</v>
      </c>
      <c r="I415" s="181">
        <f>TOBEPAID!I308/1000</f>
        <v>0</v>
      </c>
      <c r="J415" s="181">
        <f>TOBEPAID!J308/1000</f>
        <v>0</v>
      </c>
      <c r="K415" s="181">
        <f>TOBEPAID!K308/1000</f>
        <v>0</v>
      </c>
      <c r="L415" s="181">
        <f>TOBEPAID!L308/1000</f>
        <v>0</v>
      </c>
      <c r="M415" s="181">
        <f>TOBEPAID!M308/1000</f>
        <v>0</v>
      </c>
      <c r="N415" s="181">
        <f>TOBEPAID!N308/1000</f>
        <v>5549.05519</v>
      </c>
      <c r="O415" s="181">
        <f>TOBEPAID!O308/1000</f>
        <v>835.22230000000002</v>
      </c>
      <c r="P415" s="181">
        <f>TOBEPAID!P308/1000</f>
        <v>0</v>
      </c>
      <c r="Q415" s="181">
        <f>TOBEPAID!Q308/1000</f>
        <v>0</v>
      </c>
      <c r="R415" s="181">
        <f>835222/1000</f>
        <v>835.22199999999998</v>
      </c>
      <c r="S415" s="181">
        <f>TOBEPAID!S308/1000</f>
        <v>0</v>
      </c>
      <c r="T415" s="181">
        <f>TOBEPAID!T308/1000</f>
        <v>0</v>
      </c>
      <c r="U415" s="181">
        <f>TOBEPAID!U308/1000</f>
        <v>0</v>
      </c>
      <c r="V415" s="181">
        <f>TOBEPAID!V308/1000</f>
        <v>0</v>
      </c>
      <c r="W415" s="181">
        <f>TOBEPAID!W308/1000</f>
        <v>0</v>
      </c>
      <c r="X415" s="181">
        <f>TOBEPAID!X308/1000</f>
        <v>835.22230000000002</v>
      </c>
      <c r="Y415" s="181">
        <f t="shared" si="66"/>
        <v>6384.2771899999998</v>
      </c>
      <c r="Z415" s="181">
        <f t="shared" si="65"/>
        <v>655.52181000000019</v>
      </c>
      <c r="AA415" s="181">
        <f>TOBEPAID!AA308/1000</f>
        <v>6384.2774900000004</v>
      </c>
      <c r="AB415" s="181">
        <f>TOBEPAID!AB308/1000</f>
        <v>3115.7225099999996</v>
      </c>
      <c r="AC415" s="181"/>
      <c r="AD415" s="181"/>
    </row>
    <row r="416" spans="1:30" ht="16.5" customHeight="1" x14ac:dyDescent="0.2">
      <c r="A416" s="180"/>
      <c r="D416" s="182" t="s">
        <v>40</v>
      </c>
      <c r="E416" s="182" t="s">
        <v>40</v>
      </c>
      <c r="F416" s="182" t="s">
        <v>40</v>
      </c>
      <c r="G416" s="182"/>
      <c r="H416" s="182" t="s">
        <v>40</v>
      </c>
      <c r="I416" s="182" t="s">
        <v>40</v>
      </c>
      <c r="J416" s="182" t="s">
        <v>40</v>
      </c>
      <c r="K416" s="182" t="s">
        <v>40</v>
      </c>
      <c r="L416" s="182" t="s">
        <v>40</v>
      </c>
      <c r="M416" s="182"/>
      <c r="N416" s="182" t="s">
        <v>40</v>
      </c>
      <c r="O416" s="182" t="s">
        <v>40</v>
      </c>
      <c r="P416" s="182" t="s">
        <v>40</v>
      </c>
      <c r="Q416" s="182"/>
      <c r="R416" s="182" t="s">
        <v>40</v>
      </c>
      <c r="S416" s="182" t="s">
        <v>40</v>
      </c>
      <c r="T416" s="182" t="s">
        <v>40</v>
      </c>
      <c r="U416" s="182" t="s">
        <v>40</v>
      </c>
      <c r="V416" s="182" t="s">
        <v>40</v>
      </c>
      <c r="W416" s="182"/>
      <c r="X416" s="182" t="s">
        <v>40</v>
      </c>
      <c r="Y416" s="182" t="s">
        <v>40</v>
      </c>
      <c r="Z416" s="182" t="s">
        <v>40</v>
      </c>
      <c r="AA416" s="182" t="s">
        <v>40</v>
      </c>
      <c r="AB416" s="182" t="s">
        <v>40</v>
      </c>
      <c r="AC416" s="182"/>
      <c r="AD416" s="182"/>
    </row>
    <row r="417" spans="1:45" x14ac:dyDescent="0.2">
      <c r="A417" s="180"/>
      <c r="D417" s="181">
        <f>SUM(D407:D415)</f>
        <v>199919.31599999999</v>
      </c>
      <c r="E417" s="181">
        <f>SUM(E407:E415)</f>
        <v>28991.230609999999</v>
      </c>
      <c r="F417" s="181">
        <f>SUM(F407:F415)</f>
        <v>0</v>
      </c>
      <c r="G417" s="181"/>
      <c r="H417" s="181">
        <f>SUM(H407:H415)</f>
        <v>146674.77593000003</v>
      </c>
      <c r="I417" s="181">
        <f>SUM(I407:I415)</f>
        <v>0</v>
      </c>
      <c r="J417" s="181">
        <f>SUM(J407:J415)</f>
        <v>0</v>
      </c>
      <c r="K417" s="181">
        <f>SUM(K407:K415)</f>
        <v>0</v>
      </c>
      <c r="L417" s="181">
        <f>SUM(L407:L415)</f>
        <v>0</v>
      </c>
      <c r="M417" s="181"/>
      <c r="N417" s="181">
        <f>SUM(N407:N415)</f>
        <v>28991.230609999999</v>
      </c>
      <c r="O417" s="181">
        <f>SUM(O407:O415)</f>
        <v>2865.5025700000001</v>
      </c>
      <c r="P417" s="181">
        <f>SUM(P407:P415)</f>
        <v>0</v>
      </c>
      <c r="Q417" s="181"/>
      <c r="R417" s="181">
        <f>SUM(R407:R415)</f>
        <v>7272.5639999999994</v>
      </c>
      <c r="S417" s="181">
        <f>SUM(S407:S415)</f>
        <v>0</v>
      </c>
      <c r="T417" s="181">
        <f>SUM(T407:T415)</f>
        <v>0</v>
      </c>
      <c r="U417" s="181">
        <f>SUM(U407:U415)</f>
        <v>0</v>
      </c>
      <c r="V417" s="181">
        <f>SUM(V407:V415)</f>
        <v>0</v>
      </c>
      <c r="W417" s="181"/>
      <c r="X417" s="181">
        <f>SUM(X407:X415)</f>
        <v>2865.5025700000001</v>
      </c>
      <c r="Y417" s="181">
        <f>SUM(Y407:Y415)</f>
        <v>153947.33993000002</v>
      </c>
      <c r="Z417" s="181">
        <f>SUM(Z407:Z415)</f>
        <v>45971.976069999997</v>
      </c>
      <c r="AA417" s="181">
        <f>SUM(AA407:AA415)</f>
        <v>31856.733179999999</v>
      </c>
      <c r="AB417" s="181">
        <f>SUM(AB407:AB415)</f>
        <v>21697.333470000001</v>
      </c>
      <c r="AC417" s="181"/>
      <c r="AD417" s="181"/>
      <c r="AS417" s="186"/>
    </row>
    <row r="418" spans="1:45" ht="16.5" customHeight="1" x14ac:dyDescent="0.2">
      <c r="A418" s="180"/>
      <c r="B418" s="165" t="s">
        <v>70</v>
      </c>
      <c r="D418" s="182" t="s">
        <v>40</v>
      </c>
      <c r="E418" s="182" t="s">
        <v>40</v>
      </c>
      <c r="F418" s="182" t="s">
        <v>40</v>
      </c>
      <c r="G418" s="182"/>
      <c r="H418" s="182" t="s">
        <v>40</v>
      </c>
      <c r="I418" s="182" t="s">
        <v>40</v>
      </c>
      <c r="J418" s="182" t="s">
        <v>40</v>
      </c>
      <c r="K418" s="182" t="s">
        <v>40</v>
      </c>
      <c r="L418" s="182" t="s">
        <v>40</v>
      </c>
      <c r="M418" s="182"/>
      <c r="N418" s="182" t="s">
        <v>40</v>
      </c>
      <c r="O418" s="182" t="s">
        <v>40</v>
      </c>
      <c r="P418" s="182" t="s">
        <v>40</v>
      </c>
      <c r="Q418" s="182"/>
      <c r="R418" s="182" t="s">
        <v>40</v>
      </c>
      <c r="S418" s="182" t="s">
        <v>40</v>
      </c>
      <c r="T418" s="182" t="s">
        <v>40</v>
      </c>
      <c r="U418" s="182" t="s">
        <v>40</v>
      </c>
      <c r="V418" s="182" t="s">
        <v>40</v>
      </c>
      <c r="W418" s="182"/>
      <c r="X418" s="182" t="s">
        <v>40</v>
      </c>
      <c r="Y418" s="182" t="s">
        <v>40</v>
      </c>
      <c r="Z418" s="182" t="s">
        <v>40</v>
      </c>
      <c r="AA418" s="182" t="s">
        <v>40</v>
      </c>
      <c r="AB418" s="182" t="s">
        <v>40</v>
      </c>
      <c r="AC418" s="182"/>
      <c r="AD418" s="182"/>
      <c r="AF418" s="186"/>
      <c r="AG418" s="186"/>
      <c r="AH418" s="186"/>
      <c r="AI418" s="186"/>
      <c r="AJ418" s="186"/>
      <c r="AK418" s="186"/>
      <c r="AL418" s="186"/>
      <c r="AM418" s="186"/>
      <c r="AN418" s="186"/>
      <c r="AO418" s="186"/>
      <c r="AP418" s="186"/>
      <c r="AQ418" s="186"/>
      <c r="AR418" s="186"/>
    </row>
    <row r="419" spans="1:45" ht="15.75" thickBot="1" x14ac:dyDescent="0.25">
      <c r="A419" s="216"/>
      <c r="B419" s="183" t="s">
        <v>292</v>
      </c>
      <c r="C419" s="186"/>
      <c r="D419" s="184">
        <f>12248063.76/1000</f>
        <v>12248.063759999999</v>
      </c>
      <c r="E419" s="181">
        <f>TOBEPAID!E312/1000</f>
        <v>0</v>
      </c>
      <c r="F419" s="181">
        <f>TOBEPAID!F312/1000</f>
        <v>0</v>
      </c>
      <c r="G419" s="181">
        <f>TOBEPAID!G312/1000</f>
        <v>0</v>
      </c>
      <c r="H419" s="181"/>
      <c r="I419" s="181">
        <f>TOBEPAID!I312/1000</f>
        <v>0</v>
      </c>
      <c r="J419" s="181">
        <f>TOBEPAID!J312/1000</f>
        <v>0</v>
      </c>
      <c r="K419" s="181">
        <f>TOBEPAID!K312/1000</f>
        <v>0</v>
      </c>
      <c r="L419" s="181">
        <f>TOBEPAID!L312/1000</f>
        <v>0</v>
      </c>
      <c r="M419" s="181">
        <f>TOBEPAID!M312/1000</f>
        <v>0</v>
      </c>
      <c r="N419" s="181">
        <f>TOBEPAID!N312/1000</f>
        <v>0</v>
      </c>
      <c r="O419" s="181">
        <f>TOBEPAID!O312/1000</f>
        <v>11735.24517</v>
      </c>
      <c r="P419" s="181">
        <f>TOBEPAID!P312/1000</f>
        <v>0</v>
      </c>
      <c r="Q419" s="181">
        <f>TOBEPAID!Q312/1000</f>
        <v>0</v>
      </c>
      <c r="R419" s="184">
        <f>12248063/1000</f>
        <v>12248.063</v>
      </c>
      <c r="S419" s="181">
        <f>TOBEPAID!S312/1000</f>
        <v>0</v>
      </c>
      <c r="T419" s="181">
        <f>TOBEPAID!T312/1000</f>
        <v>0</v>
      </c>
      <c r="U419" s="181">
        <f>TOBEPAID!U312/1000</f>
        <v>0</v>
      </c>
      <c r="V419" s="181">
        <f>TOBEPAID!V312/1000</f>
        <v>0</v>
      </c>
      <c r="W419" s="181">
        <f>TOBEPAID!W312/1000</f>
        <v>0</v>
      </c>
      <c r="X419" s="181">
        <f>TOBEPAID!X312/1000</f>
        <v>0</v>
      </c>
      <c r="Y419" s="184">
        <f>+H419+R419</f>
        <v>12248.063</v>
      </c>
      <c r="Z419" s="184">
        <f>+D419-Y419</f>
        <v>7.5999999899067916E-4</v>
      </c>
      <c r="AA419" s="181">
        <f>TOBEPAID!AA312/1000</f>
        <v>0</v>
      </c>
      <c r="AB419" s="181">
        <f>TOBEPAID!AB312/1000</f>
        <v>0</v>
      </c>
      <c r="AC419" s="181"/>
      <c r="AD419" s="181"/>
      <c r="AE419" s="186"/>
    </row>
    <row r="420" spans="1:45" ht="27.75" customHeight="1" thickTop="1" thickBot="1" x14ac:dyDescent="0.25">
      <c r="A420" s="216"/>
      <c r="B420" s="183"/>
      <c r="C420" s="186"/>
      <c r="D420" s="205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205"/>
      <c r="S420" s="181"/>
      <c r="T420" s="181"/>
      <c r="U420" s="181"/>
      <c r="V420" s="181"/>
      <c r="W420" s="181"/>
      <c r="X420" s="181"/>
      <c r="Y420" s="249" t="s">
        <v>417</v>
      </c>
      <c r="Z420" s="249"/>
      <c r="AA420" s="181"/>
      <c r="AB420" s="181"/>
      <c r="AC420" s="181"/>
      <c r="AD420" s="181"/>
      <c r="AE420" s="186"/>
    </row>
    <row r="421" spans="1:45" ht="30" customHeight="1" thickTop="1" x14ac:dyDescent="0.2">
      <c r="A421" s="180">
        <v>29</v>
      </c>
      <c r="B421" s="166" t="s">
        <v>71</v>
      </c>
      <c r="C421" s="166" t="s">
        <v>35</v>
      </c>
      <c r="D421" s="181">
        <f>21059632/1000</f>
        <v>21059.632000000001</v>
      </c>
      <c r="E421" s="181">
        <f>TOBEPAID!E313/1000</f>
        <v>0</v>
      </c>
      <c r="F421" s="181">
        <f>TOBEPAID!F313/1000</f>
        <v>0</v>
      </c>
      <c r="G421" s="181">
        <f>TOBEPAID!G313/1000</f>
        <v>0</v>
      </c>
      <c r="H421" s="181">
        <v>0</v>
      </c>
      <c r="I421" s="181">
        <f>TOBEPAID!I313/1000</f>
        <v>0</v>
      </c>
      <c r="J421" s="181">
        <f>TOBEPAID!J313/1000</f>
        <v>0</v>
      </c>
      <c r="K421" s="181">
        <f>TOBEPAID!K313/1000</f>
        <v>0</v>
      </c>
      <c r="L421" s="181">
        <f>TOBEPAID!L313/1000</f>
        <v>0</v>
      </c>
      <c r="M421" s="181">
        <f>TOBEPAID!M313/1000</f>
        <v>0</v>
      </c>
      <c r="N421" s="181">
        <f>TOBEPAID!N313/1000</f>
        <v>0</v>
      </c>
      <c r="O421" s="181">
        <f>TOBEPAID!O313/1000</f>
        <v>103.52244</v>
      </c>
      <c r="P421" s="181">
        <f>TOBEPAID!P313/1000</f>
        <v>0</v>
      </c>
      <c r="Q421" s="181">
        <f>TOBEPAID!Q313/1000</f>
        <v>0</v>
      </c>
      <c r="R421" s="181">
        <f>379164.54/1000</f>
        <v>379.16453999999999</v>
      </c>
      <c r="S421" s="181">
        <f>TOBEPAID!S313/1000</f>
        <v>0</v>
      </c>
      <c r="T421" s="181">
        <f>TOBEPAID!T313/1000</f>
        <v>0</v>
      </c>
      <c r="U421" s="181">
        <f>TOBEPAID!U313/1000</f>
        <v>0</v>
      </c>
      <c r="V421" s="181">
        <f>TOBEPAID!V313/1000</f>
        <v>0</v>
      </c>
      <c r="W421" s="181">
        <f>TOBEPAID!W313/1000</f>
        <v>0</v>
      </c>
      <c r="X421" s="181">
        <f>TOBEPAID!X313/1000</f>
        <v>103.52244</v>
      </c>
      <c r="Y421" s="181">
        <f>+H421+R421</f>
        <v>379.16453999999999</v>
      </c>
      <c r="Z421" s="181">
        <f>+D421-Y421</f>
        <v>20680.46746</v>
      </c>
      <c r="AA421" s="181">
        <f>TOBEPAID!AA313/1000</f>
        <v>103.52244</v>
      </c>
      <c r="AB421" s="181">
        <f>TOBEPAID!AB313/1000</f>
        <v>20956.110369999999</v>
      </c>
      <c r="AC421" s="181"/>
      <c r="AD421" s="181"/>
    </row>
    <row r="422" spans="1:45" x14ac:dyDescent="0.2">
      <c r="A422" s="180"/>
      <c r="C422" s="168" t="s">
        <v>36</v>
      </c>
      <c r="D422" s="181">
        <f>14340450/1000</f>
        <v>14340.45</v>
      </c>
      <c r="E422" s="181">
        <f>TOBEPAID!E314/1000</f>
        <v>14340.45046</v>
      </c>
      <c r="F422" s="181">
        <f>TOBEPAID!F314/1000</f>
        <v>0</v>
      </c>
      <c r="G422" s="181">
        <f>TOBEPAID!G314/1000</f>
        <v>0</v>
      </c>
      <c r="H422" s="181">
        <f>14340450/1000</f>
        <v>14340.45</v>
      </c>
      <c r="I422" s="181">
        <f>TOBEPAID!I314/1000</f>
        <v>0</v>
      </c>
      <c r="J422" s="181">
        <f>TOBEPAID!J314/1000</f>
        <v>0</v>
      </c>
      <c r="K422" s="181">
        <f>TOBEPAID!K314/1000</f>
        <v>0</v>
      </c>
      <c r="L422" s="181">
        <f>TOBEPAID!L314/1000</f>
        <v>0</v>
      </c>
      <c r="M422" s="181">
        <f>TOBEPAID!M314/1000</f>
        <v>0</v>
      </c>
      <c r="N422" s="181">
        <f>TOBEPAID!N314/1000</f>
        <v>14340.45046</v>
      </c>
      <c r="O422" s="181">
        <f>TOBEPAID!O314/1000</f>
        <v>0</v>
      </c>
      <c r="P422" s="181">
        <f>TOBEPAID!P314/1000</f>
        <v>0</v>
      </c>
      <c r="Q422" s="181">
        <f>TOBEPAID!Q314/1000</f>
        <v>0</v>
      </c>
      <c r="R422" s="181">
        <v>0</v>
      </c>
      <c r="S422" s="181">
        <f>TOBEPAID!S314/1000</f>
        <v>0</v>
      </c>
      <c r="T422" s="181">
        <f>TOBEPAID!T314/1000</f>
        <v>0</v>
      </c>
      <c r="U422" s="181">
        <f>TOBEPAID!U314/1000</f>
        <v>0</v>
      </c>
      <c r="V422" s="181">
        <f>TOBEPAID!V314/1000</f>
        <v>0</v>
      </c>
      <c r="W422" s="181">
        <f>TOBEPAID!W314/1000</f>
        <v>0</v>
      </c>
      <c r="X422" s="181">
        <f>TOBEPAID!X314/1000</f>
        <v>0</v>
      </c>
      <c r="Y422" s="181">
        <f>+H422+R422</f>
        <v>14340.45</v>
      </c>
      <c r="Z422" s="181">
        <f>+D422-Y422</f>
        <v>0</v>
      </c>
      <c r="AA422" s="181">
        <f>TOBEPAID!AA314/1000</f>
        <v>14340.45046</v>
      </c>
      <c r="AB422" s="181">
        <f>TOBEPAID!AB314/1000</f>
        <v>0</v>
      </c>
      <c r="AC422" s="181"/>
      <c r="AD422" s="181"/>
    </row>
    <row r="423" spans="1:45" x14ac:dyDescent="0.2">
      <c r="A423" s="180"/>
      <c r="C423" s="168" t="s">
        <v>72</v>
      </c>
      <c r="D423" s="181">
        <f>8840000/1000</f>
        <v>8840</v>
      </c>
      <c r="E423" s="181">
        <f>TOBEPAID!E315/1000</f>
        <v>8840</v>
      </c>
      <c r="F423" s="181">
        <f>TOBEPAID!F315/1000</f>
        <v>0</v>
      </c>
      <c r="G423" s="181">
        <f>TOBEPAID!G315/1000</f>
        <v>0</v>
      </c>
      <c r="H423" s="181">
        <f>8840000/1000</f>
        <v>8840</v>
      </c>
      <c r="I423" s="181">
        <f>TOBEPAID!I315/1000</f>
        <v>0</v>
      </c>
      <c r="J423" s="181">
        <f>TOBEPAID!J315/1000</f>
        <v>0</v>
      </c>
      <c r="K423" s="181">
        <f>TOBEPAID!K315/1000</f>
        <v>0</v>
      </c>
      <c r="L423" s="181">
        <f>TOBEPAID!L315/1000</f>
        <v>0</v>
      </c>
      <c r="M423" s="181">
        <f>TOBEPAID!M315/1000</f>
        <v>0</v>
      </c>
      <c r="N423" s="181">
        <f>TOBEPAID!N315/1000</f>
        <v>8840</v>
      </c>
      <c r="O423" s="181">
        <f>TOBEPAID!O315/1000</f>
        <v>0</v>
      </c>
      <c r="P423" s="181">
        <f>TOBEPAID!P315/1000</f>
        <v>0</v>
      </c>
      <c r="Q423" s="181">
        <f>TOBEPAID!Q315/1000</f>
        <v>0</v>
      </c>
      <c r="R423" s="181">
        <v>0</v>
      </c>
      <c r="S423" s="181">
        <f>TOBEPAID!S315/1000</f>
        <v>0</v>
      </c>
      <c r="T423" s="181">
        <f>TOBEPAID!T315/1000</f>
        <v>0</v>
      </c>
      <c r="U423" s="181">
        <f>TOBEPAID!U315/1000</f>
        <v>0</v>
      </c>
      <c r="V423" s="181">
        <f>TOBEPAID!V315/1000</f>
        <v>0</v>
      </c>
      <c r="W423" s="181">
        <f>TOBEPAID!W315/1000</f>
        <v>0</v>
      </c>
      <c r="X423" s="181">
        <f>TOBEPAID!X315/1000</f>
        <v>0</v>
      </c>
      <c r="Y423" s="181">
        <f>+H423+R423</f>
        <v>8840</v>
      </c>
      <c r="Z423" s="181">
        <f>+D423-Y423</f>
        <v>0</v>
      </c>
      <c r="AA423" s="181">
        <f>TOBEPAID!AA315/1000</f>
        <v>8840</v>
      </c>
      <c r="AB423" s="181">
        <f>TOBEPAID!AB315/1000</f>
        <v>0</v>
      </c>
      <c r="AC423" s="181"/>
      <c r="AD423" s="181"/>
    </row>
    <row r="424" spans="1:45" ht="16.5" customHeight="1" x14ac:dyDescent="0.2">
      <c r="A424" s="180"/>
      <c r="C424" s="168" t="s">
        <v>48</v>
      </c>
      <c r="D424" s="181">
        <f>700971/1000</f>
        <v>700.971</v>
      </c>
      <c r="E424" s="181">
        <f>TOBEPAID!E316/1000</f>
        <v>700.97162000000003</v>
      </c>
      <c r="F424" s="181">
        <f>TOBEPAID!F316/1000</f>
        <v>0</v>
      </c>
      <c r="G424" s="181">
        <f>TOBEPAID!G316/1000</f>
        <v>0</v>
      </c>
      <c r="H424" s="181">
        <f>700971/1000</f>
        <v>700.971</v>
      </c>
      <c r="I424" s="181">
        <f>TOBEPAID!I316/1000</f>
        <v>0</v>
      </c>
      <c r="J424" s="181">
        <f>TOBEPAID!J316/1000</f>
        <v>0</v>
      </c>
      <c r="K424" s="181">
        <f>TOBEPAID!K316/1000</f>
        <v>0</v>
      </c>
      <c r="L424" s="181">
        <f>TOBEPAID!L316/1000</f>
        <v>0</v>
      </c>
      <c r="M424" s="181">
        <f>TOBEPAID!M316/1000</f>
        <v>0</v>
      </c>
      <c r="N424" s="181">
        <f>TOBEPAID!N316/1000</f>
        <v>700.97162000000003</v>
      </c>
      <c r="O424" s="181">
        <f>TOBEPAID!O316/1000</f>
        <v>0</v>
      </c>
      <c r="P424" s="181">
        <f>TOBEPAID!P316/1000</f>
        <v>0</v>
      </c>
      <c r="Q424" s="181">
        <f>TOBEPAID!Q316/1000</f>
        <v>0</v>
      </c>
      <c r="R424" s="181">
        <v>0</v>
      </c>
      <c r="S424" s="181">
        <f>TOBEPAID!S316/1000</f>
        <v>0</v>
      </c>
      <c r="T424" s="181">
        <f>TOBEPAID!T316/1000</f>
        <v>0</v>
      </c>
      <c r="U424" s="181">
        <f>TOBEPAID!U316/1000</f>
        <v>0</v>
      </c>
      <c r="V424" s="181">
        <f>TOBEPAID!V316/1000</f>
        <v>0</v>
      </c>
      <c r="W424" s="181">
        <f>TOBEPAID!W316/1000</f>
        <v>0</v>
      </c>
      <c r="X424" s="181">
        <f>TOBEPAID!X316/1000</f>
        <v>0</v>
      </c>
      <c r="Y424" s="181">
        <f>+H424+R424</f>
        <v>700.971</v>
      </c>
      <c r="Z424" s="181">
        <f>+D424-Y424</f>
        <v>0</v>
      </c>
      <c r="AA424" s="181">
        <f>TOBEPAID!AA316/1000</f>
        <v>700.97162000000003</v>
      </c>
      <c r="AB424" s="181">
        <f>TOBEPAID!AB316/1000</f>
        <v>0</v>
      </c>
      <c r="AC424" s="181"/>
      <c r="AD424" s="181"/>
    </row>
    <row r="425" spans="1:45" ht="16.5" customHeight="1" x14ac:dyDescent="0.2">
      <c r="A425" s="180"/>
      <c r="D425" s="182" t="s">
        <v>40</v>
      </c>
      <c r="E425" s="182" t="s">
        <v>40</v>
      </c>
      <c r="F425" s="182" t="s">
        <v>40</v>
      </c>
      <c r="G425" s="182"/>
      <c r="H425" s="182" t="s">
        <v>40</v>
      </c>
      <c r="I425" s="182" t="s">
        <v>40</v>
      </c>
      <c r="J425" s="182" t="s">
        <v>40</v>
      </c>
      <c r="K425" s="182" t="s">
        <v>40</v>
      </c>
      <c r="L425" s="182" t="s">
        <v>40</v>
      </c>
      <c r="M425" s="182"/>
      <c r="N425" s="182" t="s">
        <v>40</v>
      </c>
      <c r="O425" s="182" t="s">
        <v>40</v>
      </c>
      <c r="P425" s="182" t="s">
        <v>40</v>
      </c>
      <c r="Q425" s="182"/>
      <c r="R425" s="182" t="s">
        <v>40</v>
      </c>
      <c r="S425" s="182" t="s">
        <v>40</v>
      </c>
      <c r="T425" s="182" t="s">
        <v>40</v>
      </c>
      <c r="U425" s="182" t="s">
        <v>40</v>
      </c>
      <c r="V425" s="182" t="s">
        <v>40</v>
      </c>
      <c r="W425" s="182"/>
      <c r="X425" s="182" t="s">
        <v>40</v>
      </c>
      <c r="Y425" s="182" t="s">
        <v>40</v>
      </c>
      <c r="Z425" s="182" t="s">
        <v>40</v>
      </c>
      <c r="AA425" s="182" t="s">
        <v>40</v>
      </c>
      <c r="AB425" s="182" t="s">
        <v>40</v>
      </c>
      <c r="AC425" s="182"/>
      <c r="AD425" s="182"/>
    </row>
    <row r="426" spans="1:45" x14ac:dyDescent="0.2">
      <c r="A426" s="180"/>
      <c r="D426" s="181">
        <f t="shared" ref="D426:AB426" si="67">SUM(D421:D424)</f>
        <v>44941.053</v>
      </c>
      <c r="E426" s="181">
        <f t="shared" si="67"/>
        <v>23881.42208</v>
      </c>
      <c r="F426" s="181">
        <f t="shared" si="67"/>
        <v>0</v>
      </c>
      <c r="G426" s="181"/>
      <c r="H426" s="181">
        <f t="shared" si="67"/>
        <v>23881.421000000002</v>
      </c>
      <c r="I426" s="181">
        <f t="shared" si="67"/>
        <v>0</v>
      </c>
      <c r="J426" s="181">
        <f t="shared" si="67"/>
        <v>0</v>
      </c>
      <c r="K426" s="181">
        <f t="shared" si="67"/>
        <v>0</v>
      </c>
      <c r="L426" s="181">
        <f t="shared" si="67"/>
        <v>0</v>
      </c>
      <c r="M426" s="181"/>
      <c r="N426" s="181">
        <f t="shared" si="67"/>
        <v>23881.42208</v>
      </c>
      <c r="O426" s="181">
        <f t="shared" si="67"/>
        <v>103.52244</v>
      </c>
      <c r="P426" s="181">
        <f t="shared" si="67"/>
        <v>0</v>
      </c>
      <c r="Q426" s="181"/>
      <c r="R426" s="181">
        <f t="shared" si="67"/>
        <v>379.16453999999999</v>
      </c>
      <c r="S426" s="181">
        <f t="shared" si="67"/>
        <v>0</v>
      </c>
      <c r="T426" s="181">
        <f t="shared" si="67"/>
        <v>0</v>
      </c>
      <c r="U426" s="181">
        <f t="shared" si="67"/>
        <v>0</v>
      </c>
      <c r="V426" s="181">
        <f t="shared" si="67"/>
        <v>0</v>
      </c>
      <c r="W426" s="181"/>
      <c r="X426" s="181">
        <f t="shared" si="67"/>
        <v>103.52244</v>
      </c>
      <c r="Y426" s="181">
        <f t="shared" si="67"/>
        <v>24260.585540000004</v>
      </c>
      <c r="Z426" s="181">
        <f t="shared" si="67"/>
        <v>20680.46746</v>
      </c>
      <c r="AA426" s="181">
        <f t="shared" si="67"/>
        <v>23984.944520000001</v>
      </c>
      <c r="AB426" s="181">
        <f t="shared" si="67"/>
        <v>20956.110369999999</v>
      </c>
      <c r="AC426" s="181"/>
      <c r="AD426" s="181"/>
    </row>
    <row r="427" spans="1:45" ht="16.5" customHeight="1" x14ac:dyDescent="0.2">
      <c r="A427" s="180"/>
      <c r="B427" s="165" t="s">
        <v>71</v>
      </c>
      <c r="D427" s="182" t="s">
        <v>40</v>
      </c>
      <c r="E427" s="182" t="s">
        <v>40</v>
      </c>
      <c r="F427" s="182" t="s">
        <v>40</v>
      </c>
      <c r="G427" s="182"/>
      <c r="H427" s="182" t="s">
        <v>40</v>
      </c>
      <c r="I427" s="182" t="s">
        <v>40</v>
      </c>
      <c r="J427" s="182" t="s">
        <v>40</v>
      </c>
      <c r="K427" s="182" t="s">
        <v>40</v>
      </c>
      <c r="L427" s="182" t="s">
        <v>40</v>
      </c>
      <c r="M427" s="182"/>
      <c r="N427" s="182" t="s">
        <v>40</v>
      </c>
      <c r="O427" s="182" t="s">
        <v>40</v>
      </c>
      <c r="P427" s="182" t="s">
        <v>40</v>
      </c>
      <c r="Q427" s="182"/>
      <c r="R427" s="182" t="s">
        <v>40</v>
      </c>
      <c r="S427" s="182" t="s">
        <v>40</v>
      </c>
      <c r="T427" s="182" t="s">
        <v>40</v>
      </c>
      <c r="U427" s="182" t="s">
        <v>40</v>
      </c>
      <c r="V427" s="182" t="s">
        <v>40</v>
      </c>
      <c r="W427" s="182"/>
      <c r="X427" s="182" t="s">
        <v>40</v>
      </c>
      <c r="Y427" s="182" t="s">
        <v>40</v>
      </c>
      <c r="Z427" s="182" t="s">
        <v>40</v>
      </c>
      <c r="AA427" s="182" t="s">
        <v>40</v>
      </c>
      <c r="AB427" s="182" t="s">
        <v>40</v>
      </c>
      <c r="AC427" s="182"/>
      <c r="AD427" s="182"/>
    </row>
    <row r="428" spans="1:45" ht="16.5" customHeight="1" thickBot="1" x14ac:dyDescent="0.25">
      <c r="A428" s="180"/>
      <c r="B428" s="183" t="s">
        <v>292</v>
      </c>
      <c r="D428" s="185">
        <f>181752/1000</f>
        <v>181.75200000000001</v>
      </c>
      <c r="E428" s="182"/>
      <c r="F428" s="182"/>
      <c r="G428" s="182"/>
      <c r="H428" s="182"/>
      <c r="I428" s="182"/>
      <c r="J428" s="182"/>
      <c r="K428" s="182"/>
      <c r="L428" s="182"/>
      <c r="M428" s="182"/>
      <c r="N428" s="182"/>
      <c r="O428" s="182"/>
      <c r="P428" s="182"/>
      <c r="Q428" s="182"/>
      <c r="R428" s="185">
        <f t="shared" ref="R428:Y428" si="68">181752/1000</f>
        <v>181.75200000000001</v>
      </c>
      <c r="S428" s="185">
        <f t="shared" si="68"/>
        <v>181.75200000000001</v>
      </c>
      <c r="T428" s="185">
        <f t="shared" si="68"/>
        <v>181.75200000000001</v>
      </c>
      <c r="U428" s="185">
        <f t="shared" si="68"/>
        <v>181.75200000000001</v>
      </c>
      <c r="V428" s="185">
        <f t="shared" si="68"/>
        <v>181.75200000000001</v>
      </c>
      <c r="W428" s="185">
        <f t="shared" si="68"/>
        <v>181.75200000000001</v>
      </c>
      <c r="X428" s="185">
        <f t="shared" si="68"/>
        <v>181.75200000000001</v>
      </c>
      <c r="Y428" s="185">
        <f t="shared" si="68"/>
        <v>181.75200000000001</v>
      </c>
      <c r="Z428" s="184">
        <f>+D428-Y428</f>
        <v>0</v>
      </c>
      <c r="AA428" s="182"/>
      <c r="AB428" s="182"/>
      <c r="AC428" s="182"/>
      <c r="AD428" s="182"/>
    </row>
    <row r="429" spans="1:45" ht="16.5" customHeight="1" thickTop="1" x14ac:dyDescent="0.2">
      <c r="A429" s="180"/>
      <c r="D429" s="182"/>
      <c r="E429" s="182"/>
      <c r="F429" s="182"/>
      <c r="G429" s="182"/>
      <c r="H429" s="182"/>
      <c r="I429" s="182"/>
      <c r="J429" s="182"/>
      <c r="K429" s="182"/>
      <c r="L429" s="182"/>
      <c r="M429" s="182"/>
      <c r="N429" s="182"/>
      <c r="O429" s="182"/>
      <c r="P429" s="182"/>
      <c r="Q429" s="182"/>
      <c r="R429" s="182"/>
      <c r="S429" s="182"/>
      <c r="T429" s="182"/>
      <c r="U429" s="182"/>
      <c r="V429" s="182"/>
      <c r="W429" s="182"/>
      <c r="X429" s="182"/>
      <c r="Y429" s="182"/>
      <c r="Z429" s="182"/>
      <c r="AA429" s="182"/>
      <c r="AB429" s="182"/>
      <c r="AC429" s="182"/>
      <c r="AD429" s="182"/>
    </row>
    <row r="430" spans="1:45" ht="16.5" customHeight="1" x14ac:dyDescent="0.2">
      <c r="A430" s="180"/>
      <c r="D430" s="182"/>
      <c r="E430" s="182"/>
      <c r="F430" s="182"/>
      <c r="G430" s="182"/>
      <c r="H430" s="182"/>
      <c r="I430" s="182"/>
      <c r="J430" s="182"/>
      <c r="K430" s="182"/>
      <c r="L430" s="182"/>
      <c r="M430" s="182"/>
      <c r="N430" s="182"/>
      <c r="O430" s="182"/>
      <c r="P430" s="182"/>
      <c r="Q430" s="182"/>
      <c r="R430" s="182"/>
      <c r="S430" s="182"/>
      <c r="T430" s="182"/>
      <c r="U430" s="182"/>
      <c r="V430" s="182"/>
      <c r="W430" s="182"/>
      <c r="X430" s="182"/>
      <c r="Y430" s="182"/>
      <c r="Z430" s="182"/>
      <c r="AA430" s="182"/>
      <c r="AB430" s="182"/>
      <c r="AC430" s="182"/>
      <c r="AD430" s="182"/>
    </row>
    <row r="431" spans="1:45" x14ac:dyDescent="0.2">
      <c r="A431" s="180"/>
      <c r="B431" s="183"/>
      <c r="C431" s="186"/>
      <c r="D431" s="205"/>
      <c r="E431" s="205">
        <f>TOBEPAID!E320/1000</f>
        <v>0</v>
      </c>
      <c r="F431" s="205">
        <f>TOBEPAID!F320/1000</f>
        <v>0</v>
      </c>
      <c r="G431" s="205">
        <f>TOBEPAID!G320/1000</f>
        <v>0</v>
      </c>
      <c r="H431" s="205"/>
      <c r="I431" s="205">
        <f>TOBEPAID!I320/1000</f>
        <v>0</v>
      </c>
      <c r="J431" s="205">
        <f>TOBEPAID!J320/1000</f>
        <v>0</v>
      </c>
      <c r="K431" s="205">
        <f>TOBEPAID!K320/1000</f>
        <v>0</v>
      </c>
      <c r="L431" s="205">
        <f>TOBEPAID!L320/1000</f>
        <v>0</v>
      </c>
      <c r="M431" s="205">
        <f>TOBEPAID!M320/1000</f>
        <v>0</v>
      </c>
      <c r="N431" s="205">
        <f>TOBEPAID!N320/1000</f>
        <v>0</v>
      </c>
      <c r="O431" s="205">
        <f>TOBEPAID!O320/1000</f>
        <v>181.75254999999999</v>
      </c>
      <c r="P431" s="205">
        <f>TOBEPAID!P320/1000</f>
        <v>0</v>
      </c>
      <c r="Q431" s="205">
        <f>TOBEPAID!Q320/1000</f>
        <v>0</v>
      </c>
      <c r="R431" s="205"/>
      <c r="S431" s="205">
        <f>TOBEPAID!S320/1000</f>
        <v>0</v>
      </c>
      <c r="T431" s="205">
        <f>TOBEPAID!T320/1000</f>
        <v>0</v>
      </c>
      <c r="U431" s="205">
        <f>TOBEPAID!U320/1000</f>
        <v>0</v>
      </c>
      <c r="V431" s="205">
        <f>TOBEPAID!V320/1000</f>
        <v>0</v>
      </c>
      <c r="W431" s="205">
        <f>TOBEPAID!W320/1000</f>
        <v>0</v>
      </c>
      <c r="X431" s="205">
        <f>TOBEPAID!X320/1000</f>
        <v>0</v>
      </c>
      <c r="Y431" s="205"/>
      <c r="Z431" s="205"/>
      <c r="AA431" s="181">
        <f>TOBEPAID!AA320/1000</f>
        <v>0</v>
      </c>
      <c r="AB431" s="181">
        <f>TOBEPAID!AB320/1000</f>
        <v>0</v>
      </c>
      <c r="AC431" s="181"/>
      <c r="AD431" s="181"/>
      <c r="AS431" s="195">
        <f t="shared" ref="AS431:AS453" si="69">+AF432-AK432-AP432</f>
        <v>-3333.9653000000035</v>
      </c>
    </row>
    <row r="432" spans="1:45" ht="24.75" customHeight="1" x14ac:dyDescent="0.2">
      <c r="A432" s="180">
        <v>30</v>
      </c>
      <c r="B432" s="166" t="s">
        <v>73</v>
      </c>
      <c r="C432" s="166" t="s">
        <v>74</v>
      </c>
      <c r="D432" s="181">
        <f>73970529/1000</f>
        <v>73970.528999999995</v>
      </c>
      <c r="E432" s="181">
        <f>TOBEPAID!E321/1000</f>
        <v>0</v>
      </c>
      <c r="F432" s="181">
        <f>TOBEPAID!F321/1000</f>
        <v>0</v>
      </c>
      <c r="G432" s="181">
        <f>TOBEPAID!G321/1000</f>
        <v>0</v>
      </c>
      <c r="H432" s="181">
        <f>67500000/1000</f>
        <v>67500</v>
      </c>
      <c r="I432" s="181">
        <f>TOBEPAID!I321/1000</f>
        <v>0</v>
      </c>
      <c r="J432" s="181">
        <f>TOBEPAID!J321/1000</f>
        <v>0</v>
      </c>
      <c r="K432" s="181">
        <f>TOBEPAID!K321/1000</f>
        <v>0</v>
      </c>
      <c r="L432" s="181">
        <f>TOBEPAID!L321/1000</f>
        <v>0</v>
      </c>
      <c r="M432" s="181">
        <f>TOBEPAID!M321/1000</f>
        <v>0</v>
      </c>
      <c r="N432" s="181">
        <f>TOBEPAID!N321/1000</f>
        <v>0</v>
      </c>
      <c r="O432" s="181">
        <f>TOBEPAID!O321/1000</f>
        <v>5433.9591900000005</v>
      </c>
      <c r="P432" s="181">
        <f>TOBEPAID!P321/1000</f>
        <v>0</v>
      </c>
      <c r="Q432" s="181">
        <f>TOBEPAID!Q321/1000</f>
        <v>0</v>
      </c>
      <c r="R432" s="181">
        <f>5484613/1000</f>
        <v>5484.6130000000003</v>
      </c>
      <c r="S432" s="181">
        <f>TOBEPAID!S321/1000</f>
        <v>1479.7539999999999</v>
      </c>
      <c r="T432" s="181">
        <f>TOBEPAID!T321/1000</f>
        <v>0</v>
      </c>
      <c r="U432" s="181">
        <f>TOBEPAID!U321/1000</f>
        <v>0</v>
      </c>
      <c r="V432" s="181">
        <f>TOBEPAID!V321/1000</f>
        <v>0</v>
      </c>
      <c r="W432" s="181">
        <f>TOBEPAID!W321/1000</f>
        <v>0</v>
      </c>
      <c r="X432" s="181">
        <f>TOBEPAID!X321/1000</f>
        <v>5433.9591900000005</v>
      </c>
      <c r="Y432" s="181">
        <f>+H432+R432</f>
        <v>72984.612999999998</v>
      </c>
      <c r="Z432" s="181">
        <f t="shared" ref="Z432:Z441" si="70">+D432-Y432</f>
        <v>985.91599999999744</v>
      </c>
      <c r="AA432" s="181">
        <f>TOBEPAID!AA321/1000</f>
        <v>5433.9591900000005</v>
      </c>
      <c r="AB432" s="181">
        <f>TOBEPAID!AB321/1000</f>
        <v>985.87429999999983</v>
      </c>
      <c r="AC432" s="181"/>
      <c r="AD432" s="181"/>
      <c r="AF432" s="195">
        <f>+D276+D434+D375+D319+D304+D336</f>
        <v>35303.300999999999</v>
      </c>
      <c r="AG432" s="195">
        <f>+E276+E434+E375+E319+E304+E336</f>
        <v>38637.266300000003</v>
      </c>
      <c r="AH432" s="195">
        <f>+F276+F434+F375+F319+F304+F336</f>
        <v>0</v>
      </c>
      <c r="AI432" s="195">
        <f t="shared" ref="AI432:AI454" si="71">+AG432+AH432</f>
        <v>38637.266300000003</v>
      </c>
      <c r="AJ432" s="195">
        <f>+L276+L434+L375+L319+L304+L336</f>
        <v>0</v>
      </c>
      <c r="AK432" s="195">
        <f t="shared" ref="AK432:AK454" si="72">+AI432+AJ432</f>
        <v>38637.266300000003</v>
      </c>
      <c r="AL432" s="195">
        <f>+O276+O434+O375+O319+O304+O336</f>
        <v>0</v>
      </c>
      <c r="AM432" s="195">
        <f>+P276+P434+P375+P319+P304+P336</f>
        <v>0</v>
      </c>
      <c r="AN432" s="195">
        <f t="shared" ref="AN432:AP433" si="73">+AL432+AM432</f>
        <v>0</v>
      </c>
      <c r="AO432" s="195">
        <f t="shared" si="73"/>
        <v>0</v>
      </c>
      <c r="AP432" s="195">
        <f t="shared" si="73"/>
        <v>0</v>
      </c>
      <c r="AQ432" s="195">
        <f t="shared" ref="AQ432:AQ454" si="74">+AI432+AN432</f>
        <v>38637.266300000003</v>
      </c>
      <c r="AR432" s="195">
        <f t="shared" ref="AR432:AR454" si="75">+AF432-AQ432</f>
        <v>-3333.9653000000035</v>
      </c>
      <c r="AS432" s="195">
        <f t="shared" si="69"/>
        <v>0</v>
      </c>
    </row>
    <row r="433" spans="1:45" x14ac:dyDescent="0.2">
      <c r="A433" s="180"/>
      <c r="C433" s="165" t="s">
        <v>290</v>
      </c>
      <c r="D433" s="181">
        <f>329381859/1000</f>
        <v>329381.859</v>
      </c>
      <c r="E433" s="181">
        <f>TOBEPAID!E322/1000</f>
        <v>44776.640140000003</v>
      </c>
      <c r="F433" s="181">
        <f>TOBEPAID!F322/1000</f>
        <v>17500</v>
      </c>
      <c r="G433" s="181">
        <f>TOBEPAID!G322/1000</f>
        <v>0</v>
      </c>
      <c r="H433" s="181">
        <f>329381859/1000</f>
        <v>329381.859</v>
      </c>
      <c r="I433" s="181">
        <f>TOBEPAID!I322/1000</f>
        <v>0</v>
      </c>
      <c r="J433" s="181">
        <f>TOBEPAID!J322/1000</f>
        <v>0</v>
      </c>
      <c r="K433" s="181">
        <f>TOBEPAID!K322/1000</f>
        <v>0</v>
      </c>
      <c r="L433" s="181">
        <f>TOBEPAID!L322/1000</f>
        <v>0</v>
      </c>
      <c r="M433" s="181">
        <f>TOBEPAID!M322/1000</f>
        <v>0</v>
      </c>
      <c r="N433" s="181">
        <f>TOBEPAID!N322/1000</f>
        <v>62276.640140000003</v>
      </c>
      <c r="O433" s="181">
        <f>TOBEPAID!O322/1000</f>
        <v>0</v>
      </c>
      <c r="P433" s="181">
        <f>TOBEPAID!P322/1000</f>
        <v>0</v>
      </c>
      <c r="Q433" s="181">
        <f>TOBEPAID!Q322/1000</f>
        <v>0</v>
      </c>
      <c r="R433" s="181">
        <v>0</v>
      </c>
      <c r="S433" s="181">
        <f>TOBEPAID!S322/1000</f>
        <v>0</v>
      </c>
      <c r="T433" s="181">
        <f>TOBEPAID!T322/1000</f>
        <v>0</v>
      </c>
      <c r="U433" s="181">
        <f>TOBEPAID!U322/1000</f>
        <v>0</v>
      </c>
      <c r="V433" s="181">
        <f>TOBEPAID!V322/1000</f>
        <v>0</v>
      </c>
      <c r="W433" s="181">
        <f>TOBEPAID!W322/1000</f>
        <v>0</v>
      </c>
      <c r="X433" s="181">
        <f>TOBEPAID!X322/1000</f>
        <v>0</v>
      </c>
      <c r="Y433" s="181">
        <f t="shared" ref="Y433:Y441" si="76">+H433+R433</f>
        <v>329381.859</v>
      </c>
      <c r="Z433" s="181">
        <f t="shared" si="70"/>
        <v>0</v>
      </c>
      <c r="AA433" s="181">
        <f>TOBEPAID!AA322/1000</f>
        <v>62276.640140000003</v>
      </c>
      <c r="AB433" s="181">
        <f>TOBEPAID!AB322/1000</f>
        <v>0</v>
      </c>
      <c r="AC433" s="181"/>
      <c r="AD433" s="181"/>
      <c r="AE433" s="186" t="s">
        <v>317</v>
      </c>
      <c r="AF433" s="195">
        <f>+D350+D435+D337</f>
        <v>13343.48</v>
      </c>
      <c r="AG433" s="195">
        <f>+E350+E435+E337</f>
        <v>13343.48</v>
      </c>
      <c r="AH433" s="195">
        <f>+F337</f>
        <v>0</v>
      </c>
      <c r="AI433" s="195">
        <f t="shared" si="71"/>
        <v>13343.48</v>
      </c>
      <c r="AJ433" s="195">
        <f>+L350+L435+L337</f>
        <v>0</v>
      </c>
      <c r="AK433" s="195">
        <f t="shared" si="72"/>
        <v>13343.48</v>
      </c>
      <c r="AL433" s="195">
        <f>+O350+O435+O337</f>
        <v>0</v>
      </c>
      <c r="AM433" s="195">
        <f>+P350+P435+P337</f>
        <v>0</v>
      </c>
      <c r="AN433" s="195">
        <f t="shared" si="73"/>
        <v>0</v>
      </c>
      <c r="AO433" s="195">
        <f t="shared" si="73"/>
        <v>0</v>
      </c>
      <c r="AP433" s="195">
        <f t="shared" si="73"/>
        <v>0</v>
      </c>
      <c r="AQ433" s="195">
        <f t="shared" si="74"/>
        <v>13343.48</v>
      </c>
      <c r="AR433" s="195">
        <f t="shared" si="75"/>
        <v>0</v>
      </c>
      <c r="AS433" s="195">
        <f t="shared" si="69"/>
        <v>-2.4999999982355803E-4</v>
      </c>
    </row>
    <row r="434" spans="1:45" x14ac:dyDescent="0.2">
      <c r="C434" s="165" t="s">
        <v>365</v>
      </c>
      <c r="D434" s="181">
        <f>7937500/1000</f>
        <v>7937.5</v>
      </c>
      <c r="E434" s="181">
        <f>TOBEPAID!E323/1000</f>
        <v>7937.5</v>
      </c>
      <c r="F434" s="181">
        <f>TOBEPAID!F323/1000</f>
        <v>0</v>
      </c>
      <c r="G434" s="181">
        <f>TOBEPAID!G323/1000</f>
        <v>0</v>
      </c>
      <c r="H434" s="181">
        <f>7937500/1000</f>
        <v>7937.5</v>
      </c>
      <c r="I434" s="181">
        <f>TOBEPAID!I323/1000</f>
        <v>0</v>
      </c>
      <c r="J434" s="181">
        <f>TOBEPAID!J323/1000</f>
        <v>0</v>
      </c>
      <c r="K434" s="181">
        <f>TOBEPAID!K323/1000</f>
        <v>0</v>
      </c>
      <c r="L434" s="181">
        <f>TOBEPAID!L323/1000</f>
        <v>0</v>
      </c>
      <c r="M434" s="181">
        <f>TOBEPAID!M323/1000</f>
        <v>0</v>
      </c>
      <c r="N434" s="181">
        <f>TOBEPAID!N323/1000</f>
        <v>7937.5</v>
      </c>
      <c r="O434" s="181">
        <f>TOBEPAID!O323/1000</f>
        <v>0</v>
      </c>
      <c r="P434" s="181">
        <f>TOBEPAID!P323/1000</f>
        <v>0</v>
      </c>
      <c r="Q434" s="181">
        <f>TOBEPAID!Q323/1000</f>
        <v>0</v>
      </c>
      <c r="R434" s="181">
        <v>0</v>
      </c>
      <c r="S434" s="181">
        <f>TOBEPAID!S323/1000</f>
        <v>0</v>
      </c>
      <c r="T434" s="181">
        <f>TOBEPAID!T323/1000</f>
        <v>0</v>
      </c>
      <c r="U434" s="181">
        <f>TOBEPAID!U323/1000</f>
        <v>0</v>
      </c>
      <c r="V434" s="181">
        <f>TOBEPAID!V323/1000</f>
        <v>0</v>
      </c>
      <c r="W434" s="181">
        <f>TOBEPAID!W323/1000</f>
        <v>0</v>
      </c>
      <c r="X434" s="181">
        <f>TOBEPAID!X323/1000</f>
        <v>0</v>
      </c>
      <c r="Y434" s="181">
        <f t="shared" si="76"/>
        <v>7937.5</v>
      </c>
      <c r="Z434" s="181">
        <f t="shared" si="70"/>
        <v>0</v>
      </c>
      <c r="AA434" s="181">
        <f>TOBEPAID!AA323/1000</f>
        <v>7937.5</v>
      </c>
      <c r="AB434" s="181">
        <f>TOBEPAID!AB323/1000</f>
        <v>0</v>
      </c>
      <c r="AC434" s="181"/>
      <c r="AD434" s="181"/>
      <c r="AE434" s="186" t="s">
        <v>298</v>
      </c>
      <c r="AF434" s="195">
        <f>+D282</f>
        <v>1511.7460000000001</v>
      </c>
      <c r="AG434" s="195">
        <f>+E282</f>
        <v>1511.7462499999999</v>
      </c>
      <c r="AH434" s="195">
        <f>+F282</f>
        <v>0</v>
      </c>
      <c r="AI434" s="195">
        <f t="shared" si="71"/>
        <v>1511.7462499999999</v>
      </c>
      <c r="AJ434" s="195">
        <f>+L282</f>
        <v>0</v>
      </c>
      <c r="AK434" s="195">
        <f t="shared" si="72"/>
        <v>1511.7462499999999</v>
      </c>
      <c r="AL434" s="195">
        <f>+O282</f>
        <v>0</v>
      </c>
      <c r="AM434" s="195">
        <f>+P282</f>
        <v>0</v>
      </c>
      <c r="AN434" s="195">
        <f>+AL434+AM434</f>
        <v>0</v>
      </c>
      <c r="AO434" s="195">
        <f>+AM434+AN434</f>
        <v>0</v>
      </c>
      <c r="AP434" s="195"/>
      <c r="AQ434" s="195">
        <f t="shared" si="74"/>
        <v>1511.7462499999999</v>
      </c>
      <c r="AR434" s="195">
        <f t="shared" si="75"/>
        <v>-2.4999999982355803E-4</v>
      </c>
      <c r="AS434" s="195">
        <f t="shared" si="69"/>
        <v>-20000</v>
      </c>
    </row>
    <row r="435" spans="1:45" x14ac:dyDescent="0.2">
      <c r="C435" s="165" t="s">
        <v>390</v>
      </c>
      <c r="D435" s="181">
        <f>2741280/1000</f>
        <v>2741.28</v>
      </c>
      <c r="E435" s="181">
        <f>TOBEPAID!E324/1000</f>
        <v>2741.28</v>
      </c>
      <c r="F435" s="181">
        <f>TOBEPAID!F324/1000</f>
        <v>0</v>
      </c>
      <c r="G435" s="181">
        <f>TOBEPAID!G324/1000</f>
        <v>0</v>
      </c>
      <c r="H435" s="181">
        <f>2741280/1000</f>
        <v>2741.28</v>
      </c>
      <c r="I435" s="181">
        <f>TOBEPAID!I324/1000</f>
        <v>0</v>
      </c>
      <c r="J435" s="181">
        <f>TOBEPAID!J324/1000</f>
        <v>0</v>
      </c>
      <c r="K435" s="181">
        <f>TOBEPAID!K324/1000</f>
        <v>0</v>
      </c>
      <c r="L435" s="181">
        <f>TOBEPAID!L324/1000</f>
        <v>0</v>
      </c>
      <c r="M435" s="181">
        <f>TOBEPAID!M324/1000</f>
        <v>0</v>
      </c>
      <c r="N435" s="181">
        <f>TOBEPAID!N324/1000</f>
        <v>2741.28</v>
      </c>
      <c r="O435" s="181">
        <f>TOBEPAID!O324/1000</f>
        <v>0</v>
      </c>
      <c r="P435" s="181">
        <f>TOBEPAID!P324/1000</f>
        <v>0</v>
      </c>
      <c r="Q435" s="181">
        <f>TOBEPAID!Q324/1000</f>
        <v>0</v>
      </c>
      <c r="R435" s="181">
        <v>0</v>
      </c>
      <c r="S435" s="181">
        <f>TOBEPAID!S324/1000</f>
        <v>0</v>
      </c>
      <c r="T435" s="181">
        <f>TOBEPAID!T324/1000</f>
        <v>0</v>
      </c>
      <c r="U435" s="181">
        <f>TOBEPAID!U324/1000</f>
        <v>0</v>
      </c>
      <c r="V435" s="181">
        <f>TOBEPAID!V324/1000</f>
        <v>0</v>
      </c>
      <c r="W435" s="181">
        <f>TOBEPAID!W324/1000</f>
        <v>0</v>
      </c>
      <c r="X435" s="181">
        <f>TOBEPAID!X324/1000</f>
        <v>0</v>
      </c>
      <c r="Y435" s="181">
        <f t="shared" si="76"/>
        <v>2741.28</v>
      </c>
      <c r="Z435" s="181">
        <f t="shared" si="70"/>
        <v>0</v>
      </c>
      <c r="AA435" s="181">
        <f>TOBEPAID!AA324/1000</f>
        <v>2741.28</v>
      </c>
      <c r="AB435" s="181">
        <f>TOBEPAID!AB324/1000</f>
        <v>0</v>
      </c>
      <c r="AC435" s="181"/>
      <c r="AD435" s="181"/>
      <c r="AE435" s="186" t="s">
        <v>329</v>
      </c>
      <c r="AF435" s="195">
        <f>+D373</f>
        <v>0</v>
      </c>
      <c r="AG435" s="195">
        <f>+E373</f>
        <v>20000</v>
      </c>
      <c r="AH435" s="195">
        <f>+F373</f>
        <v>0</v>
      </c>
      <c r="AI435" s="195">
        <f t="shared" si="71"/>
        <v>20000</v>
      </c>
      <c r="AJ435" s="195">
        <f>+L373</f>
        <v>0</v>
      </c>
      <c r="AK435" s="195">
        <f t="shared" si="72"/>
        <v>20000</v>
      </c>
      <c r="AL435" s="195">
        <f>+O373</f>
        <v>0</v>
      </c>
      <c r="AM435" s="195">
        <f>+P373</f>
        <v>0</v>
      </c>
      <c r="AN435" s="195">
        <f>+AL435+AM435</f>
        <v>0</v>
      </c>
      <c r="AO435" s="195">
        <f>+AL370</f>
        <v>0</v>
      </c>
      <c r="AP435" s="195">
        <f>+AN435+AO435</f>
        <v>0</v>
      </c>
      <c r="AQ435" s="195">
        <f t="shared" si="74"/>
        <v>20000</v>
      </c>
      <c r="AR435" s="195">
        <f t="shared" si="75"/>
        <v>-20000</v>
      </c>
      <c r="AS435" s="195">
        <f>+AF438-AK438-AP438</f>
        <v>891761.47069999995</v>
      </c>
    </row>
    <row r="436" spans="1:45" x14ac:dyDescent="0.2">
      <c r="C436" s="165" t="s">
        <v>428</v>
      </c>
      <c r="D436" s="181">
        <f>2521966/1000</f>
        <v>2521.9659999999999</v>
      </c>
      <c r="E436" s="181"/>
      <c r="F436" s="181"/>
      <c r="G436" s="181"/>
      <c r="H436" s="181">
        <f>2521966/1000</f>
        <v>2521.9659999999999</v>
      </c>
      <c r="I436" s="181"/>
      <c r="J436" s="181"/>
      <c r="K436" s="181"/>
      <c r="L436" s="181"/>
      <c r="M436" s="181"/>
      <c r="N436" s="181"/>
      <c r="O436" s="181"/>
      <c r="P436" s="181"/>
      <c r="Q436" s="181"/>
      <c r="R436" s="181">
        <v>0</v>
      </c>
      <c r="S436" s="181"/>
      <c r="T436" s="181"/>
      <c r="U436" s="181"/>
      <c r="V436" s="181"/>
      <c r="W436" s="181"/>
      <c r="X436" s="181"/>
      <c r="Y436" s="181">
        <f>+H436+R436</f>
        <v>2521.9659999999999</v>
      </c>
      <c r="Z436" s="181">
        <f t="shared" si="70"/>
        <v>0</v>
      </c>
      <c r="AA436" s="181"/>
      <c r="AB436" s="181"/>
      <c r="AC436" s="181"/>
      <c r="AD436" s="181"/>
      <c r="AE436" s="186"/>
      <c r="AF436" s="195"/>
      <c r="AG436" s="195"/>
      <c r="AH436" s="195"/>
      <c r="AI436" s="195"/>
      <c r="AJ436" s="195"/>
      <c r="AK436" s="195"/>
      <c r="AL436" s="195"/>
      <c r="AM436" s="195"/>
      <c r="AN436" s="195"/>
      <c r="AO436" s="195"/>
      <c r="AP436" s="195"/>
      <c r="AQ436" s="195"/>
      <c r="AR436" s="195"/>
      <c r="AS436" s="195"/>
    </row>
    <row r="437" spans="1:45" x14ac:dyDescent="0.2">
      <c r="C437" s="165" t="s">
        <v>397</v>
      </c>
      <c r="D437" s="181">
        <f>20000000/1000</f>
        <v>20000</v>
      </c>
      <c r="E437" s="181"/>
      <c r="F437" s="181"/>
      <c r="G437" s="181"/>
      <c r="H437" s="181">
        <f>20000000/1000</f>
        <v>20000</v>
      </c>
      <c r="I437" s="181"/>
      <c r="J437" s="181"/>
      <c r="K437" s="181"/>
      <c r="L437" s="181"/>
      <c r="M437" s="181"/>
      <c r="N437" s="181"/>
      <c r="O437" s="181"/>
      <c r="P437" s="181"/>
      <c r="Q437" s="181"/>
      <c r="R437" s="181">
        <v>0</v>
      </c>
      <c r="S437" s="181"/>
      <c r="T437" s="181"/>
      <c r="U437" s="181"/>
      <c r="V437" s="181"/>
      <c r="W437" s="181"/>
      <c r="X437" s="181"/>
      <c r="Y437" s="181">
        <f t="shared" si="76"/>
        <v>20000</v>
      </c>
      <c r="Z437" s="181">
        <f t="shared" si="70"/>
        <v>0</v>
      </c>
      <c r="AA437" s="181"/>
      <c r="AB437" s="181"/>
      <c r="AC437" s="181"/>
      <c r="AD437" s="181"/>
      <c r="AE437" s="186"/>
      <c r="AF437" s="195"/>
      <c r="AG437" s="195"/>
      <c r="AH437" s="195"/>
      <c r="AI437" s="195"/>
      <c r="AJ437" s="195"/>
      <c r="AK437" s="195"/>
      <c r="AL437" s="195"/>
      <c r="AM437" s="195"/>
      <c r="AN437" s="195"/>
      <c r="AO437" s="195"/>
      <c r="AP437" s="195"/>
      <c r="AQ437" s="195"/>
      <c r="AR437" s="195"/>
      <c r="AS437" s="195"/>
    </row>
    <row r="438" spans="1:45" x14ac:dyDescent="0.2">
      <c r="A438" s="180"/>
      <c r="C438" s="168" t="s">
        <v>36</v>
      </c>
      <c r="D438" s="181">
        <f>1484835/1000</f>
        <v>1484.835</v>
      </c>
      <c r="E438" s="181">
        <f>TOBEPAID!E325/1000</f>
        <v>1484.8355300000001</v>
      </c>
      <c r="F438" s="181">
        <f>TOBEPAID!F325/1000</f>
        <v>0</v>
      </c>
      <c r="G438" s="181">
        <f>TOBEPAID!G325/1000</f>
        <v>0</v>
      </c>
      <c r="H438" s="181">
        <f>1484835/1000</f>
        <v>1484.835</v>
      </c>
      <c r="I438" s="181">
        <f>TOBEPAID!I325/1000</f>
        <v>0</v>
      </c>
      <c r="J438" s="181">
        <f>TOBEPAID!J325/1000</f>
        <v>0</v>
      </c>
      <c r="K438" s="181">
        <f>TOBEPAID!K325/1000</f>
        <v>0</v>
      </c>
      <c r="L438" s="181">
        <f>TOBEPAID!L325/1000</f>
        <v>0</v>
      </c>
      <c r="M438" s="181">
        <f>TOBEPAID!M325/1000</f>
        <v>0</v>
      </c>
      <c r="N438" s="181">
        <f>TOBEPAID!N325/1000</f>
        <v>1484.8355300000001</v>
      </c>
      <c r="O438" s="181">
        <f>TOBEPAID!O325/1000</f>
        <v>0</v>
      </c>
      <c r="P438" s="181">
        <f>TOBEPAID!P325/1000</f>
        <v>0</v>
      </c>
      <c r="Q438" s="181">
        <f>TOBEPAID!Q325/1000</f>
        <v>0</v>
      </c>
      <c r="R438" s="181">
        <v>0</v>
      </c>
      <c r="S438" s="181">
        <f>TOBEPAID!S325/1000</f>
        <v>0</v>
      </c>
      <c r="T438" s="181">
        <f>TOBEPAID!T325/1000</f>
        <v>0</v>
      </c>
      <c r="U438" s="181">
        <f>TOBEPAID!U325/1000</f>
        <v>0</v>
      </c>
      <c r="V438" s="181">
        <f>TOBEPAID!V325/1000</f>
        <v>0</v>
      </c>
      <c r="W438" s="181">
        <f>TOBEPAID!W325/1000</f>
        <v>0</v>
      </c>
      <c r="X438" s="181">
        <f>TOBEPAID!X325/1000</f>
        <v>0</v>
      </c>
      <c r="Y438" s="181">
        <f t="shared" si="76"/>
        <v>1484.835</v>
      </c>
      <c r="Z438" s="181">
        <f t="shared" si="70"/>
        <v>0</v>
      </c>
      <c r="AA438" s="181">
        <f>TOBEPAID!AA325/1000</f>
        <v>1484.8355300000001</v>
      </c>
      <c r="AB438" s="181">
        <f>TOBEPAID!AB325/1000</f>
        <v>0</v>
      </c>
      <c r="AC438" s="181"/>
      <c r="AD438" s="181"/>
      <c r="AE438" s="186" t="s">
        <v>305</v>
      </c>
      <c r="AF438" s="195">
        <f>+D433+D376</f>
        <v>1247199.044</v>
      </c>
      <c r="AG438" s="195">
        <f>+E433+E376</f>
        <v>324776.64014000003</v>
      </c>
      <c r="AH438" s="195">
        <f>+F433+F376</f>
        <v>30660.93316</v>
      </c>
      <c r="AI438" s="195">
        <f t="shared" si="71"/>
        <v>355437.57330000005</v>
      </c>
      <c r="AJ438" s="195">
        <f>+L433+L376</f>
        <v>0</v>
      </c>
      <c r="AK438" s="195">
        <f t="shared" si="72"/>
        <v>355437.57330000005</v>
      </c>
      <c r="AL438" s="195">
        <f>+O433+O376</f>
        <v>0</v>
      </c>
      <c r="AM438" s="195">
        <f>+P433+P376</f>
        <v>0</v>
      </c>
      <c r="AN438" s="195">
        <f>+AL438+AM438</f>
        <v>0</v>
      </c>
      <c r="AO438" s="195">
        <f>+AL432+AL375</f>
        <v>0</v>
      </c>
      <c r="AP438" s="195">
        <f>+AN438+AO438</f>
        <v>0</v>
      </c>
      <c r="AQ438" s="195">
        <f t="shared" si="74"/>
        <v>355437.57330000005</v>
      </c>
      <c r="AR438" s="195">
        <f t="shared" si="75"/>
        <v>891761.47069999995</v>
      </c>
      <c r="AS438" s="195">
        <f t="shared" si="69"/>
        <v>522779.48492999992</v>
      </c>
    </row>
    <row r="439" spans="1:45" x14ac:dyDescent="0.2">
      <c r="A439" s="180"/>
      <c r="C439" s="166" t="s">
        <v>37</v>
      </c>
      <c r="D439" s="181">
        <f>195860.51/1000</f>
        <v>195.86051</v>
      </c>
      <c r="E439" s="181">
        <f>TOBEPAID!E326/1000</f>
        <v>0</v>
      </c>
      <c r="F439" s="181">
        <f>TOBEPAID!F326/1000</f>
        <v>0</v>
      </c>
      <c r="G439" s="181">
        <f>TOBEPAID!G326/1000</f>
        <v>0</v>
      </c>
      <c r="H439" s="181">
        <v>0</v>
      </c>
      <c r="I439" s="181">
        <f>TOBEPAID!I326/1000</f>
        <v>0</v>
      </c>
      <c r="J439" s="181">
        <f>TOBEPAID!J326/1000</f>
        <v>0</v>
      </c>
      <c r="K439" s="181">
        <f>TOBEPAID!K326/1000</f>
        <v>0</v>
      </c>
      <c r="L439" s="181">
        <f>TOBEPAID!L326/1000</f>
        <v>0</v>
      </c>
      <c r="M439" s="181">
        <f>TOBEPAID!M326/1000</f>
        <v>0</v>
      </c>
      <c r="N439" s="181">
        <f>TOBEPAID!N326/1000</f>
        <v>0</v>
      </c>
      <c r="O439" s="181">
        <f>TOBEPAID!O326/1000</f>
        <v>195.86051</v>
      </c>
      <c r="P439" s="181">
        <f>TOBEPAID!P326/1000</f>
        <v>0</v>
      </c>
      <c r="Q439" s="181">
        <f>TOBEPAID!Q326/1000</f>
        <v>0</v>
      </c>
      <c r="R439" s="181">
        <f>195860/1000</f>
        <v>195.86</v>
      </c>
      <c r="S439" s="181">
        <f>TOBEPAID!S326/1000</f>
        <v>0</v>
      </c>
      <c r="T439" s="181">
        <f>TOBEPAID!T326/1000</f>
        <v>0</v>
      </c>
      <c r="U439" s="181">
        <f>TOBEPAID!U326/1000</f>
        <v>0</v>
      </c>
      <c r="V439" s="181">
        <f>TOBEPAID!V326/1000</f>
        <v>0</v>
      </c>
      <c r="W439" s="181">
        <f>TOBEPAID!W326/1000</f>
        <v>0</v>
      </c>
      <c r="X439" s="181">
        <f>TOBEPAID!X326/1000</f>
        <v>195.86051</v>
      </c>
      <c r="Y439" s="181">
        <f t="shared" si="76"/>
        <v>195.86</v>
      </c>
      <c r="Z439" s="181">
        <f t="shared" si="70"/>
        <v>5.0999999999135071E-4</v>
      </c>
      <c r="AA439" s="181">
        <f>TOBEPAID!AA326/1000</f>
        <v>195.86051</v>
      </c>
      <c r="AB439" s="181">
        <f>TOBEPAID!AB326/1000</f>
        <v>53309.319340000002</v>
      </c>
      <c r="AC439" s="181"/>
      <c r="AD439" s="181"/>
      <c r="AE439" s="186" t="s">
        <v>290</v>
      </c>
      <c r="AF439" s="195">
        <f>D272+D292+D302+D318+D332+D346+D356+D369+D399+D407+D421+D432+D446</f>
        <v>566959.08251999994</v>
      </c>
      <c r="AG439" s="195">
        <f>E272+E292+E302+E318+E332+E346+E356+E369+E399+E407+E421+E432+E446</f>
        <v>13000</v>
      </c>
      <c r="AH439" s="195">
        <f>+F318+F332</f>
        <v>0</v>
      </c>
      <c r="AI439" s="195">
        <f t="shared" si="71"/>
        <v>13000</v>
      </c>
      <c r="AJ439" s="195">
        <f>L272+L292+L302+L318+L332+L346+L356+L369+L399+L407+L421+L432+L446</f>
        <v>0</v>
      </c>
      <c r="AK439" s="195">
        <f t="shared" si="72"/>
        <v>13000</v>
      </c>
      <c r="AL439" s="195">
        <f>O272+O292+O302+O318+O332+O346+O356+O369+O399+O407+O421+O432+O446</f>
        <v>31179.597590000001</v>
      </c>
      <c r="AM439" s="195">
        <f>P272+P292+P302+P318+P332+P346+P356+P369+P399+P407+P421+P432+P446</f>
        <v>0</v>
      </c>
      <c r="AN439" s="195">
        <f>+AL439+AM439</f>
        <v>31179.597590000001</v>
      </c>
      <c r="AO439" s="195">
        <f>V272+V292+V302+V318+V332+V346+V356+V369+V399+V407+V421+V432+V446</f>
        <v>0</v>
      </c>
      <c r="AP439" s="195">
        <f>+AN439+AO439</f>
        <v>31179.597590000001</v>
      </c>
      <c r="AQ439" s="195">
        <f t="shared" si="74"/>
        <v>44179.597590000005</v>
      </c>
      <c r="AR439" s="195">
        <f t="shared" si="75"/>
        <v>522779.48492999992</v>
      </c>
      <c r="AS439" s="195">
        <f t="shared" si="69"/>
        <v>-3.4799999993992969E-3</v>
      </c>
    </row>
    <row r="440" spans="1:45" x14ac:dyDescent="0.2">
      <c r="A440" s="180"/>
      <c r="C440" s="166" t="s">
        <v>38</v>
      </c>
      <c r="D440" s="181">
        <v>0</v>
      </c>
      <c r="E440" s="181">
        <f>TOBEPAID!E327/1000</f>
        <v>0</v>
      </c>
      <c r="F440" s="181">
        <f>TOBEPAID!F327/1000</f>
        <v>0</v>
      </c>
      <c r="G440" s="181">
        <f>TOBEPAID!G327/1000</f>
        <v>0</v>
      </c>
      <c r="H440" s="181">
        <v>0</v>
      </c>
      <c r="I440" s="181">
        <f>TOBEPAID!I327/1000</f>
        <v>0</v>
      </c>
      <c r="J440" s="181">
        <f>TOBEPAID!J327/1000</f>
        <v>0</v>
      </c>
      <c r="K440" s="181">
        <f>TOBEPAID!K327/1000</f>
        <v>0</v>
      </c>
      <c r="L440" s="181">
        <f>TOBEPAID!L327/1000</f>
        <v>0</v>
      </c>
      <c r="M440" s="181">
        <f>TOBEPAID!M327/1000</f>
        <v>0</v>
      </c>
      <c r="N440" s="181">
        <f>TOBEPAID!N327/1000</f>
        <v>0</v>
      </c>
      <c r="O440" s="181">
        <f>TOBEPAID!O327/1000</f>
        <v>0</v>
      </c>
      <c r="P440" s="181">
        <f>TOBEPAID!P327/1000</f>
        <v>0</v>
      </c>
      <c r="Q440" s="181">
        <f>TOBEPAID!Q327/1000</f>
        <v>0</v>
      </c>
      <c r="R440" s="181">
        <v>0</v>
      </c>
      <c r="S440" s="181">
        <f>TOBEPAID!S327/1000</f>
        <v>0</v>
      </c>
      <c r="T440" s="181">
        <f>TOBEPAID!T327/1000</f>
        <v>0</v>
      </c>
      <c r="U440" s="181">
        <f>TOBEPAID!U327/1000</f>
        <v>0</v>
      </c>
      <c r="V440" s="181">
        <f>TOBEPAID!V327/1000</f>
        <v>0</v>
      </c>
      <c r="W440" s="181">
        <f>TOBEPAID!W327/1000</f>
        <v>0</v>
      </c>
      <c r="X440" s="181">
        <f>TOBEPAID!X327/1000</f>
        <v>0</v>
      </c>
      <c r="Y440" s="181">
        <f t="shared" si="76"/>
        <v>0</v>
      </c>
      <c r="Z440" s="181">
        <f t="shared" si="70"/>
        <v>0</v>
      </c>
      <c r="AA440" s="181">
        <f>TOBEPAID!AA327/1000</f>
        <v>0</v>
      </c>
      <c r="AB440" s="181">
        <f>TOBEPAID!AB327/1000</f>
        <v>12000</v>
      </c>
      <c r="AC440" s="181"/>
      <c r="AD440" s="181"/>
      <c r="AE440" s="186" t="s">
        <v>47</v>
      </c>
      <c r="AF440" s="195">
        <f>D273+D293+D307+D323+D333+D360+D370+D409+D422+D438</f>
        <v>51002.371919999998</v>
      </c>
      <c r="AG440" s="195">
        <f>E273+E293+E307+E323+E333+E360+E370+E409+E422+E438</f>
        <v>51002.375399999997</v>
      </c>
      <c r="AH440" s="195">
        <f>F272+F292+F302+F356+F369+F407+F421+F432</f>
        <v>0</v>
      </c>
      <c r="AI440" s="195">
        <f t="shared" si="71"/>
        <v>51002.375399999997</v>
      </c>
      <c r="AJ440" s="195">
        <f>L273+L293+L307+L323+L333+L360+L370+L409+L422+L438</f>
        <v>0</v>
      </c>
      <c r="AK440" s="195">
        <f t="shared" si="72"/>
        <v>51002.375399999997</v>
      </c>
      <c r="AL440" s="195">
        <f>O273+O293+O307+O323+O333+O360+O370+O409+O422+O438</f>
        <v>0</v>
      </c>
      <c r="AM440" s="195">
        <f>P273+P293+P307+P323+P333+P360+P370+P409+P422+P438</f>
        <v>0</v>
      </c>
      <c r="AN440" s="195">
        <f t="shared" ref="AN440:AN454" si="77">+AL440+AM440</f>
        <v>0</v>
      </c>
      <c r="AO440" s="195">
        <f>V273+V293+V307+V323+V333+V360+V370+V409+V422+V438</f>
        <v>0</v>
      </c>
      <c r="AP440" s="195">
        <f t="shared" ref="AP440:AP454" si="78">+AN440+AO440</f>
        <v>0</v>
      </c>
      <c r="AQ440" s="195">
        <f t="shared" si="74"/>
        <v>51002.375399999997</v>
      </c>
      <c r="AR440" s="195">
        <f t="shared" si="75"/>
        <v>-3.4799999993992969E-3</v>
      </c>
      <c r="AS440" s="195">
        <f t="shared" si="69"/>
        <v>67248.699639999992</v>
      </c>
    </row>
    <row r="441" spans="1:45" x14ac:dyDescent="0.2">
      <c r="A441" s="180"/>
      <c r="C441" s="192" t="s">
        <v>39</v>
      </c>
      <c r="D441" s="181">
        <f>626845/1000</f>
        <v>626.84500000000003</v>
      </c>
      <c r="E441" s="181">
        <f>TOBEPAID!E328/1000</f>
        <v>0</v>
      </c>
      <c r="F441" s="181">
        <f>TOBEPAID!F328/1000</f>
        <v>0</v>
      </c>
      <c r="G441" s="181">
        <f>TOBEPAID!G328/1000</f>
        <v>0</v>
      </c>
      <c r="H441" s="181">
        <v>0</v>
      </c>
      <c r="I441" s="181">
        <f>TOBEPAID!I328/1000</f>
        <v>0</v>
      </c>
      <c r="J441" s="181">
        <f>TOBEPAID!J328/1000</f>
        <v>0</v>
      </c>
      <c r="K441" s="181">
        <f>TOBEPAID!K328/1000</f>
        <v>0</v>
      </c>
      <c r="L441" s="181">
        <f>TOBEPAID!L328/1000</f>
        <v>0</v>
      </c>
      <c r="M441" s="181">
        <f>TOBEPAID!M328/1000</f>
        <v>0</v>
      </c>
      <c r="N441" s="181">
        <f>TOBEPAID!N328/1000</f>
        <v>0</v>
      </c>
      <c r="O441" s="181">
        <f>TOBEPAID!O328/1000</f>
        <v>626.84559999999999</v>
      </c>
      <c r="P441" s="181">
        <f>TOBEPAID!P328/1000</f>
        <v>0</v>
      </c>
      <c r="Q441" s="181">
        <f>TOBEPAID!Q328/1000</f>
        <v>0</v>
      </c>
      <c r="R441" s="181">
        <f>626845/1000</f>
        <v>626.84500000000003</v>
      </c>
      <c r="S441" s="181">
        <f>TOBEPAID!S328/1000</f>
        <v>0</v>
      </c>
      <c r="T441" s="181">
        <f>TOBEPAID!T328/1000</f>
        <v>0</v>
      </c>
      <c r="U441" s="181">
        <f>TOBEPAID!U328/1000</f>
        <v>0</v>
      </c>
      <c r="V441" s="181">
        <f>TOBEPAID!V328/1000</f>
        <v>0</v>
      </c>
      <c r="W441" s="181">
        <f>TOBEPAID!W328/1000</f>
        <v>0</v>
      </c>
      <c r="X441" s="181">
        <f>TOBEPAID!X328/1000</f>
        <v>626.84559999999999</v>
      </c>
      <c r="Y441" s="181">
        <f t="shared" si="76"/>
        <v>626.84500000000003</v>
      </c>
      <c r="Z441" s="181">
        <f t="shared" si="70"/>
        <v>0</v>
      </c>
      <c r="AA441" s="181">
        <f>TOBEPAID!AA328/1000</f>
        <v>626.84559999999999</v>
      </c>
      <c r="AB441" s="181">
        <f>TOBEPAID!AB328/1000</f>
        <v>2241.3771599999995</v>
      </c>
      <c r="AC441" s="181"/>
      <c r="AD441" s="181"/>
      <c r="AE441" s="186" t="s">
        <v>36</v>
      </c>
      <c r="AF441" s="195">
        <f>D285+D339+D400+D411+D439+D448</f>
        <v>70835.137579999995</v>
      </c>
      <c r="AG441" s="195">
        <f>E285+E339+E400+E411+E439+E448</f>
        <v>0</v>
      </c>
      <c r="AH441" s="195">
        <f>F273+F338+F399+F410+F438+F447</f>
        <v>0</v>
      </c>
      <c r="AI441" s="195">
        <f t="shared" si="71"/>
        <v>0</v>
      </c>
      <c r="AJ441" s="195">
        <f>L285+L339+L400+L411+L439+L448</f>
        <v>0</v>
      </c>
      <c r="AK441" s="195">
        <f t="shared" si="72"/>
        <v>0</v>
      </c>
      <c r="AL441" s="195">
        <f>O285+O339+O400+O411+O439+O448</f>
        <v>3586.4379400000003</v>
      </c>
      <c r="AM441" s="195">
        <f>P285+P339+P400+P411+P439+P448</f>
        <v>0</v>
      </c>
      <c r="AN441" s="195">
        <f t="shared" si="77"/>
        <v>3586.4379400000003</v>
      </c>
      <c r="AO441" s="195">
        <f>V285+V339+V400+V411+V439+V448</f>
        <v>0</v>
      </c>
      <c r="AP441" s="195">
        <f t="shared" si="78"/>
        <v>3586.4379400000003</v>
      </c>
      <c r="AQ441" s="195">
        <f t="shared" si="74"/>
        <v>3586.4379400000003</v>
      </c>
      <c r="AR441" s="195">
        <f t="shared" si="75"/>
        <v>67248.699639999992</v>
      </c>
      <c r="AS441" s="195">
        <f t="shared" si="69"/>
        <v>11956.203769999998</v>
      </c>
    </row>
    <row r="442" spans="1:45" x14ac:dyDescent="0.2">
      <c r="A442" s="180"/>
      <c r="B442" s="172"/>
      <c r="D442" s="182" t="s">
        <v>40</v>
      </c>
      <c r="E442" s="182" t="s">
        <v>40</v>
      </c>
      <c r="F442" s="182" t="s">
        <v>40</v>
      </c>
      <c r="G442" s="182"/>
      <c r="H442" s="182" t="s">
        <v>40</v>
      </c>
      <c r="I442" s="182" t="s">
        <v>40</v>
      </c>
      <c r="J442" s="182" t="s">
        <v>40</v>
      </c>
      <c r="K442" s="182" t="s">
        <v>40</v>
      </c>
      <c r="L442" s="182" t="s">
        <v>40</v>
      </c>
      <c r="M442" s="182"/>
      <c r="N442" s="182" t="s">
        <v>40</v>
      </c>
      <c r="O442" s="182" t="s">
        <v>40</v>
      </c>
      <c r="P442" s="182" t="s">
        <v>40</v>
      </c>
      <c r="Q442" s="182"/>
      <c r="R442" s="182" t="s">
        <v>40</v>
      </c>
      <c r="S442" s="182" t="s">
        <v>40</v>
      </c>
      <c r="T442" s="182" t="s">
        <v>40</v>
      </c>
      <c r="U442" s="182" t="s">
        <v>40</v>
      </c>
      <c r="V442" s="182" t="s">
        <v>40</v>
      </c>
      <c r="W442" s="182"/>
      <c r="X442" s="182" t="s">
        <v>40</v>
      </c>
      <c r="Y442" s="182" t="s">
        <v>40</v>
      </c>
      <c r="Z442" s="182" t="s">
        <v>40</v>
      </c>
      <c r="AA442" s="182" t="s">
        <v>40</v>
      </c>
      <c r="AB442" s="182" t="s">
        <v>40</v>
      </c>
      <c r="AC442" s="182"/>
      <c r="AD442" s="182"/>
      <c r="AE442" s="186" t="s">
        <v>183</v>
      </c>
      <c r="AF442" s="195">
        <f>D287+D340+D402+D414+D441+D452</f>
        <v>12583.049369999999</v>
      </c>
      <c r="AG442" s="195">
        <f>E287+E340+E402+E414+E441+E452</f>
        <v>0</v>
      </c>
      <c r="AH442" s="195">
        <f>F286+F339+F401+F413+F440+F451</f>
        <v>0</v>
      </c>
      <c r="AI442" s="195">
        <f t="shared" si="71"/>
        <v>0</v>
      </c>
      <c r="AJ442" s="195">
        <f>L287+L340+L402+L414+L441+L452</f>
        <v>0</v>
      </c>
      <c r="AK442" s="195">
        <f t="shared" si="72"/>
        <v>0</v>
      </c>
      <c r="AL442" s="195">
        <f>O287+O340+O402+O414+O441+O452</f>
        <v>626.84559999999999</v>
      </c>
      <c r="AM442" s="195">
        <f>P287+P340+P402+P414+P441+P452</f>
        <v>0</v>
      </c>
      <c r="AN442" s="195">
        <f t="shared" si="77"/>
        <v>626.84559999999999</v>
      </c>
      <c r="AO442" s="195">
        <f>V287+V340+V402+V414+V441+V452</f>
        <v>0</v>
      </c>
      <c r="AP442" s="195">
        <f t="shared" si="78"/>
        <v>626.84559999999999</v>
      </c>
      <c r="AQ442" s="195">
        <f t="shared" si="74"/>
        <v>626.84559999999999</v>
      </c>
      <c r="AR442" s="195">
        <f t="shared" si="75"/>
        <v>11956.203769999998</v>
      </c>
      <c r="AS442" s="195">
        <f t="shared" si="69"/>
        <v>7853.9998000000005</v>
      </c>
    </row>
    <row r="443" spans="1:45" x14ac:dyDescent="0.2">
      <c r="A443" s="180"/>
      <c r="D443" s="181">
        <f>SUM(D432:D441)</f>
        <v>438860.67451000004</v>
      </c>
      <c r="E443" s="181">
        <f>SUM(E432:E441)</f>
        <v>56940.255669999999</v>
      </c>
      <c r="F443" s="181">
        <f>SUM(F432:F441)</f>
        <v>17500</v>
      </c>
      <c r="G443" s="181"/>
      <c r="H443" s="181">
        <f>SUM(H432:H441)</f>
        <v>431567.44000000006</v>
      </c>
      <c r="I443" s="181">
        <f>SUM(I432:I441)</f>
        <v>0</v>
      </c>
      <c r="J443" s="181">
        <f>SUM(J432:J441)</f>
        <v>0</v>
      </c>
      <c r="K443" s="181">
        <f>SUM(K432:K441)</f>
        <v>0</v>
      </c>
      <c r="L443" s="181">
        <f>SUM(L432:L441)</f>
        <v>0</v>
      </c>
      <c r="M443" s="181"/>
      <c r="N443" s="181">
        <f>SUM(N432:N441)</f>
        <v>74440.255669999999</v>
      </c>
      <c r="O443" s="181">
        <f>SUM(O432:O441)</f>
        <v>6256.6653000000006</v>
      </c>
      <c r="P443" s="181">
        <f>SUM(P432:P441)</f>
        <v>0</v>
      </c>
      <c r="Q443" s="181"/>
      <c r="R443" s="181">
        <f>SUM(R432:R441)</f>
        <v>6307.3180000000002</v>
      </c>
      <c r="S443" s="181">
        <f>SUM(S432:S441)</f>
        <v>1479.7539999999999</v>
      </c>
      <c r="T443" s="181">
        <f>SUM(T432:T441)</f>
        <v>0</v>
      </c>
      <c r="U443" s="181">
        <f>SUM(U432:U441)</f>
        <v>0</v>
      </c>
      <c r="V443" s="181">
        <f>SUM(V432:V441)</f>
        <v>0</v>
      </c>
      <c r="W443" s="181"/>
      <c r="X443" s="181">
        <f>SUM(X432:X441)</f>
        <v>6256.6653000000006</v>
      </c>
      <c r="Y443" s="181">
        <f>SUM(Y432:Y441)</f>
        <v>437874.75800000003</v>
      </c>
      <c r="Z443" s="181">
        <f>SUM(Z432:Z441)</f>
        <v>985.9165099999974</v>
      </c>
      <c r="AA443" s="181">
        <f>SUM(AA432:AA441)</f>
        <v>80696.920969999992</v>
      </c>
      <c r="AB443" s="181">
        <f>SUM(AB432:AB441)</f>
        <v>68536.570800000016</v>
      </c>
      <c r="AC443" s="181"/>
      <c r="AD443" s="181"/>
      <c r="AE443" s="186" t="s">
        <v>184</v>
      </c>
      <c r="AF443" s="195">
        <f>D286+D401+D413+D440+D451</f>
        <v>7995.3450000000003</v>
      </c>
      <c r="AG443" s="195">
        <f>E286+E401+E413+E440+E451</f>
        <v>0</v>
      </c>
      <c r="AH443" s="195">
        <f>F285+F400+F411+F439+F448</f>
        <v>0</v>
      </c>
      <c r="AI443" s="195">
        <f t="shared" si="71"/>
        <v>0</v>
      </c>
      <c r="AJ443" s="195">
        <f>L286+L401+L413+L440+L451</f>
        <v>0</v>
      </c>
      <c r="AK443" s="195">
        <f t="shared" si="72"/>
        <v>0</v>
      </c>
      <c r="AL443" s="195">
        <f>O286+O401+O413+O440+O451</f>
        <v>141.34520000000001</v>
      </c>
      <c r="AM443" s="195">
        <f>P286+P401+P413+P440+P451</f>
        <v>0</v>
      </c>
      <c r="AN443" s="195">
        <f t="shared" si="77"/>
        <v>141.34520000000001</v>
      </c>
      <c r="AO443" s="195">
        <f>V286+V401+V413+V440+V451</f>
        <v>0</v>
      </c>
      <c r="AP443" s="195">
        <f t="shared" si="78"/>
        <v>141.34520000000001</v>
      </c>
      <c r="AQ443" s="195">
        <f t="shared" si="74"/>
        <v>141.34520000000001</v>
      </c>
      <c r="AR443" s="195">
        <f t="shared" si="75"/>
        <v>7853.9998000000005</v>
      </c>
      <c r="AS443" s="195">
        <f t="shared" si="69"/>
        <v>0</v>
      </c>
    </row>
    <row r="444" spans="1:45" x14ac:dyDescent="0.2">
      <c r="A444" s="180"/>
      <c r="D444" s="182" t="s">
        <v>40</v>
      </c>
      <c r="E444" s="182" t="s">
        <v>40</v>
      </c>
      <c r="F444" s="182" t="s">
        <v>40</v>
      </c>
      <c r="G444" s="182"/>
      <c r="H444" s="182" t="s">
        <v>40</v>
      </c>
      <c r="I444" s="182" t="s">
        <v>40</v>
      </c>
      <c r="J444" s="182" t="s">
        <v>40</v>
      </c>
      <c r="K444" s="182" t="s">
        <v>40</v>
      </c>
      <c r="L444" s="182" t="s">
        <v>40</v>
      </c>
      <c r="M444" s="182"/>
      <c r="N444" s="182" t="s">
        <v>40</v>
      </c>
      <c r="O444" s="182" t="s">
        <v>40</v>
      </c>
      <c r="P444" s="182" t="s">
        <v>40</v>
      </c>
      <c r="Q444" s="182"/>
      <c r="R444" s="182" t="s">
        <v>40</v>
      </c>
      <c r="S444" s="182" t="s">
        <v>40</v>
      </c>
      <c r="T444" s="182" t="s">
        <v>40</v>
      </c>
      <c r="U444" s="182" t="s">
        <v>40</v>
      </c>
      <c r="V444" s="182" t="s">
        <v>40</v>
      </c>
      <c r="W444" s="182"/>
      <c r="X444" s="182" t="s">
        <v>40</v>
      </c>
      <c r="Y444" s="182" t="s">
        <v>40</v>
      </c>
      <c r="Z444" s="182" t="s">
        <v>40</v>
      </c>
      <c r="AA444" s="182" t="s">
        <v>40</v>
      </c>
      <c r="AB444" s="182" t="s">
        <v>40</v>
      </c>
      <c r="AC444" s="182"/>
      <c r="AD444" s="182"/>
      <c r="AE444" s="186" t="s">
        <v>38</v>
      </c>
      <c r="AF444" s="195">
        <f>+D423</f>
        <v>8840</v>
      </c>
      <c r="AG444" s="195">
        <f>+E423</f>
        <v>8840</v>
      </c>
      <c r="AH444" s="195">
        <f>+F422</f>
        <v>0</v>
      </c>
      <c r="AI444" s="195">
        <f t="shared" si="71"/>
        <v>8840</v>
      </c>
      <c r="AJ444" s="195">
        <f>+L423</f>
        <v>0</v>
      </c>
      <c r="AK444" s="195">
        <f t="shared" si="72"/>
        <v>8840</v>
      </c>
      <c r="AL444" s="195">
        <f>+O423</f>
        <v>0</v>
      </c>
      <c r="AM444" s="195">
        <f>+P423</f>
        <v>0</v>
      </c>
      <c r="AN444" s="195">
        <f t="shared" si="77"/>
        <v>0</v>
      </c>
      <c r="AO444" s="195">
        <f>+V423</f>
        <v>0</v>
      </c>
      <c r="AP444" s="195">
        <f t="shared" si="78"/>
        <v>0</v>
      </c>
      <c r="AQ444" s="195">
        <f t="shared" si="74"/>
        <v>8840</v>
      </c>
      <c r="AR444" s="195">
        <f t="shared" si="75"/>
        <v>0</v>
      </c>
      <c r="AS444" s="195">
        <f t="shared" si="69"/>
        <v>-1.1899999990419019E-3</v>
      </c>
    </row>
    <row r="445" spans="1:45" x14ac:dyDescent="0.2">
      <c r="D445" s="182"/>
      <c r="E445" s="182"/>
      <c r="F445" s="182"/>
      <c r="G445" s="182"/>
      <c r="H445" s="182"/>
      <c r="I445" s="182"/>
      <c r="J445" s="182"/>
      <c r="K445" s="182"/>
      <c r="L445" s="182"/>
      <c r="M445" s="182"/>
      <c r="N445" s="182"/>
      <c r="O445" s="182"/>
      <c r="P445" s="182"/>
      <c r="Q445" s="182"/>
      <c r="R445" s="182"/>
      <c r="S445" s="182"/>
      <c r="T445" s="182"/>
      <c r="U445" s="182"/>
      <c r="V445" s="182"/>
      <c r="W445" s="182"/>
      <c r="X445" s="182"/>
      <c r="Y445" s="182"/>
      <c r="Z445" s="182"/>
      <c r="AA445" s="182"/>
      <c r="AB445" s="182"/>
      <c r="AC445" s="182"/>
      <c r="AD445" s="182"/>
      <c r="AE445" s="186" t="s">
        <v>72</v>
      </c>
      <c r="AF445" s="195">
        <f>D295+D309+D325+D338+D351</f>
        <v>25796.766770000002</v>
      </c>
      <c r="AG445" s="195">
        <f>E295+E309+E325+E338+E351</f>
        <v>25796.767960000001</v>
      </c>
      <c r="AH445" s="195">
        <f>F294+F308+F324+F334+F346</f>
        <v>0</v>
      </c>
      <c r="AI445" s="195">
        <f t="shared" si="71"/>
        <v>25796.767960000001</v>
      </c>
      <c r="AJ445" s="195">
        <f>L295+L309+L325+L338+L351</f>
        <v>0</v>
      </c>
      <c r="AK445" s="195">
        <f t="shared" si="72"/>
        <v>25796.767960000001</v>
      </c>
      <c r="AL445" s="195">
        <f>O295+O309+O325+O338+O351</f>
        <v>0</v>
      </c>
      <c r="AM445" s="195">
        <f>P295+P309+P325+P338+P351</f>
        <v>0</v>
      </c>
      <c r="AN445" s="195">
        <f t="shared" si="77"/>
        <v>0</v>
      </c>
      <c r="AO445" s="195">
        <f>V295+V309+V325+V338+V351</f>
        <v>0</v>
      </c>
      <c r="AP445" s="195">
        <f t="shared" si="78"/>
        <v>0</v>
      </c>
      <c r="AQ445" s="195">
        <f t="shared" si="74"/>
        <v>25796.767960000001</v>
      </c>
      <c r="AR445" s="195">
        <f t="shared" si="75"/>
        <v>-1.1899999990419019E-3</v>
      </c>
      <c r="AS445" s="195">
        <f t="shared" si="69"/>
        <v>-6.2999999499879777E-4</v>
      </c>
    </row>
    <row r="446" spans="1:45" x14ac:dyDescent="0.2">
      <c r="A446" s="180">
        <v>31</v>
      </c>
      <c r="B446" s="166" t="s">
        <v>75</v>
      </c>
      <c r="C446" s="166" t="s">
        <v>35</v>
      </c>
      <c r="D446" s="181">
        <f>197515116.45/1000</f>
        <v>197515.11645</v>
      </c>
      <c r="E446" s="181">
        <f>TOBEPAID!E333/1000</f>
        <v>0</v>
      </c>
      <c r="F446" s="181">
        <f>TOBEPAID!F333/1000</f>
        <v>0</v>
      </c>
      <c r="G446" s="181">
        <f>TOBEPAID!G333/1000</f>
        <v>0</v>
      </c>
      <c r="H446" s="181">
        <f>62690213.11/1000</f>
        <v>62690.213109999997</v>
      </c>
      <c r="I446" s="181">
        <f>TOBEPAID!I333/1000</f>
        <v>0</v>
      </c>
      <c r="J446" s="181">
        <f>TOBEPAID!J333/1000</f>
        <v>0</v>
      </c>
      <c r="K446" s="181">
        <f>TOBEPAID!K333/1000</f>
        <v>0</v>
      </c>
      <c r="L446" s="181">
        <f>TOBEPAID!L333/1000</f>
        <v>0</v>
      </c>
      <c r="M446" s="181">
        <f>TOBEPAID!M333/1000</f>
        <v>0</v>
      </c>
      <c r="N446" s="181">
        <f>TOBEPAID!N333/1000</f>
        <v>0</v>
      </c>
      <c r="O446" s="181">
        <f>TOBEPAID!O333/1000</f>
        <v>0</v>
      </c>
      <c r="P446" s="181">
        <f>TOBEPAID!P333/1000</f>
        <v>0</v>
      </c>
      <c r="Q446" s="181">
        <f>TOBEPAID!Q333/1000</f>
        <v>0</v>
      </c>
      <c r="R446" s="181">
        <v>0</v>
      </c>
      <c r="S446" s="181">
        <f>TOBEPAID!S333/1000</f>
        <v>0</v>
      </c>
      <c r="T446" s="181">
        <f>TOBEPAID!T333/1000</f>
        <v>0</v>
      </c>
      <c r="U446" s="181">
        <f>TOBEPAID!U333/1000</f>
        <v>0</v>
      </c>
      <c r="V446" s="181">
        <f>TOBEPAID!V333/1000</f>
        <v>0</v>
      </c>
      <c r="W446" s="181">
        <f>TOBEPAID!W333/1000</f>
        <v>0</v>
      </c>
      <c r="X446" s="181">
        <f>TOBEPAID!X333/1000</f>
        <v>0</v>
      </c>
      <c r="Y446" s="181">
        <f t="shared" ref="Y446:Y452" si="79">+H446+R446</f>
        <v>62690.213109999997</v>
      </c>
      <c r="Z446" s="181">
        <f t="shared" ref="Z446:Z452" si="80">+D446-Y446</f>
        <v>134824.90334000002</v>
      </c>
      <c r="AA446" s="181">
        <f>TOBEPAID!AA333/1000</f>
        <v>0</v>
      </c>
      <c r="AB446" s="181">
        <f>TOBEPAID!AB333/1000</f>
        <v>54449.18058</v>
      </c>
      <c r="AC446" s="181"/>
      <c r="AD446" s="181"/>
      <c r="AE446" s="186" t="s">
        <v>263</v>
      </c>
      <c r="AF446" s="195">
        <f>D308+D324+D334+D361+D378+D424</f>
        <v>191367.10699999999</v>
      </c>
      <c r="AG446" s="195">
        <f>E308+E324+E334+E361+E378+E424</f>
        <v>191367.10762999998</v>
      </c>
      <c r="AH446" s="195">
        <f>F307+F323+F333+F360+F377+F423</f>
        <v>0</v>
      </c>
      <c r="AI446" s="195">
        <f t="shared" si="71"/>
        <v>191367.10762999998</v>
      </c>
      <c r="AJ446" s="195">
        <f>L308+L324+L334+L361+L378+L424</f>
        <v>0</v>
      </c>
      <c r="AK446" s="195">
        <f t="shared" si="72"/>
        <v>191367.10762999998</v>
      </c>
      <c r="AL446" s="195">
        <f>O308+O324+O334+O361+O378+O424</f>
        <v>0</v>
      </c>
      <c r="AM446" s="195">
        <f>P308+P324+P334+P361+P378+P424</f>
        <v>0</v>
      </c>
      <c r="AN446" s="195">
        <f t="shared" si="77"/>
        <v>0</v>
      </c>
      <c r="AO446" s="195">
        <f>V308+V324+V334+V361+V378+V424</f>
        <v>0</v>
      </c>
      <c r="AP446" s="195">
        <f t="shared" si="78"/>
        <v>0</v>
      </c>
      <c r="AQ446" s="195">
        <f t="shared" si="74"/>
        <v>191367.10762999998</v>
      </c>
      <c r="AR446" s="195">
        <f t="shared" si="75"/>
        <v>-6.2999999499879777E-4</v>
      </c>
      <c r="AS446" s="195">
        <f t="shared" si="69"/>
        <v>0</v>
      </c>
    </row>
    <row r="447" spans="1:45" x14ac:dyDescent="0.2">
      <c r="A447" s="180"/>
      <c r="C447" s="166" t="s">
        <v>76</v>
      </c>
      <c r="D447" s="181">
        <v>0</v>
      </c>
      <c r="E447" s="181">
        <f>TOBEPAID!E334/1000</f>
        <v>0</v>
      </c>
      <c r="F447" s="181">
        <f>TOBEPAID!F334/1000</f>
        <v>0</v>
      </c>
      <c r="G447" s="181">
        <f>TOBEPAID!G334/1000</f>
        <v>0</v>
      </c>
      <c r="H447" s="181">
        <v>0</v>
      </c>
      <c r="I447" s="181">
        <f>TOBEPAID!I334/1000</f>
        <v>0</v>
      </c>
      <c r="J447" s="181">
        <f>TOBEPAID!J334/1000</f>
        <v>0</v>
      </c>
      <c r="K447" s="181">
        <f>TOBEPAID!K334/1000</f>
        <v>0</v>
      </c>
      <c r="L447" s="181">
        <f>TOBEPAID!L334/1000</f>
        <v>0</v>
      </c>
      <c r="M447" s="181">
        <f>TOBEPAID!M334/1000</f>
        <v>0</v>
      </c>
      <c r="N447" s="181">
        <f>TOBEPAID!N334/1000</f>
        <v>0</v>
      </c>
      <c r="O447" s="181">
        <f>TOBEPAID!O334/1000</f>
        <v>0</v>
      </c>
      <c r="P447" s="181">
        <f>TOBEPAID!P334/1000</f>
        <v>0</v>
      </c>
      <c r="Q447" s="181">
        <f>TOBEPAID!Q334/1000</f>
        <v>0</v>
      </c>
      <c r="R447" s="181">
        <v>0</v>
      </c>
      <c r="S447" s="181">
        <f>TOBEPAID!S334/1000</f>
        <v>0</v>
      </c>
      <c r="T447" s="181">
        <f>TOBEPAID!T334/1000</f>
        <v>0</v>
      </c>
      <c r="U447" s="181">
        <f>TOBEPAID!U334/1000</f>
        <v>0</v>
      </c>
      <c r="V447" s="181">
        <f>TOBEPAID!V334/1000</f>
        <v>0</v>
      </c>
      <c r="W447" s="181">
        <f>TOBEPAID!W334/1000</f>
        <v>0</v>
      </c>
      <c r="X447" s="181">
        <f>TOBEPAID!X334/1000</f>
        <v>0</v>
      </c>
      <c r="Y447" s="181">
        <f t="shared" si="79"/>
        <v>0</v>
      </c>
      <c r="Z447" s="181">
        <f t="shared" si="80"/>
        <v>0</v>
      </c>
      <c r="AA447" s="181">
        <f>TOBEPAID!AA334/1000</f>
        <v>0</v>
      </c>
      <c r="AB447" s="181">
        <f>TOBEPAID!AB334/1000</f>
        <v>1872.4170100000001</v>
      </c>
      <c r="AC447" s="181"/>
      <c r="AD447" s="181"/>
      <c r="AE447" s="186" t="s">
        <v>65</v>
      </c>
      <c r="AF447" s="195">
        <f>D294+D377+D410</f>
        <v>116031</v>
      </c>
      <c r="AG447" s="195">
        <f>E294+E377+E410</f>
        <v>116031</v>
      </c>
      <c r="AH447" s="195">
        <f>F293+F370+F409</f>
        <v>0</v>
      </c>
      <c r="AI447" s="195">
        <f t="shared" si="71"/>
        <v>116031</v>
      </c>
      <c r="AJ447" s="195">
        <f>L294+L377+L410</f>
        <v>0</v>
      </c>
      <c r="AK447" s="195">
        <f t="shared" si="72"/>
        <v>116031</v>
      </c>
      <c r="AL447" s="195">
        <f>O294+O377+O410</f>
        <v>0</v>
      </c>
      <c r="AM447" s="195">
        <f>P294+P377+P410</f>
        <v>0</v>
      </c>
      <c r="AN447" s="195">
        <f t="shared" si="77"/>
        <v>0</v>
      </c>
      <c r="AO447" s="195">
        <f>V294+V377+V410</f>
        <v>0</v>
      </c>
      <c r="AP447" s="195">
        <f t="shared" si="78"/>
        <v>0</v>
      </c>
      <c r="AQ447" s="195">
        <f t="shared" si="74"/>
        <v>116031</v>
      </c>
      <c r="AR447" s="195">
        <f t="shared" si="75"/>
        <v>0</v>
      </c>
      <c r="AS447" s="195">
        <f t="shared" si="69"/>
        <v>655.52150999999992</v>
      </c>
    </row>
    <row r="448" spans="1:45" x14ac:dyDescent="0.2">
      <c r="A448" s="180"/>
      <c r="C448" s="166" t="s">
        <v>37</v>
      </c>
      <c r="D448" s="181">
        <f>595402.2/1000</f>
        <v>595.40219999999999</v>
      </c>
      <c r="E448" s="181">
        <f>TOBEPAID!E335/1000</f>
        <v>0</v>
      </c>
      <c r="F448" s="181">
        <f>TOBEPAID!F335/1000</f>
        <v>0</v>
      </c>
      <c r="G448" s="181">
        <f>TOBEPAID!G335/1000</f>
        <v>0</v>
      </c>
      <c r="H448" s="181">
        <v>0</v>
      </c>
      <c r="I448" s="181">
        <f>TOBEPAID!I335/1000</f>
        <v>0</v>
      </c>
      <c r="J448" s="181">
        <f>TOBEPAID!J335/1000</f>
        <v>0</v>
      </c>
      <c r="K448" s="181">
        <f>TOBEPAID!K335/1000</f>
        <v>0</v>
      </c>
      <c r="L448" s="181">
        <f>TOBEPAID!L335/1000</f>
        <v>0</v>
      </c>
      <c r="M448" s="181">
        <f>TOBEPAID!M335/1000</f>
        <v>0</v>
      </c>
      <c r="N448" s="181">
        <f>TOBEPAID!N335/1000</f>
        <v>0</v>
      </c>
      <c r="O448" s="181">
        <f>TOBEPAID!O335/1000</f>
        <v>595.40219999999999</v>
      </c>
      <c r="P448" s="181">
        <f>TOBEPAID!P335/1000</f>
        <v>0</v>
      </c>
      <c r="Q448" s="181">
        <f>TOBEPAID!Q335/1000</f>
        <v>0</v>
      </c>
      <c r="R448" s="181">
        <f>595402/1000</f>
        <v>595.40200000000004</v>
      </c>
      <c r="S448" s="181">
        <f>TOBEPAID!S335/1000</f>
        <v>0</v>
      </c>
      <c r="T448" s="181">
        <f>TOBEPAID!T335/1000</f>
        <v>0</v>
      </c>
      <c r="U448" s="181">
        <f>TOBEPAID!U335/1000</f>
        <v>0</v>
      </c>
      <c r="V448" s="181">
        <f>TOBEPAID!V335/1000</f>
        <v>0</v>
      </c>
      <c r="W448" s="181">
        <f>TOBEPAID!W335/1000</f>
        <v>0</v>
      </c>
      <c r="X448" s="181">
        <f>TOBEPAID!X335/1000</f>
        <v>595.40219999999999</v>
      </c>
      <c r="Y448" s="181">
        <f t="shared" si="79"/>
        <v>595.40200000000004</v>
      </c>
      <c r="Z448" s="181">
        <f t="shared" si="80"/>
        <v>1.9999999994979589E-4</v>
      </c>
      <c r="AA448" s="181">
        <f>TOBEPAID!AA335/1000</f>
        <v>595.40219999999999</v>
      </c>
      <c r="AB448" s="181">
        <f>TOBEPAID!AB335/1000</f>
        <v>95330.967709999997</v>
      </c>
      <c r="AC448" s="181"/>
      <c r="AD448" s="181"/>
      <c r="AE448" s="186" t="s">
        <v>262</v>
      </c>
      <c r="AF448" s="195">
        <f>+D415</f>
        <v>7039.799</v>
      </c>
      <c r="AG448" s="195">
        <f>+E415</f>
        <v>5549.05519</v>
      </c>
      <c r="AH448" s="195">
        <f>+F414</f>
        <v>0</v>
      </c>
      <c r="AI448" s="195">
        <f t="shared" si="71"/>
        <v>5549.05519</v>
      </c>
      <c r="AJ448" s="195">
        <f>+L415</f>
        <v>0</v>
      </c>
      <c r="AK448" s="195">
        <f t="shared" si="72"/>
        <v>5549.05519</v>
      </c>
      <c r="AL448" s="195">
        <f>+O415</f>
        <v>835.22230000000002</v>
      </c>
      <c r="AM448" s="195">
        <f>+P415</f>
        <v>0</v>
      </c>
      <c r="AN448" s="195">
        <f t="shared" si="77"/>
        <v>835.22230000000002</v>
      </c>
      <c r="AO448" s="195">
        <f>+V415</f>
        <v>0</v>
      </c>
      <c r="AP448" s="195">
        <f t="shared" si="78"/>
        <v>835.22230000000002</v>
      </c>
      <c r="AQ448" s="195">
        <f t="shared" si="74"/>
        <v>6384.2774900000004</v>
      </c>
      <c r="AR448" s="195">
        <f t="shared" si="75"/>
        <v>655.52150999999958</v>
      </c>
      <c r="AS448" s="195">
        <f>+AF451-AK451-AP451</f>
        <v>14632.388450000013</v>
      </c>
    </row>
    <row r="449" spans="1:45" x14ac:dyDescent="0.2">
      <c r="A449" s="180"/>
      <c r="C449" s="166" t="s">
        <v>468</v>
      </c>
      <c r="D449" s="181">
        <v>0</v>
      </c>
      <c r="E449" s="181"/>
      <c r="F449" s="181"/>
      <c r="G449" s="181"/>
      <c r="H449" s="181">
        <f>D449</f>
        <v>0</v>
      </c>
      <c r="I449" s="181"/>
      <c r="J449" s="181"/>
      <c r="K449" s="181"/>
      <c r="L449" s="181"/>
      <c r="M449" s="181"/>
      <c r="N449" s="181"/>
      <c r="O449" s="181"/>
      <c r="P449" s="181"/>
      <c r="Q449" s="181"/>
      <c r="R449" s="181">
        <v>0</v>
      </c>
      <c r="S449" s="181"/>
      <c r="T449" s="181"/>
      <c r="U449" s="181"/>
      <c r="V449" s="181"/>
      <c r="W449" s="181"/>
      <c r="X449" s="181"/>
      <c r="Y449" s="181">
        <f>+H449+R449</f>
        <v>0</v>
      </c>
      <c r="Z449" s="181">
        <f>+D449-Y449</f>
        <v>0</v>
      </c>
      <c r="AA449" s="181"/>
      <c r="AB449" s="181"/>
      <c r="AC449" s="181"/>
      <c r="AD449" s="181"/>
      <c r="AE449" s="186"/>
      <c r="AF449" s="195"/>
      <c r="AG449" s="195"/>
      <c r="AH449" s="195"/>
      <c r="AI449" s="195"/>
      <c r="AJ449" s="195"/>
      <c r="AK449" s="195"/>
      <c r="AL449" s="195"/>
      <c r="AM449" s="195"/>
      <c r="AN449" s="195"/>
      <c r="AO449" s="195"/>
      <c r="AP449" s="195"/>
      <c r="AQ449" s="195"/>
      <c r="AR449" s="195"/>
      <c r="AS449" s="195"/>
    </row>
    <row r="450" spans="1:45" x14ac:dyDescent="0.2">
      <c r="A450" s="180"/>
      <c r="C450" s="165" t="s">
        <v>290</v>
      </c>
      <c r="D450" s="181">
        <f>31469357.73/1000</f>
        <v>31469.35773</v>
      </c>
      <c r="E450" s="181"/>
      <c r="F450" s="181"/>
      <c r="G450" s="181"/>
      <c r="H450" s="181">
        <f>31469357/1000</f>
        <v>31469.357</v>
      </c>
      <c r="I450" s="181"/>
      <c r="J450" s="181"/>
      <c r="K450" s="181"/>
      <c r="L450" s="181"/>
      <c r="M450" s="181"/>
      <c r="N450" s="181"/>
      <c r="O450" s="181"/>
      <c r="P450" s="181"/>
      <c r="Q450" s="181"/>
      <c r="R450" s="181">
        <v>0</v>
      </c>
      <c r="S450" s="181"/>
      <c r="T450" s="181"/>
      <c r="U450" s="181"/>
      <c r="V450" s="181"/>
      <c r="W450" s="181"/>
      <c r="X450" s="181"/>
      <c r="Y450" s="181">
        <f t="shared" si="79"/>
        <v>31469.357</v>
      </c>
      <c r="Z450" s="181">
        <f t="shared" si="80"/>
        <v>7.299999997485429E-4</v>
      </c>
      <c r="AA450" s="181"/>
      <c r="AB450" s="181"/>
      <c r="AC450" s="181"/>
      <c r="AD450" s="181"/>
      <c r="AE450" s="186"/>
      <c r="AF450" s="195"/>
      <c r="AG450" s="195"/>
      <c r="AH450" s="195"/>
      <c r="AI450" s="195"/>
      <c r="AJ450" s="195"/>
      <c r="AK450" s="195"/>
      <c r="AL450" s="195"/>
      <c r="AM450" s="195"/>
      <c r="AN450" s="195"/>
      <c r="AO450" s="195"/>
      <c r="AP450" s="195"/>
      <c r="AQ450" s="195"/>
      <c r="AR450" s="195"/>
      <c r="AS450" s="195"/>
    </row>
    <row r="451" spans="1:45" x14ac:dyDescent="0.2">
      <c r="A451" s="180"/>
      <c r="C451" s="166" t="s">
        <v>38</v>
      </c>
      <c r="D451" s="181">
        <v>0</v>
      </c>
      <c r="E451" s="181">
        <f>TOBEPAID!E336/1000</f>
        <v>0</v>
      </c>
      <c r="F451" s="181">
        <f>TOBEPAID!F336/1000</f>
        <v>0</v>
      </c>
      <c r="G451" s="181">
        <f>TOBEPAID!G336/1000</f>
        <v>0</v>
      </c>
      <c r="H451" s="181">
        <v>0</v>
      </c>
      <c r="I451" s="181">
        <f>TOBEPAID!I336/1000</f>
        <v>0</v>
      </c>
      <c r="J451" s="181">
        <f>TOBEPAID!J336/1000</f>
        <v>0</v>
      </c>
      <c r="K451" s="181">
        <f>TOBEPAID!K336/1000</f>
        <v>0</v>
      </c>
      <c r="L451" s="181">
        <f>TOBEPAID!L336/1000</f>
        <v>0</v>
      </c>
      <c r="M451" s="181">
        <f>TOBEPAID!M336/1000</f>
        <v>0</v>
      </c>
      <c r="N451" s="181">
        <f>TOBEPAID!N336/1000</f>
        <v>0</v>
      </c>
      <c r="O451" s="181">
        <f>TOBEPAID!O336/1000</f>
        <v>0</v>
      </c>
      <c r="P451" s="181">
        <f>TOBEPAID!P336/1000</f>
        <v>0</v>
      </c>
      <c r="Q451" s="181">
        <f>TOBEPAID!Q336/1000</f>
        <v>0</v>
      </c>
      <c r="R451" s="181">
        <v>0</v>
      </c>
      <c r="S451" s="181">
        <f>TOBEPAID!S336/1000</f>
        <v>0</v>
      </c>
      <c r="T451" s="181">
        <f>TOBEPAID!T336/1000</f>
        <v>0</v>
      </c>
      <c r="U451" s="181">
        <f>TOBEPAID!U336/1000</f>
        <v>0</v>
      </c>
      <c r="V451" s="181">
        <f>TOBEPAID!V336/1000</f>
        <v>0</v>
      </c>
      <c r="W451" s="181">
        <f>TOBEPAID!W336/1000</f>
        <v>0</v>
      </c>
      <c r="X451" s="181">
        <f>TOBEPAID!X336/1000</f>
        <v>0</v>
      </c>
      <c r="Y451" s="181">
        <f t="shared" si="79"/>
        <v>0</v>
      </c>
      <c r="Z451" s="181">
        <f t="shared" si="80"/>
        <v>0</v>
      </c>
      <c r="AA451" s="181">
        <f>TOBEPAID!AA336/1000</f>
        <v>0</v>
      </c>
      <c r="AB451" s="181">
        <f>TOBEPAID!AB336/1000</f>
        <v>15838.582990000001</v>
      </c>
      <c r="AC451" s="181"/>
      <c r="AD451" s="181"/>
      <c r="AE451" s="186" t="s">
        <v>259</v>
      </c>
      <c r="AF451" s="195">
        <f>D296+D310+D326+D379</f>
        <v>69819.843290000004</v>
      </c>
      <c r="AG451" s="195">
        <f>E296+E310+E326+E379</f>
        <v>0</v>
      </c>
      <c r="AH451" s="195">
        <f>F295+F309+F325+F378</f>
        <v>0</v>
      </c>
      <c r="AI451" s="195">
        <f>+AG451+AH451</f>
        <v>0</v>
      </c>
      <c r="AJ451" s="195">
        <f>L296+L310+L326+L379</f>
        <v>0</v>
      </c>
      <c r="AK451" s="195">
        <f>+AI451+AJ451</f>
        <v>0</v>
      </c>
      <c r="AL451" s="195">
        <f>O296+O310+O326+O379</f>
        <v>55187.454839999991</v>
      </c>
      <c r="AM451" s="195">
        <f>P296+P310+P326+P379</f>
        <v>0</v>
      </c>
      <c r="AN451" s="195">
        <f>+AL451+AM451</f>
        <v>55187.454839999991</v>
      </c>
      <c r="AO451" s="195">
        <f>+V326</f>
        <v>0</v>
      </c>
      <c r="AP451" s="195">
        <f>+AN451+AO451</f>
        <v>55187.454839999991</v>
      </c>
      <c r="AQ451" s="195">
        <f>+AI451+AN451</f>
        <v>55187.454839999991</v>
      </c>
      <c r="AR451" s="195">
        <f>+AF451-AQ451</f>
        <v>14632.388450000013</v>
      </c>
      <c r="AS451" s="195">
        <f t="shared" si="69"/>
        <v>-1.4400000072782859E-3</v>
      </c>
    </row>
    <row r="452" spans="1:45" x14ac:dyDescent="0.2">
      <c r="A452" s="180"/>
      <c r="C452" s="192" t="s">
        <v>39</v>
      </c>
      <c r="D452" s="181">
        <v>0</v>
      </c>
      <c r="E452" s="181">
        <f>TOBEPAID!E337/1000</f>
        <v>0</v>
      </c>
      <c r="F452" s="181">
        <f>TOBEPAID!F337/1000</f>
        <v>0</v>
      </c>
      <c r="G452" s="181">
        <f>TOBEPAID!G337/1000</f>
        <v>0</v>
      </c>
      <c r="H452" s="181">
        <v>0</v>
      </c>
      <c r="I452" s="181">
        <f>TOBEPAID!I337/1000</f>
        <v>0</v>
      </c>
      <c r="J452" s="181">
        <f>TOBEPAID!J337/1000</f>
        <v>0</v>
      </c>
      <c r="K452" s="181">
        <f>TOBEPAID!K337/1000</f>
        <v>0</v>
      </c>
      <c r="L452" s="181">
        <f>TOBEPAID!L337/1000</f>
        <v>0</v>
      </c>
      <c r="M452" s="181">
        <f>TOBEPAID!M337/1000</f>
        <v>0</v>
      </c>
      <c r="N452" s="181">
        <f>TOBEPAID!N337/1000</f>
        <v>0</v>
      </c>
      <c r="O452" s="181">
        <f>TOBEPAID!O337/1000</f>
        <v>0</v>
      </c>
      <c r="P452" s="181">
        <f>TOBEPAID!P337/1000</f>
        <v>0</v>
      </c>
      <c r="Q452" s="181">
        <f>TOBEPAID!Q337/1000</f>
        <v>0</v>
      </c>
      <c r="R452" s="181">
        <v>0</v>
      </c>
      <c r="S452" s="181">
        <f>TOBEPAID!S337/1000</f>
        <v>0</v>
      </c>
      <c r="T452" s="181">
        <f>TOBEPAID!T337/1000</f>
        <v>0</v>
      </c>
      <c r="U452" s="181">
        <f>TOBEPAID!U337/1000</f>
        <v>0</v>
      </c>
      <c r="V452" s="181">
        <f>TOBEPAID!V337/1000</f>
        <v>0</v>
      </c>
      <c r="W452" s="181">
        <f>TOBEPAID!W337/1000</f>
        <v>0</v>
      </c>
      <c r="X452" s="181">
        <f>TOBEPAID!X337/1000</f>
        <v>0</v>
      </c>
      <c r="Y452" s="181">
        <f t="shared" si="79"/>
        <v>0</v>
      </c>
      <c r="Z452" s="181">
        <f t="shared" si="80"/>
        <v>0</v>
      </c>
      <c r="AA452" s="181">
        <f>TOBEPAID!AA337/1000</f>
        <v>0</v>
      </c>
      <c r="AB452" s="181">
        <f>TOBEPAID!AB337/1000</f>
        <v>30023.96816</v>
      </c>
      <c r="AC452" s="181"/>
      <c r="AD452" s="181"/>
      <c r="AE452" s="186" t="s">
        <v>53</v>
      </c>
      <c r="AF452" s="195">
        <f>D297+D311+D327+D362+D380</f>
        <v>63822.164870000001</v>
      </c>
      <c r="AG452" s="195">
        <f>E297+E311+E327+E362+E380</f>
        <v>0</v>
      </c>
      <c r="AH452" s="195">
        <f>F296+F310+F326+F379</f>
        <v>0</v>
      </c>
      <c r="AI452" s="195">
        <f t="shared" si="71"/>
        <v>0</v>
      </c>
      <c r="AJ452" s="195">
        <f>L297+L311+L327+L362+L380</f>
        <v>0</v>
      </c>
      <c r="AK452" s="195">
        <f t="shared" si="72"/>
        <v>0</v>
      </c>
      <c r="AL452" s="195">
        <f>O297+O311+O327+O362+O380</f>
        <v>63822.166310000008</v>
      </c>
      <c r="AM452" s="195">
        <f>P297+P311+P327+P362+P380</f>
        <v>0</v>
      </c>
      <c r="AN452" s="195">
        <f>+AL452+AM452</f>
        <v>63822.166310000008</v>
      </c>
      <c r="AO452" s="195">
        <f>V297+V311+V327+V362+V380</f>
        <v>0</v>
      </c>
      <c r="AP452" s="195">
        <f t="shared" si="78"/>
        <v>63822.166310000008</v>
      </c>
      <c r="AQ452" s="195">
        <f t="shared" si="74"/>
        <v>63822.166310000008</v>
      </c>
      <c r="AR452" s="195">
        <f t="shared" si="75"/>
        <v>-1.4400000072782859E-3</v>
      </c>
      <c r="AS452" s="195">
        <f t="shared" si="69"/>
        <v>0</v>
      </c>
    </row>
    <row r="453" spans="1:45" x14ac:dyDescent="0.2">
      <c r="A453" s="180"/>
      <c r="D453" s="182" t="s">
        <v>40</v>
      </c>
      <c r="E453" s="182" t="s">
        <v>40</v>
      </c>
      <c r="F453" s="182" t="s">
        <v>40</v>
      </c>
      <c r="G453" s="182"/>
      <c r="H453" s="182" t="s">
        <v>40</v>
      </c>
      <c r="I453" s="182" t="s">
        <v>40</v>
      </c>
      <c r="J453" s="182" t="s">
        <v>40</v>
      </c>
      <c r="K453" s="182" t="s">
        <v>40</v>
      </c>
      <c r="L453" s="182" t="s">
        <v>40</v>
      </c>
      <c r="M453" s="182"/>
      <c r="N453" s="182" t="s">
        <v>40</v>
      </c>
      <c r="O453" s="182" t="s">
        <v>40</v>
      </c>
      <c r="P453" s="182" t="s">
        <v>40</v>
      </c>
      <c r="Q453" s="182"/>
      <c r="R453" s="182" t="s">
        <v>40</v>
      </c>
      <c r="S453" s="182" t="s">
        <v>40</v>
      </c>
      <c r="T453" s="182" t="s">
        <v>40</v>
      </c>
      <c r="U453" s="182" t="s">
        <v>40</v>
      </c>
      <c r="V453" s="182" t="s">
        <v>40</v>
      </c>
      <c r="W453" s="182"/>
      <c r="X453" s="182" t="s">
        <v>40</v>
      </c>
      <c r="Y453" s="182" t="s">
        <v>40</v>
      </c>
      <c r="Z453" s="182" t="s">
        <v>40</v>
      </c>
      <c r="AA453" s="182" t="s">
        <v>40</v>
      </c>
      <c r="AB453" s="182" t="s">
        <v>40</v>
      </c>
      <c r="AC453" s="182"/>
      <c r="AD453" s="182"/>
      <c r="AE453" s="186" t="s">
        <v>54</v>
      </c>
      <c r="AF453" s="195">
        <f>+D447</f>
        <v>0</v>
      </c>
      <c r="AG453" s="195">
        <f>+E447</f>
        <v>0</v>
      </c>
      <c r="AH453" s="195">
        <f>+F446</f>
        <v>0</v>
      </c>
      <c r="AI453" s="195">
        <f t="shared" si="71"/>
        <v>0</v>
      </c>
      <c r="AJ453" s="195">
        <f>+L447</f>
        <v>0</v>
      </c>
      <c r="AK453" s="195">
        <f t="shared" si="72"/>
        <v>0</v>
      </c>
      <c r="AL453" s="195">
        <f>+O447</f>
        <v>0</v>
      </c>
      <c r="AM453" s="195">
        <f>+P447</f>
        <v>0</v>
      </c>
      <c r="AN453" s="195">
        <f t="shared" si="77"/>
        <v>0</v>
      </c>
      <c r="AO453" s="195">
        <f>+V447</f>
        <v>0</v>
      </c>
      <c r="AP453" s="195">
        <f t="shared" si="78"/>
        <v>0</v>
      </c>
      <c r="AQ453" s="195">
        <f t="shared" si="74"/>
        <v>0</v>
      </c>
      <c r="AR453" s="195">
        <f t="shared" si="75"/>
        <v>0</v>
      </c>
      <c r="AS453" s="195">
        <f t="shared" si="69"/>
        <v>-5.7000000003881723E-4</v>
      </c>
    </row>
    <row r="454" spans="1:45" x14ac:dyDescent="0.2">
      <c r="A454" s="180"/>
      <c r="D454" s="181">
        <f t="shared" ref="D454:AB454" si="81">SUM(D446:D452)</f>
        <v>229579.87638</v>
      </c>
      <c r="E454" s="181">
        <f t="shared" si="81"/>
        <v>0</v>
      </c>
      <c r="F454" s="181">
        <f t="shared" si="81"/>
        <v>0</v>
      </c>
      <c r="G454" s="181"/>
      <c r="H454" s="181">
        <f t="shared" si="81"/>
        <v>94159.570110000001</v>
      </c>
      <c r="I454" s="181">
        <f t="shared" si="81"/>
        <v>0</v>
      </c>
      <c r="J454" s="181">
        <f t="shared" si="81"/>
        <v>0</v>
      </c>
      <c r="K454" s="181">
        <f t="shared" si="81"/>
        <v>0</v>
      </c>
      <c r="L454" s="181">
        <f t="shared" si="81"/>
        <v>0</v>
      </c>
      <c r="M454" s="181"/>
      <c r="N454" s="181">
        <f t="shared" si="81"/>
        <v>0</v>
      </c>
      <c r="O454" s="181">
        <f t="shared" si="81"/>
        <v>595.40219999999999</v>
      </c>
      <c r="P454" s="181">
        <f t="shared" si="81"/>
        <v>0</v>
      </c>
      <c r="Q454" s="181"/>
      <c r="R454" s="181">
        <f t="shared" si="81"/>
        <v>595.40200000000004</v>
      </c>
      <c r="S454" s="181">
        <f t="shared" si="81"/>
        <v>0</v>
      </c>
      <c r="T454" s="181">
        <f t="shared" si="81"/>
        <v>0</v>
      </c>
      <c r="U454" s="181">
        <f t="shared" si="81"/>
        <v>0</v>
      </c>
      <c r="V454" s="181">
        <f t="shared" si="81"/>
        <v>0</v>
      </c>
      <c r="W454" s="181"/>
      <c r="X454" s="181">
        <f t="shared" si="81"/>
        <v>595.40219999999999</v>
      </c>
      <c r="Y454" s="181">
        <f t="shared" si="81"/>
        <v>94754.972110000002</v>
      </c>
      <c r="Z454" s="181">
        <f t="shared" si="81"/>
        <v>134824.90427000003</v>
      </c>
      <c r="AA454" s="181">
        <f t="shared" si="81"/>
        <v>595.40219999999999</v>
      </c>
      <c r="AB454" s="181">
        <f t="shared" si="81"/>
        <v>197515.11644999997</v>
      </c>
      <c r="AC454" s="181"/>
      <c r="AD454" s="181"/>
      <c r="AE454" s="186" t="s">
        <v>264</v>
      </c>
      <c r="AF454" s="195">
        <f>+D381</f>
        <v>837.83799999999997</v>
      </c>
      <c r="AG454" s="195">
        <f>+E381</f>
        <v>837.83857</v>
      </c>
      <c r="AH454" s="195">
        <f>+F380</f>
        <v>0</v>
      </c>
      <c r="AI454" s="195">
        <f t="shared" si="71"/>
        <v>837.83857</v>
      </c>
      <c r="AJ454" s="195">
        <f>+L381</f>
        <v>0</v>
      </c>
      <c r="AK454" s="195">
        <f t="shared" si="72"/>
        <v>837.83857</v>
      </c>
      <c r="AL454" s="195">
        <f>+O381</f>
        <v>0</v>
      </c>
      <c r="AM454" s="195">
        <f>+P381</f>
        <v>0</v>
      </c>
      <c r="AN454" s="195">
        <f t="shared" si="77"/>
        <v>0</v>
      </c>
      <c r="AO454" s="195">
        <f>+V381</f>
        <v>0</v>
      </c>
      <c r="AP454" s="195">
        <f t="shared" si="78"/>
        <v>0</v>
      </c>
      <c r="AQ454" s="195">
        <f t="shared" si="74"/>
        <v>837.83857</v>
      </c>
      <c r="AR454" s="195">
        <f t="shared" si="75"/>
        <v>-5.7000000003881723E-4</v>
      </c>
      <c r="AS454" s="195">
        <f>SUM(AS431:AS453)</f>
        <v>1493553.7959400003</v>
      </c>
    </row>
    <row r="455" spans="1:45" x14ac:dyDescent="0.2">
      <c r="A455" s="180"/>
      <c r="D455" s="182" t="s">
        <v>40</v>
      </c>
      <c r="E455" s="182" t="s">
        <v>40</v>
      </c>
      <c r="F455" s="182" t="s">
        <v>40</v>
      </c>
      <c r="G455" s="182"/>
      <c r="H455" s="182" t="s">
        <v>40</v>
      </c>
      <c r="I455" s="182" t="s">
        <v>40</v>
      </c>
      <c r="J455" s="182" t="s">
        <v>40</v>
      </c>
      <c r="K455" s="182" t="s">
        <v>40</v>
      </c>
      <c r="L455" s="182" t="s">
        <v>40</v>
      </c>
      <c r="M455" s="182"/>
      <c r="N455" s="182" t="s">
        <v>40</v>
      </c>
      <c r="O455" s="182" t="s">
        <v>40</v>
      </c>
      <c r="P455" s="182" t="s">
        <v>40</v>
      </c>
      <c r="Q455" s="182"/>
      <c r="R455" s="182" t="s">
        <v>40</v>
      </c>
      <c r="S455" s="182" t="s">
        <v>40</v>
      </c>
      <c r="T455" s="182" t="s">
        <v>40</v>
      </c>
      <c r="U455" s="182" t="s">
        <v>40</v>
      </c>
      <c r="V455" s="182" t="s">
        <v>40</v>
      </c>
      <c r="W455" s="182"/>
      <c r="X455" s="182" t="s">
        <v>40</v>
      </c>
      <c r="Y455" s="182" t="s">
        <v>40</v>
      </c>
      <c r="Z455" s="182" t="s">
        <v>40</v>
      </c>
      <c r="AA455" s="182" t="s">
        <v>40</v>
      </c>
      <c r="AB455" s="182" t="s">
        <v>40</v>
      </c>
      <c r="AC455" s="182"/>
      <c r="AD455" s="182"/>
      <c r="AE455" s="204" t="s">
        <v>143</v>
      </c>
      <c r="AF455" s="195">
        <f t="shared" ref="AF455:AR455" si="82">SUM(AF432:AF454)</f>
        <v>2490287.0763200005</v>
      </c>
      <c r="AG455" s="195">
        <f t="shared" si="82"/>
        <v>810693.27743999998</v>
      </c>
      <c r="AH455" s="195">
        <f t="shared" si="82"/>
        <v>30660.93316</v>
      </c>
      <c r="AI455" s="195">
        <f t="shared" si="82"/>
        <v>841354.21059999999</v>
      </c>
      <c r="AJ455" s="195">
        <f t="shared" si="82"/>
        <v>0</v>
      </c>
      <c r="AK455" s="195">
        <f t="shared" si="82"/>
        <v>841354.21059999999</v>
      </c>
      <c r="AL455" s="195">
        <f t="shared" si="82"/>
        <v>155379.06977999999</v>
      </c>
      <c r="AM455" s="195">
        <f t="shared" si="82"/>
        <v>0</v>
      </c>
      <c r="AN455" s="195">
        <f t="shared" si="82"/>
        <v>155379.06977999999</v>
      </c>
      <c r="AO455" s="195">
        <f t="shared" si="82"/>
        <v>0</v>
      </c>
      <c r="AP455" s="195">
        <f t="shared" si="82"/>
        <v>155379.06977999999</v>
      </c>
      <c r="AQ455" s="195">
        <f t="shared" si="82"/>
        <v>996733.28038000001</v>
      </c>
      <c r="AR455" s="195">
        <f t="shared" si="82"/>
        <v>1493553.7959400003</v>
      </c>
    </row>
    <row r="456" spans="1:45" x14ac:dyDescent="0.2">
      <c r="A456" s="180"/>
      <c r="B456" s="171" t="s">
        <v>26</v>
      </c>
      <c r="C456" s="166" t="s">
        <v>58</v>
      </c>
      <c r="D456" s="181">
        <f>D454+D443+D426+D417+D404+D383+D364+D353+D342+D329+D313+D299+D289+D395</f>
        <v>5401744.1804299997</v>
      </c>
      <c r="E456" s="181">
        <f>E454+E443+E426+E417+E404+E383+E364+E353+E342+E329+E313+E299+E289</f>
        <v>810693.27744000009</v>
      </c>
      <c r="F456" s="181">
        <f>F454+F443+F426+F417+F404+F383+F364+F353+F342+F329+F313+F299+F289</f>
        <v>30660.93316</v>
      </c>
      <c r="G456" s="181"/>
      <c r="H456" s="181">
        <f t="shared" ref="H456:Z456" si="83">H454+H443+H426+H417+H404+H383+H364+H353+H342+H329+H313+H299+H289+H395</f>
        <v>3973807.6796599999</v>
      </c>
      <c r="I456" s="181">
        <f t="shared" si="83"/>
        <v>0</v>
      </c>
      <c r="J456" s="181">
        <f t="shared" si="83"/>
        <v>0</v>
      </c>
      <c r="K456" s="181">
        <f t="shared" si="83"/>
        <v>0</v>
      </c>
      <c r="L456" s="181">
        <f t="shared" si="83"/>
        <v>0</v>
      </c>
      <c r="M456" s="181">
        <f t="shared" si="83"/>
        <v>0</v>
      </c>
      <c r="N456" s="181">
        <f t="shared" si="83"/>
        <v>841354.21059999999</v>
      </c>
      <c r="O456" s="181">
        <f t="shared" si="83"/>
        <v>155379.06977999999</v>
      </c>
      <c r="P456" s="181">
        <f t="shared" si="83"/>
        <v>0</v>
      </c>
      <c r="Q456" s="181">
        <f t="shared" si="83"/>
        <v>0</v>
      </c>
      <c r="R456" s="181">
        <f t="shared" si="83"/>
        <v>173192.72714999999</v>
      </c>
      <c r="S456" s="181">
        <f t="shared" si="83"/>
        <v>1690.0005999999998</v>
      </c>
      <c r="T456" s="181">
        <f t="shared" si="83"/>
        <v>210.2466</v>
      </c>
      <c r="U456" s="181">
        <f t="shared" si="83"/>
        <v>0</v>
      </c>
      <c r="V456" s="181">
        <f t="shared" si="83"/>
        <v>0</v>
      </c>
      <c r="W456" s="181">
        <f t="shared" si="83"/>
        <v>0</v>
      </c>
      <c r="X456" s="181">
        <f t="shared" si="83"/>
        <v>155379.06977999999</v>
      </c>
      <c r="Y456" s="181">
        <f t="shared" si="83"/>
        <v>4147000.4100599997</v>
      </c>
      <c r="Z456" s="181">
        <f t="shared" si="83"/>
        <v>1254743.7735000001</v>
      </c>
      <c r="AA456" s="181">
        <f>AA454+AA443+AA426+AA417+AA404+AA383+AA364+AA353+AA342+AA329+AA313+AA299+AA289</f>
        <v>996733.28038000001</v>
      </c>
      <c r="AB456" s="181">
        <f>AB454+AB443+AB426+AB417+AB404+AB383+AB364+AB353+AB342+AB329+AB313+AB299+AB289</f>
        <v>640168.31458000012</v>
      </c>
      <c r="AC456" s="181"/>
      <c r="AD456" s="181"/>
    </row>
    <row r="457" spans="1:45" x14ac:dyDescent="0.2">
      <c r="A457" s="180"/>
      <c r="D457" s="182" t="s">
        <v>50</v>
      </c>
      <c r="E457" s="182" t="s">
        <v>50</v>
      </c>
      <c r="F457" s="182" t="s">
        <v>50</v>
      </c>
      <c r="G457" s="182"/>
      <c r="H457" s="182" t="s">
        <v>50</v>
      </c>
      <c r="I457" s="182" t="s">
        <v>50</v>
      </c>
      <c r="J457" s="182" t="s">
        <v>50</v>
      </c>
      <c r="K457" s="182" t="s">
        <v>50</v>
      </c>
      <c r="L457" s="182" t="s">
        <v>50</v>
      </c>
      <c r="M457" s="182"/>
      <c r="N457" s="182" t="s">
        <v>50</v>
      </c>
      <c r="O457" s="182" t="s">
        <v>50</v>
      </c>
      <c r="P457" s="182" t="s">
        <v>50</v>
      </c>
      <c r="Q457" s="182"/>
      <c r="R457" s="182" t="s">
        <v>50</v>
      </c>
      <c r="S457" s="182" t="s">
        <v>50</v>
      </c>
      <c r="T457" s="182" t="s">
        <v>50</v>
      </c>
      <c r="U457" s="182" t="s">
        <v>50</v>
      </c>
      <c r="V457" s="182" t="s">
        <v>50</v>
      </c>
      <c r="W457" s="182"/>
      <c r="X457" s="182" t="s">
        <v>50</v>
      </c>
      <c r="Y457" s="182" t="s">
        <v>50</v>
      </c>
      <c r="Z457" s="182" t="s">
        <v>50</v>
      </c>
      <c r="AA457" s="182" t="s">
        <v>50</v>
      </c>
      <c r="AB457" s="182" t="s">
        <v>50</v>
      </c>
      <c r="AC457" s="182"/>
      <c r="AD457" s="182"/>
    </row>
    <row r="458" spans="1:45" x14ac:dyDescent="0.2">
      <c r="C458" s="186"/>
      <c r="D458" s="191"/>
      <c r="E458" s="196"/>
      <c r="F458" s="182"/>
      <c r="G458" s="182"/>
      <c r="H458" s="182"/>
      <c r="I458" s="182"/>
      <c r="J458" s="182"/>
      <c r="K458" s="182"/>
      <c r="L458" s="182"/>
      <c r="M458" s="182"/>
      <c r="N458" s="182"/>
      <c r="O458" s="196"/>
      <c r="P458" s="182"/>
      <c r="Q458" s="182"/>
      <c r="R458" s="182"/>
      <c r="S458" s="182"/>
      <c r="T458" s="182"/>
      <c r="U458" s="182"/>
      <c r="V458" s="196"/>
      <c r="W458" s="182"/>
      <c r="X458" s="182"/>
      <c r="Y458" s="182"/>
      <c r="Z458" s="182"/>
      <c r="AA458" s="182"/>
      <c r="AB458" s="182"/>
      <c r="AC458" s="182"/>
      <c r="AD458" s="182"/>
      <c r="AO458" s="165">
        <f>+AO455-V456</f>
        <v>0</v>
      </c>
      <c r="AQ458" s="195">
        <f>+AQ455-Y456</f>
        <v>-3150267.1296799998</v>
      </c>
    </row>
    <row r="459" spans="1:45" x14ac:dyDescent="0.2">
      <c r="A459" s="180"/>
      <c r="B459" s="165" t="s">
        <v>178</v>
      </c>
      <c r="D459" s="190"/>
      <c r="E459" s="182"/>
      <c r="F459" s="182"/>
      <c r="G459" s="182"/>
      <c r="H459" s="182"/>
      <c r="I459" s="182"/>
      <c r="J459" s="182"/>
      <c r="K459" s="182"/>
      <c r="L459" s="182"/>
      <c r="M459" s="182"/>
      <c r="N459" s="182"/>
      <c r="O459" s="182"/>
      <c r="P459" s="182"/>
      <c r="Q459" s="182"/>
      <c r="R459" s="182"/>
      <c r="S459" s="182"/>
      <c r="T459" s="182"/>
      <c r="U459" s="182"/>
      <c r="V459" s="182"/>
      <c r="W459" s="182"/>
      <c r="X459" s="182"/>
      <c r="Y459" s="182"/>
      <c r="Z459" s="182"/>
      <c r="AA459" s="182"/>
      <c r="AB459" s="182"/>
      <c r="AC459" s="182"/>
      <c r="AD459" s="182"/>
    </row>
    <row r="460" spans="1:45" x14ac:dyDescent="0.2">
      <c r="D460" s="182"/>
      <c r="E460" s="182"/>
      <c r="F460" s="182"/>
      <c r="G460" s="182"/>
      <c r="H460" s="182"/>
      <c r="I460" s="182"/>
      <c r="J460" s="182"/>
      <c r="K460" s="182"/>
      <c r="L460" s="182"/>
      <c r="M460" s="182"/>
      <c r="N460" s="182"/>
      <c r="O460" s="182"/>
      <c r="P460" s="182"/>
      <c r="Q460" s="182"/>
      <c r="R460" s="182"/>
      <c r="S460" s="182"/>
      <c r="T460" s="182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</row>
    <row r="461" spans="1:45" x14ac:dyDescent="0.2">
      <c r="A461" s="180">
        <v>32</v>
      </c>
      <c r="B461" s="165" t="s">
        <v>179</v>
      </c>
      <c r="C461" s="166" t="s">
        <v>35</v>
      </c>
      <c r="D461" s="181">
        <f>21170540/1000</f>
        <v>21170.54</v>
      </c>
      <c r="E461" s="181">
        <f>TOBEPAID!E346/1000</f>
        <v>0</v>
      </c>
      <c r="F461" s="181">
        <f>TOBEPAID!F346/1000</f>
        <v>0</v>
      </c>
      <c r="G461" s="181">
        <f>TOBEPAID!G346/1000</f>
        <v>0</v>
      </c>
      <c r="H461" s="181">
        <f>6500000/1000</f>
        <v>6500</v>
      </c>
      <c r="I461" s="181">
        <f>TOBEPAID!I346/1000</f>
        <v>0</v>
      </c>
      <c r="J461" s="181">
        <f>TOBEPAID!J346/1000</f>
        <v>0</v>
      </c>
      <c r="K461" s="181">
        <f>TOBEPAID!K346/1000</f>
        <v>0</v>
      </c>
      <c r="L461" s="181">
        <f>TOBEPAID!L346/1000</f>
        <v>0</v>
      </c>
      <c r="M461" s="181">
        <f>TOBEPAID!M346/1000</f>
        <v>0</v>
      </c>
      <c r="N461" s="181">
        <f>TOBEPAID!N346/1000</f>
        <v>0</v>
      </c>
      <c r="O461" s="181">
        <f>TOBEPAID!O346/1000</f>
        <v>11108.782310000001</v>
      </c>
      <c r="P461" s="181">
        <f>TOBEPAID!P346/1000</f>
        <v>0</v>
      </c>
      <c r="Q461" s="181">
        <f>TOBEPAID!Q346/1000</f>
        <v>0</v>
      </c>
      <c r="R461" s="181">
        <f>14329322/1000</f>
        <v>14329.322</v>
      </c>
      <c r="S461" s="181">
        <f>TOBEPAID!S346/1000</f>
        <v>0</v>
      </c>
      <c r="T461" s="181">
        <f>TOBEPAID!T346/1000</f>
        <v>0</v>
      </c>
      <c r="U461" s="181">
        <f>TOBEPAID!U346/1000</f>
        <v>0</v>
      </c>
      <c r="V461" s="181">
        <f>TOBEPAID!V346/1000</f>
        <v>0</v>
      </c>
      <c r="W461" s="181">
        <f>TOBEPAID!W346/1000</f>
        <v>0</v>
      </c>
      <c r="X461" s="181">
        <f>TOBEPAID!X346/1000</f>
        <v>11108.782310000001</v>
      </c>
      <c r="Y461" s="181">
        <f>+H461+R461</f>
        <v>20829.322</v>
      </c>
      <c r="Z461" s="181">
        <f t="shared" ref="Z461:Z473" si="84">+D461-Y461</f>
        <v>341.21800000000076</v>
      </c>
      <c r="AA461" s="181">
        <f>TOBEPAID!AA346/1000</f>
        <v>11108.782310000001</v>
      </c>
      <c r="AB461" s="181">
        <f>TOBEPAID!AB346/1000</f>
        <v>0</v>
      </c>
      <c r="AC461" s="181"/>
      <c r="AD461" s="181"/>
    </row>
    <row r="462" spans="1:45" x14ac:dyDescent="0.2">
      <c r="A462" s="180"/>
      <c r="C462" s="166" t="s">
        <v>461</v>
      </c>
      <c r="D462" s="181">
        <f>16000000/1000</f>
        <v>16000</v>
      </c>
      <c r="E462" s="181"/>
      <c r="F462" s="181"/>
      <c r="G462" s="181"/>
      <c r="H462" s="181">
        <f>16000000/1000</f>
        <v>16000</v>
      </c>
      <c r="I462" s="181"/>
      <c r="J462" s="181"/>
      <c r="K462" s="181"/>
      <c r="L462" s="181"/>
      <c r="M462" s="181"/>
      <c r="N462" s="181"/>
      <c r="O462" s="181"/>
      <c r="P462" s="181"/>
      <c r="Q462" s="181"/>
      <c r="R462" s="181">
        <v>0</v>
      </c>
      <c r="S462" s="181"/>
      <c r="T462" s="181"/>
      <c r="U462" s="181"/>
      <c r="V462" s="181"/>
      <c r="W462" s="181"/>
      <c r="X462" s="181"/>
      <c r="Y462" s="181">
        <f>+H462+R462</f>
        <v>16000</v>
      </c>
      <c r="Z462" s="181">
        <f t="shared" si="84"/>
        <v>0</v>
      </c>
      <c r="AA462" s="181"/>
      <c r="AB462" s="181"/>
      <c r="AC462" s="181"/>
      <c r="AD462" s="181"/>
    </row>
    <row r="463" spans="1:45" x14ac:dyDescent="0.2">
      <c r="A463" s="180"/>
      <c r="C463" s="165" t="s">
        <v>36</v>
      </c>
      <c r="D463" s="181">
        <f>1551040/1000</f>
        <v>1551.04</v>
      </c>
      <c r="E463" s="181">
        <f>TOBEPAID!E347/1000</f>
        <v>1551.04</v>
      </c>
      <c r="F463" s="181">
        <f>TOBEPAID!F347/1000</f>
        <v>0</v>
      </c>
      <c r="G463" s="181">
        <f>TOBEPAID!G347/1000</f>
        <v>0</v>
      </c>
      <c r="H463" s="181">
        <f>1551040/1000</f>
        <v>1551.04</v>
      </c>
      <c r="I463" s="181">
        <f>TOBEPAID!I347/1000</f>
        <v>0</v>
      </c>
      <c r="J463" s="181">
        <f>TOBEPAID!J347/1000</f>
        <v>0</v>
      </c>
      <c r="K463" s="181">
        <f>TOBEPAID!K347/1000</f>
        <v>0</v>
      </c>
      <c r="L463" s="181">
        <f>TOBEPAID!L347/1000</f>
        <v>0</v>
      </c>
      <c r="M463" s="181">
        <f>TOBEPAID!M347/1000</f>
        <v>0</v>
      </c>
      <c r="N463" s="181">
        <f>TOBEPAID!N347/1000</f>
        <v>1551.04</v>
      </c>
      <c r="O463" s="181">
        <f>TOBEPAID!O347/1000</f>
        <v>0</v>
      </c>
      <c r="P463" s="181">
        <f>TOBEPAID!P347/1000</f>
        <v>0</v>
      </c>
      <c r="Q463" s="181">
        <f>TOBEPAID!Q347/1000</f>
        <v>0</v>
      </c>
      <c r="R463" s="181">
        <v>0</v>
      </c>
      <c r="S463" s="181">
        <f>TOBEPAID!S347/1000</f>
        <v>0</v>
      </c>
      <c r="T463" s="181">
        <f>TOBEPAID!T347/1000</f>
        <v>0</v>
      </c>
      <c r="U463" s="181">
        <f>TOBEPAID!U347/1000</f>
        <v>0</v>
      </c>
      <c r="V463" s="181">
        <f>TOBEPAID!V347/1000</f>
        <v>0</v>
      </c>
      <c r="W463" s="181">
        <f>TOBEPAID!W347/1000</f>
        <v>0</v>
      </c>
      <c r="X463" s="181">
        <f>TOBEPAID!X347/1000</f>
        <v>0</v>
      </c>
      <c r="Y463" s="181">
        <f t="shared" ref="Y463:Y473" si="85">+H463+R463</f>
        <v>1551.04</v>
      </c>
      <c r="Z463" s="181">
        <f t="shared" si="84"/>
        <v>0</v>
      </c>
      <c r="AA463" s="181">
        <f>TOBEPAID!AA347/1000</f>
        <v>1551.04</v>
      </c>
      <c r="AB463" s="181">
        <f>TOBEPAID!AB347/1000</f>
        <v>0</v>
      </c>
      <c r="AC463" s="181"/>
      <c r="AD463" s="181"/>
    </row>
    <row r="464" spans="1:45" x14ac:dyDescent="0.2">
      <c r="A464" s="180"/>
      <c r="C464" s="165" t="s">
        <v>180</v>
      </c>
      <c r="D464" s="181">
        <f>5444153/1000</f>
        <v>5444.1530000000002</v>
      </c>
      <c r="E464" s="181">
        <f>TOBEPAID!E348/1000</f>
        <v>0</v>
      </c>
      <c r="F464" s="181">
        <f>TOBEPAID!F348/1000</f>
        <v>0</v>
      </c>
      <c r="G464" s="181">
        <f>TOBEPAID!G348/1000</f>
        <v>0</v>
      </c>
      <c r="H464" s="181">
        <v>0</v>
      </c>
      <c r="I464" s="181">
        <f>TOBEPAID!I348/1000</f>
        <v>0</v>
      </c>
      <c r="J464" s="181">
        <f>TOBEPAID!J348/1000</f>
        <v>0</v>
      </c>
      <c r="K464" s="181">
        <f>TOBEPAID!K348/1000</f>
        <v>0</v>
      </c>
      <c r="L464" s="181">
        <f>TOBEPAID!L348/1000</f>
        <v>0</v>
      </c>
      <c r="M464" s="181">
        <f>TOBEPAID!M348/1000</f>
        <v>0</v>
      </c>
      <c r="N464" s="181">
        <f>TOBEPAID!N348/1000</f>
        <v>0</v>
      </c>
      <c r="O464" s="181">
        <f>TOBEPAID!O348/1000</f>
        <v>5444.1531799999993</v>
      </c>
      <c r="P464" s="181">
        <f>TOBEPAID!P348/1000</f>
        <v>0</v>
      </c>
      <c r="Q464" s="181">
        <f>TOBEPAID!Q348/1000</f>
        <v>0</v>
      </c>
      <c r="R464" s="181">
        <f>5444153/1000</f>
        <v>5444.1530000000002</v>
      </c>
      <c r="S464" s="181">
        <f>TOBEPAID!S348/1000</f>
        <v>0</v>
      </c>
      <c r="T464" s="181">
        <f>TOBEPAID!T348/1000</f>
        <v>0</v>
      </c>
      <c r="U464" s="181">
        <f>TOBEPAID!U348/1000</f>
        <v>0</v>
      </c>
      <c r="V464" s="181">
        <f>TOBEPAID!V348/1000</f>
        <v>0</v>
      </c>
      <c r="W464" s="181">
        <f>TOBEPAID!W348/1000</f>
        <v>0</v>
      </c>
      <c r="X464" s="181">
        <f>TOBEPAID!X348/1000</f>
        <v>5444.1531799999993</v>
      </c>
      <c r="Y464" s="181">
        <f t="shared" si="85"/>
        <v>5444.1530000000002</v>
      </c>
      <c r="Z464" s="181">
        <f t="shared" si="84"/>
        <v>0</v>
      </c>
      <c r="AA464" s="181">
        <f>TOBEPAID!AA348/1000</f>
        <v>5444.1531799999993</v>
      </c>
      <c r="AB464" s="181">
        <f>TOBEPAID!AB348/1000</f>
        <v>0</v>
      </c>
      <c r="AC464" s="181"/>
      <c r="AD464" s="181"/>
    </row>
    <row r="465" spans="1:33" x14ac:dyDescent="0.2">
      <c r="A465" s="180"/>
      <c r="C465" s="165" t="s">
        <v>181</v>
      </c>
      <c r="D465" s="181">
        <v>0</v>
      </c>
      <c r="E465" s="181">
        <f>TOBEPAID!E349/1000</f>
        <v>0</v>
      </c>
      <c r="F465" s="181">
        <f>TOBEPAID!F349/1000</f>
        <v>0</v>
      </c>
      <c r="G465" s="181">
        <f>TOBEPAID!G349/1000</f>
        <v>0</v>
      </c>
      <c r="H465" s="181">
        <v>0</v>
      </c>
      <c r="I465" s="181">
        <f>TOBEPAID!I349/1000</f>
        <v>0</v>
      </c>
      <c r="J465" s="181">
        <f>TOBEPAID!J349/1000</f>
        <v>0</v>
      </c>
      <c r="K465" s="181">
        <f>TOBEPAID!K349/1000</f>
        <v>0</v>
      </c>
      <c r="L465" s="181">
        <f>TOBEPAID!L349/1000</f>
        <v>0</v>
      </c>
      <c r="M465" s="181">
        <f>TOBEPAID!M349/1000</f>
        <v>0</v>
      </c>
      <c r="N465" s="181">
        <f>TOBEPAID!N349/1000</f>
        <v>0</v>
      </c>
      <c r="O465" s="181">
        <f>TOBEPAID!O349/1000</f>
        <v>0</v>
      </c>
      <c r="P465" s="181">
        <f>TOBEPAID!P349/1000</f>
        <v>0</v>
      </c>
      <c r="Q465" s="181">
        <f>TOBEPAID!Q349/1000</f>
        <v>0</v>
      </c>
      <c r="R465" s="181">
        <v>0</v>
      </c>
      <c r="S465" s="181">
        <f>TOBEPAID!S349/1000</f>
        <v>0</v>
      </c>
      <c r="T465" s="181">
        <f>TOBEPAID!T349/1000</f>
        <v>0</v>
      </c>
      <c r="U465" s="181">
        <f>TOBEPAID!U349/1000</f>
        <v>0</v>
      </c>
      <c r="V465" s="181">
        <f>TOBEPAID!V349/1000</f>
        <v>0</v>
      </c>
      <c r="W465" s="181">
        <f>TOBEPAID!W349/1000</f>
        <v>0</v>
      </c>
      <c r="X465" s="181">
        <f>TOBEPAID!X349/1000</f>
        <v>0</v>
      </c>
      <c r="Y465" s="181">
        <f t="shared" si="85"/>
        <v>0</v>
      </c>
      <c r="Z465" s="181">
        <f t="shared" si="84"/>
        <v>0</v>
      </c>
      <c r="AA465" s="181">
        <f>TOBEPAID!AA349/1000</f>
        <v>0</v>
      </c>
      <c r="AB465" s="181">
        <f>TOBEPAID!AB349/1000</f>
        <v>11690.201449999999</v>
      </c>
      <c r="AC465" s="181"/>
      <c r="AD465" s="181"/>
    </row>
    <row r="466" spans="1:33" x14ac:dyDescent="0.2">
      <c r="C466" s="165" t="s">
        <v>366</v>
      </c>
      <c r="D466" s="165">
        <f>15224750/1000</f>
        <v>15224.75</v>
      </c>
      <c r="H466" s="165">
        <f>15224750/1000</f>
        <v>15224.75</v>
      </c>
      <c r="R466" s="181">
        <v>0</v>
      </c>
      <c r="Y466" s="181">
        <f t="shared" si="85"/>
        <v>15224.75</v>
      </c>
      <c r="Z466" s="181">
        <f t="shared" si="84"/>
        <v>0</v>
      </c>
    </row>
    <row r="467" spans="1:33" x14ac:dyDescent="0.2">
      <c r="C467" s="165" t="s">
        <v>374</v>
      </c>
      <c r="D467" s="165">
        <f>8000000/1000</f>
        <v>8000</v>
      </c>
      <c r="H467" s="165">
        <f>8000000/1000</f>
        <v>8000</v>
      </c>
      <c r="R467" s="181">
        <v>0</v>
      </c>
      <c r="Y467" s="181">
        <f t="shared" si="85"/>
        <v>8000</v>
      </c>
      <c r="Z467" s="181">
        <f t="shared" si="84"/>
        <v>0</v>
      </c>
    </row>
    <row r="468" spans="1:33" x14ac:dyDescent="0.2">
      <c r="C468" s="165" t="s">
        <v>374</v>
      </c>
      <c r="D468" s="165">
        <f>8000000/1000</f>
        <v>8000</v>
      </c>
      <c r="H468" s="165">
        <f>8000000/1000</f>
        <v>8000</v>
      </c>
      <c r="R468" s="181">
        <v>0</v>
      </c>
      <c r="Y468" s="181">
        <f t="shared" si="85"/>
        <v>8000</v>
      </c>
      <c r="Z468" s="181">
        <f t="shared" si="84"/>
        <v>0</v>
      </c>
    </row>
    <row r="469" spans="1:33" x14ac:dyDescent="0.2">
      <c r="C469" s="165" t="s">
        <v>387</v>
      </c>
      <c r="D469" s="165">
        <f>927300/1000</f>
        <v>927.3</v>
      </c>
      <c r="H469" s="165">
        <f>927300/1000</f>
        <v>927.3</v>
      </c>
      <c r="R469" s="181">
        <v>0</v>
      </c>
      <c r="Y469" s="181">
        <f t="shared" si="85"/>
        <v>927.3</v>
      </c>
      <c r="Z469" s="181">
        <f t="shared" si="84"/>
        <v>0</v>
      </c>
    </row>
    <row r="470" spans="1:33" x14ac:dyDescent="0.2">
      <c r="C470" s="165" t="s">
        <v>298</v>
      </c>
      <c r="D470" s="181">
        <f>8000000/1000</f>
        <v>8000</v>
      </c>
      <c r="E470" s="181">
        <f>TOBEPAID!E350/1000</f>
        <v>8000</v>
      </c>
      <c r="F470" s="181">
        <f>TOBEPAID!F350/1000</f>
        <v>0</v>
      </c>
      <c r="G470" s="181">
        <f>TOBEPAID!G350/1000</f>
        <v>0</v>
      </c>
      <c r="H470" s="181">
        <f>8000000/1000</f>
        <v>8000</v>
      </c>
      <c r="I470" s="181">
        <f>TOBEPAID!I350/1000</f>
        <v>0</v>
      </c>
      <c r="J470" s="181">
        <f>TOBEPAID!J350/1000</f>
        <v>0</v>
      </c>
      <c r="K470" s="181">
        <f>TOBEPAID!K350/1000</f>
        <v>0</v>
      </c>
      <c r="L470" s="181">
        <f>TOBEPAID!L350/1000</f>
        <v>0</v>
      </c>
      <c r="M470" s="181">
        <f>TOBEPAID!M350/1000</f>
        <v>0</v>
      </c>
      <c r="N470" s="181">
        <f>TOBEPAID!N350/1000</f>
        <v>8000</v>
      </c>
      <c r="O470" s="181">
        <f>TOBEPAID!O350/1000</f>
        <v>0</v>
      </c>
      <c r="P470" s="181">
        <f>TOBEPAID!P350/1000</f>
        <v>0</v>
      </c>
      <c r="Q470" s="181">
        <f>TOBEPAID!Q350/1000</f>
        <v>0</v>
      </c>
      <c r="R470" s="181">
        <v>0</v>
      </c>
      <c r="S470" s="181">
        <f>TOBEPAID!S350/1000</f>
        <v>0</v>
      </c>
      <c r="T470" s="181">
        <f>TOBEPAID!T350/1000</f>
        <v>0</v>
      </c>
      <c r="U470" s="181">
        <f>TOBEPAID!U350/1000</f>
        <v>0</v>
      </c>
      <c r="V470" s="181">
        <f>TOBEPAID!V350/1000</f>
        <v>0</v>
      </c>
      <c r="W470" s="181">
        <f>TOBEPAID!W350/1000</f>
        <v>0</v>
      </c>
      <c r="X470" s="181">
        <f>TOBEPAID!X350/1000</f>
        <v>0</v>
      </c>
      <c r="Y470" s="181">
        <f t="shared" si="85"/>
        <v>8000</v>
      </c>
      <c r="Z470" s="181">
        <f t="shared" si="84"/>
        <v>0</v>
      </c>
      <c r="AA470" s="181">
        <f>TOBEPAID!AA350/1000</f>
        <v>8000</v>
      </c>
      <c r="AB470" s="181">
        <f>TOBEPAID!AB350/1000</f>
        <v>0</v>
      </c>
      <c r="AC470" s="181"/>
      <c r="AD470" s="181"/>
    </row>
    <row r="471" spans="1:33" ht="15.75" customHeight="1" x14ac:dyDescent="0.2">
      <c r="C471" s="165" t="s">
        <v>399</v>
      </c>
      <c r="D471" s="181">
        <f>1025574.93/1000</f>
        <v>1025.57493</v>
      </c>
      <c r="E471" s="181"/>
      <c r="F471" s="181"/>
      <c r="G471" s="181"/>
      <c r="H471" s="181">
        <f>1025574.93/1000</f>
        <v>1025.57493</v>
      </c>
      <c r="I471" s="181"/>
      <c r="J471" s="181"/>
      <c r="K471" s="181"/>
      <c r="L471" s="181"/>
      <c r="M471" s="181"/>
      <c r="N471" s="181"/>
      <c r="O471" s="181"/>
      <c r="P471" s="181"/>
      <c r="Q471" s="181"/>
      <c r="R471" s="181">
        <v>0</v>
      </c>
      <c r="S471" s="181"/>
      <c r="T471" s="181"/>
      <c r="U471" s="181"/>
      <c r="V471" s="181"/>
      <c r="W471" s="181"/>
      <c r="X471" s="181"/>
      <c r="Y471" s="181">
        <f t="shared" si="85"/>
        <v>1025.57493</v>
      </c>
      <c r="Z471" s="181">
        <f t="shared" si="84"/>
        <v>0</v>
      </c>
      <c r="AA471" s="181"/>
      <c r="AB471" s="181"/>
      <c r="AC471" s="181"/>
      <c r="AD471" s="181"/>
    </row>
    <row r="472" spans="1:33" ht="15.75" customHeight="1" x14ac:dyDescent="0.2">
      <c r="A472" s="180"/>
      <c r="C472" s="165" t="s">
        <v>247</v>
      </c>
      <c r="D472" s="181">
        <f>6452902/1000</f>
        <v>6452.902</v>
      </c>
      <c r="E472" s="181">
        <f>TOBEPAID!E351/1000</f>
        <v>5617.6804800000009</v>
      </c>
      <c r="F472" s="181">
        <f>TOBEPAID!F351/1000</f>
        <v>0</v>
      </c>
      <c r="G472" s="181">
        <f>TOBEPAID!G351/1000</f>
        <v>0</v>
      </c>
      <c r="H472" s="181">
        <f>5617680/1000</f>
        <v>5617.68</v>
      </c>
      <c r="I472" s="181">
        <f>TOBEPAID!I351/1000</f>
        <v>0</v>
      </c>
      <c r="J472" s="181">
        <f>TOBEPAID!J351/1000</f>
        <v>0</v>
      </c>
      <c r="K472" s="181">
        <f>TOBEPAID!K351/1000</f>
        <v>0</v>
      </c>
      <c r="L472" s="181">
        <f>TOBEPAID!L351/1000</f>
        <v>0</v>
      </c>
      <c r="M472" s="181">
        <f>TOBEPAID!M351/1000</f>
        <v>0</v>
      </c>
      <c r="N472" s="181">
        <f>TOBEPAID!N351/1000</f>
        <v>5617.6804800000009</v>
      </c>
      <c r="O472" s="181">
        <f>TOBEPAID!O351/1000</f>
        <v>835.22230000000002</v>
      </c>
      <c r="P472" s="181">
        <f>TOBEPAID!P351/1000</f>
        <v>0</v>
      </c>
      <c r="Q472" s="181">
        <f>TOBEPAID!Q351/1000</f>
        <v>0</v>
      </c>
      <c r="R472" s="181">
        <f>835222/1000</f>
        <v>835.22199999999998</v>
      </c>
      <c r="S472" s="181">
        <f>TOBEPAID!S351/1000</f>
        <v>0</v>
      </c>
      <c r="T472" s="181">
        <f>TOBEPAID!T351/1000</f>
        <v>0</v>
      </c>
      <c r="U472" s="181">
        <f>TOBEPAID!U351/1000</f>
        <v>0</v>
      </c>
      <c r="V472" s="181">
        <f>TOBEPAID!V351/1000</f>
        <v>0</v>
      </c>
      <c r="W472" s="181">
        <f>TOBEPAID!W351/1000</f>
        <v>0</v>
      </c>
      <c r="X472" s="181">
        <f>TOBEPAID!X351/1000</f>
        <v>835.22230000000002</v>
      </c>
      <c r="Y472" s="181">
        <f t="shared" si="85"/>
        <v>6452.902</v>
      </c>
      <c r="Z472" s="181">
        <f t="shared" si="84"/>
        <v>0</v>
      </c>
      <c r="AA472" s="181">
        <f>TOBEPAID!AA351/1000</f>
        <v>6452.9027800000003</v>
      </c>
      <c r="AB472" s="181">
        <f>TOBEPAID!AB351/1000</f>
        <v>3047.0972199999997</v>
      </c>
      <c r="AC472" s="181"/>
      <c r="AD472" s="181"/>
    </row>
    <row r="473" spans="1:33" ht="15.75" customHeight="1" x14ac:dyDescent="0.2">
      <c r="A473" s="180"/>
      <c r="C473" s="165" t="s">
        <v>44</v>
      </c>
      <c r="D473" s="181">
        <f>8500000/1000</f>
        <v>8500</v>
      </c>
      <c r="E473" s="181">
        <f>TOBEPAID!E352/1000</f>
        <v>8500</v>
      </c>
      <c r="F473" s="181">
        <f>TOBEPAID!F352/1000</f>
        <v>0</v>
      </c>
      <c r="G473" s="181">
        <f>TOBEPAID!G352/1000</f>
        <v>0</v>
      </c>
      <c r="H473" s="181">
        <f>8500000/1000</f>
        <v>8500</v>
      </c>
      <c r="I473" s="181">
        <f>TOBEPAID!I352/1000</f>
        <v>0</v>
      </c>
      <c r="J473" s="181">
        <f>TOBEPAID!J352/1000</f>
        <v>0</v>
      </c>
      <c r="K473" s="181">
        <f>TOBEPAID!K352/1000</f>
        <v>0</v>
      </c>
      <c r="L473" s="181">
        <f>TOBEPAID!L352/1000</f>
        <v>0</v>
      </c>
      <c r="M473" s="181">
        <f>TOBEPAID!M352/1000</f>
        <v>0</v>
      </c>
      <c r="N473" s="181">
        <f>TOBEPAID!N352/1000</f>
        <v>8500</v>
      </c>
      <c r="O473" s="181">
        <f>TOBEPAID!O352/1000</f>
        <v>0</v>
      </c>
      <c r="P473" s="181">
        <f>TOBEPAID!P352/1000</f>
        <v>0</v>
      </c>
      <c r="Q473" s="181">
        <f>TOBEPAID!Q352/1000</f>
        <v>0</v>
      </c>
      <c r="R473" s="181">
        <v>0</v>
      </c>
      <c r="S473" s="181">
        <f>TOBEPAID!S352/1000</f>
        <v>0</v>
      </c>
      <c r="T473" s="181">
        <f>TOBEPAID!T352/1000</f>
        <v>0</v>
      </c>
      <c r="U473" s="181">
        <f>TOBEPAID!U352/1000</f>
        <v>0</v>
      </c>
      <c r="V473" s="181">
        <f>TOBEPAID!V352/1000</f>
        <v>0</v>
      </c>
      <c r="W473" s="181">
        <f>TOBEPAID!W352/1000</f>
        <v>0</v>
      </c>
      <c r="X473" s="181">
        <f>TOBEPAID!X352/1000</f>
        <v>0</v>
      </c>
      <c r="Y473" s="181">
        <f t="shared" si="85"/>
        <v>8500</v>
      </c>
      <c r="Z473" s="181">
        <f t="shared" si="84"/>
        <v>0</v>
      </c>
      <c r="AA473" s="181">
        <f>TOBEPAID!AA352/1000</f>
        <v>8500</v>
      </c>
      <c r="AB473" s="181">
        <f>TOBEPAID!AB352/1000</f>
        <v>0</v>
      </c>
      <c r="AC473" s="181"/>
      <c r="AD473" s="181"/>
    </row>
    <row r="474" spans="1:33" ht="16.5" customHeight="1" x14ac:dyDescent="0.2">
      <c r="A474" s="180"/>
      <c r="D474" s="182" t="s">
        <v>40</v>
      </c>
      <c r="E474" s="182" t="s">
        <v>40</v>
      </c>
      <c r="F474" s="182" t="s">
        <v>40</v>
      </c>
      <c r="G474" s="182"/>
      <c r="H474" s="182" t="s">
        <v>40</v>
      </c>
      <c r="I474" s="182" t="s">
        <v>40</v>
      </c>
      <c r="J474" s="182" t="s">
        <v>40</v>
      </c>
      <c r="K474" s="182" t="s">
        <v>40</v>
      </c>
      <c r="L474" s="182" t="s">
        <v>40</v>
      </c>
      <c r="M474" s="182"/>
      <c r="N474" s="182" t="s">
        <v>40</v>
      </c>
      <c r="O474" s="182" t="s">
        <v>40</v>
      </c>
      <c r="P474" s="182" t="s">
        <v>40</v>
      </c>
      <c r="Q474" s="182"/>
      <c r="R474" s="182" t="s">
        <v>40</v>
      </c>
      <c r="S474" s="182" t="s">
        <v>40</v>
      </c>
      <c r="T474" s="182" t="s">
        <v>40</v>
      </c>
      <c r="U474" s="182" t="s">
        <v>40</v>
      </c>
      <c r="V474" s="182" t="s">
        <v>40</v>
      </c>
      <c r="W474" s="182"/>
      <c r="X474" s="182" t="s">
        <v>40</v>
      </c>
      <c r="Y474" s="182" t="s">
        <v>40</v>
      </c>
      <c r="Z474" s="182" t="s">
        <v>40</v>
      </c>
      <c r="AA474" s="182" t="s">
        <v>40</v>
      </c>
      <c r="AB474" s="182" t="s">
        <v>40</v>
      </c>
      <c r="AC474" s="182"/>
      <c r="AD474" s="182"/>
    </row>
    <row r="475" spans="1:33" x14ac:dyDescent="0.2">
      <c r="A475" s="180"/>
      <c r="D475" s="196">
        <f>SUM(D461:D473)</f>
        <v>100296.25993000001</v>
      </c>
      <c r="E475" s="196">
        <f>SUM(E461:E473)</f>
        <v>23668.720480000004</v>
      </c>
      <c r="F475" s="196">
        <f>SUM(F461:F473)</f>
        <v>0</v>
      </c>
      <c r="G475" s="196"/>
      <c r="H475" s="196">
        <f>SUM(H461:H473)</f>
        <v>79346.344930000007</v>
      </c>
      <c r="I475" s="196">
        <f>SUM(I461:I473)</f>
        <v>0</v>
      </c>
      <c r="J475" s="196">
        <f>SUM(J461:J473)</f>
        <v>0</v>
      </c>
      <c r="K475" s="196">
        <f>SUM(K461:K473)</f>
        <v>0</v>
      </c>
      <c r="L475" s="196">
        <f>SUM(L461:L473)</f>
        <v>0</v>
      </c>
      <c r="M475" s="196"/>
      <c r="N475" s="196">
        <f>SUM(N461:N473)</f>
        <v>23668.720480000004</v>
      </c>
      <c r="O475" s="196">
        <f>SUM(O461:O473)</f>
        <v>17388.157790000001</v>
      </c>
      <c r="P475" s="196">
        <f>SUM(P461:P473)</f>
        <v>0</v>
      </c>
      <c r="Q475" s="196"/>
      <c r="R475" s="196">
        <f>SUM(R461:R473)</f>
        <v>20608.697</v>
      </c>
      <c r="S475" s="196">
        <f>SUM(S461:S473)</f>
        <v>0</v>
      </c>
      <c r="T475" s="196">
        <f>SUM(T461:T473)</f>
        <v>0</v>
      </c>
      <c r="U475" s="196">
        <f>SUM(U461:U473)</f>
        <v>0</v>
      </c>
      <c r="V475" s="196">
        <f>SUM(V461:V473)</f>
        <v>0</v>
      </c>
      <c r="W475" s="196"/>
      <c r="X475" s="196">
        <f>SUM(X461:X473)</f>
        <v>17388.157790000001</v>
      </c>
      <c r="Y475" s="196">
        <f>SUM(Y461:Y473)</f>
        <v>99955.041930000007</v>
      </c>
      <c r="Z475" s="196">
        <f>SUM(Z461:Z473)</f>
        <v>341.21800000000076</v>
      </c>
      <c r="AA475" s="196">
        <f>SUM(AA461:AA473)</f>
        <v>41056.878270000001</v>
      </c>
      <c r="AB475" s="196">
        <f>SUM(AB461:AB473)</f>
        <v>14737.298669999998</v>
      </c>
      <c r="AC475" s="196"/>
      <c r="AD475" s="196"/>
    </row>
    <row r="476" spans="1:33" ht="16.5" customHeight="1" x14ac:dyDescent="0.2">
      <c r="A476" s="180"/>
      <c r="B476" s="165" t="str">
        <f>+B461</f>
        <v>BATANGAS I</v>
      </c>
      <c r="D476" s="182" t="s">
        <v>40</v>
      </c>
      <c r="E476" s="182" t="s">
        <v>40</v>
      </c>
      <c r="F476" s="182" t="s">
        <v>40</v>
      </c>
      <c r="G476" s="182"/>
      <c r="H476" s="182" t="s">
        <v>40</v>
      </c>
      <c r="I476" s="182" t="s">
        <v>40</v>
      </c>
      <c r="J476" s="182" t="s">
        <v>40</v>
      </c>
      <c r="K476" s="182" t="s">
        <v>40</v>
      </c>
      <c r="L476" s="182" t="s">
        <v>40</v>
      </c>
      <c r="M476" s="182"/>
      <c r="N476" s="182" t="s">
        <v>40</v>
      </c>
      <c r="O476" s="182" t="s">
        <v>40</v>
      </c>
      <c r="P476" s="182" t="s">
        <v>40</v>
      </c>
      <c r="Q476" s="182"/>
      <c r="R476" s="182" t="s">
        <v>40</v>
      </c>
      <c r="S476" s="182" t="s">
        <v>40</v>
      </c>
      <c r="T476" s="182" t="s">
        <v>40</v>
      </c>
      <c r="U476" s="182" t="s">
        <v>40</v>
      </c>
      <c r="V476" s="182" t="s">
        <v>40</v>
      </c>
      <c r="W476" s="182"/>
      <c r="X476" s="182" t="s">
        <v>40</v>
      </c>
      <c r="Y476" s="182" t="s">
        <v>40</v>
      </c>
      <c r="Z476" s="182" t="s">
        <v>40</v>
      </c>
      <c r="AA476" s="182" t="s">
        <v>40</v>
      </c>
      <c r="AB476" s="182" t="s">
        <v>40</v>
      </c>
      <c r="AC476" s="182"/>
      <c r="AD476" s="182"/>
      <c r="AF476" s="217"/>
      <c r="AG476" s="186"/>
    </row>
    <row r="477" spans="1:33" ht="15.75" thickBot="1" x14ac:dyDescent="0.25">
      <c r="A477" s="180"/>
      <c r="B477" s="183" t="s">
        <v>292</v>
      </c>
      <c r="D477" s="184">
        <f>6098042/1000</f>
        <v>6098.0420000000004</v>
      </c>
      <c r="E477" s="181">
        <f>TOBEPAID!E356/1000</f>
        <v>0</v>
      </c>
      <c r="F477" s="181">
        <f>TOBEPAID!F356/1000</f>
        <v>0</v>
      </c>
      <c r="G477" s="181">
        <f>TOBEPAID!G356/1000</f>
        <v>0</v>
      </c>
      <c r="H477" s="181"/>
      <c r="I477" s="181">
        <f>TOBEPAID!I356/1000</f>
        <v>0</v>
      </c>
      <c r="J477" s="181">
        <f>TOBEPAID!J356/1000</f>
        <v>0</v>
      </c>
      <c r="K477" s="181">
        <f>TOBEPAID!K356/1000</f>
        <v>0</v>
      </c>
      <c r="L477" s="181">
        <f>TOBEPAID!L356/1000</f>
        <v>0</v>
      </c>
      <c r="M477" s="181">
        <f>TOBEPAID!M356/1000</f>
        <v>0</v>
      </c>
      <c r="N477" s="181">
        <f>TOBEPAID!N356/1000</f>
        <v>0</v>
      </c>
      <c r="O477" s="181">
        <f>TOBEPAID!O356/1000</f>
        <v>6098.0427799999998</v>
      </c>
      <c r="P477" s="181">
        <f>TOBEPAID!P356/1000</f>
        <v>0</v>
      </c>
      <c r="Q477" s="181">
        <f>TOBEPAID!Q356/1000</f>
        <v>0</v>
      </c>
      <c r="R477" s="184">
        <f t="shared" ref="R477:Y477" si="86">6098042/1000</f>
        <v>6098.0420000000004</v>
      </c>
      <c r="S477" s="184">
        <f t="shared" si="86"/>
        <v>6098.0420000000004</v>
      </c>
      <c r="T477" s="184">
        <f t="shared" si="86"/>
        <v>6098.0420000000004</v>
      </c>
      <c r="U477" s="184">
        <f t="shared" si="86"/>
        <v>6098.0420000000004</v>
      </c>
      <c r="V477" s="184">
        <f t="shared" si="86"/>
        <v>6098.0420000000004</v>
      </c>
      <c r="W477" s="184">
        <f t="shared" si="86"/>
        <v>6098.0420000000004</v>
      </c>
      <c r="X477" s="184">
        <f t="shared" si="86"/>
        <v>6098.0420000000004</v>
      </c>
      <c r="Y477" s="184">
        <f t="shared" si="86"/>
        <v>6098.0420000000004</v>
      </c>
      <c r="Z477" s="184">
        <f t="shared" ref="Z477:Z482" si="87">+D477-Y477</f>
        <v>0</v>
      </c>
      <c r="AA477" s="181">
        <f>TOBEPAID!AA356/1000</f>
        <v>0</v>
      </c>
      <c r="AB477" s="181">
        <f>TOBEPAID!AB356/1000</f>
        <v>0</v>
      </c>
      <c r="AC477" s="181"/>
      <c r="AD477" s="181"/>
      <c r="AE477" s="217"/>
    </row>
    <row r="478" spans="1:33" ht="56.25" customHeight="1" thickTop="1" x14ac:dyDescent="0.2">
      <c r="A478" s="180">
        <v>33</v>
      </c>
      <c r="B478" s="165" t="s">
        <v>182</v>
      </c>
      <c r="C478" s="166" t="s">
        <v>35</v>
      </c>
      <c r="D478" s="181">
        <f>130934540/1000</f>
        <v>130934.54</v>
      </c>
      <c r="E478" s="181">
        <f>TOBEPAID!E357/1000</f>
        <v>0</v>
      </c>
      <c r="F478" s="181">
        <f>TOBEPAID!F357/1000</f>
        <v>0</v>
      </c>
      <c r="G478" s="181">
        <f>TOBEPAID!G357/1000</f>
        <v>0</v>
      </c>
      <c r="H478" s="181">
        <f>129871801/1000</f>
        <v>129871.80100000001</v>
      </c>
      <c r="I478" s="181">
        <f>TOBEPAID!I357/1000</f>
        <v>0</v>
      </c>
      <c r="J478" s="181">
        <f>TOBEPAID!J357/1000</f>
        <v>0</v>
      </c>
      <c r="K478" s="181">
        <f>TOBEPAID!K357/1000</f>
        <v>0</v>
      </c>
      <c r="L478" s="181">
        <f>TOBEPAID!L357/1000</f>
        <v>0</v>
      </c>
      <c r="M478" s="181">
        <f>TOBEPAID!M357/1000</f>
        <v>0</v>
      </c>
      <c r="N478" s="181">
        <f>TOBEPAID!N357/1000</f>
        <v>0</v>
      </c>
      <c r="O478" s="181">
        <f>TOBEPAID!O357/1000</f>
        <v>0</v>
      </c>
      <c r="P478" s="181">
        <f>TOBEPAID!P357/1000</f>
        <v>0</v>
      </c>
      <c r="Q478" s="181">
        <f>TOBEPAID!Q357/1000</f>
        <v>0</v>
      </c>
      <c r="R478" s="181">
        <f>1062739/1000</f>
        <v>1062.739</v>
      </c>
      <c r="S478" s="181">
        <f>TOBEPAID!S357/1000</f>
        <v>0</v>
      </c>
      <c r="T478" s="181">
        <f>TOBEPAID!T357/1000</f>
        <v>0</v>
      </c>
      <c r="U478" s="181">
        <f>TOBEPAID!U357/1000</f>
        <v>0</v>
      </c>
      <c r="V478" s="181">
        <f>TOBEPAID!V357/1000</f>
        <v>0</v>
      </c>
      <c r="W478" s="181">
        <f>TOBEPAID!W357/1000</f>
        <v>0</v>
      </c>
      <c r="X478" s="181">
        <f>TOBEPAID!X357/1000</f>
        <v>0</v>
      </c>
      <c r="Y478" s="181">
        <f t="shared" ref="Y478:Y485" si="88">+H478+R478</f>
        <v>130934.54000000001</v>
      </c>
      <c r="Z478" s="181">
        <f t="shared" si="87"/>
        <v>0</v>
      </c>
      <c r="AA478" s="181">
        <f>TOBEPAID!AA357/1000</f>
        <v>0</v>
      </c>
      <c r="AB478" s="181">
        <f>TOBEPAID!AB357/1000</f>
        <v>61659.384090000007</v>
      </c>
      <c r="AC478" s="181"/>
      <c r="AD478" s="181"/>
    </row>
    <row r="479" spans="1:33" x14ac:dyDescent="0.2">
      <c r="A479" s="180"/>
      <c r="C479" s="165" t="s">
        <v>36</v>
      </c>
      <c r="D479" s="181">
        <f>12221009/1000</f>
        <v>12221.009</v>
      </c>
      <c r="E479" s="181">
        <f>TOBEPAID!E358/1000</f>
        <v>12221.009</v>
      </c>
      <c r="F479" s="181">
        <f>TOBEPAID!F358/1000</f>
        <v>0</v>
      </c>
      <c r="G479" s="181">
        <f>TOBEPAID!G358/1000</f>
        <v>0</v>
      </c>
      <c r="H479" s="181">
        <f>12221009/1000</f>
        <v>12221.009</v>
      </c>
      <c r="I479" s="181">
        <f>TOBEPAID!I358/1000</f>
        <v>0</v>
      </c>
      <c r="J479" s="181">
        <f>TOBEPAID!J358/1000</f>
        <v>0</v>
      </c>
      <c r="K479" s="181">
        <f>TOBEPAID!K358/1000</f>
        <v>0</v>
      </c>
      <c r="L479" s="181">
        <f>TOBEPAID!L358/1000</f>
        <v>0</v>
      </c>
      <c r="M479" s="181">
        <f>TOBEPAID!M358/1000</f>
        <v>0</v>
      </c>
      <c r="N479" s="181">
        <f>TOBEPAID!N358/1000</f>
        <v>12221.009</v>
      </c>
      <c r="O479" s="181">
        <f>TOBEPAID!O358/1000</f>
        <v>0</v>
      </c>
      <c r="P479" s="181">
        <f>TOBEPAID!P358/1000</f>
        <v>0</v>
      </c>
      <c r="Q479" s="181">
        <f>TOBEPAID!Q358/1000</f>
        <v>0</v>
      </c>
      <c r="R479" s="181">
        <v>0</v>
      </c>
      <c r="S479" s="181">
        <f>TOBEPAID!S358/1000</f>
        <v>0</v>
      </c>
      <c r="T479" s="181">
        <f>TOBEPAID!T358/1000</f>
        <v>0</v>
      </c>
      <c r="U479" s="181">
        <f>TOBEPAID!U358/1000</f>
        <v>0</v>
      </c>
      <c r="V479" s="181">
        <f>TOBEPAID!V358/1000</f>
        <v>0</v>
      </c>
      <c r="W479" s="181">
        <f>TOBEPAID!W358/1000</f>
        <v>0</v>
      </c>
      <c r="X479" s="181">
        <f>TOBEPAID!X358/1000</f>
        <v>0</v>
      </c>
      <c r="Y479" s="181">
        <f t="shared" si="88"/>
        <v>12221.009</v>
      </c>
      <c r="Z479" s="181">
        <f t="shared" si="87"/>
        <v>0</v>
      </c>
      <c r="AA479" s="181">
        <f>TOBEPAID!AA358/1000</f>
        <v>12221.009</v>
      </c>
      <c r="AB479" s="181">
        <f>TOBEPAID!AB358/1000</f>
        <v>0</v>
      </c>
      <c r="AC479" s="181"/>
      <c r="AD479" s="181"/>
    </row>
    <row r="480" spans="1:33" x14ac:dyDescent="0.2">
      <c r="A480" s="180"/>
      <c r="C480" s="165" t="s">
        <v>444</v>
      </c>
      <c r="D480" s="181">
        <f>41308000/1000</f>
        <v>41308</v>
      </c>
      <c r="E480" s="181"/>
      <c r="F480" s="181"/>
      <c r="G480" s="181"/>
      <c r="H480" s="181">
        <f>41308000/1000</f>
        <v>41308</v>
      </c>
      <c r="I480" s="181"/>
      <c r="J480" s="181"/>
      <c r="K480" s="181"/>
      <c r="L480" s="181"/>
      <c r="M480" s="181"/>
      <c r="N480" s="181"/>
      <c r="O480" s="181"/>
      <c r="P480" s="181"/>
      <c r="Q480" s="181"/>
      <c r="R480" s="181">
        <v>0</v>
      </c>
      <c r="S480" s="181"/>
      <c r="T480" s="181"/>
      <c r="U480" s="181"/>
      <c r="V480" s="181"/>
      <c r="W480" s="181"/>
      <c r="X480" s="181"/>
      <c r="Y480" s="181">
        <f>+H480+R480</f>
        <v>41308</v>
      </c>
      <c r="Z480" s="181">
        <f t="shared" si="87"/>
        <v>0</v>
      </c>
      <c r="AA480" s="181"/>
      <c r="AB480" s="181"/>
      <c r="AC480" s="181"/>
      <c r="AD480" s="181"/>
    </row>
    <row r="481" spans="1:30" x14ac:dyDescent="0.2">
      <c r="A481" s="180"/>
      <c r="C481" s="165" t="s">
        <v>458</v>
      </c>
      <c r="D481" s="181">
        <f>78000000/1000</f>
        <v>78000</v>
      </c>
      <c r="E481" s="181"/>
      <c r="F481" s="181"/>
      <c r="G481" s="181"/>
      <c r="H481" s="181">
        <f>77978845/1000</f>
        <v>77978.845000000001</v>
      </c>
      <c r="I481" s="181"/>
      <c r="J481" s="181"/>
      <c r="K481" s="181"/>
      <c r="L481" s="181"/>
      <c r="M481" s="181"/>
      <c r="N481" s="181"/>
      <c r="O481" s="181"/>
      <c r="P481" s="181"/>
      <c r="Q481" s="181"/>
      <c r="R481" s="181">
        <v>0</v>
      </c>
      <c r="S481" s="181"/>
      <c r="T481" s="181"/>
      <c r="U481" s="181"/>
      <c r="V481" s="181"/>
      <c r="W481" s="181"/>
      <c r="X481" s="181"/>
      <c r="Y481" s="181">
        <f>+H481+R481</f>
        <v>77978.845000000001</v>
      </c>
      <c r="Z481" s="181">
        <f t="shared" si="87"/>
        <v>21.154999999998836</v>
      </c>
      <c r="AA481" s="181"/>
      <c r="AB481" s="181"/>
      <c r="AC481" s="181"/>
      <c r="AD481" s="181"/>
    </row>
    <row r="482" spans="1:30" x14ac:dyDescent="0.2">
      <c r="C482" s="165" t="s">
        <v>399</v>
      </c>
      <c r="D482" s="165">
        <f>5607250.84/1000</f>
        <v>5607.2508399999997</v>
      </c>
      <c r="H482" s="165">
        <f>5607250.84/1000</f>
        <v>5607.2508399999997</v>
      </c>
      <c r="R482" s="181">
        <v>0</v>
      </c>
      <c r="Y482" s="181">
        <f t="shared" si="88"/>
        <v>5607.2508399999997</v>
      </c>
      <c r="Z482" s="181">
        <f t="shared" si="87"/>
        <v>0</v>
      </c>
    </row>
    <row r="483" spans="1:30" ht="16.5" customHeight="1" x14ac:dyDescent="0.2">
      <c r="A483" s="180"/>
      <c r="C483" s="165" t="s">
        <v>53</v>
      </c>
      <c r="D483" s="181">
        <f>46322082/1000</f>
        <v>46322.082000000002</v>
      </c>
      <c r="E483" s="181">
        <f>TOBEPAID!E359/1000</f>
        <v>0</v>
      </c>
      <c r="F483" s="181">
        <f>TOBEPAID!F359/1000</f>
        <v>0</v>
      </c>
      <c r="G483" s="181">
        <f>TOBEPAID!G359/1000</f>
        <v>0</v>
      </c>
      <c r="H483" s="181">
        <v>0</v>
      </c>
      <c r="I483" s="181">
        <f>TOBEPAID!I359/1000</f>
        <v>0</v>
      </c>
      <c r="J483" s="181">
        <f>TOBEPAID!J359/1000</f>
        <v>0</v>
      </c>
      <c r="K483" s="181">
        <f>TOBEPAID!K359/1000</f>
        <v>0</v>
      </c>
      <c r="L483" s="181">
        <f>TOBEPAID!L359/1000</f>
        <v>0</v>
      </c>
      <c r="M483" s="181">
        <f>TOBEPAID!M359/1000</f>
        <v>0</v>
      </c>
      <c r="N483" s="181">
        <f>TOBEPAID!N359/1000</f>
        <v>0</v>
      </c>
      <c r="O483" s="181">
        <f>TOBEPAID!O359/1000</f>
        <v>46303.45046</v>
      </c>
      <c r="P483" s="181">
        <f>TOBEPAID!P359/1000</f>
        <v>0</v>
      </c>
      <c r="Q483" s="181">
        <f>TOBEPAID!Q359/1000</f>
        <v>0</v>
      </c>
      <c r="R483" s="181">
        <f>46322082.11/1000</f>
        <v>46322.082110000003</v>
      </c>
      <c r="S483" s="181">
        <f>TOBEPAID!S359/1000</f>
        <v>0</v>
      </c>
      <c r="T483" s="181">
        <f>TOBEPAID!T359/1000</f>
        <v>0</v>
      </c>
      <c r="U483" s="181">
        <f>TOBEPAID!U359/1000</f>
        <v>0</v>
      </c>
      <c r="V483" s="181">
        <f>TOBEPAID!V359/1000</f>
        <v>0</v>
      </c>
      <c r="W483" s="181">
        <f>TOBEPAID!W359/1000</f>
        <v>0</v>
      </c>
      <c r="X483" s="181">
        <f>TOBEPAID!X359/1000</f>
        <v>46303.45046</v>
      </c>
      <c r="Y483" s="181">
        <f t="shared" si="88"/>
        <v>46322.082110000003</v>
      </c>
      <c r="Z483" s="181">
        <f>+Y483-D483</f>
        <v>1.1000000085914508E-4</v>
      </c>
      <c r="AA483" s="181">
        <f>TOBEPAID!AA359/1000</f>
        <v>46303.45046</v>
      </c>
      <c r="AB483" s="181">
        <f>TOBEPAID!AB359/1000</f>
        <v>69293.788530000005</v>
      </c>
      <c r="AC483" s="181"/>
      <c r="AD483" s="181"/>
    </row>
    <row r="484" spans="1:30" ht="16.5" customHeight="1" x14ac:dyDescent="0.2">
      <c r="A484" s="180"/>
      <c r="C484" s="165" t="s">
        <v>54</v>
      </c>
      <c r="D484" s="181">
        <f>26496892/1000</f>
        <v>26496.892</v>
      </c>
      <c r="E484" s="181">
        <f>TOBEPAID!E360/1000</f>
        <v>0</v>
      </c>
      <c r="F484" s="181">
        <f>TOBEPAID!F360/1000</f>
        <v>0</v>
      </c>
      <c r="G484" s="181">
        <f>TOBEPAID!G360/1000</f>
        <v>0</v>
      </c>
      <c r="H484" s="181">
        <v>0</v>
      </c>
      <c r="I484" s="181">
        <f>TOBEPAID!I360/1000</f>
        <v>0</v>
      </c>
      <c r="J484" s="181">
        <f>TOBEPAID!J360/1000</f>
        <v>0</v>
      </c>
      <c r="K484" s="181">
        <f>TOBEPAID!K360/1000</f>
        <v>0</v>
      </c>
      <c r="L484" s="181">
        <f>TOBEPAID!L360/1000</f>
        <v>0</v>
      </c>
      <c r="M484" s="181">
        <f>TOBEPAID!M360/1000</f>
        <v>0</v>
      </c>
      <c r="N484" s="181">
        <f>TOBEPAID!N360/1000</f>
        <v>0</v>
      </c>
      <c r="O484" s="181">
        <f>TOBEPAID!O360/1000</f>
        <v>26496.892829999997</v>
      </c>
      <c r="P484" s="181">
        <f>TOBEPAID!P360/1000</f>
        <v>0</v>
      </c>
      <c r="Q484" s="181">
        <f>TOBEPAID!Q360/1000</f>
        <v>0</v>
      </c>
      <c r="R484" s="181">
        <f>26496892/1000</f>
        <v>26496.892</v>
      </c>
      <c r="S484" s="181">
        <f>TOBEPAID!S360/1000</f>
        <v>0</v>
      </c>
      <c r="T484" s="181">
        <f>TOBEPAID!T360/1000</f>
        <v>0</v>
      </c>
      <c r="U484" s="181">
        <f>TOBEPAID!U360/1000</f>
        <v>0</v>
      </c>
      <c r="V484" s="181">
        <f>TOBEPAID!V360/1000</f>
        <v>0</v>
      </c>
      <c r="W484" s="181">
        <f>TOBEPAID!W360/1000</f>
        <v>0</v>
      </c>
      <c r="X484" s="181">
        <f>TOBEPAID!X360/1000</f>
        <v>26496.892829999997</v>
      </c>
      <c r="Y484" s="181">
        <f t="shared" si="88"/>
        <v>26496.892</v>
      </c>
      <c r="Z484" s="181">
        <f>+D484-Y484</f>
        <v>0</v>
      </c>
      <c r="AA484" s="181">
        <f>TOBEPAID!AA360/1000</f>
        <v>26496.892829999997</v>
      </c>
      <c r="AB484" s="181">
        <f>TOBEPAID!AB360/1000</f>
        <v>0</v>
      </c>
      <c r="AC484" s="181"/>
      <c r="AD484" s="181"/>
    </row>
    <row r="485" spans="1:30" ht="16.5" customHeight="1" x14ac:dyDescent="0.2">
      <c r="A485" s="180"/>
      <c r="C485" s="165" t="s">
        <v>44</v>
      </c>
      <c r="D485" s="181">
        <f>10000000/1000</f>
        <v>10000</v>
      </c>
      <c r="E485" s="181">
        <f>TOBEPAID!E361/1000</f>
        <v>10000</v>
      </c>
      <c r="F485" s="181">
        <f>TOBEPAID!F361/1000</f>
        <v>0</v>
      </c>
      <c r="G485" s="181">
        <f>TOBEPAID!G361/1000</f>
        <v>0</v>
      </c>
      <c r="H485" s="181">
        <f>10000000/1000</f>
        <v>10000</v>
      </c>
      <c r="I485" s="181">
        <f>TOBEPAID!I361/1000</f>
        <v>0</v>
      </c>
      <c r="J485" s="181">
        <f>TOBEPAID!J361/1000</f>
        <v>0</v>
      </c>
      <c r="K485" s="181">
        <f>TOBEPAID!K361/1000</f>
        <v>0</v>
      </c>
      <c r="L485" s="181">
        <f>TOBEPAID!L361/1000</f>
        <v>0</v>
      </c>
      <c r="M485" s="181">
        <f>TOBEPAID!M361/1000</f>
        <v>0</v>
      </c>
      <c r="N485" s="181">
        <f>TOBEPAID!N361/1000</f>
        <v>10000</v>
      </c>
      <c r="O485" s="181">
        <f>TOBEPAID!O361/1000</f>
        <v>0</v>
      </c>
      <c r="P485" s="181">
        <f>TOBEPAID!P361/1000</f>
        <v>0</v>
      </c>
      <c r="Q485" s="181">
        <f>TOBEPAID!Q361/1000</f>
        <v>0</v>
      </c>
      <c r="R485" s="181">
        <v>0</v>
      </c>
      <c r="S485" s="181">
        <f>TOBEPAID!S361/1000</f>
        <v>0</v>
      </c>
      <c r="T485" s="181">
        <f>TOBEPAID!T361/1000</f>
        <v>0</v>
      </c>
      <c r="U485" s="181">
        <f>TOBEPAID!U361/1000</f>
        <v>0</v>
      </c>
      <c r="V485" s="181">
        <f>TOBEPAID!V361/1000</f>
        <v>0</v>
      </c>
      <c r="W485" s="181">
        <f>TOBEPAID!W361/1000</f>
        <v>0</v>
      </c>
      <c r="X485" s="181">
        <f>TOBEPAID!X361/1000</f>
        <v>0</v>
      </c>
      <c r="Y485" s="181">
        <f t="shared" si="88"/>
        <v>10000</v>
      </c>
      <c r="Z485" s="181">
        <f>+D485-Y485</f>
        <v>0</v>
      </c>
      <c r="AA485" s="181">
        <f>TOBEPAID!AA361/1000</f>
        <v>10000</v>
      </c>
      <c r="AB485" s="181">
        <f>TOBEPAID!AB361/1000</f>
        <v>0</v>
      </c>
      <c r="AC485" s="181"/>
      <c r="AD485" s="181"/>
    </row>
    <row r="486" spans="1:30" x14ac:dyDescent="0.2">
      <c r="A486" s="180"/>
      <c r="D486" s="182" t="s">
        <v>40</v>
      </c>
      <c r="E486" s="182" t="s">
        <v>40</v>
      </c>
      <c r="F486" s="182" t="s">
        <v>40</v>
      </c>
      <c r="G486" s="182"/>
      <c r="H486" s="182" t="s">
        <v>40</v>
      </c>
      <c r="I486" s="182" t="s">
        <v>40</v>
      </c>
      <c r="J486" s="182" t="s">
        <v>40</v>
      </c>
      <c r="K486" s="182" t="s">
        <v>40</v>
      </c>
      <c r="L486" s="182" t="s">
        <v>40</v>
      </c>
      <c r="M486" s="182"/>
      <c r="N486" s="182" t="s">
        <v>40</v>
      </c>
      <c r="O486" s="182" t="s">
        <v>40</v>
      </c>
      <c r="P486" s="182" t="s">
        <v>40</v>
      </c>
      <c r="Q486" s="182"/>
      <c r="R486" s="182" t="s">
        <v>40</v>
      </c>
      <c r="S486" s="182" t="s">
        <v>40</v>
      </c>
      <c r="T486" s="182" t="s">
        <v>40</v>
      </c>
      <c r="U486" s="182" t="s">
        <v>40</v>
      </c>
      <c r="V486" s="182" t="s">
        <v>40</v>
      </c>
      <c r="W486" s="182"/>
      <c r="X486" s="182" t="s">
        <v>40</v>
      </c>
      <c r="Y486" s="182" t="s">
        <v>40</v>
      </c>
      <c r="Z486" s="182" t="s">
        <v>40</v>
      </c>
      <c r="AA486" s="182" t="s">
        <v>40</v>
      </c>
      <c r="AB486" s="182" t="s">
        <v>40</v>
      </c>
      <c r="AC486" s="182"/>
      <c r="AD486" s="182"/>
    </row>
    <row r="487" spans="1:30" ht="16.5" customHeight="1" x14ac:dyDescent="0.2">
      <c r="A487" s="180"/>
      <c r="D487" s="196">
        <f>SUM(D478:D485)</f>
        <v>350889.77383999998</v>
      </c>
      <c r="E487" s="196">
        <f>SUM(E478:E485)</f>
        <v>22221.008999999998</v>
      </c>
      <c r="F487" s="196">
        <f>SUM(F478:F485)</f>
        <v>0</v>
      </c>
      <c r="G487" s="196"/>
      <c r="H487" s="196">
        <f>SUM(H478:H485)</f>
        <v>276986.90584000002</v>
      </c>
      <c r="I487" s="196">
        <f>SUM(I478:I485)</f>
        <v>0</v>
      </c>
      <c r="J487" s="196">
        <f>SUM(J478:J485)</f>
        <v>0</v>
      </c>
      <c r="K487" s="196">
        <f>SUM(K478:K485)</f>
        <v>0</v>
      </c>
      <c r="L487" s="196">
        <f>SUM(L478:L485)</f>
        <v>0</v>
      </c>
      <c r="M487" s="196"/>
      <c r="N487" s="196">
        <f>SUM(N478:N485)</f>
        <v>22221.008999999998</v>
      </c>
      <c r="O487" s="196">
        <f>SUM(O478:O485)</f>
        <v>72800.34328999999</v>
      </c>
      <c r="P487" s="196">
        <f>SUM(P478:P485)</f>
        <v>0</v>
      </c>
      <c r="Q487" s="196"/>
      <c r="R487" s="196">
        <f>SUM(R478:R485)</f>
        <v>73881.713110000012</v>
      </c>
      <c r="S487" s="196">
        <f>SUM(S478:S485)</f>
        <v>0</v>
      </c>
      <c r="T487" s="196">
        <f>SUM(T478:T485)</f>
        <v>0</v>
      </c>
      <c r="U487" s="196">
        <f>SUM(U478:U485)</f>
        <v>0</v>
      </c>
      <c r="V487" s="196">
        <f>SUM(V478:V485)</f>
        <v>0</v>
      </c>
      <c r="W487" s="196"/>
      <c r="X487" s="196">
        <f>SUM(X478:X485)</f>
        <v>72800.34328999999</v>
      </c>
      <c r="Y487" s="196">
        <f>SUM(Y478:Y485)</f>
        <v>350868.61894999997</v>
      </c>
      <c r="Z487" s="196">
        <f>SUM(Z478:Z485)</f>
        <v>21.155109999999695</v>
      </c>
      <c r="AA487" s="196">
        <f>SUM(AA478:AA485)</f>
        <v>95021.352289999995</v>
      </c>
      <c r="AB487" s="196">
        <f>SUM(AB478:AB485)</f>
        <v>130953.17262000001</v>
      </c>
      <c r="AC487" s="196"/>
      <c r="AD487" s="196"/>
    </row>
    <row r="488" spans="1:30" x14ac:dyDescent="0.2">
      <c r="A488" s="180"/>
      <c r="B488" s="165" t="str">
        <f>+B478</f>
        <v>BATANGAS II</v>
      </c>
      <c r="D488" s="182" t="s">
        <v>40</v>
      </c>
      <c r="E488" s="182" t="s">
        <v>40</v>
      </c>
      <c r="F488" s="182" t="s">
        <v>40</v>
      </c>
      <c r="G488" s="182"/>
      <c r="H488" s="182" t="s">
        <v>40</v>
      </c>
      <c r="I488" s="182" t="s">
        <v>40</v>
      </c>
      <c r="J488" s="182" t="s">
        <v>40</v>
      </c>
      <c r="K488" s="182" t="s">
        <v>40</v>
      </c>
      <c r="L488" s="182" t="s">
        <v>40</v>
      </c>
      <c r="M488" s="182"/>
      <c r="N488" s="182" t="s">
        <v>40</v>
      </c>
      <c r="O488" s="182" t="s">
        <v>40</v>
      </c>
      <c r="P488" s="182" t="s">
        <v>40</v>
      </c>
      <c r="Q488" s="182"/>
      <c r="R488" s="182" t="s">
        <v>40</v>
      </c>
      <c r="S488" s="182" t="s">
        <v>40</v>
      </c>
      <c r="T488" s="182" t="s">
        <v>40</v>
      </c>
      <c r="U488" s="182" t="s">
        <v>40</v>
      </c>
      <c r="V488" s="182" t="s">
        <v>40</v>
      </c>
      <c r="W488" s="182"/>
      <c r="X488" s="182" t="s">
        <v>40</v>
      </c>
      <c r="Y488" s="182" t="s">
        <v>40</v>
      </c>
      <c r="Z488" s="182" t="s">
        <v>40</v>
      </c>
      <c r="AA488" s="182" t="s">
        <v>40</v>
      </c>
      <c r="AB488" s="182" t="s">
        <v>40</v>
      </c>
      <c r="AC488" s="182"/>
      <c r="AD488" s="182"/>
    </row>
    <row r="489" spans="1:30" ht="16.5" customHeight="1" thickBot="1" x14ac:dyDescent="0.25">
      <c r="A489" s="180"/>
      <c r="B489" s="183" t="s">
        <v>292</v>
      </c>
      <c r="D489" s="184">
        <f>1168518.22/1000</f>
        <v>1168.5182199999999</v>
      </c>
      <c r="E489" s="181">
        <f>TOBEPAID!E365/1000</f>
        <v>0</v>
      </c>
      <c r="F489" s="181">
        <f>TOBEPAID!F365/1000</f>
        <v>0</v>
      </c>
      <c r="G489" s="181">
        <f>TOBEPAID!G365/1000</f>
        <v>0</v>
      </c>
      <c r="H489" s="181"/>
      <c r="I489" s="181">
        <f>TOBEPAID!I365/1000</f>
        <v>0</v>
      </c>
      <c r="J489" s="181">
        <f>TOBEPAID!J365/1000</f>
        <v>0</v>
      </c>
      <c r="K489" s="181">
        <f>TOBEPAID!K365/1000</f>
        <v>0</v>
      </c>
      <c r="L489" s="181">
        <f>TOBEPAID!L365/1000</f>
        <v>0</v>
      </c>
      <c r="M489" s="181">
        <f>TOBEPAID!M365/1000</f>
        <v>0</v>
      </c>
      <c r="N489" s="181">
        <f>TOBEPAID!N365/1000</f>
        <v>0</v>
      </c>
      <c r="O489" s="181">
        <f>TOBEPAID!O365/1000</f>
        <v>1168.5182199999999</v>
      </c>
      <c r="P489" s="181">
        <f>TOBEPAID!P365/1000</f>
        <v>0</v>
      </c>
      <c r="Q489" s="181">
        <f>TOBEPAID!Q365/1000</f>
        <v>0</v>
      </c>
      <c r="R489" s="184">
        <f t="shared" ref="R489:Y489" si="89">1168518.22/1000</f>
        <v>1168.5182199999999</v>
      </c>
      <c r="S489" s="184">
        <f t="shared" si="89"/>
        <v>1168.5182199999999</v>
      </c>
      <c r="T489" s="184">
        <f t="shared" si="89"/>
        <v>1168.5182199999999</v>
      </c>
      <c r="U489" s="184">
        <f t="shared" si="89"/>
        <v>1168.5182199999999</v>
      </c>
      <c r="V489" s="184">
        <f t="shared" si="89"/>
        <v>1168.5182199999999</v>
      </c>
      <c r="W489" s="184">
        <f t="shared" si="89"/>
        <v>1168.5182199999999</v>
      </c>
      <c r="X489" s="184">
        <f t="shared" si="89"/>
        <v>1168.5182199999999</v>
      </c>
      <c r="Y489" s="184">
        <f t="shared" si="89"/>
        <v>1168.5182199999999</v>
      </c>
      <c r="Z489" s="184">
        <f t="shared" ref="Z489:Z499" si="90">+D489-Y489</f>
        <v>0</v>
      </c>
      <c r="AA489" s="181">
        <f>TOBEPAID!AA365/1000</f>
        <v>0</v>
      </c>
      <c r="AB489" s="181">
        <f>TOBEPAID!AB365/1000</f>
        <v>0</v>
      </c>
      <c r="AC489" s="181"/>
      <c r="AD489" s="181"/>
    </row>
    <row r="490" spans="1:30" ht="56.25" customHeight="1" thickTop="1" x14ac:dyDescent="0.2">
      <c r="A490" s="180">
        <v>34</v>
      </c>
      <c r="B490" s="165" t="s">
        <v>253</v>
      </c>
      <c r="C490" s="166" t="s">
        <v>35</v>
      </c>
      <c r="D490" s="181">
        <f>6191000/1000</f>
        <v>6191</v>
      </c>
      <c r="E490" s="181">
        <f>TOBEPAID!E366/1000</f>
        <v>0</v>
      </c>
      <c r="F490" s="181">
        <f>TOBEPAID!F366/1000</f>
        <v>0</v>
      </c>
      <c r="G490" s="181">
        <f>TOBEPAID!G366/1000</f>
        <v>0</v>
      </c>
      <c r="H490" s="181">
        <f>6191000/1000</f>
        <v>6191</v>
      </c>
      <c r="I490" s="181">
        <f>TOBEPAID!I366/1000</f>
        <v>0</v>
      </c>
      <c r="J490" s="181">
        <f>TOBEPAID!J366/1000</f>
        <v>0</v>
      </c>
      <c r="K490" s="181">
        <f>TOBEPAID!K366/1000</f>
        <v>0</v>
      </c>
      <c r="L490" s="181">
        <f>TOBEPAID!L366/1000</f>
        <v>0</v>
      </c>
      <c r="M490" s="181">
        <f>TOBEPAID!M366/1000</f>
        <v>0</v>
      </c>
      <c r="N490" s="181">
        <f>TOBEPAID!N366/1000</f>
        <v>0</v>
      </c>
      <c r="O490" s="181">
        <f>TOBEPAID!O366/1000</f>
        <v>0</v>
      </c>
      <c r="P490" s="181">
        <f>TOBEPAID!P366/1000</f>
        <v>0</v>
      </c>
      <c r="Q490" s="181">
        <f>TOBEPAID!Q366/1000</f>
        <v>0</v>
      </c>
      <c r="R490" s="181">
        <v>0</v>
      </c>
      <c r="S490" s="181">
        <f>TOBEPAID!S366/1000</f>
        <v>0</v>
      </c>
      <c r="T490" s="181">
        <f>TOBEPAID!T366/1000</f>
        <v>0</v>
      </c>
      <c r="U490" s="181">
        <f>TOBEPAID!U366/1000</f>
        <v>0</v>
      </c>
      <c r="V490" s="181">
        <f>TOBEPAID!V366/1000</f>
        <v>0</v>
      </c>
      <c r="W490" s="181">
        <f>TOBEPAID!W366/1000</f>
        <v>0</v>
      </c>
      <c r="X490" s="181">
        <f>TOBEPAID!X366/1000</f>
        <v>0</v>
      </c>
      <c r="Y490" s="181">
        <f>+H490+R490</f>
        <v>6191</v>
      </c>
      <c r="Z490" s="181">
        <f t="shared" si="90"/>
        <v>0</v>
      </c>
      <c r="AA490" s="181">
        <f>TOBEPAID!AA366/1000</f>
        <v>0</v>
      </c>
      <c r="AB490" s="181">
        <f>TOBEPAID!AB366/1000</f>
        <v>0</v>
      </c>
      <c r="AC490" s="181"/>
      <c r="AD490" s="181"/>
    </row>
    <row r="491" spans="1:30" ht="16.5" customHeight="1" x14ac:dyDescent="0.2">
      <c r="A491" s="180"/>
      <c r="C491" s="166" t="s">
        <v>457</v>
      </c>
      <c r="D491" s="181">
        <f>213719000/1000</f>
        <v>213719</v>
      </c>
      <c r="E491" s="181"/>
      <c r="F491" s="181"/>
      <c r="G491" s="181"/>
      <c r="H491" s="181">
        <f>163544587.43/1000</f>
        <v>163544.58743000001</v>
      </c>
      <c r="I491" s="181"/>
      <c r="J491" s="181"/>
      <c r="K491" s="181"/>
      <c r="L491" s="181"/>
      <c r="M491" s="181"/>
      <c r="N491" s="181"/>
      <c r="O491" s="181"/>
      <c r="P491" s="181"/>
      <c r="Q491" s="181"/>
      <c r="R491" s="181">
        <f>580295/1000</f>
        <v>580.29499999999996</v>
      </c>
      <c r="S491" s="181"/>
      <c r="T491" s="181"/>
      <c r="U491" s="181"/>
      <c r="V491" s="181"/>
      <c r="W491" s="181"/>
      <c r="X491" s="181"/>
      <c r="Y491" s="181">
        <f t="shared" ref="Y491:Y499" si="91">+H491+R491</f>
        <v>164124.88243000003</v>
      </c>
      <c r="Z491" s="181">
        <f t="shared" si="90"/>
        <v>49594.117569999973</v>
      </c>
      <c r="AA491" s="181"/>
      <c r="AB491" s="181"/>
      <c r="AC491" s="181"/>
      <c r="AD491" s="181"/>
    </row>
    <row r="492" spans="1:30" ht="16.5" customHeight="1" x14ac:dyDescent="0.2">
      <c r="A492" s="180"/>
      <c r="C492" s="166" t="s">
        <v>460</v>
      </c>
      <c r="D492" s="181">
        <f>6000000/1000</f>
        <v>6000</v>
      </c>
      <c r="E492" s="181"/>
      <c r="F492" s="181"/>
      <c r="G492" s="181"/>
      <c r="H492" s="181">
        <f>6000000/1000</f>
        <v>6000</v>
      </c>
      <c r="I492" s="181"/>
      <c r="J492" s="181"/>
      <c r="K492" s="181"/>
      <c r="L492" s="181"/>
      <c r="M492" s="181"/>
      <c r="N492" s="181"/>
      <c r="O492" s="181"/>
      <c r="P492" s="181"/>
      <c r="Q492" s="181"/>
      <c r="R492" s="181">
        <v>0</v>
      </c>
      <c r="S492" s="181"/>
      <c r="T492" s="181"/>
      <c r="U492" s="181"/>
      <c r="V492" s="181"/>
      <c r="W492" s="181"/>
      <c r="X492" s="181"/>
      <c r="Y492" s="181">
        <f>+H492+R492</f>
        <v>6000</v>
      </c>
      <c r="Z492" s="181">
        <f>+D492-Y492</f>
        <v>0</v>
      </c>
      <c r="AA492" s="181"/>
      <c r="AB492" s="181"/>
      <c r="AC492" s="181"/>
      <c r="AD492" s="181"/>
    </row>
    <row r="493" spans="1:30" x14ac:dyDescent="0.2">
      <c r="A493" s="180"/>
      <c r="C493" s="165" t="s">
        <v>36</v>
      </c>
      <c r="D493" s="181">
        <f>2018058/1000</f>
        <v>2018.058</v>
      </c>
      <c r="E493" s="181">
        <f>TOBEPAID!E367/1000</f>
        <v>2018.058</v>
      </c>
      <c r="F493" s="181">
        <f>TOBEPAID!F367/1000</f>
        <v>0</v>
      </c>
      <c r="G493" s="181">
        <f>TOBEPAID!G367/1000</f>
        <v>0</v>
      </c>
      <c r="H493" s="181">
        <f>2018058/1000</f>
        <v>2018.058</v>
      </c>
      <c r="I493" s="181">
        <f>TOBEPAID!I367/1000</f>
        <v>0</v>
      </c>
      <c r="J493" s="181">
        <f>TOBEPAID!J367/1000</f>
        <v>0</v>
      </c>
      <c r="K493" s="181">
        <f>TOBEPAID!K367/1000</f>
        <v>0</v>
      </c>
      <c r="L493" s="181">
        <f>TOBEPAID!L367/1000</f>
        <v>0</v>
      </c>
      <c r="M493" s="181">
        <f>TOBEPAID!M367/1000</f>
        <v>0</v>
      </c>
      <c r="N493" s="181">
        <f>TOBEPAID!N367/1000</f>
        <v>2018.058</v>
      </c>
      <c r="O493" s="181">
        <f>TOBEPAID!O367/1000</f>
        <v>0</v>
      </c>
      <c r="P493" s="181">
        <f>TOBEPAID!P367/1000</f>
        <v>0</v>
      </c>
      <c r="Q493" s="181">
        <f>TOBEPAID!Q367/1000</f>
        <v>0</v>
      </c>
      <c r="R493" s="181">
        <v>0</v>
      </c>
      <c r="S493" s="181">
        <f>TOBEPAID!S367/1000</f>
        <v>0</v>
      </c>
      <c r="T493" s="181">
        <f>TOBEPAID!T367/1000</f>
        <v>0</v>
      </c>
      <c r="U493" s="181">
        <f>TOBEPAID!U367/1000</f>
        <v>0</v>
      </c>
      <c r="V493" s="181">
        <f>TOBEPAID!V367/1000</f>
        <v>0</v>
      </c>
      <c r="W493" s="181">
        <f>TOBEPAID!W367/1000</f>
        <v>0</v>
      </c>
      <c r="X493" s="181">
        <f>TOBEPAID!X367/1000</f>
        <v>0</v>
      </c>
      <c r="Y493" s="181">
        <f t="shared" si="91"/>
        <v>2018.058</v>
      </c>
      <c r="Z493" s="181">
        <f t="shared" si="90"/>
        <v>0</v>
      </c>
      <c r="AA493" s="181">
        <f>TOBEPAID!AA367/1000</f>
        <v>2018.058</v>
      </c>
      <c r="AB493" s="181">
        <f>TOBEPAID!AB367/1000</f>
        <v>0</v>
      </c>
      <c r="AC493" s="181"/>
      <c r="AD493" s="181"/>
    </row>
    <row r="494" spans="1:30" x14ac:dyDescent="0.2">
      <c r="A494" s="180"/>
      <c r="C494" s="165" t="s">
        <v>290</v>
      </c>
      <c r="D494" s="181">
        <f>286000000/1000</f>
        <v>286000</v>
      </c>
      <c r="E494" s="181"/>
      <c r="F494" s="181"/>
      <c r="G494" s="181"/>
      <c r="H494" s="181">
        <f>286000000/1000</f>
        <v>286000</v>
      </c>
      <c r="I494" s="181"/>
      <c r="J494" s="181"/>
      <c r="K494" s="181"/>
      <c r="L494" s="181"/>
      <c r="M494" s="181"/>
      <c r="N494" s="181"/>
      <c r="O494" s="181"/>
      <c r="P494" s="181"/>
      <c r="Q494" s="181"/>
      <c r="R494" s="181">
        <v>0</v>
      </c>
      <c r="S494" s="181"/>
      <c r="T494" s="181"/>
      <c r="U494" s="181"/>
      <c r="V494" s="181"/>
      <c r="W494" s="181"/>
      <c r="X494" s="181"/>
      <c r="Y494" s="181">
        <f t="shared" si="91"/>
        <v>286000</v>
      </c>
      <c r="Z494" s="181">
        <f t="shared" si="90"/>
        <v>0</v>
      </c>
      <c r="AA494" s="181"/>
      <c r="AB494" s="181"/>
      <c r="AC494" s="181"/>
      <c r="AD494" s="181"/>
    </row>
    <row r="495" spans="1:30" x14ac:dyDescent="0.2">
      <c r="A495" s="180"/>
      <c r="C495" s="165" t="s">
        <v>382</v>
      </c>
      <c r="D495" s="181">
        <f>3785000/1000</f>
        <v>3785</v>
      </c>
      <c r="E495" s="181"/>
      <c r="F495" s="181"/>
      <c r="G495" s="181"/>
      <c r="H495" s="181">
        <f>3785000/1000</f>
        <v>3785</v>
      </c>
      <c r="I495" s="181"/>
      <c r="J495" s="181"/>
      <c r="K495" s="181"/>
      <c r="L495" s="181"/>
      <c r="M495" s="181"/>
      <c r="N495" s="181"/>
      <c r="O495" s="181"/>
      <c r="P495" s="181"/>
      <c r="Q495" s="181"/>
      <c r="R495" s="181">
        <v>0</v>
      </c>
      <c r="S495" s="181"/>
      <c r="T495" s="181"/>
      <c r="U495" s="181"/>
      <c r="V495" s="181"/>
      <c r="W495" s="181"/>
      <c r="X495" s="181"/>
      <c r="Y495" s="181">
        <f t="shared" si="91"/>
        <v>3785</v>
      </c>
      <c r="Z495" s="181">
        <f t="shared" si="90"/>
        <v>0</v>
      </c>
      <c r="AA495" s="181"/>
      <c r="AB495" s="181"/>
      <c r="AC495" s="181"/>
      <c r="AD495" s="181"/>
    </row>
    <row r="496" spans="1:30" x14ac:dyDescent="0.2">
      <c r="A496" s="180"/>
      <c r="C496" s="165" t="s">
        <v>425</v>
      </c>
      <c r="D496" s="181">
        <f>448000000/1000</f>
        <v>448000</v>
      </c>
      <c r="E496" s="181"/>
      <c r="F496" s="181"/>
      <c r="G496" s="181"/>
      <c r="H496" s="181">
        <f>448000000/1000</f>
        <v>448000</v>
      </c>
      <c r="I496" s="181"/>
      <c r="J496" s="181"/>
      <c r="K496" s="181"/>
      <c r="L496" s="181"/>
      <c r="M496" s="181"/>
      <c r="N496" s="181"/>
      <c r="O496" s="181"/>
      <c r="P496" s="181"/>
      <c r="Q496" s="181"/>
      <c r="R496" s="181">
        <v>0</v>
      </c>
      <c r="S496" s="181"/>
      <c r="T496" s="181"/>
      <c r="U496" s="181"/>
      <c r="V496" s="181"/>
      <c r="W496" s="181"/>
      <c r="X496" s="181"/>
      <c r="Y496" s="181">
        <f t="shared" si="91"/>
        <v>448000</v>
      </c>
      <c r="Z496" s="181">
        <f t="shared" si="90"/>
        <v>0</v>
      </c>
      <c r="AA496" s="181"/>
      <c r="AB496" s="181"/>
      <c r="AC496" s="181"/>
      <c r="AD496" s="181"/>
    </row>
    <row r="497" spans="1:30" x14ac:dyDescent="0.2">
      <c r="A497" s="180"/>
      <c r="C497" s="165" t="s">
        <v>406</v>
      </c>
      <c r="D497" s="181">
        <f>2500000/1000</f>
        <v>2500</v>
      </c>
      <c r="E497" s="181"/>
      <c r="F497" s="181"/>
      <c r="G497" s="181"/>
      <c r="H497" s="181">
        <f>2500000/1000</f>
        <v>2500</v>
      </c>
      <c r="I497" s="181"/>
      <c r="J497" s="181"/>
      <c r="K497" s="181"/>
      <c r="L497" s="181"/>
      <c r="M497" s="181"/>
      <c r="N497" s="181"/>
      <c r="O497" s="181"/>
      <c r="P497" s="181"/>
      <c r="Q497" s="181"/>
      <c r="R497" s="181">
        <v>0</v>
      </c>
      <c r="S497" s="181"/>
      <c r="T497" s="181"/>
      <c r="U497" s="181"/>
      <c r="V497" s="181"/>
      <c r="W497" s="181"/>
      <c r="X497" s="181"/>
      <c r="Y497" s="181">
        <f t="shared" si="91"/>
        <v>2500</v>
      </c>
      <c r="Z497" s="181">
        <f t="shared" si="90"/>
        <v>0</v>
      </c>
      <c r="AA497" s="181"/>
      <c r="AB497" s="181"/>
      <c r="AC497" s="181"/>
      <c r="AD497" s="181"/>
    </row>
    <row r="498" spans="1:30" x14ac:dyDescent="0.2">
      <c r="A498" s="180"/>
      <c r="C498" s="165" t="s">
        <v>183</v>
      </c>
      <c r="D498" s="181">
        <f>721348.35/1000</f>
        <v>721.34834999999998</v>
      </c>
      <c r="E498" s="181">
        <f>TOBEPAID!E368/1000</f>
        <v>0</v>
      </c>
      <c r="F498" s="181">
        <f>TOBEPAID!F368/1000</f>
        <v>0</v>
      </c>
      <c r="G498" s="181">
        <f>TOBEPAID!G368/1000</f>
        <v>0</v>
      </c>
      <c r="H498" s="181">
        <v>0</v>
      </c>
      <c r="I498" s="181">
        <f>TOBEPAID!I368/1000</f>
        <v>0</v>
      </c>
      <c r="J498" s="181">
        <f>TOBEPAID!J368/1000</f>
        <v>0</v>
      </c>
      <c r="K498" s="181">
        <f>TOBEPAID!K368/1000</f>
        <v>0</v>
      </c>
      <c r="L498" s="181">
        <f>TOBEPAID!L368/1000</f>
        <v>0</v>
      </c>
      <c r="M498" s="181">
        <f>TOBEPAID!M368/1000</f>
        <v>0</v>
      </c>
      <c r="N498" s="181">
        <f>TOBEPAID!N368/1000</f>
        <v>0</v>
      </c>
      <c r="O498" s="181">
        <f>TOBEPAID!O368/1000</f>
        <v>83.470219999999998</v>
      </c>
      <c r="P498" s="181">
        <f>TOBEPAID!P368/1000</f>
        <v>0</v>
      </c>
      <c r="Q498" s="181">
        <f>TOBEPAID!Q368/1000</f>
        <v>0</v>
      </c>
      <c r="R498" s="181">
        <f>721143.62/1000</f>
        <v>721.14361999999994</v>
      </c>
      <c r="S498" s="181">
        <f>TOBEPAID!S368/1000</f>
        <v>0</v>
      </c>
      <c r="T498" s="181">
        <f>TOBEPAID!T368/1000</f>
        <v>0</v>
      </c>
      <c r="U498" s="181">
        <f>TOBEPAID!U368/1000</f>
        <v>0</v>
      </c>
      <c r="V498" s="181">
        <f>TOBEPAID!V368/1000</f>
        <v>0</v>
      </c>
      <c r="W498" s="181">
        <f>TOBEPAID!W368/1000</f>
        <v>0</v>
      </c>
      <c r="X498" s="181">
        <f>TOBEPAID!X368/1000</f>
        <v>83.470219999999998</v>
      </c>
      <c r="Y498" s="181">
        <f t="shared" si="91"/>
        <v>721.14361999999994</v>
      </c>
      <c r="Z498" s="181">
        <f t="shared" si="90"/>
        <v>0.20473000000004049</v>
      </c>
      <c r="AA498" s="181">
        <f>TOBEPAID!AA368/1000</f>
        <v>83.470219999999998</v>
      </c>
      <c r="AB498" s="181">
        <f>TOBEPAID!AB368/1000</f>
        <v>6454.8781300000001</v>
      </c>
      <c r="AC498" s="181"/>
      <c r="AD498" s="181"/>
    </row>
    <row r="499" spans="1:30" x14ac:dyDescent="0.2">
      <c r="A499" s="180"/>
      <c r="C499" s="165" t="s">
        <v>184</v>
      </c>
      <c r="D499" s="181">
        <f>163.86/1000</f>
        <v>0.16386000000000001</v>
      </c>
      <c r="E499" s="181">
        <f>TOBEPAID!E369/1000</f>
        <v>0</v>
      </c>
      <c r="F499" s="181">
        <f>TOBEPAID!F369/1000</f>
        <v>0</v>
      </c>
      <c r="G499" s="181">
        <f>TOBEPAID!G369/1000</f>
        <v>0</v>
      </c>
      <c r="H499" s="181">
        <v>0</v>
      </c>
      <c r="I499" s="181">
        <f>TOBEPAID!I369/1000</f>
        <v>0</v>
      </c>
      <c r="J499" s="181">
        <f>TOBEPAID!J369/1000</f>
        <v>0</v>
      </c>
      <c r="K499" s="181">
        <f>TOBEPAID!K369/1000</f>
        <v>0</v>
      </c>
      <c r="L499" s="181">
        <f>TOBEPAID!L369/1000</f>
        <v>0</v>
      </c>
      <c r="M499" s="181">
        <f>TOBEPAID!M369/1000</f>
        <v>0</v>
      </c>
      <c r="N499" s="181">
        <f>TOBEPAID!N369/1000</f>
        <v>0</v>
      </c>
      <c r="O499" s="181">
        <f>TOBEPAID!O369/1000</f>
        <v>0</v>
      </c>
      <c r="P499" s="181">
        <f>TOBEPAID!P369/1000</f>
        <v>0</v>
      </c>
      <c r="Q499" s="181">
        <f>TOBEPAID!Q369/1000</f>
        <v>0</v>
      </c>
      <c r="R499" s="181">
        <v>0</v>
      </c>
      <c r="S499" s="181">
        <f>TOBEPAID!S369/1000</f>
        <v>0</v>
      </c>
      <c r="T499" s="181">
        <f>TOBEPAID!T369/1000</f>
        <v>0</v>
      </c>
      <c r="U499" s="181">
        <f>TOBEPAID!U369/1000</f>
        <v>0</v>
      </c>
      <c r="V499" s="181">
        <f>TOBEPAID!V369/1000</f>
        <v>0</v>
      </c>
      <c r="W499" s="181">
        <f>TOBEPAID!W369/1000</f>
        <v>0</v>
      </c>
      <c r="X499" s="181">
        <f>TOBEPAID!X369/1000</f>
        <v>0</v>
      </c>
      <c r="Y499" s="181">
        <f t="shared" si="91"/>
        <v>0</v>
      </c>
      <c r="Z499" s="181">
        <f t="shared" si="90"/>
        <v>0.16386000000000001</v>
      </c>
      <c r="AA499" s="181">
        <f>TOBEPAID!AA369/1000</f>
        <v>0</v>
      </c>
      <c r="AB499" s="181">
        <f>TOBEPAID!AB369/1000</f>
        <v>374.16386</v>
      </c>
      <c r="AC499" s="181"/>
      <c r="AD499" s="181"/>
    </row>
    <row r="500" spans="1:30" x14ac:dyDescent="0.2">
      <c r="A500" s="180"/>
      <c r="C500" s="165" t="s">
        <v>44</v>
      </c>
      <c r="D500" s="181">
        <f>22029000/1000</f>
        <v>22029</v>
      </c>
      <c r="E500" s="181">
        <f>TOBEPAID!E370/1000</f>
        <v>22029</v>
      </c>
      <c r="F500" s="181">
        <f>TOBEPAID!F370/1000</f>
        <v>0</v>
      </c>
      <c r="G500" s="181">
        <f>TOBEPAID!G370/1000</f>
        <v>0</v>
      </c>
      <c r="H500" s="181">
        <f>22029000/1000</f>
        <v>22029</v>
      </c>
      <c r="I500" s="181">
        <f>TOBEPAID!I370/1000</f>
        <v>0</v>
      </c>
      <c r="J500" s="181">
        <f>TOBEPAID!J370/1000</f>
        <v>0</v>
      </c>
      <c r="K500" s="181">
        <f>TOBEPAID!K370/1000</f>
        <v>0</v>
      </c>
      <c r="L500" s="181">
        <f>TOBEPAID!L370/1000</f>
        <v>0</v>
      </c>
      <c r="M500" s="181">
        <f>TOBEPAID!M370/1000</f>
        <v>0</v>
      </c>
      <c r="N500" s="181">
        <f>TOBEPAID!N370/1000</f>
        <v>22029</v>
      </c>
      <c r="O500" s="181">
        <f>TOBEPAID!O370/1000</f>
        <v>0</v>
      </c>
      <c r="P500" s="181">
        <f>TOBEPAID!P370/1000</f>
        <v>0</v>
      </c>
      <c r="Q500" s="181">
        <f>TOBEPAID!Q370/1000</f>
        <v>0</v>
      </c>
      <c r="R500" s="181">
        <v>0</v>
      </c>
      <c r="S500" s="181">
        <f>TOBEPAID!S370/1000</f>
        <v>0</v>
      </c>
      <c r="T500" s="181">
        <f>TOBEPAID!T370/1000</f>
        <v>0</v>
      </c>
      <c r="U500" s="181">
        <f>TOBEPAID!U370/1000</f>
        <v>0</v>
      </c>
      <c r="V500" s="181">
        <f>TOBEPAID!V370/1000</f>
        <v>0</v>
      </c>
      <c r="W500" s="181">
        <f>TOBEPAID!W370/1000</f>
        <v>0</v>
      </c>
      <c r="X500" s="181">
        <f>TOBEPAID!X370/1000</f>
        <v>0</v>
      </c>
      <c r="Y500" s="181">
        <f>TOBEPAID!Y370/1000</f>
        <v>22029</v>
      </c>
      <c r="Z500" s="181">
        <f>TOBEPAID!Z370/1000</f>
        <v>0</v>
      </c>
      <c r="AA500" s="181">
        <f>TOBEPAID!AA370/1000</f>
        <v>22029</v>
      </c>
      <c r="AB500" s="181">
        <f>TOBEPAID!AB370/1000</f>
        <v>0</v>
      </c>
      <c r="AC500" s="181"/>
      <c r="AD500" s="181"/>
    </row>
    <row r="501" spans="1:30" x14ac:dyDescent="0.2">
      <c r="A501" s="180"/>
      <c r="D501" s="182" t="s">
        <v>40</v>
      </c>
      <c r="E501" s="182" t="s">
        <v>40</v>
      </c>
      <c r="F501" s="182" t="s">
        <v>40</v>
      </c>
      <c r="G501" s="182"/>
      <c r="H501" s="182" t="s">
        <v>40</v>
      </c>
      <c r="I501" s="182" t="s">
        <v>40</v>
      </c>
      <c r="J501" s="182" t="s">
        <v>40</v>
      </c>
      <c r="K501" s="182" t="s">
        <v>40</v>
      </c>
      <c r="L501" s="182" t="s">
        <v>40</v>
      </c>
      <c r="M501" s="182"/>
      <c r="N501" s="182" t="s">
        <v>40</v>
      </c>
      <c r="O501" s="182" t="s">
        <v>40</v>
      </c>
      <c r="P501" s="182" t="s">
        <v>40</v>
      </c>
      <c r="Q501" s="182"/>
      <c r="R501" s="182" t="s">
        <v>40</v>
      </c>
      <c r="S501" s="182" t="s">
        <v>40</v>
      </c>
      <c r="T501" s="182" t="s">
        <v>40</v>
      </c>
      <c r="U501" s="182" t="s">
        <v>40</v>
      </c>
      <c r="V501" s="182" t="s">
        <v>40</v>
      </c>
      <c r="W501" s="182"/>
      <c r="X501" s="182" t="s">
        <v>40</v>
      </c>
      <c r="Y501" s="182" t="s">
        <v>40</v>
      </c>
      <c r="Z501" s="182" t="s">
        <v>40</v>
      </c>
      <c r="AA501" s="182" t="s">
        <v>40</v>
      </c>
      <c r="AB501" s="182" t="s">
        <v>40</v>
      </c>
      <c r="AC501" s="182"/>
      <c r="AD501" s="182"/>
    </row>
    <row r="502" spans="1:30" x14ac:dyDescent="0.2">
      <c r="A502" s="180"/>
      <c r="D502" s="196">
        <f>SUM(D490:D500)</f>
        <v>990963.57020999992</v>
      </c>
      <c r="E502" s="196">
        <f>SUM(E490:E500)</f>
        <v>24047.058000000001</v>
      </c>
      <c r="F502" s="196">
        <f>SUM(F490:F500)</f>
        <v>0</v>
      </c>
      <c r="G502" s="196"/>
      <c r="H502" s="196">
        <f>SUM(H490:H500)</f>
        <v>940067.64543000003</v>
      </c>
      <c r="I502" s="196">
        <f>SUM(I490:I500)</f>
        <v>0</v>
      </c>
      <c r="J502" s="196">
        <f>SUM(J490:J500)</f>
        <v>0</v>
      </c>
      <c r="K502" s="196">
        <f>SUM(K490:K500)</f>
        <v>0</v>
      </c>
      <c r="L502" s="196">
        <f>SUM(L490:L500)</f>
        <v>0</v>
      </c>
      <c r="M502" s="196"/>
      <c r="N502" s="196">
        <f>SUM(N490:N500)</f>
        <v>24047.058000000001</v>
      </c>
      <c r="O502" s="196">
        <f>SUM(O490:O500)</f>
        <v>83.470219999999998</v>
      </c>
      <c r="P502" s="196">
        <f>SUM(P490:P500)</f>
        <v>0</v>
      </c>
      <c r="Q502" s="196"/>
      <c r="R502" s="196">
        <f>SUM(R490:R500)</f>
        <v>1301.4386199999999</v>
      </c>
      <c r="S502" s="196">
        <f>SUM(S490:S500)</f>
        <v>0</v>
      </c>
      <c r="T502" s="196">
        <f>SUM(T490:T500)</f>
        <v>0</v>
      </c>
      <c r="U502" s="196">
        <f>SUM(U490:U500)</f>
        <v>0</v>
      </c>
      <c r="V502" s="196">
        <f>SUM(V490:V500)</f>
        <v>0</v>
      </c>
      <c r="W502" s="196"/>
      <c r="X502" s="196">
        <f>SUM(X490:X500)</f>
        <v>83.470219999999998</v>
      </c>
      <c r="Y502" s="196">
        <f>SUM(Y490:Y500)</f>
        <v>941369.08404999995</v>
      </c>
      <c r="Z502" s="196">
        <f>SUM(Z490:Z500)</f>
        <v>49594.486159999971</v>
      </c>
      <c r="AA502" s="196">
        <f>SUM(AA490:AA500)</f>
        <v>24130.52822</v>
      </c>
      <c r="AB502" s="196">
        <f>SUM(AB490:AB500)</f>
        <v>6829.0419899999997</v>
      </c>
      <c r="AC502" s="196"/>
      <c r="AD502" s="196"/>
    </row>
    <row r="503" spans="1:30" x14ac:dyDescent="0.2">
      <c r="A503" s="180"/>
      <c r="D503" s="182" t="s">
        <v>40</v>
      </c>
      <c r="E503" s="182" t="s">
        <v>40</v>
      </c>
      <c r="F503" s="182" t="s">
        <v>40</v>
      </c>
      <c r="G503" s="182"/>
      <c r="H503" s="182" t="s">
        <v>40</v>
      </c>
      <c r="I503" s="182" t="s">
        <v>40</v>
      </c>
      <c r="J503" s="182" t="s">
        <v>40</v>
      </c>
      <c r="K503" s="182" t="s">
        <v>40</v>
      </c>
      <c r="L503" s="182" t="s">
        <v>40</v>
      </c>
      <c r="M503" s="182"/>
      <c r="N503" s="182" t="s">
        <v>40</v>
      </c>
      <c r="O503" s="182" t="s">
        <v>40</v>
      </c>
      <c r="P503" s="182" t="s">
        <v>40</v>
      </c>
      <c r="Q503" s="182"/>
      <c r="R503" s="182" t="s">
        <v>40</v>
      </c>
      <c r="S503" s="182" t="s">
        <v>40</v>
      </c>
      <c r="T503" s="182" t="s">
        <v>40</v>
      </c>
      <c r="U503" s="182" t="s">
        <v>40</v>
      </c>
      <c r="V503" s="182" t="s">
        <v>40</v>
      </c>
      <c r="W503" s="182"/>
      <c r="X503" s="182" t="s">
        <v>40</v>
      </c>
      <c r="Y503" s="182" t="s">
        <v>40</v>
      </c>
      <c r="Z503" s="182" t="s">
        <v>40</v>
      </c>
      <c r="AA503" s="182" t="s">
        <v>40</v>
      </c>
      <c r="AB503" s="182" t="s">
        <v>40</v>
      </c>
      <c r="AC503" s="182"/>
      <c r="AD503" s="182"/>
    </row>
    <row r="504" spans="1:30" x14ac:dyDescent="0.2">
      <c r="A504" s="180"/>
      <c r="D504" s="182"/>
      <c r="E504" s="182"/>
      <c r="F504" s="182"/>
      <c r="G504" s="182"/>
      <c r="H504" s="182"/>
      <c r="I504" s="182"/>
      <c r="J504" s="182"/>
      <c r="K504" s="182"/>
      <c r="L504" s="182"/>
      <c r="M504" s="182"/>
      <c r="N504" s="182"/>
      <c r="O504" s="182"/>
      <c r="P504" s="182"/>
      <c r="Q504" s="182"/>
      <c r="R504" s="182"/>
      <c r="S504" s="182"/>
      <c r="T504" s="182"/>
      <c r="U504" s="182"/>
      <c r="V504" s="182"/>
      <c r="W504" s="182"/>
      <c r="X504" s="182"/>
      <c r="Y504" s="182"/>
      <c r="Z504" s="182"/>
      <c r="AA504" s="182"/>
      <c r="AB504" s="182"/>
      <c r="AC504" s="182"/>
      <c r="AD504" s="182"/>
    </row>
    <row r="505" spans="1:30" x14ac:dyDescent="0.2">
      <c r="A505" s="180">
        <v>35</v>
      </c>
      <c r="B505" s="165" t="s">
        <v>185</v>
      </c>
      <c r="C505" s="166" t="s">
        <v>35</v>
      </c>
      <c r="D505" s="181">
        <f>29998600/1000</f>
        <v>29998.6</v>
      </c>
      <c r="E505" s="181">
        <f>TOBEPAID!E375/1000</f>
        <v>0</v>
      </c>
      <c r="F505" s="181">
        <f>TOBEPAID!F375/1000</f>
        <v>0</v>
      </c>
      <c r="G505" s="181">
        <f>TOBEPAID!G375/1000</f>
        <v>0</v>
      </c>
      <c r="H505" s="181">
        <f>29998300/1000</f>
        <v>29998.3</v>
      </c>
      <c r="I505" s="181">
        <f>TOBEPAID!I375/1000</f>
        <v>0</v>
      </c>
      <c r="J505" s="181">
        <f>TOBEPAID!J375/1000</f>
        <v>0</v>
      </c>
      <c r="K505" s="181">
        <f>TOBEPAID!K375/1000</f>
        <v>0</v>
      </c>
      <c r="L505" s="181">
        <f>TOBEPAID!L375/1000</f>
        <v>0</v>
      </c>
      <c r="M505" s="181">
        <f>TOBEPAID!M375/1000</f>
        <v>0</v>
      </c>
      <c r="N505" s="181">
        <f>TOBEPAID!N375/1000</f>
        <v>0</v>
      </c>
      <c r="O505" s="181">
        <f>TOBEPAID!O375/1000</f>
        <v>0</v>
      </c>
      <c r="P505" s="181">
        <f>TOBEPAID!P375/1000</f>
        <v>0</v>
      </c>
      <c r="Q505" s="181">
        <f>TOBEPAID!Q375/1000</f>
        <v>0</v>
      </c>
      <c r="R505" s="181">
        <v>0</v>
      </c>
      <c r="S505" s="181">
        <f>TOBEPAID!S375/1000</f>
        <v>0</v>
      </c>
      <c r="T505" s="181">
        <f>TOBEPAID!T375/1000</f>
        <v>0</v>
      </c>
      <c r="U505" s="181">
        <f>TOBEPAID!U375/1000</f>
        <v>0</v>
      </c>
      <c r="V505" s="181">
        <f>TOBEPAID!V375/1000</f>
        <v>0</v>
      </c>
      <c r="W505" s="181">
        <f>TOBEPAID!W375/1000</f>
        <v>0</v>
      </c>
      <c r="X505" s="181">
        <f>TOBEPAID!X375/1000</f>
        <v>0</v>
      </c>
      <c r="Y505" s="181">
        <f>+H505+R505</f>
        <v>29998.3</v>
      </c>
      <c r="Z505" s="181">
        <f t="shared" ref="Z505:Z514" si="92">+D505-Y505</f>
        <v>0.2999999999992724</v>
      </c>
      <c r="AA505" s="181">
        <f>TOBEPAID!AA375/1000</f>
        <v>0</v>
      </c>
      <c r="AB505" s="181">
        <f>TOBEPAID!AB375/1000</f>
        <v>34625.096560000005</v>
      </c>
      <c r="AC505" s="181"/>
      <c r="AD505" s="181"/>
    </row>
    <row r="506" spans="1:30" x14ac:dyDescent="0.2">
      <c r="A506" s="180"/>
      <c r="C506" s="165" t="s">
        <v>36</v>
      </c>
      <c r="D506" s="181">
        <f>2193860/1000</f>
        <v>2193.86</v>
      </c>
      <c r="E506" s="181">
        <f>TOBEPAID!E376/1000</f>
        <v>2193.86</v>
      </c>
      <c r="F506" s="181">
        <f>TOBEPAID!F376/1000</f>
        <v>0</v>
      </c>
      <c r="G506" s="181">
        <f>TOBEPAID!G376/1000</f>
        <v>0</v>
      </c>
      <c r="H506" s="181">
        <f>2193860/1000</f>
        <v>2193.86</v>
      </c>
      <c r="I506" s="181">
        <f>TOBEPAID!I376/1000</f>
        <v>0</v>
      </c>
      <c r="J506" s="181">
        <f>TOBEPAID!J376/1000</f>
        <v>0</v>
      </c>
      <c r="K506" s="181">
        <f>TOBEPAID!K376/1000</f>
        <v>0</v>
      </c>
      <c r="L506" s="181">
        <f>TOBEPAID!L376/1000</f>
        <v>0</v>
      </c>
      <c r="M506" s="181">
        <f>TOBEPAID!M376/1000</f>
        <v>0</v>
      </c>
      <c r="N506" s="181">
        <f>TOBEPAID!N376/1000</f>
        <v>2193.86</v>
      </c>
      <c r="O506" s="181">
        <f>TOBEPAID!O376/1000</f>
        <v>0</v>
      </c>
      <c r="P506" s="181">
        <f>TOBEPAID!P376/1000</f>
        <v>0</v>
      </c>
      <c r="Q506" s="181">
        <f>TOBEPAID!Q376/1000</f>
        <v>0</v>
      </c>
      <c r="R506" s="181">
        <v>0</v>
      </c>
      <c r="S506" s="181">
        <f>TOBEPAID!S376/1000</f>
        <v>0</v>
      </c>
      <c r="T506" s="181">
        <f>TOBEPAID!T376/1000</f>
        <v>0</v>
      </c>
      <c r="U506" s="181">
        <f>TOBEPAID!U376/1000</f>
        <v>0</v>
      </c>
      <c r="V506" s="181">
        <f>TOBEPAID!V376/1000</f>
        <v>0</v>
      </c>
      <c r="W506" s="181">
        <f>TOBEPAID!W376/1000</f>
        <v>0</v>
      </c>
      <c r="X506" s="181">
        <f>TOBEPAID!X376/1000</f>
        <v>0</v>
      </c>
      <c r="Y506" s="181">
        <f t="shared" ref="Y506:Y514" si="93">+H506+R506</f>
        <v>2193.86</v>
      </c>
      <c r="Z506" s="181">
        <f t="shared" si="92"/>
        <v>0</v>
      </c>
      <c r="AA506" s="181">
        <f>TOBEPAID!AA376/1000</f>
        <v>2193.86</v>
      </c>
      <c r="AB506" s="181">
        <f>TOBEPAID!AB376/1000</f>
        <v>0</v>
      </c>
      <c r="AC506" s="181"/>
      <c r="AD506" s="181"/>
    </row>
    <row r="507" spans="1:30" x14ac:dyDescent="0.2">
      <c r="C507" s="165" t="s">
        <v>366</v>
      </c>
      <c r="D507" s="165">
        <f>6967731.9/1000</f>
        <v>6967.7319000000007</v>
      </c>
      <c r="H507" s="165">
        <f>6967731.9/1000</f>
        <v>6967.7319000000007</v>
      </c>
      <c r="R507" s="181">
        <v>0</v>
      </c>
      <c r="Y507" s="181">
        <f t="shared" si="93"/>
        <v>6967.7319000000007</v>
      </c>
      <c r="Z507" s="181">
        <f t="shared" si="92"/>
        <v>0</v>
      </c>
    </row>
    <row r="508" spans="1:30" x14ac:dyDescent="0.2">
      <c r="C508" s="165" t="s">
        <v>413</v>
      </c>
      <c r="D508" s="165">
        <f>3733681/1000</f>
        <v>3733.681</v>
      </c>
      <c r="H508" s="165">
        <f>3733681/1000</f>
        <v>3733.681</v>
      </c>
      <c r="R508" s="181">
        <v>0</v>
      </c>
      <c r="Y508" s="181">
        <f>+H508+R508</f>
        <v>3733.681</v>
      </c>
      <c r="Z508" s="181">
        <f t="shared" si="92"/>
        <v>0</v>
      </c>
    </row>
    <row r="509" spans="1:30" x14ac:dyDescent="0.2">
      <c r="C509" s="165" t="s">
        <v>290</v>
      </c>
      <c r="D509" s="165">
        <f>168000000/1000</f>
        <v>168000</v>
      </c>
      <c r="H509" s="165">
        <f>168000000/1000</f>
        <v>168000</v>
      </c>
      <c r="R509" s="181">
        <v>0</v>
      </c>
      <c r="Y509" s="181">
        <f>+H509+R509</f>
        <v>168000</v>
      </c>
      <c r="Z509" s="181">
        <f t="shared" si="92"/>
        <v>0</v>
      </c>
    </row>
    <row r="510" spans="1:30" x14ac:dyDescent="0.2">
      <c r="C510" s="165" t="s">
        <v>454</v>
      </c>
      <c r="D510" s="165">
        <f>22300000/1000</f>
        <v>22300</v>
      </c>
      <c r="H510" s="165">
        <f>22300000/1000</f>
        <v>22300</v>
      </c>
      <c r="R510" s="181">
        <v>0</v>
      </c>
      <c r="Y510" s="181">
        <f>+H510+R510</f>
        <v>22300</v>
      </c>
      <c r="Z510" s="181">
        <f t="shared" si="92"/>
        <v>0</v>
      </c>
    </row>
    <row r="511" spans="1:30" x14ac:dyDescent="0.2">
      <c r="C511" s="165" t="s">
        <v>399</v>
      </c>
      <c r="D511" s="165">
        <f>2560169.17/1000</f>
        <v>2560.1691700000001</v>
      </c>
      <c r="H511" s="165">
        <f>2560169.17/1000</f>
        <v>2560.1691700000001</v>
      </c>
      <c r="R511" s="181">
        <v>0</v>
      </c>
      <c r="Y511" s="181">
        <f t="shared" si="93"/>
        <v>2560.1691700000001</v>
      </c>
      <c r="Z511" s="181">
        <f t="shared" si="92"/>
        <v>0</v>
      </c>
    </row>
    <row r="512" spans="1:30" x14ac:dyDescent="0.2">
      <c r="A512" s="180"/>
      <c r="C512" s="165" t="s">
        <v>183</v>
      </c>
      <c r="D512" s="181">
        <v>0</v>
      </c>
      <c r="E512" s="181">
        <f>TOBEPAID!E377/1000</f>
        <v>0</v>
      </c>
      <c r="F512" s="181">
        <f>TOBEPAID!F377/1000</f>
        <v>0</v>
      </c>
      <c r="G512" s="181">
        <f>TOBEPAID!G377/1000</f>
        <v>0</v>
      </c>
      <c r="H512" s="181">
        <v>0</v>
      </c>
      <c r="I512" s="181">
        <f>TOBEPAID!I377/1000</f>
        <v>0</v>
      </c>
      <c r="J512" s="181">
        <f>TOBEPAID!J377/1000</f>
        <v>0</v>
      </c>
      <c r="K512" s="181">
        <f>TOBEPAID!K377/1000</f>
        <v>0</v>
      </c>
      <c r="L512" s="181">
        <f>TOBEPAID!L377/1000</f>
        <v>0</v>
      </c>
      <c r="M512" s="181">
        <f>TOBEPAID!M377/1000</f>
        <v>0</v>
      </c>
      <c r="N512" s="181">
        <f>TOBEPAID!N377/1000</f>
        <v>0</v>
      </c>
      <c r="O512" s="181">
        <f>TOBEPAID!O377/1000</f>
        <v>0</v>
      </c>
      <c r="P512" s="181">
        <f>TOBEPAID!P377/1000</f>
        <v>0</v>
      </c>
      <c r="Q512" s="181">
        <f>TOBEPAID!Q377/1000</f>
        <v>0</v>
      </c>
      <c r="R512" s="181">
        <v>0</v>
      </c>
      <c r="S512" s="181">
        <f>TOBEPAID!S377/1000</f>
        <v>0</v>
      </c>
      <c r="T512" s="181">
        <f>TOBEPAID!T377/1000</f>
        <v>0</v>
      </c>
      <c r="U512" s="181">
        <f>TOBEPAID!U377/1000</f>
        <v>0</v>
      </c>
      <c r="V512" s="181">
        <f>TOBEPAID!V377/1000</f>
        <v>0</v>
      </c>
      <c r="W512" s="181">
        <f>TOBEPAID!W377/1000</f>
        <v>0</v>
      </c>
      <c r="X512" s="181">
        <f>TOBEPAID!X377/1000</f>
        <v>0</v>
      </c>
      <c r="Y512" s="181">
        <f t="shared" si="93"/>
        <v>0</v>
      </c>
      <c r="Z512" s="181">
        <f t="shared" si="92"/>
        <v>0</v>
      </c>
      <c r="AA512" s="181">
        <f>TOBEPAID!AA377/1000</f>
        <v>0</v>
      </c>
      <c r="AB512" s="181">
        <f>TOBEPAID!AB377/1000</f>
        <v>2332.2910000000002</v>
      </c>
      <c r="AC512" s="181"/>
      <c r="AD512" s="181"/>
    </row>
    <row r="513" spans="1:30" x14ac:dyDescent="0.2">
      <c r="A513" s="180"/>
      <c r="C513" s="165" t="s">
        <v>53</v>
      </c>
      <c r="D513" s="181">
        <f>816608/1000</f>
        <v>816.60799999999995</v>
      </c>
      <c r="E513" s="181">
        <f>TOBEPAID!E378/1000</f>
        <v>0</v>
      </c>
      <c r="F513" s="181">
        <f>TOBEPAID!F378/1000</f>
        <v>0</v>
      </c>
      <c r="G513" s="181">
        <f>TOBEPAID!G378/1000</f>
        <v>0</v>
      </c>
      <c r="H513" s="181">
        <v>0</v>
      </c>
      <c r="I513" s="181">
        <f>TOBEPAID!I378/1000</f>
        <v>0</v>
      </c>
      <c r="J513" s="181">
        <f>TOBEPAID!J378/1000</f>
        <v>0</v>
      </c>
      <c r="K513" s="181">
        <f>TOBEPAID!K378/1000</f>
        <v>0</v>
      </c>
      <c r="L513" s="181">
        <f>TOBEPAID!L378/1000</f>
        <v>0</v>
      </c>
      <c r="M513" s="181">
        <f>TOBEPAID!M378/1000</f>
        <v>0</v>
      </c>
      <c r="N513" s="181">
        <f>TOBEPAID!N378/1000</f>
        <v>0</v>
      </c>
      <c r="O513" s="181">
        <f>TOBEPAID!O378/1000</f>
        <v>0</v>
      </c>
      <c r="P513" s="181">
        <f>TOBEPAID!P378/1000</f>
        <v>0</v>
      </c>
      <c r="Q513" s="181">
        <f>TOBEPAID!Q378/1000</f>
        <v>0</v>
      </c>
      <c r="R513" s="181">
        <v>0</v>
      </c>
      <c r="S513" s="181">
        <f>TOBEPAID!S378/1000</f>
        <v>0</v>
      </c>
      <c r="T513" s="181">
        <f>TOBEPAID!T378/1000</f>
        <v>0</v>
      </c>
      <c r="U513" s="181">
        <f>TOBEPAID!U378/1000</f>
        <v>0</v>
      </c>
      <c r="V513" s="181">
        <f>TOBEPAID!V378/1000</f>
        <v>0</v>
      </c>
      <c r="W513" s="181">
        <f>TOBEPAID!W378/1000</f>
        <v>0</v>
      </c>
      <c r="X513" s="181">
        <f>TOBEPAID!X378/1000</f>
        <v>0</v>
      </c>
      <c r="Y513" s="181">
        <f t="shared" si="93"/>
        <v>0</v>
      </c>
      <c r="Z513" s="181">
        <f t="shared" si="92"/>
        <v>816.60799999999995</v>
      </c>
      <c r="AA513" s="181">
        <f>TOBEPAID!AA378/1000</f>
        <v>0</v>
      </c>
      <c r="AB513" s="181">
        <f>TOBEPAID!AB378/1000</f>
        <v>825.55269999999996</v>
      </c>
      <c r="AC513" s="181"/>
      <c r="AD513" s="181"/>
    </row>
    <row r="514" spans="1:30" x14ac:dyDescent="0.2">
      <c r="A514" s="180"/>
      <c r="C514" s="165" t="s">
        <v>54</v>
      </c>
      <c r="D514" s="181">
        <f>16304159/1000</f>
        <v>16304.159</v>
      </c>
      <c r="E514" s="181">
        <f>TOBEPAID!E379/1000</f>
        <v>0</v>
      </c>
      <c r="F514" s="181">
        <f>TOBEPAID!F379/1000</f>
        <v>0</v>
      </c>
      <c r="G514" s="181">
        <f>TOBEPAID!G379/1000</f>
        <v>0</v>
      </c>
      <c r="H514" s="181">
        <f>3000000/1000</f>
        <v>3000</v>
      </c>
      <c r="I514" s="181">
        <f>TOBEPAID!I379/1000</f>
        <v>0</v>
      </c>
      <c r="J514" s="181">
        <f>TOBEPAID!J379/1000</f>
        <v>0</v>
      </c>
      <c r="K514" s="181">
        <f>TOBEPAID!K379/1000</f>
        <v>0</v>
      </c>
      <c r="L514" s="181">
        <f>TOBEPAID!L379/1000</f>
        <v>0</v>
      </c>
      <c r="M514" s="181">
        <f>TOBEPAID!M379/1000</f>
        <v>0</v>
      </c>
      <c r="N514" s="181">
        <f>TOBEPAID!N379/1000</f>
        <v>0</v>
      </c>
      <c r="O514" s="181">
        <f>TOBEPAID!O379/1000</f>
        <v>10700.26303</v>
      </c>
      <c r="P514" s="181">
        <f>TOBEPAID!P379/1000</f>
        <v>0</v>
      </c>
      <c r="Q514" s="181">
        <f>TOBEPAID!Q379/1000</f>
        <v>0</v>
      </c>
      <c r="R514" s="181">
        <f>10700263/1000</f>
        <v>10700.263000000001</v>
      </c>
      <c r="S514" s="181">
        <f>TOBEPAID!S379/1000</f>
        <v>0</v>
      </c>
      <c r="T514" s="181">
        <f>TOBEPAID!T379/1000</f>
        <v>0</v>
      </c>
      <c r="U514" s="181">
        <f>TOBEPAID!U379/1000</f>
        <v>0</v>
      </c>
      <c r="V514" s="181">
        <f>TOBEPAID!V379/1000</f>
        <v>0</v>
      </c>
      <c r="W514" s="181">
        <f>TOBEPAID!W379/1000</f>
        <v>0</v>
      </c>
      <c r="X514" s="181">
        <f>TOBEPAID!X379/1000</f>
        <v>10700.26303</v>
      </c>
      <c r="Y514" s="181">
        <f t="shared" si="93"/>
        <v>13700.263000000001</v>
      </c>
      <c r="Z514" s="181">
        <f t="shared" si="92"/>
        <v>2603.8959999999988</v>
      </c>
      <c r="AA514" s="181">
        <f>TOBEPAID!AA379/1000</f>
        <v>10700.26303</v>
      </c>
      <c r="AB514" s="181">
        <f>TOBEPAID!AB379/1000</f>
        <v>5603.8962599999995</v>
      </c>
      <c r="AC514" s="181"/>
      <c r="AD514" s="181"/>
    </row>
    <row r="515" spans="1:30" x14ac:dyDescent="0.2">
      <c r="A515" s="180"/>
      <c r="D515" s="182" t="s">
        <v>40</v>
      </c>
      <c r="E515" s="182" t="s">
        <v>40</v>
      </c>
      <c r="F515" s="182" t="s">
        <v>40</v>
      </c>
      <c r="G515" s="182"/>
      <c r="H515" s="182" t="s">
        <v>40</v>
      </c>
      <c r="I515" s="182" t="s">
        <v>40</v>
      </c>
      <c r="J515" s="182" t="s">
        <v>40</v>
      </c>
      <c r="K515" s="182" t="s">
        <v>40</v>
      </c>
      <c r="L515" s="182" t="s">
        <v>40</v>
      </c>
      <c r="M515" s="182"/>
      <c r="N515" s="182" t="s">
        <v>40</v>
      </c>
      <c r="O515" s="182" t="s">
        <v>40</v>
      </c>
      <c r="P515" s="182" t="s">
        <v>40</v>
      </c>
      <c r="Q515" s="182"/>
      <c r="R515" s="182" t="s">
        <v>40</v>
      </c>
      <c r="S515" s="182" t="s">
        <v>40</v>
      </c>
      <c r="T515" s="182" t="s">
        <v>40</v>
      </c>
      <c r="U515" s="182" t="s">
        <v>40</v>
      </c>
      <c r="V515" s="182" t="s">
        <v>40</v>
      </c>
      <c r="W515" s="182"/>
      <c r="X515" s="182" t="s">
        <v>40</v>
      </c>
      <c r="Y515" s="182" t="s">
        <v>40</v>
      </c>
      <c r="Z515" s="182" t="s">
        <v>40</v>
      </c>
      <c r="AA515" s="182" t="s">
        <v>40</v>
      </c>
      <c r="AB515" s="182" t="s">
        <v>40</v>
      </c>
      <c r="AC515" s="182"/>
      <c r="AD515" s="182"/>
    </row>
    <row r="516" spans="1:30" x14ac:dyDescent="0.2">
      <c r="A516" s="180"/>
      <c r="D516" s="196">
        <f>SUM(D505:D514)</f>
        <v>252874.80907000002</v>
      </c>
      <c r="E516" s="196">
        <f>SUM(E505:E514)</f>
        <v>2193.86</v>
      </c>
      <c r="F516" s="196">
        <f>SUM(F505:F514)</f>
        <v>0</v>
      </c>
      <c r="G516" s="196"/>
      <c r="H516" s="196">
        <f>SUM(H505:H514)</f>
        <v>238753.74207000001</v>
      </c>
      <c r="I516" s="196">
        <f>SUM(I505:I514)</f>
        <v>0</v>
      </c>
      <c r="J516" s="196">
        <f>SUM(J505:J514)</f>
        <v>0</v>
      </c>
      <c r="K516" s="196">
        <f>SUM(K505:K514)</f>
        <v>0</v>
      </c>
      <c r="L516" s="196">
        <f>SUM(L505:L514)</f>
        <v>0</v>
      </c>
      <c r="M516" s="196"/>
      <c r="N516" s="196">
        <f>SUM(N505:N514)</f>
        <v>2193.86</v>
      </c>
      <c r="O516" s="196">
        <f>SUM(O505:O514)</f>
        <v>10700.26303</v>
      </c>
      <c r="P516" s="196">
        <f>SUM(P505:P514)</f>
        <v>0</v>
      </c>
      <c r="Q516" s="196"/>
      <c r="R516" s="196">
        <f>SUM(R505:R514)</f>
        <v>10700.263000000001</v>
      </c>
      <c r="S516" s="196">
        <f>SUM(S505:S514)</f>
        <v>0</v>
      </c>
      <c r="T516" s="196">
        <f>SUM(T505:T514)</f>
        <v>0</v>
      </c>
      <c r="U516" s="196">
        <f>SUM(U505:U514)</f>
        <v>0</v>
      </c>
      <c r="V516" s="196">
        <f>SUM(V505:V514)</f>
        <v>0</v>
      </c>
      <c r="W516" s="196"/>
      <c r="X516" s="196">
        <f>SUM(X505:X514)</f>
        <v>10700.26303</v>
      </c>
      <c r="Y516" s="196">
        <f>SUM(Y505:Y514)</f>
        <v>249454.00507000001</v>
      </c>
      <c r="Z516" s="196">
        <f>SUM(Z505:Z514)</f>
        <v>3420.8039999999983</v>
      </c>
      <c r="AA516" s="196">
        <f>SUM(AA505:AA514)</f>
        <v>12894.123030000001</v>
      </c>
      <c r="AB516" s="196">
        <f>SUM(AB505:AB514)</f>
        <v>43386.836520000004</v>
      </c>
      <c r="AC516" s="196"/>
      <c r="AD516" s="196"/>
    </row>
    <row r="517" spans="1:30" x14ac:dyDescent="0.2">
      <c r="A517" s="180"/>
      <c r="D517" s="182" t="s">
        <v>40</v>
      </c>
      <c r="E517" s="182" t="s">
        <v>40</v>
      </c>
      <c r="F517" s="182" t="s">
        <v>40</v>
      </c>
      <c r="G517" s="182"/>
      <c r="H517" s="182" t="s">
        <v>40</v>
      </c>
      <c r="I517" s="182" t="s">
        <v>40</v>
      </c>
      <c r="J517" s="182" t="s">
        <v>40</v>
      </c>
      <c r="K517" s="182" t="s">
        <v>40</v>
      </c>
      <c r="L517" s="182" t="s">
        <v>40</v>
      </c>
      <c r="M517" s="182"/>
      <c r="N517" s="182" t="s">
        <v>40</v>
      </c>
      <c r="O517" s="182" t="s">
        <v>40</v>
      </c>
      <c r="P517" s="182" t="s">
        <v>40</v>
      </c>
      <c r="Q517" s="182"/>
      <c r="R517" s="182" t="s">
        <v>40</v>
      </c>
      <c r="S517" s="182" t="s">
        <v>40</v>
      </c>
      <c r="T517" s="182" t="s">
        <v>40</v>
      </c>
      <c r="U517" s="182" t="s">
        <v>40</v>
      </c>
      <c r="V517" s="182" t="s">
        <v>40</v>
      </c>
      <c r="W517" s="182"/>
      <c r="X517" s="182" t="s">
        <v>40</v>
      </c>
      <c r="Y517" s="182" t="s">
        <v>40</v>
      </c>
      <c r="Z517" s="182" t="s">
        <v>40</v>
      </c>
      <c r="AA517" s="182" t="s">
        <v>40</v>
      </c>
      <c r="AB517" s="182" t="s">
        <v>40</v>
      </c>
      <c r="AC517" s="182"/>
      <c r="AD517" s="182"/>
    </row>
    <row r="518" spans="1:30" x14ac:dyDescent="0.2">
      <c r="A518" s="180"/>
      <c r="D518" s="196"/>
      <c r="E518" s="182"/>
      <c r="F518" s="182"/>
      <c r="G518" s="182"/>
      <c r="H518" s="181"/>
      <c r="I518" s="182"/>
      <c r="J518" s="182"/>
      <c r="K518" s="182"/>
      <c r="L518" s="182"/>
      <c r="M518" s="182"/>
      <c r="N518" s="181">
        <f>H518+L518</f>
        <v>0</v>
      </c>
      <c r="O518" s="182"/>
      <c r="P518" s="182"/>
      <c r="Q518" s="182"/>
      <c r="R518" s="181"/>
      <c r="S518" s="182"/>
      <c r="T518" s="182"/>
      <c r="U518" s="182"/>
      <c r="V518" s="182"/>
      <c r="W518" s="182"/>
      <c r="X518" s="181">
        <f>R518+V518</f>
        <v>0</v>
      </c>
      <c r="Y518" s="181"/>
      <c r="Z518" s="181"/>
      <c r="AA518" s="181">
        <f>N518+X518</f>
        <v>0</v>
      </c>
      <c r="AB518" s="181"/>
      <c r="AC518" s="181"/>
      <c r="AD518" s="181"/>
    </row>
    <row r="519" spans="1:30" x14ac:dyDescent="0.2">
      <c r="A519" s="180">
        <v>36</v>
      </c>
      <c r="B519" s="165" t="s">
        <v>186</v>
      </c>
      <c r="C519" s="166" t="s">
        <v>35</v>
      </c>
      <c r="D519" s="181">
        <f>12860904/1000</f>
        <v>12860.904</v>
      </c>
      <c r="E519" s="181">
        <f>TOBEPAID!E384/1000</f>
        <v>12688.340150000002</v>
      </c>
      <c r="F519" s="181">
        <f>TOBEPAID!F384/1000</f>
        <v>0</v>
      </c>
      <c r="G519" s="181">
        <f>TOBEPAID!G384/1000</f>
        <v>0</v>
      </c>
      <c r="H519" s="181">
        <f>8650767/1000</f>
        <v>8650.7669999999998</v>
      </c>
      <c r="I519" s="181">
        <f>TOBEPAID!I384/1000</f>
        <v>0</v>
      </c>
      <c r="J519" s="181">
        <f>TOBEPAID!J384/1000</f>
        <v>0</v>
      </c>
      <c r="K519" s="181">
        <f>TOBEPAID!K384/1000</f>
        <v>0</v>
      </c>
      <c r="L519" s="181">
        <f>TOBEPAID!L384/1000</f>
        <v>0</v>
      </c>
      <c r="M519" s="181">
        <f>TOBEPAID!M384/1000</f>
        <v>0</v>
      </c>
      <c r="N519" s="181">
        <f>TOBEPAID!N384/1000</f>
        <v>12688.340150000002</v>
      </c>
      <c r="O519" s="181">
        <f>TOBEPAID!O384/1000</f>
        <v>0</v>
      </c>
      <c r="P519" s="181">
        <f>TOBEPAID!P384/1000</f>
        <v>0</v>
      </c>
      <c r="Q519" s="181">
        <f>TOBEPAID!Q384/1000</f>
        <v>0</v>
      </c>
      <c r="R519" s="181">
        <v>0</v>
      </c>
      <c r="S519" s="181">
        <f>TOBEPAID!S384/1000</f>
        <v>0</v>
      </c>
      <c r="T519" s="181">
        <f>TOBEPAID!T384/1000</f>
        <v>0</v>
      </c>
      <c r="U519" s="181">
        <f>TOBEPAID!U384/1000</f>
        <v>0</v>
      </c>
      <c r="V519" s="181">
        <f>TOBEPAID!V384/1000</f>
        <v>0</v>
      </c>
      <c r="W519" s="181">
        <f>TOBEPAID!W384/1000</f>
        <v>0</v>
      </c>
      <c r="X519" s="181">
        <f>TOBEPAID!X384/1000</f>
        <v>0</v>
      </c>
      <c r="Y519" s="181">
        <f>+H519+R519</f>
        <v>8650.7669999999998</v>
      </c>
      <c r="Z519" s="181">
        <f>+D519-Y519:Y519</f>
        <v>4210.1370000000006</v>
      </c>
      <c r="AA519" s="181">
        <f>TOBEPAID!AA384/1000</f>
        <v>12688.340150000002</v>
      </c>
      <c r="AB519" s="181">
        <f>TOBEPAID!AB384/1000</f>
        <v>172.5640199999977</v>
      </c>
      <c r="AC519" s="181"/>
      <c r="AD519" s="181"/>
    </row>
    <row r="520" spans="1:30" x14ac:dyDescent="0.2">
      <c r="A520" s="180"/>
      <c r="C520" s="165" t="s">
        <v>36</v>
      </c>
      <c r="D520" s="181">
        <f>1949520/1000</f>
        <v>1949.52</v>
      </c>
      <c r="E520" s="181">
        <f>TOBEPAID!E385/1000</f>
        <v>1949.52</v>
      </c>
      <c r="F520" s="181">
        <f>TOBEPAID!F385/1000</f>
        <v>0</v>
      </c>
      <c r="G520" s="181">
        <f>TOBEPAID!G385/1000</f>
        <v>0</v>
      </c>
      <c r="H520" s="181">
        <f>1949520/1000</f>
        <v>1949.52</v>
      </c>
      <c r="I520" s="181">
        <f>TOBEPAID!I385/1000</f>
        <v>0</v>
      </c>
      <c r="J520" s="181">
        <f>TOBEPAID!J385/1000</f>
        <v>0</v>
      </c>
      <c r="K520" s="181">
        <f>TOBEPAID!K385/1000</f>
        <v>0</v>
      </c>
      <c r="L520" s="181">
        <f>TOBEPAID!L385/1000</f>
        <v>0</v>
      </c>
      <c r="M520" s="181">
        <f>TOBEPAID!M385/1000</f>
        <v>0</v>
      </c>
      <c r="N520" s="181">
        <f>TOBEPAID!N385/1000</f>
        <v>1949.52</v>
      </c>
      <c r="O520" s="181">
        <f>TOBEPAID!O385/1000</f>
        <v>0</v>
      </c>
      <c r="P520" s="181">
        <f>TOBEPAID!P385/1000</f>
        <v>0</v>
      </c>
      <c r="Q520" s="181">
        <f>TOBEPAID!Q385/1000</f>
        <v>0</v>
      </c>
      <c r="R520" s="181">
        <v>0</v>
      </c>
      <c r="S520" s="181">
        <f>TOBEPAID!S385/1000</f>
        <v>0</v>
      </c>
      <c r="T520" s="181">
        <f>TOBEPAID!T385/1000</f>
        <v>0</v>
      </c>
      <c r="U520" s="181">
        <f>TOBEPAID!U385/1000</f>
        <v>0</v>
      </c>
      <c r="V520" s="181">
        <f>TOBEPAID!V385/1000</f>
        <v>0</v>
      </c>
      <c r="W520" s="181">
        <f>TOBEPAID!W385/1000</f>
        <v>0</v>
      </c>
      <c r="X520" s="181">
        <f>TOBEPAID!X385/1000</f>
        <v>0</v>
      </c>
      <c r="Y520" s="181">
        <f t="shared" ref="Y520:Y526" si="94">+H520+R520</f>
        <v>1949.52</v>
      </c>
      <c r="Z520" s="181">
        <f>+D520-Y520:Y520</f>
        <v>0</v>
      </c>
      <c r="AA520" s="181">
        <f>TOBEPAID!AA385/1000</f>
        <v>1949.52</v>
      </c>
      <c r="AB520" s="181">
        <f>TOBEPAID!AB385/1000</f>
        <v>0</v>
      </c>
      <c r="AC520" s="181"/>
      <c r="AD520" s="181"/>
    </row>
    <row r="521" spans="1:30" x14ac:dyDescent="0.2">
      <c r="C521" s="165" t="s">
        <v>366</v>
      </c>
      <c r="D521" s="165">
        <f>3563644.26/1000</f>
        <v>3563.6442599999996</v>
      </c>
      <c r="H521" s="165">
        <f>3563644.26/1000</f>
        <v>3563.6442599999996</v>
      </c>
      <c r="R521" s="181">
        <v>0</v>
      </c>
      <c r="Y521" s="181">
        <f t="shared" si="94"/>
        <v>3563.6442599999996</v>
      </c>
      <c r="Z521" s="181">
        <f>+D521-Y521:Y521</f>
        <v>0</v>
      </c>
    </row>
    <row r="522" spans="1:30" x14ac:dyDescent="0.2">
      <c r="C522" s="165" t="s">
        <v>290</v>
      </c>
      <c r="D522" s="165">
        <f>1031000000/1000</f>
        <v>1031000</v>
      </c>
      <c r="H522" s="165">
        <f>1031000000/1000</f>
        <v>1031000</v>
      </c>
      <c r="R522" s="181">
        <v>0</v>
      </c>
      <c r="Y522" s="181">
        <f>+H522+R522</f>
        <v>1031000</v>
      </c>
      <c r="Z522" s="181">
        <f>+D522-Y522</f>
        <v>0</v>
      </c>
    </row>
    <row r="523" spans="1:30" x14ac:dyDescent="0.2">
      <c r="C523" s="165" t="s">
        <v>346</v>
      </c>
      <c r="D523" s="181">
        <f>4650327/1000</f>
        <v>4650.3270000000002</v>
      </c>
      <c r="E523" s="181">
        <f>TOBEPAID!E386/1000</f>
        <v>4650.3275400000002</v>
      </c>
      <c r="F523" s="181">
        <f>TOBEPAID!F386/1000</f>
        <v>0</v>
      </c>
      <c r="G523" s="181">
        <f>TOBEPAID!G386/1000</f>
        <v>0</v>
      </c>
      <c r="H523" s="181">
        <f>4650327/1000</f>
        <v>4650.3270000000002</v>
      </c>
      <c r="I523" s="181">
        <f>TOBEPAID!I386/1000</f>
        <v>0</v>
      </c>
      <c r="J523" s="181">
        <f>TOBEPAID!J386/1000</f>
        <v>0</v>
      </c>
      <c r="K523" s="181">
        <f>TOBEPAID!K386/1000</f>
        <v>0</v>
      </c>
      <c r="L523" s="181">
        <f>TOBEPAID!L386/1000</f>
        <v>0</v>
      </c>
      <c r="M523" s="181">
        <f>TOBEPAID!M386/1000</f>
        <v>0</v>
      </c>
      <c r="N523" s="181">
        <f>TOBEPAID!N386/1000</f>
        <v>4650.3275400000002</v>
      </c>
      <c r="O523" s="181">
        <f>TOBEPAID!O386/1000</f>
        <v>0</v>
      </c>
      <c r="P523" s="181">
        <f>TOBEPAID!P386/1000</f>
        <v>0</v>
      </c>
      <c r="Q523" s="181">
        <f>TOBEPAID!Q386/1000</f>
        <v>0</v>
      </c>
      <c r="R523" s="181">
        <v>0</v>
      </c>
      <c r="S523" s="181">
        <f>TOBEPAID!S386/1000</f>
        <v>0</v>
      </c>
      <c r="T523" s="181">
        <f>TOBEPAID!T386/1000</f>
        <v>0</v>
      </c>
      <c r="U523" s="181">
        <f>TOBEPAID!U386/1000</f>
        <v>0</v>
      </c>
      <c r="V523" s="181">
        <f>TOBEPAID!V386/1000</f>
        <v>0</v>
      </c>
      <c r="W523" s="181">
        <f>TOBEPAID!W386/1000</f>
        <v>0</v>
      </c>
      <c r="X523" s="181">
        <f>TOBEPAID!X386/1000</f>
        <v>0</v>
      </c>
      <c r="Y523" s="181">
        <f t="shared" si="94"/>
        <v>4650.3270000000002</v>
      </c>
      <c r="Z523" s="181">
        <f>+D523-Y523:Y523</f>
        <v>0</v>
      </c>
      <c r="AA523" s="181">
        <f>TOBEPAID!AA386/1000</f>
        <v>4650.3275400000002</v>
      </c>
      <c r="AB523" s="181">
        <f>TOBEPAID!AB386/1000</f>
        <v>0</v>
      </c>
      <c r="AC523" s="181"/>
      <c r="AD523" s="181"/>
    </row>
    <row r="524" spans="1:30" x14ac:dyDescent="0.2">
      <c r="C524" s="165" t="s">
        <v>399</v>
      </c>
      <c r="D524" s="181">
        <f>834388.18/1000</f>
        <v>834.38818000000003</v>
      </c>
      <c r="E524" s="181"/>
      <c r="F524" s="181"/>
      <c r="G524" s="181"/>
      <c r="H524" s="181">
        <f>834388.18/1000</f>
        <v>834.38818000000003</v>
      </c>
      <c r="I524" s="181"/>
      <c r="J524" s="181"/>
      <c r="K524" s="181"/>
      <c r="L524" s="181"/>
      <c r="M524" s="181"/>
      <c r="N524" s="181"/>
      <c r="O524" s="181"/>
      <c r="P524" s="181"/>
      <c r="Q524" s="181"/>
      <c r="R524" s="181">
        <v>0</v>
      </c>
      <c r="S524" s="181"/>
      <c r="T524" s="181"/>
      <c r="U524" s="181"/>
      <c r="V524" s="181"/>
      <c r="W524" s="181"/>
      <c r="X524" s="181"/>
      <c r="Y524" s="181">
        <f t="shared" si="94"/>
        <v>834.38818000000003</v>
      </c>
      <c r="Z524" s="181">
        <f>+D524-Y524:Y524</f>
        <v>0</v>
      </c>
      <c r="AA524" s="181"/>
      <c r="AB524" s="181"/>
      <c r="AC524" s="181"/>
      <c r="AD524" s="181"/>
    </row>
    <row r="525" spans="1:30" x14ac:dyDescent="0.2">
      <c r="A525" s="180"/>
      <c r="C525" s="165" t="s">
        <v>53</v>
      </c>
      <c r="D525" s="181">
        <f>14239819/1000</f>
        <v>14239.819</v>
      </c>
      <c r="E525" s="181">
        <f>TOBEPAID!E387/1000</f>
        <v>0</v>
      </c>
      <c r="F525" s="181">
        <f>TOBEPAID!F387/1000</f>
        <v>0</v>
      </c>
      <c r="G525" s="181">
        <f>TOBEPAID!G387/1000</f>
        <v>0</v>
      </c>
      <c r="H525" s="181">
        <v>0</v>
      </c>
      <c r="I525" s="181">
        <f>TOBEPAID!I387/1000</f>
        <v>0</v>
      </c>
      <c r="J525" s="181">
        <f>TOBEPAID!J387/1000</f>
        <v>0</v>
      </c>
      <c r="K525" s="181">
        <f>TOBEPAID!K387/1000</f>
        <v>0</v>
      </c>
      <c r="L525" s="181">
        <f>TOBEPAID!L387/1000</f>
        <v>0</v>
      </c>
      <c r="M525" s="181">
        <f>TOBEPAID!M387/1000</f>
        <v>0</v>
      </c>
      <c r="N525" s="181">
        <f>TOBEPAID!N387/1000</f>
        <v>0</v>
      </c>
      <c r="O525" s="181">
        <f>TOBEPAID!O387/1000</f>
        <v>14239.81948</v>
      </c>
      <c r="P525" s="181">
        <f>TOBEPAID!P387/1000</f>
        <v>0</v>
      </c>
      <c r="Q525" s="181">
        <f>TOBEPAID!Q387/1000</f>
        <v>0</v>
      </c>
      <c r="R525" s="181">
        <f>14239819/1000</f>
        <v>14239.819</v>
      </c>
      <c r="S525" s="181">
        <f>TOBEPAID!S387/1000</f>
        <v>0</v>
      </c>
      <c r="T525" s="181">
        <f>TOBEPAID!T387/1000</f>
        <v>0</v>
      </c>
      <c r="U525" s="181">
        <f>TOBEPAID!U387/1000</f>
        <v>0</v>
      </c>
      <c r="V525" s="181">
        <f>TOBEPAID!V387/1000</f>
        <v>0</v>
      </c>
      <c r="W525" s="181">
        <f>TOBEPAID!W387/1000</f>
        <v>0</v>
      </c>
      <c r="X525" s="181">
        <f>TOBEPAID!X387/1000</f>
        <v>14239.81948</v>
      </c>
      <c r="Y525" s="181">
        <f t="shared" si="94"/>
        <v>14239.819</v>
      </c>
      <c r="Z525" s="181">
        <f>+D525-Y525:Y525</f>
        <v>0</v>
      </c>
      <c r="AA525" s="181">
        <f>TOBEPAID!AA387/1000</f>
        <v>14239.81948</v>
      </c>
      <c r="AB525" s="181">
        <f>TOBEPAID!AB387/1000</f>
        <v>0</v>
      </c>
      <c r="AC525" s="181"/>
      <c r="AD525" s="181"/>
    </row>
    <row r="526" spans="1:30" x14ac:dyDescent="0.2">
      <c r="A526" s="180"/>
      <c r="C526" s="165" t="s">
        <v>54</v>
      </c>
      <c r="D526" s="181">
        <f>TOBEPAID!D388/1000</f>
        <v>10700.26303</v>
      </c>
      <c r="E526" s="181">
        <f>TOBEPAID!E388/1000</f>
        <v>0</v>
      </c>
      <c r="F526" s="181">
        <f>TOBEPAID!F388/1000</f>
        <v>0</v>
      </c>
      <c r="G526" s="181">
        <f>TOBEPAID!G388/1000</f>
        <v>0</v>
      </c>
      <c r="H526" s="181">
        <v>0</v>
      </c>
      <c r="I526" s="181">
        <f>TOBEPAID!I388/1000</f>
        <v>0</v>
      </c>
      <c r="J526" s="181">
        <f>TOBEPAID!J388/1000</f>
        <v>0</v>
      </c>
      <c r="K526" s="181">
        <f>TOBEPAID!K388/1000</f>
        <v>0</v>
      </c>
      <c r="L526" s="181">
        <f>TOBEPAID!L388/1000</f>
        <v>0</v>
      </c>
      <c r="M526" s="181">
        <f>TOBEPAID!M388/1000</f>
        <v>0</v>
      </c>
      <c r="N526" s="181">
        <f>TOBEPAID!N388/1000</f>
        <v>0</v>
      </c>
      <c r="O526" s="181">
        <f>TOBEPAID!O388/1000</f>
        <v>10700.26303</v>
      </c>
      <c r="P526" s="181">
        <f>TOBEPAID!P388/1000</f>
        <v>0</v>
      </c>
      <c r="Q526" s="181">
        <f>TOBEPAID!Q388/1000</f>
        <v>0</v>
      </c>
      <c r="R526" s="181">
        <f>10700263/1000</f>
        <v>10700.263000000001</v>
      </c>
      <c r="S526" s="181">
        <f>TOBEPAID!S388/1000</f>
        <v>0</v>
      </c>
      <c r="T526" s="181">
        <f>TOBEPAID!T388/1000</f>
        <v>0</v>
      </c>
      <c r="U526" s="181">
        <f>TOBEPAID!U388/1000</f>
        <v>0</v>
      </c>
      <c r="V526" s="181">
        <f>TOBEPAID!V388/1000</f>
        <v>0</v>
      </c>
      <c r="W526" s="181">
        <f>TOBEPAID!W388/1000</f>
        <v>0</v>
      </c>
      <c r="X526" s="181">
        <f>TOBEPAID!X388/1000</f>
        <v>10700.26303</v>
      </c>
      <c r="Y526" s="181">
        <f t="shared" si="94"/>
        <v>10700.263000000001</v>
      </c>
      <c r="Z526" s="181">
        <f>+D526-Y526:Y526</f>
        <v>2.9999999242136255E-5</v>
      </c>
      <c r="AA526" s="181">
        <f>TOBEPAID!AA388/1000</f>
        <v>10700.26303</v>
      </c>
      <c r="AB526" s="181">
        <f>TOBEPAID!AB388/1000</f>
        <v>0</v>
      </c>
      <c r="AC526" s="181"/>
      <c r="AD526" s="181"/>
    </row>
    <row r="527" spans="1:30" x14ac:dyDescent="0.2">
      <c r="A527" s="180"/>
      <c r="D527" s="182" t="s">
        <v>40</v>
      </c>
      <c r="E527" s="182" t="s">
        <v>40</v>
      </c>
      <c r="F527" s="182" t="s">
        <v>40</v>
      </c>
      <c r="G527" s="182"/>
      <c r="H527" s="182" t="s">
        <v>40</v>
      </c>
      <c r="I527" s="182" t="s">
        <v>40</v>
      </c>
      <c r="J527" s="182" t="s">
        <v>40</v>
      </c>
      <c r="K527" s="182" t="s">
        <v>40</v>
      </c>
      <c r="L527" s="182" t="s">
        <v>40</v>
      </c>
      <c r="M527" s="182"/>
      <c r="N527" s="182" t="s">
        <v>40</v>
      </c>
      <c r="O527" s="182" t="s">
        <v>40</v>
      </c>
      <c r="P527" s="182" t="s">
        <v>40</v>
      </c>
      <c r="Q527" s="182"/>
      <c r="R527" s="182" t="s">
        <v>40</v>
      </c>
      <c r="S527" s="182" t="s">
        <v>40</v>
      </c>
      <c r="T527" s="182" t="s">
        <v>40</v>
      </c>
      <c r="U527" s="182" t="s">
        <v>40</v>
      </c>
      <c r="V527" s="182" t="s">
        <v>40</v>
      </c>
      <c r="W527" s="182"/>
      <c r="X527" s="182" t="s">
        <v>40</v>
      </c>
      <c r="Y527" s="182" t="s">
        <v>40</v>
      </c>
      <c r="Z527" s="182" t="s">
        <v>40</v>
      </c>
      <c r="AA527" s="182" t="s">
        <v>40</v>
      </c>
      <c r="AB527" s="182" t="s">
        <v>40</v>
      </c>
      <c r="AC527" s="182"/>
      <c r="AD527" s="182"/>
    </row>
    <row r="528" spans="1:30" x14ac:dyDescent="0.2">
      <c r="A528" s="180"/>
      <c r="D528" s="196">
        <f>SUM(D519:D526)</f>
        <v>1079798.8654700001</v>
      </c>
      <c r="E528" s="196">
        <f>SUM(E519:E526)</f>
        <v>19288.187690000002</v>
      </c>
      <c r="F528" s="196">
        <f>SUM(F519:F526)</f>
        <v>0</v>
      </c>
      <c r="G528" s="196"/>
      <c r="H528" s="196">
        <f>SUM(H519:H526)</f>
        <v>1050648.64644</v>
      </c>
      <c r="I528" s="196">
        <f>SUM(I519:I526)</f>
        <v>0</v>
      </c>
      <c r="J528" s="196">
        <f>SUM(J519:J526)</f>
        <v>0</v>
      </c>
      <c r="K528" s="196">
        <f>SUM(K519:K526)</f>
        <v>0</v>
      </c>
      <c r="L528" s="196">
        <f>SUM(L519:L526)</f>
        <v>0</v>
      </c>
      <c r="M528" s="196"/>
      <c r="N528" s="196">
        <f>SUM(N519:N526)</f>
        <v>19288.187690000002</v>
      </c>
      <c r="O528" s="196">
        <f>SUM(O519:O526)</f>
        <v>24940.08251</v>
      </c>
      <c r="P528" s="196">
        <f>SUM(P519:P526)</f>
        <v>0</v>
      </c>
      <c r="Q528" s="196"/>
      <c r="R528" s="196">
        <f>SUM(R519:R526)</f>
        <v>24940.082000000002</v>
      </c>
      <c r="S528" s="196">
        <f>SUM(S519:S526)</f>
        <v>0</v>
      </c>
      <c r="T528" s="196">
        <f>SUM(T519:T526)</f>
        <v>0</v>
      </c>
      <c r="U528" s="196">
        <f>SUM(U519:U526)</f>
        <v>0</v>
      </c>
      <c r="V528" s="196">
        <f>SUM(V519:V526)</f>
        <v>0</v>
      </c>
      <c r="W528" s="196"/>
      <c r="X528" s="196">
        <f>SUM(X519:X526)</f>
        <v>24940.08251</v>
      </c>
      <c r="Y528" s="196">
        <f>SUM(Y519:Y526)</f>
        <v>1075588.72844</v>
      </c>
      <c r="Z528" s="196">
        <f>SUM(Z519:Z526)</f>
        <v>4210.1370299999999</v>
      </c>
      <c r="AA528" s="196">
        <f>SUM(AA519:AA526)</f>
        <v>44228.270200000006</v>
      </c>
      <c r="AB528" s="196">
        <f>SUM(AB519:AB526)</f>
        <v>172.5640199999977</v>
      </c>
      <c r="AC528" s="196"/>
      <c r="AD528" s="196"/>
    </row>
    <row r="529" spans="1:30" x14ac:dyDescent="0.2">
      <c r="A529" s="180"/>
      <c r="D529" s="182" t="s">
        <v>40</v>
      </c>
      <c r="E529" s="182" t="s">
        <v>40</v>
      </c>
      <c r="F529" s="182" t="s">
        <v>40</v>
      </c>
      <c r="G529" s="182"/>
      <c r="H529" s="182" t="s">
        <v>40</v>
      </c>
      <c r="I529" s="182" t="s">
        <v>40</v>
      </c>
      <c r="J529" s="182" t="s">
        <v>40</v>
      </c>
      <c r="K529" s="182" t="s">
        <v>40</v>
      </c>
      <c r="L529" s="182" t="s">
        <v>40</v>
      </c>
      <c r="M529" s="182"/>
      <c r="N529" s="182" t="s">
        <v>40</v>
      </c>
      <c r="O529" s="182" t="s">
        <v>40</v>
      </c>
      <c r="P529" s="182" t="s">
        <v>40</v>
      </c>
      <c r="Q529" s="182"/>
      <c r="R529" s="182" t="s">
        <v>40</v>
      </c>
      <c r="S529" s="182" t="s">
        <v>40</v>
      </c>
      <c r="T529" s="182" t="s">
        <v>40</v>
      </c>
      <c r="U529" s="182" t="s">
        <v>40</v>
      </c>
      <c r="V529" s="182" t="s">
        <v>40</v>
      </c>
      <c r="W529" s="182"/>
      <c r="X529" s="182" t="s">
        <v>40</v>
      </c>
      <c r="Y529" s="182" t="s">
        <v>40</v>
      </c>
      <c r="Z529" s="182" t="s">
        <v>40</v>
      </c>
      <c r="AA529" s="182" t="s">
        <v>40</v>
      </c>
      <c r="AB529" s="182" t="s">
        <v>40</v>
      </c>
      <c r="AC529" s="182"/>
      <c r="AD529" s="182"/>
    </row>
    <row r="530" spans="1:30" x14ac:dyDescent="0.2">
      <c r="A530" s="180"/>
      <c r="D530" s="182"/>
      <c r="E530" s="182"/>
      <c r="F530" s="203"/>
      <c r="G530" s="218"/>
      <c r="H530" s="188"/>
      <c r="I530" s="189"/>
      <c r="J530" s="189"/>
      <c r="K530" s="189"/>
      <c r="L530" s="188"/>
      <c r="M530" s="189"/>
      <c r="N530" s="188"/>
      <c r="O530" s="182"/>
      <c r="P530" s="182"/>
      <c r="Q530" s="182"/>
      <c r="R530" s="182"/>
      <c r="S530" s="182"/>
      <c r="T530" s="182"/>
      <c r="U530" s="182"/>
      <c r="V530" s="182"/>
      <c r="W530" s="182"/>
      <c r="X530" s="182"/>
      <c r="Y530" s="182"/>
      <c r="Z530" s="182"/>
      <c r="AA530" s="182"/>
      <c r="AB530" s="182"/>
      <c r="AC530" s="182"/>
      <c r="AD530" s="182"/>
    </row>
    <row r="531" spans="1:30" x14ac:dyDescent="0.2">
      <c r="A531" s="180">
        <v>37</v>
      </c>
      <c r="B531" s="165" t="s">
        <v>187</v>
      </c>
      <c r="C531" s="166" t="s">
        <v>35</v>
      </c>
      <c r="D531" s="181">
        <v>0</v>
      </c>
      <c r="E531" s="181">
        <f>TOBEPAID!E393/1000</f>
        <v>0</v>
      </c>
      <c r="F531" s="181">
        <f>TOBEPAID!F393/1000</f>
        <v>0</v>
      </c>
      <c r="G531" s="181">
        <f>TOBEPAID!G393/1000</f>
        <v>0</v>
      </c>
      <c r="H531" s="181">
        <v>0</v>
      </c>
      <c r="I531" s="181">
        <f>TOBEPAID!I393/1000</f>
        <v>0</v>
      </c>
      <c r="J531" s="181">
        <f>TOBEPAID!J393/1000</f>
        <v>0</v>
      </c>
      <c r="K531" s="181">
        <f>TOBEPAID!K393/1000</f>
        <v>0</v>
      </c>
      <c r="L531" s="181">
        <f>TOBEPAID!L393/1000</f>
        <v>0</v>
      </c>
      <c r="M531" s="181">
        <f>TOBEPAID!M393/1000</f>
        <v>0</v>
      </c>
      <c r="N531" s="181">
        <f>TOBEPAID!N393/1000</f>
        <v>0</v>
      </c>
      <c r="O531" s="181">
        <f>TOBEPAID!O393/1000</f>
        <v>0</v>
      </c>
      <c r="P531" s="181">
        <f>TOBEPAID!P393/1000</f>
        <v>0</v>
      </c>
      <c r="Q531" s="181">
        <f>TOBEPAID!Q393/1000</f>
        <v>0</v>
      </c>
      <c r="R531" s="181">
        <v>0</v>
      </c>
      <c r="S531" s="181">
        <f>TOBEPAID!S393/1000</f>
        <v>0</v>
      </c>
      <c r="T531" s="181">
        <f>TOBEPAID!T393/1000</f>
        <v>0</v>
      </c>
      <c r="U531" s="181">
        <f>TOBEPAID!U393/1000</f>
        <v>0</v>
      </c>
      <c r="V531" s="181">
        <f>TOBEPAID!V393/1000</f>
        <v>0</v>
      </c>
      <c r="W531" s="181">
        <f>TOBEPAID!W393/1000</f>
        <v>0</v>
      </c>
      <c r="X531" s="181">
        <f>TOBEPAID!X393/1000</f>
        <v>0</v>
      </c>
      <c r="Y531" s="181">
        <f>+H531+R531</f>
        <v>0</v>
      </c>
      <c r="Z531" s="181">
        <f t="shared" ref="Z531:Z541" si="95">+D531-Y531</f>
        <v>0</v>
      </c>
      <c r="AA531" s="181">
        <f>TOBEPAID!AA393/1000</f>
        <v>0</v>
      </c>
      <c r="AB531" s="181">
        <f>TOBEPAID!AB393/1000</f>
        <v>0</v>
      </c>
      <c r="AC531" s="181"/>
      <c r="AD531" s="181"/>
    </row>
    <row r="532" spans="1:30" x14ac:dyDescent="0.2">
      <c r="A532" s="180"/>
      <c r="C532" s="166" t="s">
        <v>457</v>
      </c>
      <c r="D532" s="181">
        <f>167520000/1000</f>
        <v>167520</v>
      </c>
      <c r="E532" s="181"/>
      <c r="F532" s="181"/>
      <c r="G532" s="181"/>
      <c r="H532" s="181">
        <f>123435116.12/1000</f>
        <v>123435.11612000001</v>
      </c>
      <c r="I532" s="181"/>
      <c r="J532" s="181"/>
      <c r="K532" s="181"/>
      <c r="L532" s="181"/>
      <c r="M532" s="181"/>
      <c r="N532" s="181"/>
      <c r="O532" s="181"/>
      <c r="P532" s="181"/>
      <c r="Q532" s="181"/>
      <c r="R532" s="181">
        <v>0</v>
      </c>
      <c r="S532" s="181"/>
      <c r="T532" s="181"/>
      <c r="U532" s="181"/>
      <c r="V532" s="181"/>
      <c r="W532" s="181"/>
      <c r="X532" s="181"/>
      <c r="Y532" s="181">
        <f t="shared" ref="Y532:Y541" si="96">+H532+R532</f>
        <v>123435.11612000001</v>
      </c>
      <c r="Z532" s="181">
        <f t="shared" si="95"/>
        <v>44084.883879999994</v>
      </c>
      <c r="AA532" s="181"/>
      <c r="AB532" s="181"/>
      <c r="AC532" s="181"/>
      <c r="AD532" s="181"/>
    </row>
    <row r="533" spans="1:30" x14ac:dyDescent="0.2">
      <c r="A533" s="180"/>
      <c r="C533" s="165" t="s">
        <v>36</v>
      </c>
      <c r="D533" s="181">
        <f>1693952/1000</f>
        <v>1693.952</v>
      </c>
      <c r="E533" s="181">
        <f>TOBEPAID!E394/1000</f>
        <v>1693.952</v>
      </c>
      <c r="F533" s="181">
        <f>TOBEPAID!F394/1000</f>
        <v>0</v>
      </c>
      <c r="G533" s="181">
        <f>TOBEPAID!G394/1000</f>
        <v>0</v>
      </c>
      <c r="H533" s="181">
        <f>1693952/1000</f>
        <v>1693.952</v>
      </c>
      <c r="I533" s="181">
        <f>TOBEPAID!I394/1000</f>
        <v>0</v>
      </c>
      <c r="J533" s="181">
        <f>TOBEPAID!J394/1000</f>
        <v>0</v>
      </c>
      <c r="K533" s="181">
        <f>TOBEPAID!K394/1000</f>
        <v>0</v>
      </c>
      <c r="L533" s="181">
        <f>TOBEPAID!L394/1000</f>
        <v>0</v>
      </c>
      <c r="M533" s="181">
        <f>TOBEPAID!M394/1000</f>
        <v>0</v>
      </c>
      <c r="N533" s="181">
        <f>TOBEPAID!N394/1000</f>
        <v>1693.952</v>
      </c>
      <c r="O533" s="181">
        <f>TOBEPAID!O394/1000</f>
        <v>0</v>
      </c>
      <c r="P533" s="181">
        <f>TOBEPAID!P394/1000</f>
        <v>0</v>
      </c>
      <c r="Q533" s="181">
        <f>TOBEPAID!Q394/1000</f>
        <v>0</v>
      </c>
      <c r="R533" s="181">
        <v>0</v>
      </c>
      <c r="S533" s="181">
        <f>TOBEPAID!S394/1000</f>
        <v>0</v>
      </c>
      <c r="T533" s="181">
        <f>TOBEPAID!T394/1000</f>
        <v>0</v>
      </c>
      <c r="U533" s="181">
        <f>TOBEPAID!U394/1000</f>
        <v>0</v>
      </c>
      <c r="V533" s="181">
        <f>TOBEPAID!V394/1000</f>
        <v>0</v>
      </c>
      <c r="W533" s="181">
        <f>TOBEPAID!W394/1000</f>
        <v>0</v>
      </c>
      <c r="X533" s="181">
        <f>TOBEPAID!X394/1000</f>
        <v>0</v>
      </c>
      <c r="Y533" s="181">
        <f t="shared" si="96"/>
        <v>1693.952</v>
      </c>
      <c r="Z533" s="181">
        <f t="shared" si="95"/>
        <v>0</v>
      </c>
      <c r="AA533" s="181">
        <f>TOBEPAID!AA394/1000</f>
        <v>1693.952</v>
      </c>
      <c r="AB533" s="181">
        <f>TOBEPAID!AB394/1000</f>
        <v>0</v>
      </c>
      <c r="AC533" s="181"/>
      <c r="AD533" s="181"/>
    </row>
    <row r="534" spans="1:30" x14ac:dyDescent="0.2">
      <c r="C534" s="165" t="s">
        <v>346</v>
      </c>
      <c r="D534" s="181">
        <f>6090896/1000</f>
        <v>6090.8959999999997</v>
      </c>
      <c r="E534" s="181">
        <f>TOBEPAID!E395/1000</f>
        <v>6090.8965900000003</v>
      </c>
      <c r="F534" s="181">
        <f>TOBEPAID!F395/1000</f>
        <v>0</v>
      </c>
      <c r="G534" s="181">
        <f>TOBEPAID!G395/1000</f>
        <v>0</v>
      </c>
      <c r="H534" s="181">
        <f>6090893/1000</f>
        <v>6090.893</v>
      </c>
      <c r="I534" s="181">
        <f>TOBEPAID!I395/1000</f>
        <v>0</v>
      </c>
      <c r="J534" s="181">
        <f>TOBEPAID!J395/1000</f>
        <v>0</v>
      </c>
      <c r="K534" s="181">
        <f>TOBEPAID!K395/1000</f>
        <v>0</v>
      </c>
      <c r="L534" s="181">
        <f>TOBEPAID!L395/1000</f>
        <v>0</v>
      </c>
      <c r="M534" s="181">
        <f>TOBEPAID!M395/1000</f>
        <v>0</v>
      </c>
      <c r="N534" s="181">
        <f>TOBEPAID!N395/1000</f>
        <v>6090.8965900000003</v>
      </c>
      <c r="O534" s="181">
        <f>TOBEPAID!O395/1000</f>
        <v>0</v>
      </c>
      <c r="P534" s="181">
        <f>TOBEPAID!P395/1000</f>
        <v>0</v>
      </c>
      <c r="Q534" s="181">
        <f>TOBEPAID!Q395/1000</f>
        <v>0</v>
      </c>
      <c r="R534" s="181">
        <v>0</v>
      </c>
      <c r="S534" s="181">
        <f>TOBEPAID!S395/1000</f>
        <v>0</v>
      </c>
      <c r="T534" s="181">
        <f>TOBEPAID!T395/1000</f>
        <v>0</v>
      </c>
      <c r="U534" s="181">
        <f>TOBEPAID!U395/1000</f>
        <v>0</v>
      </c>
      <c r="V534" s="181">
        <f>TOBEPAID!V395/1000</f>
        <v>0</v>
      </c>
      <c r="W534" s="181">
        <f>TOBEPAID!W395/1000</f>
        <v>0</v>
      </c>
      <c r="X534" s="181">
        <f>TOBEPAID!X395/1000</f>
        <v>0</v>
      </c>
      <c r="Y534" s="181">
        <f t="shared" si="96"/>
        <v>6090.893</v>
      </c>
      <c r="Z534" s="181">
        <f t="shared" si="95"/>
        <v>2.9999999997016857E-3</v>
      </c>
      <c r="AA534" s="181">
        <f>TOBEPAID!AA395/1000</f>
        <v>6090.8965900000003</v>
      </c>
      <c r="AB534" s="181">
        <f>TOBEPAID!AB395/1000</f>
        <v>0</v>
      </c>
      <c r="AC534" s="181"/>
      <c r="AD534" s="181"/>
    </row>
    <row r="535" spans="1:30" x14ac:dyDescent="0.2">
      <c r="C535" s="165" t="s">
        <v>399</v>
      </c>
      <c r="D535" s="165">
        <f>8614994.82/1000</f>
        <v>8614.9948199999999</v>
      </c>
      <c r="H535" s="165">
        <f>8614994.82/1000</f>
        <v>8614.9948199999999</v>
      </c>
      <c r="R535" s="181">
        <v>0</v>
      </c>
      <c r="Y535" s="181">
        <f t="shared" si="96"/>
        <v>8614.9948199999999</v>
      </c>
      <c r="Z535" s="181">
        <f t="shared" si="95"/>
        <v>0</v>
      </c>
    </row>
    <row r="536" spans="1:30" x14ac:dyDescent="0.2">
      <c r="C536" s="165" t="s">
        <v>468</v>
      </c>
      <c r="D536" s="165">
        <f>65000000/1000</f>
        <v>65000</v>
      </c>
      <c r="H536" s="165">
        <f>65000000/1000</f>
        <v>65000</v>
      </c>
      <c r="R536" s="181">
        <v>0</v>
      </c>
      <c r="Y536" s="181">
        <f t="shared" si="96"/>
        <v>65000</v>
      </c>
      <c r="Z536" s="181">
        <f t="shared" si="95"/>
        <v>0</v>
      </c>
    </row>
    <row r="537" spans="1:30" x14ac:dyDescent="0.2">
      <c r="C537" s="165" t="s">
        <v>375</v>
      </c>
      <c r="D537" s="181">
        <f>2014079/1000</f>
        <v>2014.079</v>
      </c>
      <c r="E537" s="181">
        <f>TOBEPAID!E396/1000</f>
        <v>2014.0790099999999</v>
      </c>
      <c r="F537" s="181">
        <f>TOBEPAID!F396/1000</f>
        <v>0</v>
      </c>
      <c r="G537" s="181">
        <f>TOBEPAID!G396/1000</f>
        <v>0</v>
      </c>
      <c r="H537" s="181">
        <f>2014079/1000</f>
        <v>2014.079</v>
      </c>
      <c r="I537" s="181">
        <f>TOBEPAID!I396/1000</f>
        <v>0</v>
      </c>
      <c r="J537" s="181">
        <f>TOBEPAID!J396/1000</f>
        <v>0</v>
      </c>
      <c r="K537" s="181">
        <f>TOBEPAID!K396/1000</f>
        <v>0</v>
      </c>
      <c r="L537" s="181">
        <f>TOBEPAID!L396/1000</f>
        <v>0</v>
      </c>
      <c r="M537" s="181">
        <f>TOBEPAID!M396/1000</f>
        <v>0</v>
      </c>
      <c r="N537" s="181">
        <f>TOBEPAID!N396/1000</f>
        <v>2014.0790099999999</v>
      </c>
      <c r="O537" s="181">
        <f>TOBEPAID!O396/1000</f>
        <v>0</v>
      </c>
      <c r="P537" s="181">
        <f>TOBEPAID!P396/1000</f>
        <v>0</v>
      </c>
      <c r="Q537" s="181">
        <f>TOBEPAID!Q396/1000</f>
        <v>0</v>
      </c>
      <c r="R537" s="181">
        <v>0</v>
      </c>
      <c r="S537" s="181">
        <f>TOBEPAID!S396/1000</f>
        <v>0</v>
      </c>
      <c r="T537" s="181">
        <f>TOBEPAID!T396/1000</f>
        <v>0</v>
      </c>
      <c r="U537" s="181">
        <f>TOBEPAID!U396/1000</f>
        <v>0</v>
      </c>
      <c r="V537" s="181">
        <f>TOBEPAID!V396/1000</f>
        <v>0</v>
      </c>
      <c r="W537" s="181">
        <f>TOBEPAID!W396/1000</f>
        <v>0</v>
      </c>
      <c r="X537" s="181">
        <f>TOBEPAID!X396/1000</f>
        <v>0</v>
      </c>
      <c r="Y537" s="181">
        <f t="shared" si="96"/>
        <v>2014.079</v>
      </c>
      <c r="Z537" s="181">
        <f t="shared" si="95"/>
        <v>0</v>
      </c>
      <c r="AA537" s="181">
        <f>TOBEPAID!AA396/1000</f>
        <v>2014.0790099999999</v>
      </c>
      <c r="AB537" s="181">
        <f>TOBEPAID!AB396/1000</f>
        <v>0</v>
      </c>
      <c r="AC537" s="181"/>
      <c r="AD537" s="181"/>
    </row>
    <row r="538" spans="1:30" x14ac:dyDescent="0.2">
      <c r="C538" s="165" t="s">
        <v>374</v>
      </c>
      <c r="D538" s="181">
        <f>12000000/1000</f>
        <v>12000</v>
      </c>
      <c r="E538" s="181"/>
      <c r="F538" s="181"/>
      <c r="G538" s="181"/>
      <c r="H538" s="181">
        <f>12000000/1000</f>
        <v>12000</v>
      </c>
      <c r="I538" s="181"/>
      <c r="J538" s="181"/>
      <c r="K538" s="181"/>
      <c r="L538" s="181"/>
      <c r="M538" s="181"/>
      <c r="N538" s="181"/>
      <c r="O538" s="181"/>
      <c r="P538" s="181"/>
      <c r="Q538" s="181"/>
      <c r="R538" s="181">
        <v>0</v>
      </c>
      <c r="S538" s="181"/>
      <c r="T538" s="181"/>
      <c r="U538" s="181"/>
      <c r="V538" s="181"/>
      <c r="W538" s="181"/>
      <c r="X538" s="181"/>
      <c r="Y538" s="181">
        <f t="shared" si="96"/>
        <v>12000</v>
      </c>
      <c r="Z538" s="181">
        <f t="shared" si="95"/>
        <v>0</v>
      </c>
      <c r="AA538" s="181"/>
      <c r="AB538" s="181"/>
      <c r="AC538" s="181"/>
      <c r="AD538" s="181"/>
    </row>
    <row r="539" spans="1:30" x14ac:dyDescent="0.2">
      <c r="C539" s="165" t="s">
        <v>387</v>
      </c>
      <c r="D539" s="181">
        <f>9800000/1000</f>
        <v>9800</v>
      </c>
      <c r="E539" s="181"/>
      <c r="F539" s="181"/>
      <c r="G539" s="181"/>
      <c r="H539" s="181">
        <f>9800000/1000</f>
        <v>9800</v>
      </c>
      <c r="I539" s="181"/>
      <c r="J539" s="181"/>
      <c r="K539" s="181"/>
      <c r="L539" s="181"/>
      <c r="M539" s="181"/>
      <c r="N539" s="181"/>
      <c r="O539" s="181"/>
      <c r="P539" s="181"/>
      <c r="Q539" s="181"/>
      <c r="R539" s="181">
        <v>0</v>
      </c>
      <c r="S539" s="181"/>
      <c r="T539" s="181"/>
      <c r="U539" s="181"/>
      <c r="V539" s="181"/>
      <c r="W539" s="181"/>
      <c r="X539" s="181"/>
      <c r="Y539" s="181">
        <f t="shared" si="96"/>
        <v>9800</v>
      </c>
      <c r="Z539" s="181">
        <f t="shared" si="95"/>
        <v>0</v>
      </c>
      <c r="AA539" s="181"/>
      <c r="AB539" s="181"/>
      <c r="AC539" s="181"/>
      <c r="AD539" s="181"/>
    </row>
    <row r="540" spans="1:30" x14ac:dyDescent="0.2">
      <c r="A540" s="180"/>
      <c r="C540" s="165" t="s">
        <v>53</v>
      </c>
      <c r="D540" s="181">
        <f>20848197/1000</f>
        <v>20848.197</v>
      </c>
      <c r="E540" s="181">
        <f>TOBEPAID!E397/1000</f>
        <v>0</v>
      </c>
      <c r="F540" s="181">
        <f>TOBEPAID!F397/1000</f>
        <v>0</v>
      </c>
      <c r="G540" s="181">
        <f>TOBEPAID!G397/1000</f>
        <v>0</v>
      </c>
      <c r="H540" s="181">
        <v>0</v>
      </c>
      <c r="I540" s="181">
        <f>TOBEPAID!I397/1000</f>
        <v>0</v>
      </c>
      <c r="J540" s="181">
        <f>TOBEPAID!J397/1000</f>
        <v>0</v>
      </c>
      <c r="K540" s="181">
        <f>TOBEPAID!K397/1000</f>
        <v>0</v>
      </c>
      <c r="L540" s="181">
        <f>TOBEPAID!L397/1000</f>
        <v>0</v>
      </c>
      <c r="M540" s="181">
        <f>TOBEPAID!M397/1000</f>
        <v>0</v>
      </c>
      <c r="N540" s="181">
        <f>TOBEPAID!N397/1000</f>
        <v>0</v>
      </c>
      <c r="O540" s="181">
        <f>TOBEPAID!O397/1000</f>
        <v>20848.197510000002</v>
      </c>
      <c r="P540" s="181">
        <f>TOBEPAID!P397/1000</f>
        <v>0</v>
      </c>
      <c r="Q540" s="181">
        <f>TOBEPAID!Q397/1000</f>
        <v>0</v>
      </c>
      <c r="R540" s="181">
        <f>20940025/1000</f>
        <v>20940.025000000001</v>
      </c>
      <c r="S540" s="181">
        <f>TOBEPAID!S397/1000</f>
        <v>0</v>
      </c>
      <c r="T540" s="181">
        <f>TOBEPAID!T397/1000</f>
        <v>0</v>
      </c>
      <c r="U540" s="181">
        <f>TOBEPAID!U397/1000</f>
        <v>0</v>
      </c>
      <c r="V540" s="181">
        <f>TOBEPAID!V397/1000</f>
        <v>0</v>
      </c>
      <c r="W540" s="181">
        <f>TOBEPAID!W397/1000</f>
        <v>0</v>
      </c>
      <c r="X540" s="181">
        <f>TOBEPAID!X397/1000</f>
        <v>20848.197510000002</v>
      </c>
      <c r="Y540" s="181">
        <f t="shared" si="96"/>
        <v>20940.025000000001</v>
      </c>
      <c r="Z540" s="181">
        <f t="shared" si="95"/>
        <v>-91.828000000001339</v>
      </c>
      <c r="AA540" s="181">
        <f>TOBEPAID!AA397/1000</f>
        <v>20848.197510000002</v>
      </c>
      <c r="AB540" s="181">
        <f>TOBEPAID!AB397/1000</f>
        <v>0</v>
      </c>
      <c r="AC540" s="181" t="s">
        <v>321</v>
      </c>
      <c r="AD540" s="181"/>
    </row>
    <row r="541" spans="1:30" x14ac:dyDescent="0.2">
      <c r="A541" s="180"/>
      <c r="C541" s="165" t="s">
        <v>54</v>
      </c>
      <c r="D541" s="181">
        <f>10700263/1000</f>
        <v>10700.263000000001</v>
      </c>
      <c r="E541" s="181">
        <f>TOBEPAID!E398/1000</f>
        <v>0</v>
      </c>
      <c r="F541" s="181">
        <f>TOBEPAID!F398/1000</f>
        <v>0</v>
      </c>
      <c r="G541" s="181">
        <f>TOBEPAID!G398/1000</f>
        <v>0</v>
      </c>
      <c r="H541" s="181">
        <v>0</v>
      </c>
      <c r="I541" s="181">
        <f>TOBEPAID!I398/1000</f>
        <v>0</v>
      </c>
      <c r="J541" s="181">
        <f>TOBEPAID!J398/1000</f>
        <v>0</v>
      </c>
      <c r="K541" s="181">
        <f>TOBEPAID!K398/1000</f>
        <v>0</v>
      </c>
      <c r="L541" s="181">
        <f>TOBEPAID!L398/1000</f>
        <v>0</v>
      </c>
      <c r="M541" s="181">
        <f>TOBEPAID!M398/1000</f>
        <v>0</v>
      </c>
      <c r="N541" s="181">
        <f>TOBEPAID!N398/1000</f>
        <v>0</v>
      </c>
      <c r="O541" s="181">
        <f>TOBEPAID!O398/1000</f>
        <v>10700.26303</v>
      </c>
      <c r="P541" s="181">
        <f>TOBEPAID!P398/1000</f>
        <v>0</v>
      </c>
      <c r="Q541" s="181">
        <f>TOBEPAID!Q398/1000</f>
        <v>0</v>
      </c>
      <c r="R541" s="181">
        <f>10700263/1000</f>
        <v>10700.263000000001</v>
      </c>
      <c r="S541" s="181">
        <f>TOBEPAID!S398/1000</f>
        <v>0</v>
      </c>
      <c r="T541" s="181">
        <f>TOBEPAID!T398/1000</f>
        <v>0</v>
      </c>
      <c r="U541" s="181">
        <f>TOBEPAID!U398/1000</f>
        <v>0</v>
      </c>
      <c r="V541" s="181">
        <f>TOBEPAID!V398/1000</f>
        <v>0</v>
      </c>
      <c r="W541" s="181">
        <f>TOBEPAID!W398/1000</f>
        <v>0</v>
      </c>
      <c r="X541" s="181">
        <f>TOBEPAID!X398/1000</f>
        <v>10700.26303</v>
      </c>
      <c r="Y541" s="181">
        <f t="shared" si="96"/>
        <v>10700.263000000001</v>
      </c>
      <c r="Z541" s="181">
        <f t="shared" si="95"/>
        <v>0</v>
      </c>
      <c r="AA541" s="181">
        <f>TOBEPAID!AA398/1000</f>
        <v>10700.26303</v>
      </c>
      <c r="AB541" s="181">
        <f>TOBEPAID!AB398/1000</f>
        <v>0</v>
      </c>
      <c r="AC541" s="181"/>
      <c r="AD541" s="181"/>
    </row>
    <row r="542" spans="1:30" x14ac:dyDescent="0.2">
      <c r="A542" s="180"/>
      <c r="D542" s="182" t="s">
        <v>40</v>
      </c>
      <c r="E542" s="182" t="s">
        <v>40</v>
      </c>
      <c r="F542" s="182" t="s">
        <v>40</v>
      </c>
      <c r="G542" s="182"/>
      <c r="H542" s="182" t="s">
        <v>40</v>
      </c>
      <c r="I542" s="182" t="s">
        <v>40</v>
      </c>
      <c r="J542" s="182" t="s">
        <v>40</v>
      </c>
      <c r="K542" s="182" t="s">
        <v>40</v>
      </c>
      <c r="L542" s="182" t="s">
        <v>40</v>
      </c>
      <c r="M542" s="182"/>
      <c r="N542" s="182" t="s">
        <v>40</v>
      </c>
      <c r="O542" s="182" t="s">
        <v>40</v>
      </c>
      <c r="P542" s="182" t="s">
        <v>40</v>
      </c>
      <c r="Q542" s="182"/>
      <c r="R542" s="182" t="s">
        <v>40</v>
      </c>
      <c r="S542" s="182" t="s">
        <v>40</v>
      </c>
      <c r="T542" s="182" t="s">
        <v>40</v>
      </c>
      <c r="U542" s="182" t="s">
        <v>40</v>
      </c>
      <c r="V542" s="182" t="s">
        <v>40</v>
      </c>
      <c r="W542" s="182"/>
      <c r="X542" s="182" t="s">
        <v>40</v>
      </c>
      <c r="Y542" s="182" t="s">
        <v>40</v>
      </c>
      <c r="Z542" s="182" t="s">
        <v>40</v>
      </c>
      <c r="AA542" s="182" t="s">
        <v>40</v>
      </c>
      <c r="AB542" s="182" t="s">
        <v>40</v>
      </c>
      <c r="AC542" s="182"/>
      <c r="AD542" s="182"/>
    </row>
    <row r="543" spans="1:30" x14ac:dyDescent="0.2">
      <c r="A543" s="180"/>
      <c r="D543" s="196">
        <f>SUM(D531:D541)</f>
        <v>304282.38181999995</v>
      </c>
      <c r="E543" s="196">
        <f>SUM(E531:E541)</f>
        <v>9798.9276000000009</v>
      </c>
      <c r="F543" s="196">
        <f>SUM(F531:F541)</f>
        <v>0</v>
      </c>
      <c r="G543" s="196"/>
      <c r="H543" s="196">
        <f>SUM(H531:H541)</f>
        <v>228649.03494000001</v>
      </c>
      <c r="I543" s="196">
        <f>SUM(I531:I541)</f>
        <v>0</v>
      </c>
      <c r="J543" s="196">
        <f>SUM(J531:J541)</f>
        <v>0</v>
      </c>
      <c r="K543" s="196">
        <f>SUM(K531:K541)</f>
        <v>0</v>
      </c>
      <c r="L543" s="196">
        <f>SUM(L531:L541)</f>
        <v>0</v>
      </c>
      <c r="M543" s="196"/>
      <c r="N543" s="196">
        <f>SUM(N531:N541)</f>
        <v>9798.9276000000009</v>
      </c>
      <c r="O543" s="196">
        <f>SUM(O531:O541)</f>
        <v>31548.46054</v>
      </c>
      <c r="P543" s="196">
        <f>SUM(P531:P541)</f>
        <v>0</v>
      </c>
      <c r="Q543" s="196"/>
      <c r="R543" s="196">
        <f>SUM(R531:R541)</f>
        <v>31640.288</v>
      </c>
      <c r="S543" s="196">
        <f>SUM(S531:S541)</f>
        <v>0</v>
      </c>
      <c r="T543" s="196">
        <f>SUM(T531:T541)</f>
        <v>0</v>
      </c>
      <c r="U543" s="196">
        <f>SUM(U531:U541)</f>
        <v>0</v>
      </c>
      <c r="V543" s="196">
        <f>SUM(V531:V541)</f>
        <v>0</v>
      </c>
      <c r="W543" s="196"/>
      <c r="X543" s="196">
        <f>SUM(X531:X541)</f>
        <v>31548.46054</v>
      </c>
      <c r="Y543" s="196">
        <f>SUM(Y531:Y541)</f>
        <v>260289.32294000001</v>
      </c>
      <c r="Z543" s="196">
        <f>SUM(Z531:Z541)</f>
        <v>43993.05887999999</v>
      </c>
      <c r="AA543" s="196">
        <f>SUM(AA531:AA541)</f>
        <v>41347.388140000003</v>
      </c>
      <c r="AB543" s="196">
        <f>SUM(AB531:AB541)</f>
        <v>0</v>
      </c>
      <c r="AC543" s="196"/>
      <c r="AD543" s="196"/>
    </row>
    <row r="544" spans="1:30" x14ac:dyDescent="0.2">
      <c r="A544" s="180"/>
      <c r="D544" s="182" t="s">
        <v>40</v>
      </c>
      <c r="E544" s="182" t="s">
        <v>40</v>
      </c>
      <c r="F544" s="182" t="s">
        <v>40</v>
      </c>
      <c r="G544" s="182"/>
      <c r="H544" s="182" t="s">
        <v>40</v>
      </c>
      <c r="I544" s="182" t="s">
        <v>40</v>
      </c>
      <c r="J544" s="182" t="s">
        <v>40</v>
      </c>
      <c r="K544" s="182" t="s">
        <v>40</v>
      </c>
      <c r="L544" s="182" t="s">
        <v>40</v>
      </c>
      <c r="M544" s="182"/>
      <c r="N544" s="182" t="s">
        <v>40</v>
      </c>
      <c r="O544" s="182" t="s">
        <v>40</v>
      </c>
      <c r="P544" s="182" t="s">
        <v>40</v>
      </c>
      <c r="Q544" s="182"/>
      <c r="R544" s="182" t="s">
        <v>40</v>
      </c>
      <c r="S544" s="182" t="s">
        <v>40</v>
      </c>
      <c r="T544" s="182" t="s">
        <v>40</v>
      </c>
      <c r="U544" s="182" t="s">
        <v>40</v>
      </c>
      <c r="V544" s="182" t="s">
        <v>40</v>
      </c>
      <c r="W544" s="182"/>
      <c r="X544" s="182" t="s">
        <v>40</v>
      </c>
      <c r="Y544" s="182" t="s">
        <v>40</v>
      </c>
      <c r="Z544" s="182" t="s">
        <v>40</v>
      </c>
      <c r="AA544" s="182" t="s">
        <v>40</v>
      </c>
      <c r="AB544" s="182" t="s">
        <v>40</v>
      </c>
      <c r="AC544" s="182"/>
      <c r="AD544" s="182"/>
    </row>
    <row r="545" spans="1:30" x14ac:dyDescent="0.2">
      <c r="A545" s="180"/>
      <c r="D545" s="182"/>
      <c r="E545" s="182"/>
      <c r="F545" s="182"/>
      <c r="G545" s="182"/>
      <c r="H545" s="182"/>
      <c r="I545" s="182"/>
      <c r="J545" s="182"/>
      <c r="K545" s="182"/>
      <c r="L545" s="182"/>
      <c r="M545" s="182"/>
      <c r="N545" s="182"/>
      <c r="O545" s="182"/>
      <c r="P545" s="182"/>
      <c r="Q545" s="182"/>
      <c r="R545" s="182"/>
      <c r="S545" s="182"/>
      <c r="T545" s="182"/>
      <c r="U545" s="182"/>
      <c r="V545" s="182"/>
      <c r="W545" s="182"/>
      <c r="X545" s="182"/>
      <c r="Y545" s="182" t="s">
        <v>379</v>
      </c>
      <c r="Z545" s="182"/>
      <c r="AA545" s="182"/>
      <c r="AB545" s="182"/>
      <c r="AC545" s="182"/>
      <c r="AD545" s="182"/>
    </row>
    <row r="546" spans="1:30" x14ac:dyDescent="0.2">
      <c r="A546" s="180"/>
      <c r="D546" s="182"/>
      <c r="E546" s="182"/>
      <c r="F546" s="182"/>
      <c r="G546" s="182"/>
      <c r="H546" s="182"/>
      <c r="I546" s="182"/>
      <c r="J546" s="182"/>
      <c r="K546" s="182"/>
      <c r="L546" s="182"/>
      <c r="M546" s="182"/>
      <c r="N546" s="182"/>
      <c r="O546" s="182"/>
      <c r="P546" s="182"/>
      <c r="Q546" s="182"/>
      <c r="R546" s="182"/>
      <c r="S546" s="182"/>
      <c r="T546" s="182"/>
      <c r="U546" s="182"/>
      <c r="V546" s="182"/>
      <c r="W546" s="182"/>
      <c r="X546" s="182"/>
      <c r="Y546" s="219" t="s">
        <v>376</v>
      </c>
      <c r="Z546" s="182"/>
      <c r="AA546" s="182"/>
      <c r="AB546" s="182"/>
      <c r="AC546" s="182"/>
      <c r="AD546" s="182"/>
    </row>
    <row r="547" spans="1:30" x14ac:dyDescent="0.2">
      <c r="A547" s="180"/>
      <c r="D547" s="182"/>
      <c r="E547" s="182"/>
      <c r="F547" s="203"/>
      <c r="G547" s="218"/>
      <c r="H547" s="188"/>
      <c r="I547" s="189"/>
      <c r="J547" s="189"/>
      <c r="K547" s="189"/>
      <c r="L547" s="188"/>
      <c r="M547" s="189"/>
      <c r="N547" s="188"/>
      <c r="O547" s="182"/>
      <c r="P547" s="182"/>
      <c r="Q547" s="182"/>
      <c r="R547" s="182"/>
      <c r="S547" s="182"/>
      <c r="T547" s="182"/>
      <c r="U547" s="182"/>
      <c r="V547" s="182"/>
      <c r="W547" s="182"/>
      <c r="X547" s="182"/>
      <c r="Y547" s="182"/>
      <c r="Z547" s="182"/>
      <c r="AA547" s="182"/>
      <c r="AB547" s="182"/>
      <c r="AC547" s="182"/>
      <c r="AD547" s="182"/>
    </row>
    <row r="548" spans="1:30" x14ac:dyDescent="0.2">
      <c r="A548" s="180">
        <v>38</v>
      </c>
      <c r="B548" s="165" t="s">
        <v>188</v>
      </c>
      <c r="C548" s="166" t="s">
        <v>35</v>
      </c>
      <c r="D548" s="181">
        <f>53418439/1000</f>
        <v>53418.438999999998</v>
      </c>
      <c r="E548" s="181">
        <f>TOBEPAID!E403/1000</f>
        <v>0</v>
      </c>
      <c r="F548" s="181">
        <f>TOBEPAID!F403/1000</f>
        <v>0</v>
      </c>
      <c r="G548" s="181">
        <f>TOBEPAID!G403/1000</f>
        <v>0</v>
      </c>
      <c r="H548" s="181">
        <v>0</v>
      </c>
      <c r="I548" s="181">
        <f>TOBEPAID!I403/1000</f>
        <v>0</v>
      </c>
      <c r="J548" s="181">
        <f>TOBEPAID!J403/1000</f>
        <v>0</v>
      </c>
      <c r="K548" s="181">
        <f>TOBEPAID!K403/1000</f>
        <v>0</v>
      </c>
      <c r="L548" s="181">
        <f>TOBEPAID!L403/1000</f>
        <v>0</v>
      </c>
      <c r="M548" s="181">
        <f>TOBEPAID!M403/1000</f>
        <v>0</v>
      </c>
      <c r="N548" s="181">
        <f>TOBEPAID!N403/1000</f>
        <v>0</v>
      </c>
      <c r="O548" s="181">
        <f>TOBEPAID!O403/1000</f>
        <v>81.926410000000004</v>
      </c>
      <c r="P548" s="181">
        <f>TOBEPAID!P403/1000</f>
        <v>0</v>
      </c>
      <c r="Q548" s="181">
        <f>TOBEPAID!Q403/1000</f>
        <v>0</v>
      </c>
      <c r="R548" s="181">
        <f>81926/1000</f>
        <v>81.926000000000002</v>
      </c>
      <c r="S548" s="181">
        <f>TOBEPAID!S403/1000</f>
        <v>0</v>
      </c>
      <c r="T548" s="181">
        <f>TOBEPAID!T403/1000</f>
        <v>0</v>
      </c>
      <c r="U548" s="181">
        <f>TOBEPAID!U403/1000</f>
        <v>0</v>
      </c>
      <c r="V548" s="181">
        <f>TOBEPAID!V403/1000</f>
        <v>0</v>
      </c>
      <c r="W548" s="181">
        <f>TOBEPAID!W403/1000</f>
        <v>0</v>
      </c>
      <c r="X548" s="181">
        <f>TOBEPAID!X403/1000</f>
        <v>81.926410000000004</v>
      </c>
      <c r="Y548" s="181">
        <f>+H548+R548</f>
        <v>81.926000000000002</v>
      </c>
      <c r="Z548" s="181">
        <f>+D548-Y548</f>
        <v>53336.512999999999</v>
      </c>
      <c r="AA548" s="181">
        <f>TOBEPAID!AA403/1000</f>
        <v>81.926410000000004</v>
      </c>
      <c r="AB548" s="181">
        <f>TOBEPAID!AB403/1000</f>
        <v>53336.513490000005</v>
      </c>
      <c r="AC548" s="181"/>
      <c r="AD548" s="181"/>
    </row>
    <row r="549" spans="1:30" x14ac:dyDescent="0.2">
      <c r="A549" s="180"/>
      <c r="C549" s="165" t="s">
        <v>36</v>
      </c>
      <c r="D549" s="181">
        <f>2565137/1000</f>
        <v>2565.1370000000002</v>
      </c>
      <c r="E549" s="181">
        <f>TOBEPAID!E404/1000</f>
        <v>2565.1370000000002</v>
      </c>
      <c r="F549" s="181">
        <f>TOBEPAID!F404/1000</f>
        <v>0</v>
      </c>
      <c r="G549" s="181">
        <f>TOBEPAID!G404/1000</f>
        <v>0</v>
      </c>
      <c r="H549" s="181">
        <f>2565137/1000</f>
        <v>2565.1370000000002</v>
      </c>
      <c r="I549" s="181">
        <f>TOBEPAID!I404/1000</f>
        <v>0</v>
      </c>
      <c r="J549" s="181">
        <f>TOBEPAID!J404/1000</f>
        <v>0</v>
      </c>
      <c r="K549" s="181">
        <f>TOBEPAID!K404/1000</f>
        <v>0</v>
      </c>
      <c r="L549" s="181">
        <f>TOBEPAID!L404/1000</f>
        <v>0</v>
      </c>
      <c r="M549" s="181">
        <f>TOBEPAID!M404/1000</f>
        <v>0</v>
      </c>
      <c r="N549" s="181">
        <f>TOBEPAID!N404/1000</f>
        <v>2565.1370000000002</v>
      </c>
      <c r="O549" s="181">
        <f>TOBEPAID!O404/1000</f>
        <v>0</v>
      </c>
      <c r="P549" s="181">
        <f>TOBEPAID!P404/1000</f>
        <v>0</v>
      </c>
      <c r="Q549" s="181">
        <f>TOBEPAID!Q404/1000</f>
        <v>0</v>
      </c>
      <c r="R549" s="181">
        <v>0</v>
      </c>
      <c r="S549" s="181">
        <f>TOBEPAID!S404/1000</f>
        <v>0</v>
      </c>
      <c r="T549" s="181">
        <f>TOBEPAID!T404/1000</f>
        <v>0</v>
      </c>
      <c r="U549" s="181">
        <f>TOBEPAID!U404/1000</f>
        <v>0</v>
      </c>
      <c r="V549" s="181">
        <f>TOBEPAID!V404/1000</f>
        <v>0</v>
      </c>
      <c r="W549" s="181">
        <f>TOBEPAID!W404/1000</f>
        <v>0</v>
      </c>
      <c r="X549" s="181">
        <f>TOBEPAID!X404/1000</f>
        <v>0</v>
      </c>
      <c r="Y549" s="181">
        <f>+H549+R549</f>
        <v>2565.1370000000002</v>
      </c>
      <c r="Z549" s="181">
        <f>+D549-Y549</f>
        <v>0</v>
      </c>
      <c r="AA549" s="181">
        <f>TOBEPAID!AA404/1000</f>
        <v>2565.1370000000002</v>
      </c>
      <c r="AB549" s="181">
        <f>TOBEPAID!AB404/1000</f>
        <v>0</v>
      </c>
      <c r="AC549" s="181"/>
      <c r="AD549" s="181"/>
    </row>
    <row r="550" spans="1:30" x14ac:dyDescent="0.2">
      <c r="A550" s="180"/>
      <c r="C550" s="165" t="s">
        <v>38</v>
      </c>
      <c r="D550" s="181">
        <f>3912782.83/1000</f>
        <v>3912.7828300000001</v>
      </c>
      <c r="E550" s="181">
        <f>TOBEPAID!E405/1000</f>
        <v>0</v>
      </c>
      <c r="F550" s="181">
        <f>TOBEPAID!F405/1000</f>
        <v>0</v>
      </c>
      <c r="G550" s="181">
        <f>TOBEPAID!G405/1000</f>
        <v>0</v>
      </c>
      <c r="H550" s="181">
        <v>0</v>
      </c>
      <c r="I550" s="181">
        <f>TOBEPAID!I405/1000</f>
        <v>0</v>
      </c>
      <c r="J550" s="181">
        <f>TOBEPAID!J405/1000</f>
        <v>0</v>
      </c>
      <c r="K550" s="181">
        <f>TOBEPAID!K405/1000</f>
        <v>0</v>
      </c>
      <c r="L550" s="181">
        <f>TOBEPAID!L405/1000</f>
        <v>0</v>
      </c>
      <c r="M550" s="181">
        <f>TOBEPAID!M405/1000</f>
        <v>0</v>
      </c>
      <c r="N550" s="181">
        <f>TOBEPAID!N405/1000</f>
        <v>0</v>
      </c>
      <c r="O550" s="181">
        <f>TOBEPAID!O405/1000</f>
        <v>0</v>
      </c>
      <c r="P550" s="181">
        <f>TOBEPAID!P405/1000</f>
        <v>0</v>
      </c>
      <c r="Q550" s="181">
        <f>TOBEPAID!Q405/1000</f>
        <v>0</v>
      </c>
      <c r="R550" s="181">
        <v>0</v>
      </c>
      <c r="S550" s="181">
        <f>TOBEPAID!S405/1000</f>
        <v>0</v>
      </c>
      <c r="T550" s="181">
        <f>TOBEPAID!T405/1000</f>
        <v>0</v>
      </c>
      <c r="U550" s="181">
        <f>TOBEPAID!U405/1000</f>
        <v>0</v>
      </c>
      <c r="V550" s="181">
        <f>TOBEPAID!V405/1000</f>
        <v>0</v>
      </c>
      <c r="W550" s="181">
        <f>TOBEPAID!W405/1000</f>
        <v>0</v>
      </c>
      <c r="X550" s="181">
        <f>TOBEPAID!X405/1000</f>
        <v>0</v>
      </c>
      <c r="Y550" s="181">
        <f>+H550+R550</f>
        <v>0</v>
      </c>
      <c r="Z550" s="181">
        <f>+D550-Y550</f>
        <v>3912.7828300000001</v>
      </c>
      <c r="AA550" s="181">
        <f>TOBEPAID!AA405/1000</f>
        <v>0</v>
      </c>
      <c r="AB550" s="181">
        <f>TOBEPAID!AB405/1000</f>
        <v>3912.7828300000001</v>
      </c>
      <c r="AC550" s="181"/>
      <c r="AD550" s="181"/>
    </row>
    <row r="551" spans="1:30" x14ac:dyDescent="0.2">
      <c r="A551" s="180"/>
      <c r="D551" s="182" t="s">
        <v>40</v>
      </c>
      <c r="E551" s="182" t="s">
        <v>40</v>
      </c>
      <c r="F551" s="182" t="s">
        <v>40</v>
      </c>
      <c r="G551" s="182"/>
      <c r="H551" s="182" t="s">
        <v>40</v>
      </c>
      <c r="I551" s="182" t="s">
        <v>40</v>
      </c>
      <c r="J551" s="182" t="s">
        <v>40</v>
      </c>
      <c r="K551" s="182" t="s">
        <v>40</v>
      </c>
      <c r="L551" s="182" t="s">
        <v>40</v>
      </c>
      <c r="M551" s="182"/>
      <c r="N551" s="182" t="s">
        <v>40</v>
      </c>
      <c r="O551" s="182" t="s">
        <v>40</v>
      </c>
      <c r="P551" s="182" t="s">
        <v>40</v>
      </c>
      <c r="Q551" s="182"/>
      <c r="R551" s="182" t="s">
        <v>40</v>
      </c>
      <c r="S551" s="182" t="s">
        <v>40</v>
      </c>
      <c r="T551" s="182" t="s">
        <v>40</v>
      </c>
      <c r="U551" s="182" t="s">
        <v>40</v>
      </c>
      <c r="V551" s="182" t="s">
        <v>40</v>
      </c>
      <c r="W551" s="182"/>
      <c r="X551" s="182" t="s">
        <v>40</v>
      </c>
      <c r="Y551" s="182" t="s">
        <v>40</v>
      </c>
      <c r="Z551" s="182" t="s">
        <v>40</v>
      </c>
      <c r="AA551" s="182" t="s">
        <v>40</v>
      </c>
      <c r="AB551" s="182" t="s">
        <v>40</v>
      </c>
      <c r="AC551" s="182"/>
      <c r="AD551" s="182"/>
    </row>
    <row r="552" spans="1:30" x14ac:dyDescent="0.2">
      <c r="A552" s="180"/>
      <c r="D552" s="196">
        <f>SUM(D548:D550)</f>
        <v>59896.358829999997</v>
      </c>
      <c r="E552" s="196">
        <f>SUM(E548:E550)</f>
        <v>2565.1370000000002</v>
      </c>
      <c r="F552" s="196">
        <f>SUM(F548:F550)</f>
        <v>0</v>
      </c>
      <c r="G552" s="196"/>
      <c r="H552" s="196">
        <f>SUM(H548:H550)</f>
        <v>2565.1370000000002</v>
      </c>
      <c r="I552" s="196">
        <f>SUM(I548:I550)</f>
        <v>0</v>
      </c>
      <c r="J552" s="196">
        <f>SUM(J548:J550)</f>
        <v>0</v>
      </c>
      <c r="K552" s="196">
        <f>SUM(K548:K550)</f>
        <v>0</v>
      </c>
      <c r="L552" s="196">
        <f>SUM(L548:L550)</f>
        <v>0</v>
      </c>
      <c r="M552" s="196"/>
      <c r="N552" s="196">
        <f>SUM(N548:N550)</f>
        <v>2565.1370000000002</v>
      </c>
      <c r="O552" s="196">
        <f>SUM(O548:O550)</f>
        <v>81.926410000000004</v>
      </c>
      <c r="P552" s="196">
        <f>SUM(P548:P550)</f>
        <v>0</v>
      </c>
      <c r="Q552" s="196"/>
      <c r="R552" s="196">
        <f>SUM(R548:R550)</f>
        <v>81.926000000000002</v>
      </c>
      <c r="S552" s="196">
        <f>SUM(S548:S550)</f>
        <v>0</v>
      </c>
      <c r="T552" s="196">
        <f>SUM(T548:T550)</f>
        <v>0</v>
      </c>
      <c r="U552" s="196">
        <f>SUM(U548:U550)</f>
        <v>0</v>
      </c>
      <c r="V552" s="196">
        <f>SUM(V548:V550)</f>
        <v>0</v>
      </c>
      <c r="W552" s="196"/>
      <c r="X552" s="196">
        <f>SUM(X548:X550)</f>
        <v>81.926410000000004</v>
      </c>
      <c r="Y552" s="196">
        <f>SUM(Y548:Y550)</f>
        <v>2647.0630000000001</v>
      </c>
      <c r="Z552" s="196">
        <f>SUM(Z548:Z550)</f>
        <v>57249.295830000003</v>
      </c>
      <c r="AA552" s="196">
        <f>SUM(AA548:AA550)</f>
        <v>2647.0634100000002</v>
      </c>
      <c r="AB552" s="196">
        <f>SUM(AB548:AB550)</f>
        <v>57249.296320000009</v>
      </c>
      <c r="AC552" s="196"/>
      <c r="AD552" s="196"/>
    </row>
    <row r="553" spans="1:30" x14ac:dyDescent="0.2">
      <c r="A553" s="180"/>
      <c r="D553" s="182" t="s">
        <v>40</v>
      </c>
      <c r="E553" s="182" t="s">
        <v>40</v>
      </c>
      <c r="F553" s="182" t="s">
        <v>40</v>
      </c>
      <c r="G553" s="182"/>
      <c r="H553" s="182" t="s">
        <v>40</v>
      </c>
      <c r="I553" s="182" t="s">
        <v>40</v>
      </c>
      <c r="J553" s="182" t="s">
        <v>40</v>
      </c>
      <c r="K553" s="182" t="s">
        <v>40</v>
      </c>
      <c r="L553" s="182" t="s">
        <v>40</v>
      </c>
      <c r="M553" s="182"/>
      <c r="N553" s="182" t="s">
        <v>40</v>
      </c>
      <c r="O553" s="182" t="s">
        <v>40</v>
      </c>
      <c r="P553" s="182" t="s">
        <v>40</v>
      </c>
      <c r="Q553" s="182"/>
      <c r="R553" s="182" t="s">
        <v>40</v>
      </c>
      <c r="S553" s="182" t="s">
        <v>40</v>
      </c>
      <c r="T553" s="182" t="s">
        <v>40</v>
      </c>
      <c r="U553" s="182" t="s">
        <v>40</v>
      </c>
      <c r="V553" s="182" t="s">
        <v>40</v>
      </c>
      <c r="W553" s="182"/>
      <c r="X553" s="182" t="s">
        <v>40</v>
      </c>
      <c r="Y553" s="182" t="s">
        <v>40</v>
      </c>
      <c r="Z553" s="182" t="s">
        <v>40</v>
      </c>
      <c r="AA553" s="191"/>
      <c r="AB553" s="182" t="s">
        <v>40</v>
      </c>
      <c r="AC553" s="182"/>
      <c r="AD553" s="182"/>
    </row>
    <row r="554" spans="1:30" x14ac:dyDescent="0.2">
      <c r="A554" s="180"/>
      <c r="D554" s="182"/>
      <c r="E554" s="182"/>
      <c r="F554" s="182"/>
      <c r="G554" s="182"/>
      <c r="H554" s="182"/>
      <c r="I554" s="182"/>
      <c r="J554" s="182"/>
      <c r="K554" s="182"/>
      <c r="L554" s="182"/>
      <c r="M554" s="182"/>
      <c r="N554" s="182"/>
      <c r="O554" s="182"/>
      <c r="P554" s="220"/>
      <c r="Q554" s="182"/>
      <c r="R554" s="182"/>
      <c r="S554" s="182"/>
      <c r="T554" s="182"/>
      <c r="U554" s="182"/>
      <c r="V554" s="182"/>
      <c r="W554" s="182"/>
      <c r="X554" s="182"/>
      <c r="Y554" s="196"/>
      <c r="Z554" s="196"/>
      <c r="AA554" s="191"/>
      <c r="AB554" s="196"/>
      <c r="AC554" s="196"/>
      <c r="AD554" s="196"/>
    </row>
    <row r="555" spans="1:30" x14ac:dyDescent="0.2">
      <c r="A555" s="180">
        <v>39</v>
      </c>
      <c r="B555" s="165" t="s">
        <v>189</v>
      </c>
      <c r="C555" s="166" t="s">
        <v>35</v>
      </c>
      <c r="D555" s="181">
        <f>50603874/1000</f>
        <v>50603.874000000003</v>
      </c>
      <c r="E555" s="181">
        <f>TOBEPAID!E410/1000</f>
        <v>0</v>
      </c>
      <c r="F555" s="181">
        <f>TOBEPAID!F410/1000</f>
        <v>0</v>
      </c>
      <c r="G555" s="181">
        <f>TOBEPAID!G410/1000</f>
        <v>0</v>
      </c>
      <c r="H555" s="181">
        <f>39065422/1000</f>
        <v>39065.421999999999</v>
      </c>
      <c r="I555" s="181">
        <f>TOBEPAID!I410/1000</f>
        <v>0</v>
      </c>
      <c r="J555" s="181">
        <f>TOBEPAID!J410/1000</f>
        <v>0</v>
      </c>
      <c r="K555" s="181">
        <f>TOBEPAID!K410/1000</f>
        <v>0</v>
      </c>
      <c r="L555" s="181">
        <f>TOBEPAID!L410/1000</f>
        <v>0</v>
      </c>
      <c r="M555" s="181">
        <f>TOBEPAID!M410/1000</f>
        <v>0</v>
      </c>
      <c r="N555" s="181">
        <f>TOBEPAID!N410/1000</f>
        <v>0</v>
      </c>
      <c r="O555" s="181">
        <f>TOBEPAID!O410/1000</f>
        <v>0</v>
      </c>
      <c r="P555" s="181">
        <f>TOBEPAID!P410/1000</f>
        <v>0</v>
      </c>
      <c r="Q555" s="181">
        <f>TOBEPAID!Q410/1000</f>
        <v>0</v>
      </c>
      <c r="R555" s="181">
        <v>0</v>
      </c>
      <c r="S555" s="181">
        <f>TOBEPAID!S410/1000</f>
        <v>0</v>
      </c>
      <c r="T555" s="181">
        <f>TOBEPAID!T410/1000</f>
        <v>0</v>
      </c>
      <c r="U555" s="181">
        <f>TOBEPAID!U410/1000</f>
        <v>0</v>
      </c>
      <c r="V555" s="181">
        <f>TOBEPAID!V410/1000</f>
        <v>0</v>
      </c>
      <c r="W555" s="181">
        <f>TOBEPAID!W410/1000</f>
        <v>0</v>
      </c>
      <c r="X555" s="181">
        <f>TOBEPAID!X410/1000</f>
        <v>0</v>
      </c>
      <c r="Y555" s="181">
        <f t="shared" ref="Y555:Y562" si="97">+H555+R555</f>
        <v>39065.421999999999</v>
      </c>
      <c r="Z555" s="181">
        <f t="shared" ref="Z555:Z562" si="98">+D555-Y555</f>
        <v>11538.452000000005</v>
      </c>
      <c r="AA555" s="181">
        <f>TOBEPAID!AA410/1000</f>
        <v>0</v>
      </c>
      <c r="AB555" s="181">
        <f>TOBEPAID!AB410/1000</f>
        <v>50603.874040000002</v>
      </c>
      <c r="AC555" s="181"/>
      <c r="AD555" s="181"/>
    </row>
    <row r="556" spans="1:30" x14ac:dyDescent="0.2">
      <c r="A556" s="180"/>
      <c r="C556" s="165" t="s">
        <v>36</v>
      </c>
      <c r="D556" s="181">
        <f>2083523/1000</f>
        <v>2083.5230000000001</v>
      </c>
      <c r="E556" s="181">
        <f>TOBEPAID!E411/1000</f>
        <v>2083.5230000000001</v>
      </c>
      <c r="F556" s="181">
        <f>TOBEPAID!F411/1000</f>
        <v>0</v>
      </c>
      <c r="G556" s="181">
        <f>TOBEPAID!G411/1000</f>
        <v>0</v>
      </c>
      <c r="H556" s="181">
        <f>2083523/1000</f>
        <v>2083.5230000000001</v>
      </c>
      <c r="I556" s="181">
        <f>TOBEPAID!I411/1000</f>
        <v>0</v>
      </c>
      <c r="J556" s="181">
        <f>TOBEPAID!J411/1000</f>
        <v>0</v>
      </c>
      <c r="K556" s="181">
        <f>TOBEPAID!K411/1000</f>
        <v>0</v>
      </c>
      <c r="L556" s="181">
        <f>TOBEPAID!L411/1000</f>
        <v>0</v>
      </c>
      <c r="M556" s="181">
        <f>TOBEPAID!M411/1000</f>
        <v>0</v>
      </c>
      <c r="N556" s="181">
        <f>TOBEPAID!N411/1000</f>
        <v>2083.5230000000001</v>
      </c>
      <c r="O556" s="181">
        <f>TOBEPAID!O411/1000</f>
        <v>0</v>
      </c>
      <c r="P556" s="181">
        <f>TOBEPAID!P411/1000</f>
        <v>0</v>
      </c>
      <c r="Q556" s="181">
        <f>TOBEPAID!Q411/1000</f>
        <v>0</v>
      </c>
      <c r="R556" s="181">
        <v>0</v>
      </c>
      <c r="S556" s="181">
        <f>TOBEPAID!S411/1000</f>
        <v>0</v>
      </c>
      <c r="T556" s="181">
        <f>TOBEPAID!T411/1000</f>
        <v>0</v>
      </c>
      <c r="U556" s="181">
        <f>TOBEPAID!U411/1000</f>
        <v>0</v>
      </c>
      <c r="V556" s="181">
        <f>TOBEPAID!V411/1000</f>
        <v>0</v>
      </c>
      <c r="W556" s="181">
        <f>TOBEPAID!W411/1000</f>
        <v>0</v>
      </c>
      <c r="X556" s="181">
        <f>TOBEPAID!X411/1000</f>
        <v>0</v>
      </c>
      <c r="Y556" s="181">
        <f t="shared" si="97"/>
        <v>2083.5230000000001</v>
      </c>
      <c r="Z556" s="181">
        <f t="shared" si="98"/>
        <v>0</v>
      </c>
      <c r="AA556" s="181">
        <f>TOBEPAID!AA411/1000</f>
        <v>2083.5230000000001</v>
      </c>
      <c r="AB556" s="181">
        <f>TOBEPAID!AB411/1000</f>
        <v>0</v>
      </c>
      <c r="AC556" s="181"/>
      <c r="AD556" s="181"/>
    </row>
    <row r="557" spans="1:30" x14ac:dyDescent="0.2">
      <c r="A557" s="180"/>
      <c r="C557" s="165" t="s">
        <v>403</v>
      </c>
      <c r="D557" s="181">
        <f>1796506.06/1000</f>
        <v>1796.5060600000002</v>
      </c>
      <c r="E557" s="181"/>
      <c r="F557" s="181"/>
      <c r="G557" s="181"/>
      <c r="H557" s="181">
        <f>1796506.06/1000</f>
        <v>1796.5060600000002</v>
      </c>
      <c r="I557" s="181"/>
      <c r="J557" s="181"/>
      <c r="K557" s="181"/>
      <c r="L557" s="181"/>
      <c r="M557" s="181"/>
      <c r="N557" s="181"/>
      <c r="O557" s="181"/>
      <c r="P557" s="181"/>
      <c r="Q557" s="181"/>
      <c r="R557" s="181">
        <v>0</v>
      </c>
      <c r="S557" s="181"/>
      <c r="T557" s="181"/>
      <c r="U557" s="181"/>
      <c r="V557" s="181"/>
      <c r="W557" s="181"/>
      <c r="X557" s="181"/>
      <c r="Y557" s="181">
        <f>+H557+R557</f>
        <v>1796.5060600000002</v>
      </c>
      <c r="Z557" s="181">
        <f t="shared" si="98"/>
        <v>0</v>
      </c>
      <c r="AA557" s="181"/>
      <c r="AB557" s="181"/>
      <c r="AC557" s="181"/>
      <c r="AD557" s="181"/>
    </row>
    <row r="558" spans="1:30" x14ac:dyDescent="0.2">
      <c r="A558" s="180"/>
      <c r="C558" s="165" t="s">
        <v>290</v>
      </c>
      <c r="D558" s="181">
        <f>385000000/1000</f>
        <v>385000</v>
      </c>
      <c r="E558" s="181"/>
      <c r="F558" s="181"/>
      <c r="G558" s="181"/>
      <c r="H558" s="181">
        <f>385000000/1000</f>
        <v>385000</v>
      </c>
      <c r="I558" s="181"/>
      <c r="J558" s="181"/>
      <c r="K558" s="181"/>
      <c r="L558" s="181"/>
      <c r="M558" s="181"/>
      <c r="N558" s="181"/>
      <c r="O558" s="181"/>
      <c r="P558" s="181"/>
      <c r="Q558" s="181"/>
      <c r="R558" s="181">
        <v>0</v>
      </c>
      <c r="S558" s="181"/>
      <c r="T558" s="181"/>
      <c r="U558" s="181"/>
      <c r="V558" s="181"/>
      <c r="W558" s="181"/>
      <c r="X558" s="181"/>
      <c r="Y558" s="181">
        <f t="shared" si="97"/>
        <v>385000</v>
      </c>
      <c r="Z558" s="181">
        <f t="shared" si="98"/>
        <v>0</v>
      </c>
      <c r="AA558" s="181"/>
      <c r="AB558" s="181"/>
      <c r="AC558" s="181"/>
      <c r="AD558" s="181"/>
    </row>
    <row r="559" spans="1:30" x14ac:dyDescent="0.2">
      <c r="A559" s="180"/>
      <c r="C559" s="165" t="s">
        <v>437</v>
      </c>
      <c r="D559" s="165">
        <f>12000000/1000</f>
        <v>12000</v>
      </c>
      <c r="H559" s="165">
        <f>12000000/1000</f>
        <v>12000</v>
      </c>
      <c r="R559" s="165">
        <v>0</v>
      </c>
      <c r="Y559" s="165">
        <f t="shared" si="97"/>
        <v>12000</v>
      </c>
      <c r="Z559" s="165">
        <f t="shared" si="98"/>
        <v>0</v>
      </c>
      <c r="AA559" s="181"/>
      <c r="AB559" s="181"/>
      <c r="AC559" s="181"/>
      <c r="AD559" s="181"/>
    </row>
    <row r="560" spans="1:30" x14ac:dyDescent="0.2">
      <c r="A560" s="180"/>
      <c r="C560" s="165" t="s">
        <v>454</v>
      </c>
      <c r="D560" s="165">
        <f>8125000/1000</f>
        <v>8125</v>
      </c>
      <c r="H560" s="165">
        <f>8125000/1000</f>
        <v>8125</v>
      </c>
      <c r="R560" s="165">
        <v>0</v>
      </c>
      <c r="Y560" s="165">
        <f t="shared" si="97"/>
        <v>8125</v>
      </c>
      <c r="Z560" s="165">
        <f t="shared" si="98"/>
        <v>0</v>
      </c>
      <c r="AA560" s="181"/>
      <c r="AB560" s="181"/>
      <c r="AC560" s="181"/>
      <c r="AD560" s="181"/>
    </row>
    <row r="561" spans="1:30" x14ac:dyDescent="0.2">
      <c r="A561" s="180"/>
      <c r="C561" s="165" t="s">
        <v>38</v>
      </c>
      <c r="D561" s="181">
        <f>1533021/1000</f>
        <v>1533.021</v>
      </c>
      <c r="E561" s="181">
        <f>TOBEPAID!E412/1000</f>
        <v>0</v>
      </c>
      <c r="F561" s="181">
        <f>TOBEPAID!F412/1000</f>
        <v>0</v>
      </c>
      <c r="G561" s="181">
        <f>TOBEPAID!G412/1000</f>
        <v>0</v>
      </c>
      <c r="H561" s="181">
        <v>0</v>
      </c>
      <c r="I561" s="181">
        <f>TOBEPAID!I412/1000</f>
        <v>0</v>
      </c>
      <c r="J561" s="181">
        <f>TOBEPAID!J412/1000</f>
        <v>0</v>
      </c>
      <c r="K561" s="181">
        <f>TOBEPAID!K412/1000</f>
        <v>0</v>
      </c>
      <c r="L561" s="181">
        <f>TOBEPAID!L412/1000</f>
        <v>0</v>
      </c>
      <c r="M561" s="181">
        <f>TOBEPAID!M412/1000</f>
        <v>0</v>
      </c>
      <c r="N561" s="181">
        <f>TOBEPAID!N412/1000</f>
        <v>0</v>
      </c>
      <c r="O561" s="181">
        <f>TOBEPAID!O412/1000</f>
        <v>0</v>
      </c>
      <c r="P561" s="181">
        <f>TOBEPAID!P412/1000</f>
        <v>0</v>
      </c>
      <c r="Q561" s="181">
        <f>TOBEPAID!Q412/1000</f>
        <v>0</v>
      </c>
      <c r="R561" s="181">
        <v>0</v>
      </c>
      <c r="S561" s="181">
        <f>TOBEPAID!S412/1000</f>
        <v>0</v>
      </c>
      <c r="T561" s="181">
        <f>TOBEPAID!T412/1000</f>
        <v>0</v>
      </c>
      <c r="U561" s="181">
        <f>TOBEPAID!U412/1000</f>
        <v>0</v>
      </c>
      <c r="V561" s="181">
        <f>TOBEPAID!V412/1000</f>
        <v>0</v>
      </c>
      <c r="W561" s="181">
        <f>TOBEPAID!W412/1000</f>
        <v>0</v>
      </c>
      <c r="X561" s="181">
        <f>TOBEPAID!X412/1000</f>
        <v>0</v>
      </c>
      <c r="Y561" s="181">
        <f t="shared" si="97"/>
        <v>0</v>
      </c>
      <c r="Z561" s="181">
        <f t="shared" si="98"/>
        <v>1533.021</v>
      </c>
      <c r="AA561" s="181">
        <f>TOBEPAID!AA412/1000</f>
        <v>0</v>
      </c>
      <c r="AB561" s="181">
        <f>TOBEPAID!AB412/1000</f>
        <v>1533.0215800000001</v>
      </c>
      <c r="AC561" s="181"/>
      <c r="AD561" s="181"/>
    </row>
    <row r="562" spans="1:30" x14ac:dyDescent="0.2">
      <c r="A562" s="180"/>
      <c r="C562" s="165" t="str">
        <f>+C107</f>
        <v>EL-CONCESSIONAL</v>
      </c>
      <c r="D562" s="181">
        <v>0</v>
      </c>
      <c r="E562" s="181">
        <f>TOBEPAID!E413/1000</f>
        <v>0</v>
      </c>
      <c r="F562" s="181">
        <f>TOBEPAID!F413/1000</f>
        <v>0</v>
      </c>
      <c r="G562" s="181">
        <f>TOBEPAID!G413/1000</f>
        <v>0</v>
      </c>
      <c r="H562" s="181">
        <v>0</v>
      </c>
      <c r="I562" s="181">
        <f>TOBEPAID!I413/1000</f>
        <v>0</v>
      </c>
      <c r="J562" s="181">
        <f>TOBEPAID!J413/1000</f>
        <v>0</v>
      </c>
      <c r="K562" s="181">
        <f>TOBEPAID!K413/1000</f>
        <v>0</v>
      </c>
      <c r="L562" s="181">
        <f>TOBEPAID!L413/1000</f>
        <v>0</v>
      </c>
      <c r="M562" s="181">
        <f>TOBEPAID!M413/1000</f>
        <v>0</v>
      </c>
      <c r="N562" s="181">
        <f>TOBEPAID!N413/1000</f>
        <v>0</v>
      </c>
      <c r="O562" s="181">
        <f>TOBEPAID!O413/1000</f>
        <v>0</v>
      </c>
      <c r="P562" s="181">
        <f>TOBEPAID!P413/1000</f>
        <v>0</v>
      </c>
      <c r="Q562" s="181">
        <f>TOBEPAID!Q413/1000</f>
        <v>0</v>
      </c>
      <c r="R562" s="181">
        <v>0</v>
      </c>
      <c r="S562" s="181">
        <f>TOBEPAID!S413/1000</f>
        <v>0</v>
      </c>
      <c r="T562" s="181">
        <f>TOBEPAID!T413/1000</f>
        <v>0</v>
      </c>
      <c r="U562" s="181">
        <f>TOBEPAID!U413/1000</f>
        <v>0</v>
      </c>
      <c r="V562" s="181">
        <f>TOBEPAID!V413/1000</f>
        <v>0</v>
      </c>
      <c r="W562" s="181">
        <f>TOBEPAID!W413/1000</f>
        <v>0</v>
      </c>
      <c r="X562" s="181">
        <f>TOBEPAID!X413/1000</f>
        <v>0</v>
      </c>
      <c r="Y562" s="181">
        <f t="shared" si="97"/>
        <v>0</v>
      </c>
      <c r="Z562" s="181">
        <f t="shared" si="98"/>
        <v>0</v>
      </c>
      <c r="AA562" s="181">
        <f>TOBEPAID!AA413/1000</f>
        <v>0</v>
      </c>
      <c r="AB562" s="181">
        <f>TOBEPAID!AB413/1000</f>
        <v>0.20150000000000001</v>
      </c>
      <c r="AC562" s="181"/>
      <c r="AD562" s="181"/>
    </row>
    <row r="563" spans="1:30" x14ac:dyDescent="0.2">
      <c r="A563" s="180"/>
      <c r="D563" s="182" t="s">
        <v>40</v>
      </c>
      <c r="E563" s="182" t="s">
        <v>40</v>
      </c>
      <c r="F563" s="182" t="s">
        <v>40</v>
      </c>
      <c r="G563" s="182"/>
      <c r="H563" s="182" t="s">
        <v>40</v>
      </c>
      <c r="I563" s="182" t="s">
        <v>40</v>
      </c>
      <c r="J563" s="182" t="s">
        <v>40</v>
      </c>
      <c r="K563" s="182" t="s">
        <v>40</v>
      </c>
      <c r="L563" s="182" t="s">
        <v>40</v>
      </c>
      <c r="M563" s="182"/>
      <c r="N563" s="182" t="s">
        <v>40</v>
      </c>
      <c r="O563" s="182" t="s">
        <v>40</v>
      </c>
      <c r="P563" s="182" t="s">
        <v>40</v>
      </c>
      <c r="Q563" s="182"/>
      <c r="R563" s="182" t="s">
        <v>40</v>
      </c>
      <c r="S563" s="182" t="s">
        <v>40</v>
      </c>
      <c r="T563" s="182" t="s">
        <v>40</v>
      </c>
      <c r="U563" s="182" t="s">
        <v>40</v>
      </c>
      <c r="V563" s="182" t="s">
        <v>40</v>
      </c>
      <c r="W563" s="182"/>
      <c r="X563" s="182" t="s">
        <v>40</v>
      </c>
      <c r="Y563" s="182" t="s">
        <v>40</v>
      </c>
      <c r="Z563" s="182" t="s">
        <v>40</v>
      </c>
      <c r="AA563" s="182" t="s">
        <v>40</v>
      </c>
      <c r="AB563" s="182" t="s">
        <v>40</v>
      </c>
      <c r="AC563" s="182"/>
      <c r="AD563" s="182"/>
    </row>
    <row r="564" spans="1:30" x14ac:dyDescent="0.2">
      <c r="A564" s="180"/>
      <c r="D564" s="196">
        <f>SUM(D555:D562)</f>
        <v>461141.92405999999</v>
      </c>
      <c r="E564" s="196">
        <f>SUM(E555:E562)</f>
        <v>2083.5230000000001</v>
      </c>
      <c r="F564" s="196">
        <f>SUM(F555:F562)</f>
        <v>0</v>
      </c>
      <c r="G564" s="196"/>
      <c r="H564" s="196">
        <f>SUM(H555:H562)</f>
        <v>448070.45105999999</v>
      </c>
      <c r="I564" s="196">
        <f>SUM(I555:I562)</f>
        <v>0</v>
      </c>
      <c r="J564" s="196">
        <f>SUM(J555:J562)</f>
        <v>0</v>
      </c>
      <c r="K564" s="196">
        <f>SUM(K555:K562)</f>
        <v>0</v>
      </c>
      <c r="L564" s="196">
        <f>SUM(L555:L562)</f>
        <v>0</v>
      </c>
      <c r="M564" s="196"/>
      <c r="N564" s="196">
        <f>SUM(N555:N562)</f>
        <v>2083.5230000000001</v>
      </c>
      <c r="O564" s="196">
        <f>SUM(O555:O562)</f>
        <v>0</v>
      </c>
      <c r="P564" s="196">
        <f>SUM(P555:P562)</f>
        <v>0</v>
      </c>
      <c r="Q564" s="196"/>
      <c r="R564" s="196">
        <f>SUM(R555:R562)</f>
        <v>0</v>
      </c>
      <c r="S564" s="196">
        <f>SUM(S555:S562)</f>
        <v>0</v>
      </c>
      <c r="T564" s="196">
        <f>SUM(T555:T562)</f>
        <v>0</v>
      </c>
      <c r="U564" s="196">
        <f>SUM(U555:U562)</f>
        <v>0</v>
      </c>
      <c r="V564" s="196">
        <f>SUM(V555:V562)</f>
        <v>0</v>
      </c>
      <c r="W564" s="196"/>
      <c r="X564" s="196">
        <f>SUM(X555:X562)</f>
        <v>0</v>
      </c>
      <c r="Y564" s="196">
        <f>SUM(Y555:Y562)</f>
        <v>448070.45105999999</v>
      </c>
      <c r="Z564" s="196">
        <f>SUM(Z555:Z562)</f>
        <v>13071.473000000005</v>
      </c>
      <c r="AA564" s="196">
        <f>SUM(AA555:AA562)</f>
        <v>2083.5230000000001</v>
      </c>
      <c r="AB564" s="196">
        <f>SUM(AB555:AB562)</f>
        <v>52137.097120000006</v>
      </c>
      <c r="AC564" s="196"/>
      <c r="AD564" s="196"/>
    </row>
    <row r="565" spans="1:30" x14ac:dyDescent="0.2">
      <c r="A565" s="180"/>
      <c r="D565" s="182" t="s">
        <v>40</v>
      </c>
      <c r="E565" s="182" t="s">
        <v>40</v>
      </c>
      <c r="F565" s="182" t="s">
        <v>40</v>
      </c>
      <c r="G565" s="182"/>
      <c r="H565" s="182" t="s">
        <v>40</v>
      </c>
      <c r="I565" s="182" t="s">
        <v>40</v>
      </c>
      <c r="J565" s="182" t="s">
        <v>40</v>
      </c>
      <c r="K565" s="182" t="s">
        <v>40</v>
      </c>
      <c r="L565" s="182" t="s">
        <v>40</v>
      </c>
      <c r="M565" s="182"/>
      <c r="N565" s="182" t="s">
        <v>40</v>
      </c>
      <c r="O565" s="182" t="s">
        <v>40</v>
      </c>
      <c r="P565" s="182" t="s">
        <v>40</v>
      </c>
      <c r="Q565" s="182"/>
      <c r="R565" s="182" t="s">
        <v>40</v>
      </c>
      <c r="S565" s="182" t="s">
        <v>40</v>
      </c>
      <c r="T565" s="182" t="s">
        <v>40</v>
      </c>
      <c r="U565" s="182" t="s">
        <v>40</v>
      </c>
      <c r="V565" s="182" t="s">
        <v>40</v>
      </c>
      <c r="W565" s="182"/>
      <c r="X565" s="182" t="s">
        <v>40</v>
      </c>
      <c r="Y565" s="182" t="s">
        <v>40</v>
      </c>
      <c r="Z565" s="182" t="s">
        <v>40</v>
      </c>
      <c r="AA565" s="182" t="s">
        <v>40</v>
      </c>
      <c r="AB565" s="182" t="s">
        <v>40</v>
      </c>
      <c r="AC565" s="182"/>
      <c r="AD565" s="182"/>
    </row>
    <row r="566" spans="1:30" x14ac:dyDescent="0.2">
      <c r="A566" s="180"/>
      <c r="D566" s="196"/>
      <c r="E566" s="191"/>
      <c r="F566" s="191"/>
      <c r="G566" s="191"/>
      <c r="H566" s="191"/>
      <c r="I566" s="191"/>
      <c r="J566" s="191"/>
      <c r="K566" s="191"/>
      <c r="L566" s="191"/>
      <c r="M566" s="191"/>
      <c r="N566" s="191"/>
      <c r="O566" s="191"/>
      <c r="P566" s="191"/>
      <c r="Q566" s="191"/>
      <c r="R566" s="191"/>
      <c r="S566" s="191"/>
      <c r="T566" s="191"/>
      <c r="U566" s="191"/>
      <c r="V566" s="191"/>
      <c r="W566" s="191"/>
      <c r="X566" s="191"/>
      <c r="Y566" s="191"/>
      <c r="Z566" s="191"/>
      <c r="AA566" s="191"/>
      <c r="AB566" s="191"/>
      <c r="AC566" s="191"/>
      <c r="AD566" s="191"/>
    </row>
    <row r="567" spans="1:30" x14ac:dyDescent="0.2">
      <c r="A567" s="180">
        <v>40</v>
      </c>
      <c r="B567" s="165" t="s">
        <v>190</v>
      </c>
      <c r="C567" s="165" t="s">
        <v>183</v>
      </c>
      <c r="D567" s="181">
        <f>39352813/1000</f>
        <v>39352.813000000002</v>
      </c>
      <c r="E567" s="181">
        <f>TOBEPAID!E418/1000</f>
        <v>0</v>
      </c>
      <c r="F567" s="181">
        <f>TOBEPAID!F418/1000</f>
        <v>0</v>
      </c>
      <c r="G567" s="181">
        <f>TOBEPAID!G418/1000</f>
        <v>0</v>
      </c>
      <c r="H567" s="181">
        <f>39352813/1000</f>
        <v>39352.813000000002</v>
      </c>
      <c r="I567" s="181">
        <f>TOBEPAID!I418/1000</f>
        <v>0</v>
      </c>
      <c r="J567" s="181">
        <f>TOBEPAID!J418/1000</f>
        <v>0</v>
      </c>
      <c r="K567" s="181">
        <f>TOBEPAID!K418/1000</f>
        <v>0</v>
      </c>
      <c r="L567" s="181">
        <f>TOBEPAID!L418/1000</f>
        <v>0</v>
      </c>
      <c r="M567" s="181">
        <f>TOBEPAID!M418/1000</f>
        <v>0</v>
      </c>
      <c r="N567" s="181">
        <f>TOBEPAID!N418/1000</f>
        <v>0</v>
      </c>
      <c r="O567" s="181">
        <f>TOBEPAID!O418/1000</f>
        <v>0</v>
      </c>
      <c r="P567" s="181">
        <f>TOBEPAID!P418/1000</f>
        <v>0</v>
      </c>
      <c r="Q567" s="181">
        <f>TOBEPAID!Q418/1000</f>
        <v>0</v>
      </c>
      <c r="R567" s="181">
        <v>0</v>
      </c>
      <c r="S567" s="181">
        <f>TOBEPAID!S418/1000</f>
        <v>0</v>
      </c>
      <c r="T567" s="181">
        <f>TOBEPAID!T418/1000</f>
        <v>0</v>
      </c>
      <c r="U567" s="181">
        <f>TOBEPAID!U418/1000</f>
        <v>0</v>
      </c>
      <c r="V567" s="181">
        <f>TOBEPAID!V418/1000</f>
        <v>0</v>
      </c>
      <c r="W567" s="181">
        <f>TOBEPAID!W418/1000</f>
        <v>0</v>
      </c>
      <c r="X567" s="181">
        <f>TOBEPAID!X418/1000</f>
        <v>0</v>
      </c>
      <c r="Y567" s="181">
        <f t="shared" ref="Y567:Y576" si="99">+H567+R567</f>
        <v>39352.813000000002</v>
      </c>
      <c r="Z567" s="181">
        <f>+D567-Y567</f>
        <v>0</v>
      </c>
      <c r="AA567" s="181">
        <f>TOBEPAID!AA418/1000</f>
        <v>0</v>
      </c>
      <c r="AB567" s="181">
        <f>TOBEPAID!AB418/1000</f>
        <v>5571.1577400000006</v>
      </c>
      <c r="AC567" s="181"/>
      <c r="AD567" s="181"/>
    </row>
    <row r="568" spans="1:30" x14ac:dyDescent="0.2">
      <c r="A568" s="180"/>
      <c r="C568" s="165" t="s">
        <v>460</v>
      </c>
      <c r="D568" s="181">
        <f>1630000/1000</f>
        <v>1630</v>
      </c>
      <c r="E568" s="181"/>
      <c r="F568" s="181"/>
      <c r="G568" s="181"/>
      <c r="H568" s="181">
        <f>1630000/1000</f>
        <v>1630</v>
      </c>
      <c r="I568" s="181"/>
      <c r="J568" s="181"/>
      <c r="K568" s="181"/>
      <c r="L568" s="181"/>
      <c r="M568" s="181"/>
      <c r="N568" s="181"/>
      <c r="O568" s="181"/>
      <c r="P568" s="181"/>
      <c r="Q568" s="181"/>
      <c r="R568" s="181">
        <v>0</v>
      </c>
      <c r="S568" s="181"/>
      <c r="T568" s="181"/>
      <c r="U568" s="181"/>
      <c r="V568" s="181"/>
      <c r="W568" s="181"/>
      <c r="X568" s="181"/>
      <c r="Y568" s="181">
        <f>+H568+R568</f>
        <v>1630</v>
      </c>
      <c r="Z568" s="181">
        <v>0</v>
      </c>
      <c r="AA568" s="181"/>
      <c r="AB568" s="181"/>
      <c r="AC568" s="181"/>
      <c r="AD568" s="181"/>
    </row>
    <row r="569" spans="1:30" x14ac:dyDescent="0.2">
      <c r="A569" s="180"/>
      <c r="C569" s="165" t="s">
        <v>437</v>
      </c>
      <c r="D569" s="181">
        <f>7994781.77/1000</f>
        <v>7994.7817699999996</v>
      </c>
      <c r="E569" s="181"/>
      <c r="F569" s="181"/>
      <c r="G569" s="181"/>
      <c r="H569" s="181">
        <f>7994781/1000</f>
        <v>7994.7809999999999</v>
      </c>
      <c r="I569" s="181"/>
      <c r="J569" s="181"/>
      <c r="K569" s="181"/>
      <c r="L569" s="181"/>
      <c r="M569" s="181"/>
      <c r="N569" s="181"/>
      <c r="O569" s="181"/>
      <c r="P569" s="181"/>
      <c r="Q569" s="181"/>
      <c r="R569" s="181">
        <v>0</v>
      </c>
      <c r="S569" s="181"/>
      <c r="T569" s="181"/>
      <c r="U569" s="181"/>
      <c r="V569" s="181"/>
      <c r="W569" s="181"/>
      <c r="X569" s="181"/>
      <c r="Y569" s="181">
        <f>+H569+R569</f>
        <v>7994.7809999999999</v>
      </c>
      <c r="Z569" s="181">
        <f t="shared" ref="Z569:Z576" si="100">+D569-Y569</f>
        <v>7.6999999964755261E-4</v>
      </c>
      <c r="AA569" s="181"/>
      <c r="AB569" s="181"/>
      <c r="AC569" s="181"/>
      <c r="AD569" s="181"/>
    </row>
    <row r="570" spans="1:30" x14ac:dyDescent="0.2">
      <c r="A570" s="180"/>
      <c r="C570" s="165" t="s">
        <v>437</v>
      </c>
      <c r="D570" s="181">
        <f>3250000/1000</f>
        <v>3250</v>
      </c>
      <c r="E570" s="181"/>
      <c r="F570" s="181"/>
      <c r="G570" s="181"/>
      <c r="H570" s="181">
        <f>3250000/1000</f>
        <v>3250</v>
      </c>
      <c r="I570" s="181"/>
      <c r="J570" s="181"/>
      <c r="K570" s="181"/>
      <c r="L570" s="181"/>
      <c r="M570" s="181"/>
      <c r="N570" s="181"/>
      <c r="O570" s="181"/>
      <c r="P570" s="181"/>
      <c r="Q570" s="181"/>
      <c r="R570" s="181">
        <v>0</v>
      </c>
      <c r="S570" s="181"/>
      <c r="T570" s="181"/>
      <c r="U570" s="181"/>
      <c r="V570" s="181"/>
      <c r="W570" s="181"/>
      <c r="X570" s="181"/>
      <c r="Y570" s="181">
        <f>+H570+R570</f>
        <v>3250</v>
      </c>
      <c r="Z570" s="181">
        <f t="shared" si="100"/>
        <v>0</v>
      </c>
      <c r="AA570" s="181"/>
      <c r="AB570" s="181"/>
      <c r="AC570" s="181"/>
      <c r="AD570" s="181"/>
    </row>
    <row r="571" spans="1:30" x14ac:dyDescent="0.2">
      <c r="A571" s="180"/>
      <c r="C571" s="165" t="s">
        <v>425</v>
      </c>
      <c r="D571" s="181">
        <f>(8524249.76+8700000)/1000</f>
        <v>17224.249759999999</v>
      </c>
      <c r="E571" s="181"/>
      <c r="F571" s="181"/>
      <c r="G571" s="181"/>
      <c r="H571" s="181">
        <f>D571</f>
        <v>17224.249759999999</v>
      </c>
      <c r="I571" s="181"/>
      <c r="J571" s="181"/>
      <c r="K571" s="181"/>
      <c r="L571" s="181"/>
      <c r="M571" s="181"/>
      <c r="N571" s="181"/>
      <c r="O571" s="181"/>
      <c r="P571" s="181"/>
      <c r="Q571" s="181"/>
      <c r="R571" s="181">
        <v>0</v>
      </c>
      <c r="S571" s="181"/>
      <c r="T571" s="181"/>
      <c r="U571" s="181"/>
      <c r="V571" s="181"/>
      <c r="W571" s="181"/>
      <c r="X571" s="181"/>
      <c r="Y571" s="181">
        <f>+H571+R571</f>
        <v>17224.249759999999</v>
      </c>
      <c r="Z571" s="181">
        <f>+H571-Y571</f>
        <v>0</v>
      </c>
      <c r="AA571" s="181"/>
      <c r="AB571" s="181"/>
      <c r="AC571" s="181"/>
      <c r="AD571" s="181"/>
    </row>
    <row r="572" spans="1:30" x14ac:dyDescent="0.2">
      <c r="C572" s="165" t="s">
        <v>298</v>
      </c>
      <c r="D572" s="181">
        <f>5079268/1000</f>
        <v>5079.268</v>
      </c>
      <c r="E572" s="181">
        <f>TOBEPAID!E419/1000</f>
        <v>5079.268</v>
      </c>
      <c r="F572" s="181">
        <f>TOBEPAID!F419/1000</f>
        <v>0</v>
      </c>
      <c r="G572" s="181">
        <f>TOBEPAID!G419/1000</f>
        <v>0</v>
      </c>
      <c r="H572" s="181">
        <f>5079268/1000</f>
        <v>5079.268</v>
      </c>
      <c r="I572" s="181">
        <f>TOBEPAID!I419/1000</f>
        <v>0</v>
      </c>
      <c r="J572" s="181">
        <f>TOBEPAID!J419/1000</f>
        <v>0</v>
      </c>
      <c r="K572" s="181">
        <f>TOBEPAID!K419/1000</f>
        <v>0</v>
      </c>
      <c r="L572" s="181">
        <f>TOBEPAID!L419/1000</f>
        <v>0</v>
      </c>
      <c r="M572" s="181">
        <f>TOBEPAID!M419/1000</f>
        <v>0</v>
      </c>
      <c r="N572" s="181">
        <f>TOBEPAID!N419/1000</f>
        <v>5079.268</v>
      </c>
      <c r="O572" s="181">
        <f>TOBEPAID!O419/1000</f>
        <v>0</v>
      </c>
      <c r="P572" s="181">
        <f>TOBEPAID!P419/1000</f>
        <v>0</v>
      </c>
      <c r="Q572" s="181">
        <f>TOBEPAID!Q419/1000</f>
        <v>0</v>
      </c>
      <c r="R572" s="181">
        <v>0</v>
      </c>
      <c r="S572" s="181">
        <f>TOBEPAID!S419/1000</f>
        <v>0</v>
      </c>
      <c r="T572" s="181">
        <f>TOBEPAID!T419/1000</f>
        <v>0</v>
      </c>
      <c r="U572" s="181">
        <f>TOBEPAID!U419/1000</f>
        <v>0</v>
      </c>
      <c r="V572" s="181">
        <f>TOBEPAID!V419/1000</f>
        <v>0</v>
      </c>
      <c r="W572" s="181">
        <f>TOBEPAID!W419/1000</f>
        <v>0</v>
      </c>
      <c r="X572" s="181">
        <f>TOBEPAID!X419/1000</f>
        <v>0</v>
      </c>
      <c r="Y572" s="181">
        <f t="shared" si="99"/>
        <v>5079.268</v>
      </c>
      <c r="Z572" s="181">
        <f t="shared" si="100"/>
        <v>0</v>
      </c>
      <c r="AA572" s="181">
        <f>TOBEPAID!AA419/1000</f>
        <v>5079.268</v>
      </c>
      <c r="AB572" s="181">
        <f>TOBEPAID!AB419/1000</f>
        <v>0</v>
      </c>
      <c r="AC572" s="181"/>
      <c r="AD572" s="181"/>
    </row>
    <row r="573" spans="1:30" x14ac:dyDescent="0.2">
      <c r="A573" s="180"/>
      <c r="C573" s="165" t="s">
        <v>38</v>
      </c>
      <c r="D573" s="181">
        <v>0</v>
      </c>
      <c r="E573" s="181">
        <f>TOBEPAID!E420/1000</f>
        <v>0</v>
      </c>
      <c r="F573" s="181">
        <f>TOBEPAID!F420/1000</f>
        <v>0</v>
      </c>
      <c r="G573" s="181">
        <f>TOBEPAID!G420/1000</f>
        <v>0</v>
      </c>
      <c r="H573" s="181">
        <v>0</v>
      </c>
      <c r="I573" s="181">
        <f>TOBEPAID!I420/1000</f>
        <v>0</v>
      </c>
      <c r="J573" s="181">
        <f>TOBEPAID!J420/1000</f>
        <v>0</v>
      </c>
      <c r="K573" s="181">
        <f>TOBEPAID!K420/1000</f>
        <v>0</v>
      </c>
      <c r="L573" s="181">
        <f>TOBEPAID!L420/1000</f>
        <v>0</v>
      </c>
      <c r="M573" s="181">
        <f>TOBEPAID!M420/1000</f>
        <v>0</v>
      </c>
      <c r="N573" s="181">
        <f>TOBEPAID!N420/1000</f>
        <v>0</v>
      </c>
      <c r="O573" s="181">
        <f>TOBEPAID!O420/1000</f>
        <v>0</v>
      </c>
      <c r="P573" s="181">
        <f>TOBEPAID!P420/1000</f>
        <v>0</v>
      </c>
      <c r="Q573" s="181">
        <f>TOBEPAID!Q420/1000</f>
        <v>0</v>
      </c>
      <c r="R573" s="181">
        <v>0</v>
      </c>
      <c r="S573" s="181">
        <f>TOBEPAID!S420/1000</f>
        <v>0</v>
      </c>
      <c r="T573" s="181">
        <f>TOBEPAID!T420/1000</f>
        <v>0</v>
      </c>
      <c r="U573" s="181">
        <f>TOBEPAID!U420/1000</f>
        <v>0</v>
      </c>
      <c r="V573" s="181">
        <f>TOBEPAID!V420/1000</f>
        <v>0</v>
      </c>
      <c r="W573" s="181">
        <f>TOBEPAID!W420/1000</f>
        <v>0</v>
      </c>
      <c r="X573" s="181">
        <f>TOBEPAID!X420/1000</f>
        <v>0</v>
      </c>
      <c r="Y573" s="181">
        <f t="shared" si="99"/>
        <v>0</v>
      </c>
      <c r="Z573" s="181">
        <f t="shared" si="100"/>
        <v>0</v>
      </c>
      <c r="AA573" s="181">
        <f>TOBEPAID!AA420/1000</f>
        <v>0</v>
      </c>
      <c r="AB573" s="181">
        <f>TOBEPAID!AB420/1000</f>
        <v>1598</v>
      </c>
      <c r="AC573" s="181"/>
      <c r="AD573" s="181"/>
    </row>
    <row r="574" spans="1:30" x14ac:dyDescent="0.2">
      <c r="A574" s="180"/>
      <c r="C574" s="165" t="s">
        <v>184</v>
      </c>
      <c r="D574" s="181">
        <v>0</v>
      </c>
      <c r="E574" s="181">
        <f>TOBEPAID!E421/1000</f>
        <v>0</v>
      </c>
      <c r="F574" s="181">
        <f>TOBEPAID!F421/1000</f>
        <v>0</v>
      </c>
      <c r="G574" s="181">
        <f>TOBEPAID!G421/1000</f>
        <v>0</v>
      </c>
      <c r="H574" s="181">
        <v>0</v>
      </c>
      <c r="I574" s="181">
        <f>TOBEPAID!I421/1000</f>
        <v>0</v>
      </c>
      <c r="J574" s="181">
        <f>TOBEPAID!J421/1000</f>
        <v>0</v>
      </c>
      <c r="K574" s="181">
        <f>TOBEPAID!K421/1000</f>
        <v>0</v>
      </c>
      <c r="L574" s="181">
        <f>TOBEPAID!L421/1000</f>
        <v>0</v>
      </c>
      <c r="M574" s="181">
        <f>TOBEPAID!M421/1000</f>
        <v>0</v>
      </c>
      <c r="N574" s="181">
        <f>TOBEPAID!N421/1000</f>
        <v>0</v>
      </c>
      <c r="O574" s="181">
        <f>TOBEPAID!O421/1000</f>
        <v>0</v>
      </c>
      <c r="P574" s="181">
        <f>TOBEPAID!P421/1000</f>
        <v>0</v>
      </c>
      <c r="Q574" s="181">
        <f>TOBEPAID!Q421/1000</f>
        <v>0</v>
      </c>
      <c r="R574" s="181">
        <v>0</v>
      </c>
      <c r="S574" s="181">
        <f>TOBEPAID!S421/1000</f>
        <v>0</v>
      </c>
      <c r="T574" s="181">
        <f>TOBEPAID!T421/1000</f>
        <v>0</v>
      </c>
      <c r="U574" s="181">
        <f>TOBEPAID!U421/1000</f>
        <v>0</v>
      </c>
      <c r="V574" s="181">
        <f>TOBEPAID!V421/1000</f>
        <v>0</v>
      </c>
      <c r="W574" s="181">
        <f>TOBEPAID!W421/1000</f>
        <v>0</v>
      </c>
      <c r="X574" s="181">
        <f>TOBEPAID!X421/1000</f>
        <v>0</v>
      </c>
      <c r="Y574" s="181">
        <f t="shared" si="99"/>
        <v>0</v>
      </c>
      <c r="Z574" s="181">
        <f t="shared" si="100"/>
        <v>0</v>
      </c>
      <c r="AA574" s="181">
        <f>TOBEPAID!AA421/1000</f>
        <v>0</v>
      </c>
      <c r="AB574" s="181">
        <f>TOBEPAID!AB421/1000</f>
        <v>3326.6654700000004</v>
      </c>
      <c r="AC574" s="181"/>
      <c r="AD574" s="181"/>
    </row>
    <row r="575" spans="1:30" x14ac:dyDescent="0.2">
      <c r="C575" s="165" t="s">
        <v>404</v>
      </c>
      <c r="D575" s="181">
        <f>8976293/1000</f>
        <v>8976.2929999999997</v>
      </c>
      <c r="E575" s="181">
        <f>TOBEPAID!E422/1000</f>
        <v>8976.2938000000013</v>
      </c>
      <c r="F575" s="181">
        <f>TOBEPAID!F422/1000</f>
        <v>0</v>
      </c>
      <c r="G575" s="181">
        <f>TOBEPAID!G422/1000</f>
        <v>0</v>
      </c>
      <c r="H575" s="181">
        <f>8976293/1000</f>
        <v>8976.2929999999997</v>
      </c>
      <c r="I575" s="181">
        <f>TOBEPAID!I422/1000</f>
        <v>0</v>
      </c>
      <c r="J575" s="181">
        <f>TOBEPAID!J422/1000</f>
        <v>0</v>
      </c>
      <c r="K575" s="181">
        <f>TOBEPAID!K422/1000</f>
        <v>0</v>
      </c>
      <c r="L575" s="181">
        <f>TOBEPAID!L422/1000</f>
        <v>0</v>
      </c>
      <c r="M575" s="181">
        <f>TOBEPAID!M422/1000</f>
        <v>0</v>
      </c>
      <c r="N575" s="181">
        <f>TOBEPAID!N422/1000</f>
        <v>8976.2938000000013</v>
      </c>
      <c r="O575" s="181">
        <f>TOBEPAID!O422/1000</f>
        <v>0</v>
      </c>
      <c r="P575" s="181">
        <f>TOBEPAID!P422/1000</f>
        <v>0</v>
      </c>
      <c r="Q575" s="181">
        <f>TOBEPAID!Q422/1000</f>
        <v>0</v>
      </c>
      <c r="R575" s="181">
        <v>0</v>
      </c>
      <c r="S575" s="181">
        <f>TOBEPAID!S422/1000</f>
        <v>0</v>
      </c>
      <c r="T575" s="181">
        <f>TOBEPAID!T422/1000</f>
        <v>0</v>
      </c>
      <c r="U575" s="181">
        <f>TOBEPAID!U422/1000</f>
        <v>0</v>
      </c>
      <c r="V575" s="181">
        <f>TOBEPAID!V422/1000</f>
        <v>0</v>
      </c>
      <c r="W575" s="181">
        <f>TOBEPAID!W422/1000</f>
        <v>0</v>
      </c>
      <c r="X575" s="181">
        <f>TOBEPAID!X422/1000</f>
        <v>0</v>
      </c>
      <c r="Y575" s="181">
        <f t="shared" si="99"/>
        <v>8976.2929999999997</v>
      </c>
      <c r="Z575" s="181">
        <f t="shared" si="100"/>
        <v>0</v>
      </c>
      <c r="AA575" s="181">
        <f>TOBEPAID!AA422/1000</f>
        <v>8976.2938000000013</v>
      </c>
      <c r="AB575" s="181">
        <f>TOBEPAID!AB422/1000</f>
        <v>0</v>
      </c>
      <c r="AC575" s="181"/>
      <c r="AD575" s="181"/>
    </row>
    <row r="576" spans="1:30" x14ac:dyDescent="0.2">
      <c r="A576" s="180"/>
      <c r="C576" s="165" t="s">
        <v>183</v>
      </c>
      <c r="D576" s="181">
        <v>0</v>
      </c>
      <c r="E576" s="181">
        <f>TOBEPAID!E423/1000</f>
        <v>0</v>
      </c>
      <c r="F576" s="181">
        <f>TOBEPAID!F423/1000</f>
        <v>0</v>
      </c>
      <c r="G576" s="181">
        <f>TOBEPAID!G423/1000</f>
        <v>0</v>
      </c>
      <c r="H576" s="181">
        <v>0</v>
      </c>
      <c r="I576" s="181">
        <f>TOBEPAID!I423/1000</f>
        <v>0</v>
      </c>
      <c r="J576" s="181">
        <f>TOBEPAID!J423/1000</f>
        <v>0</v>
      </c>
      <c r="K576" s="181">
        <f>TOBEPAID!K423/1000</f>
        <v>0</v>
      </c>
      <c r="L576" s="181">
        <f>TOBEPAID!L423/1000</f>
        <v>0</v>
      </c>
      <c r="M576" s="181">
        <f>TOBEPAID!M423/1000</f>
        <v>0</v>
      </c>
      <c r="N576" s="181">
        <f>TOBEPAID!N423/1000</f>
        <v>0</v>
      </c>
      <c r="O576" s="181">
        <f>TOBEPAID!O423/1000</f>
        <v>0</v>
      </c>
      <c r="P576" s="181">
        <f>TOBEPAID!P423/1000</f>
        <v>0</v>
      </c>
      <c r="Q576" s="181">
        <f>TOBEPAID!Q423/1000</f>
        <v>0</v>
      </c>
      <c r="R576" s="181">
        <v>0</v>
      </c>
      <c r="S576" s="181">
        <f>TOBEPAID!S423/1000</f>
        <v>0</v>
      </c>
      <c r="T576" s="181">
        <f>TOBEPAID!T423/1000</f>
        <v>0</v>
      </c>
      <c r="U576" s="181">
        <f>TOBEPAID!U423/1000</f>
        <v>0</v>
      </c>
      <c r="V576" s="181">
        <f>TOBEPAID!V423/1000</f>
        <v>0</v>
      </c>
      <c r="W576" s="181">
        <f>TOBEPAID!W423/1000</f>
        <v>0</v>
      </c>
      <c r="X576" s="181">
        <f>TOBEPAID!X423/1000</f>
        <v>0</v>
      </c>
      <c r="Y576" s="181">
        <f t="shared" si="99"/>
        <v>0</v>
      </c>
      <c r="Z576" s="181">
        <f t="shared" si="100"/>
        <v>0</v>
      </c>
      <c r="AA576" s="181">
        <f>TOBEPAID!AA423/1000</f>
        <v>0</v>
      </c>
      <c r="AB576" s="181">
        <f>TOBEPAID!AB423/1000</f>
        <v>28856.990229999999</v>
      </c>
      <c r="AC576" s="181"/>
      <c r="AD576" s="181"/>
    </row>
    <row r="577" spans="1:30" x14ac:dyDescent="0.2">
      <c r="A577" s="180"/>
      <c r="D577" s="182" t="s">
        <v>40</v>
      </c>
      <c r="E577" s="182" t="s">
        <v>40</v>
      </c>
      <c r="F577" s="182" t="s">
        <v>40</v>
      </c>
      <c r="G577" s="182"/>
      <c r="H577" s="182" t="s">
        <v>40</v>
      </c>
      <c r="I577" s="182" t="s">
        <v>40</v>
      </c>
      <c r="J577" s="182" t="s">
        <v>40</v>
      </c>
      <c r="K577" s="182" t="s">
        <v>40</v>
      </c>
      <c r="L577" s="182" t="s">
        <v>40</v>
      </c>
      <c r="M577" s="182"/>
      <c r="N577" s="182" t="s">
        <v>40</v>
      </c>
      <c r="O577" s="182" t="s">
        <v>40</v>
      </c>
      <c r="P577" s="182" t="s">
        <v>40</v>
      </c>
      <c r="Q577" s="182"/>
      <c r="R577" s="182" t="s">
        <v>40</v>
      </c>
      <c r="S577" s="182" t="s">
        <v>40</v>
      </c>
      <c r="T577" s="182" t="s">
        <v>40</v>
      </c>
      <c r="U577" s="182" t="s">
        <v>40</v>
      </c>
      <c r="V577" s="182" t="s">
        <v>40</v>
      </c>
      <c r="W577" s="182"/>
      <c r="X577" s="182" t="s">
        <v>40</v>
      </c>
      <c r="Y577" s="182" t="s">
        <v>40</v>
      </c>
      <c r="Z577" s="182" t="s">
        <v>40</v>
      </c>
      <c r="AA577" s="182" t="s">
        <v>40</v>
      </c>
      <c r="AB577" s="182" t="s">
        <v>40</v>
      </c>
      <c r="AC577" s="182"/>
      <c r="AD577" s="182"/>
    </row>
    <row r="578" spans="1:30" x14ac:dyDescent="0.2">
      <c r="A578" s="180"/>
      <c r="D578" s="196">
        <f>SUM(D567:D576)</f>
        <v>83507.405530000004</v>
      </c>
      <c r="E578" s="196">
        <f>SUM(E567:E576)</f>
        <v>14055.561800000001</v>
      </c>
      <c r="F578" s="196">
        <f>SUM(F567:F576)</f>
        <v>0</v>
      </c>
      <c r="G578" s="196"/>
      <c r="H578" s="196">
        <f>SUM(H567:H576)</f>
        <v>83507.404760000005</v>
      </c>
      <c r="I578" s="196">
        <f>SUM(I567:I576)</f>
        <v>0</v>
      </c>
      <c r="J578" s="196">
        <f>SUM(J567:J576)</f>
        <v>0</v>
      </c>
      <c r="K578" s="196">
        <f>SUM(K567:K576)</f>
        <v>0</v>
      </c>
      <c r="L578" s="196">
        <f>SUM(L567:L576)</f>
        <v>0</v>
      </c>
      <c r="M578" s="196"/>
      <c r="N578" s="196">
        <f>SUM(N567:N576)</f>
        <v>14055.561800000001</v>
      </c>
      <c r="O578" s="196">
        <f>SUM(O567:O576)</f>
        <v>0</v>
      </c>
      <c r="P578" s="196">
        <f>SUM(P567:P576)</f>
        <v>0</v>
      </c>
      <c r="Q578" s="196"/>
      <c r="R578" s="196">
        <f>SUM(R567:R576)</f>
        <v>0</v>
      </c>
      <c r="S578" s="196">
        <f>SUM(S567:S576)</f>
        <v>0</v>
      </c>
      <c r="T578" s="196">
        <f>SUM(T567:T576)</f>
        <v>0</v>
      </c>
      <c r="U578" s="196">
        <f>SUM(U567:U576)</f>
        <v>0</v>
      </c>
      <c r="V578" s="196">
        <f>SUM(V567:V576)</f>
        <v>0</v>
      </c>
      <c r="W578" s="196"/>
      <c r="X578" s="196">
        <f>SUM(X567:X576)</f>
        <v>0</v>
      </c>
      <c r="Y578" s="196">
        <f>SUM(Y567:Y576)</f>
        <v>83507.404760000005</v>
      </c>
      <c r="Z578" s="196">
        <f>SUM(Z567:Z576)</f>
        <v>7.6999999964755261E-4</v>
      </c>
      <c r="AA578" s="196">
        <f>SUM(AA567:AA576)</f>
        <v>14055.561800000001</v>
      </c>
      <c r="AB578" s="196">
        <f>SUM(AB567:AB576)</f>
        <v>39352.813439999998</v>
      </c>
      <c r="AC578" s="196"/>
      <c r="AD578" s="196"/>
    </row>
    <row r="579" spans="1:30" x14ac:dyDescent="0.2">
      <c r="A579" s="180"/>
      <c r="D579" s="182" t="s">
        <v>40</v>
      </c>
      <c r="E579" s="182" t="s">
        <v>40</v>
      </c>
      <c r="F579" s="182" t="s">
        <v>40</v>
      </c>
      <c r="G579" s="182"/>
      <c r="H579" s="182" t="s">
        <v>40</v>
      </c>
      <c r="I579" s="182" t="s">
        <v>40</v>
      </c>
      <c r="J579" s="182" t="s">
        <v>40</v>
      </c>
      <c r="K579" s="182" t="s">
        <v>40</v>
      </c>
      <c r="L579" s="182" t="s">
        <v>40</v>
      </c>
      <c r="M579" s="182"/>
      <c r="N579" s="182" t="s">
        <v>40</v>
      </c>
      <c r="O579" s="182" t="s">
        <v>40</v>
      </c>
      <c r="P579" s="182" t="s">
        <v>40</v>
      </c>
      <c r="Q579" s="182"/>
      <c r="R579" s="182" t="s">
        <v>40</v>
      </c>
      <c r="S579" s="182" t="s">
        <v>40</v>
      </c>
      <c r="T579" s="182" t="s">
        <v>40</v>
      </c>
      <c r="U579" s="182" t="s">
        <v>40</v>
      </c>
      <c r="V579" s="182" t="s">
        <v>40</v>
      </c>
      <c r="W579" s="182"/>
      <c r="X579" s="182" t="s">
        <v>40</v>
      </c>
      <c r="Y579" s="182" t="s">
        <v>40</v>
      </c>
      <c r="Z579" s="182" t="s">
        <v>40</v>
      </c>
      <c r="AA579" s="182" t="s">
        <v>40</v>
      </c>
      <c r="AB579" s="182" t="s">
        <v>40</v>
      </c>
      <c r="AC579" s="182"/>
      <c r="AD579" s="182"/>
    </row>
    <row r="580" spans="1:30" x14ac:dyDescent="0.2">
      <c r="A580" s="180"/>
      <c r="D580" s="182"/>
      <c r="E580" s="182"/>
      <c r="F580" s="203"/>
      <c r="G580" s="188"/>
      <c r="H580" s="188"/>
      <c r="I580" s="189"/>
      <c r="J580" s="189"/>
      <c r="K580" s="189"/>
      <c r="L580" s="188"/>
      <c r="M580" s="189"/>
      <c r="N580" s="189"/>
      <c r="O580" s="189"/>
      <c r="P580" s="182"/>
      <c r="Q580" s="182"/>
      <c r="R580" s="182"/>
      <c r="S580" s="182"/>
      <c r="T580" s="182"/>
      <c r="U580" s="182"/>
      <c r="V580" s="182"/>
      <c r="W580" s="182"/>
      <c r="X580" s="182"/>
      <c r="Y580" s="182"/>
      <c r="Z580" s="182"/>
      <c r="AA580" s="182"/>
      <c r="AB580" s="182"/>
      <c r="AC580" s="182"/>
      <c r="AD580" s="182"/>
    </row>
    <row r="581" spans="1:30" x14ac:dyDescent="0.2">
      <c r="A581" s="180">
        <v>41</v>
      </c>
      <c r="B581" s="165" t="s">
        <v>192</v>
      </c>
      <c r="C581" s="166" t="s">
        <v>35</v>
      </c>
      <c r="D581" s="181">
        <f>4037573/1000</f>
        <v>4037.5729999999999</v>
      </c>
      <c r="E581" s="181">
        <f>TOBEPAID!E428/1000</f>
        <v>0</v>
      </c>
      <c r="F581" s="181">
        <f>TOBEPAID!F428/1000</f>
        <v>0</v>
      </c>
      <c r="G581" s="181">
        <f>TOBEPAID!G428/1000</f>
        <v>0</v>
      </c>
      <c r="H581" s="181">
        <f>4037573/1000</f>
        <v>4037.5729999999999</v>
      </c>
      <c r="I581" s="181">
        <f>TOBEPAID!I428/1000</f>
        <v>0</v>
      </c>
      <c r="J581" s="181">
        <f>TOBEPAID!J428/1000</f>
        <v>0</v>
      </c>
      <c r="K581" s="181">
        <f>TOBEPAID!K428/1000</f>
        <v>0</v>
      </c>
      <c r="L581" s="181">
        <f>TOBEPAID!L428/1000</f>
        <v>0</v>
      </c>
      <c r="M581" s="181">
        <f>TOBEPAID!M428/1000</f>
        <v>0</v>
      </c>
      <c r="N581" s="181">
        <f>TOBEPAID!N428/1000</f>
        <v>0</v>
      </c>
      <c r="O581" s="181">
        <f>TOBEPAID!O428/1000</f>
        <v>0</v>
      </c>
      <c r="P581" s="181">
        <f>TOBEPAID!P428/1000</f>
        <v>0</v>
      </c>
      <c r="Q581" s="181">
        <f>TOBEPAID!Q428/1000</f>
        <v>0</v>
      </c>
      <c r="R581" s="181">
        <v>0</v>
      </c>
      <c r="S581" s="181">
        <f>TOBEPAID!S428/1000</f>
        <v>0</v>
      </c>
      <c r="T581" s="181">
        <f>TOBEPAID!T428/1000</f>
        <v>0</v>
      </c>
      <c r="U581" s="181">
        <f>TOBEPAID!U428/1000</f>
        <v>0</v>
      </c>
      <c r="V581" s="181">
        <f>TOBEPAID!V428/1000</f>
        <v>0</v>
      </c>
      <c r="W581" s="181">
        <f>TOBEPAID!W428/1000</f>
        <v>0</v>
      </c>
      <c r="X581" s="181">
        <f>TOBEPAID!X428/1000</f>
        <v>0</v>
      </c>
      <c r="Y581" s="181">
        <f t="shared" ref="Y581:Y587" si="101">+H581+R581</f>
        <v>4037.5729999999999</v>
      </c>
      <c r="Z581" s="181">
        <f t="shared" ref="Z581:Z587" si="102">+D581-Y581</f>
        <v>0</v>
      </c>
      <c r="AA581" s="181">
        <f>TOBEPAID!AA428/1000</f>
        <v>0</v>
      </c>
      <c r="AB581" s="181">
        <f>TOBEPAID!AB428/1000</f>
        <v>0</v>
      </c>
      <c r="AC581" s="181"/>
      <c r="AD581" s="181"/>
    </row>
    <row r="582" spans="1:30" x14ac:dyDescent="0.2">
      <c r="A582" s="180"/>
      <c r="C582" s="166" t="s">
        <v>433</v>
      </c>
      <c r="D582" s="181">
        <f>4285646/1000</f>
        <v>4285.6459999999997</v>
      </c>
      <c r="E582" s="181"/>
      <c r="F582" s="181"/>
      <c r="G582" s="181"/>
      <c r="H582" s="181">
        <f>4285646/1000</f>
        <v>4285.6459999999997</v>
      </c>
      <c r="I582" s="181"/>
      <c r="J582" s="181"/>
      <c r="K582" s="181"/>
      <c r="L582" s="181"/>
      <c r="M582" s="181"/>
      <c r="N582" s="181"/>
      <c r="O582" s="181"/>
      <c r="P582" s="181"/>
      <c r="Q582" s="181"/>
      <c r="R582" s="181">
        <v>0</v>
      </c>
      <c r="S582" s="181"/>
      <c r="T582" s="181"/>
      <c r="U582" s="181"/>
      <c r="V582" s="181"/>
      <c r="W582" s="181"/>
      <c r="X582" s="181"/>
      <c r="Y582" s="181">
        <f t="shared" si="101"/>
        <v>4285.6459999999997</v>
      </c>
      <c r="Z582" s="181">
        <f t="shared" si="102"/>
        <v>0</v>
      </c>
      <c r="AA582" s="181"/>
      <c r="AB582" s="181"/>
      <c r="AC582" s="181"/>
      <c r="AD582" s="181"/>
    </row>
    <row r="583" spans="1:30" x14ac:dyDescent="0.2">
      <c r="A583" s="180"/>
      <c r="C583" s="166" t="s">
        <v>433</v>
      </c>
      <c r="D583" s="181">
        <f>694808/1000</f>
        <v>694.80799999999999</v>
      </c>
      <c r="E583" s="181"/>
      <c r="F583" s="181"/>
      <c r="G583" s="181"/>
      <c r="H583" s="181">
        <f>694808/1000</f>
        <v>694.80799999999999</v>
      </c>
      <c r="I583" s="181"/>
      <c r="J583" s="181"/>
      <c r="K583" s="181"/>
      <c r="L583" s="181"/>
      <c r="M583" s="181"/>
      <c r="N583" s="181"/>
      <c r="O583" s="181"/>
      <c r="P583" s="181"/>
      <c r="Q583" s="181"/>
      <c r="R583" s="181">
        <v>0</v>
      </c>
      <c r="S583" s="181"/>
      <c r="T583" s="181"/>
      <c r="U583" s="181"/>
      <c r="V583" s="181"/>
      <c r="W583" s="181"/>
      <c r="X583" s="181"/>
      <c r="Y583" s="181">
        <f t="shared" si="101"/>
        <v>694.80799999999999</v>
      </c>
      <c r="Z583" s="181">
        <f t="shared" si="102"/>
        <v>0</v>
      </c>
      <c r="AA583" s="181"/>
      <c r="AB583" s="181"/>
      <c r="AC583" s="181"/>
      <c r="AD583" s="181"/>
    </row>
    <row r="584" spans="1:30" x14ac:dyDescent="0.2">
      <c r="A584" s="180"/>
      <c r="C584" s="166" t="s">
        <v>439</v>
      </c>
      <c r="D584" s="181">
        <f>516875/1000</f>
        <v>516.875</v>
      </c>
      <c r="E584" s="181"/>
      <c r="F584" s="181"/>
      <c r="G584" s="181"/>
      <c r="H584" s="181">
        <f>516875/1000</f>
        <v>516.875</v>
      </c>
      <c r="I584" s="181"/>
      <c r="J584" s="181"/>
      <c r="K584" s="181"/>
      <c r="L584" s="181"/>
      <c r="M584" s="181"/>
      <c r="N584" s="181"/>
      <c r="O584" s="181"/>
      <c r="P584" s="181"/>
      <c r="Q584" s="181"/>
      <c r="R584" s="181">
        <v>0</v>
      </c>
      <c r="S584" s="181"/>
      <c r="T584" s="181"/>
      <c r="U584" s="181"/>
      <c r="V584" s="181"/>
      <c r="W584" s="181"/>
      <c r="X584" s="181"/>
      <c r="Y584" s="181">
        <f t="shared" si="101"/>
        <v>516.875</v>
      </c>
      <c r="Z584" s="181">
        <f t="shared" si="102"/>
        <v>0</v>
      </c>
      <c r="AA584" s="181"/>
      <c r="AB584" s="181"/>
      <c r="AC584" s="181"/>
      <c r="AD584" s="181"/>
    </row>
    <row r="585" spans="1:30" x14ac:dyDescent="0.2">
      <c r="A585" s="180"/>
      <c r="C585" s="166" t="s">
        <v>450</v>
      </c>
      <c r="D585" s="181">
        <f>5349283/1000</f>
        <v>5349.2830000000004</v>
      </c>
      <c r="E585" s="181"/>
      <c r="F585" s="181"/>
      <c r="G585" s="181"/>
      <c r="H585" s="181">
        <f>5349283/1000</f>
        <v>5349.2830000000004</v>
      </c>
      <c r="I585" s="181"/>
      <c r="J585" s="181"/>
      <c r="K585" s="181"/>
      <c r="L585" s="181"/>
      <c r="M585" s="181"/>
      <c r="N585" s="181"/>
      <c r="O585" s="181"/>
      <c r="P585" s="181"/>
      <c r="Q585" s="181"/>
      <c r="R585" s="181">
        <v>0</v>
      </c>
      <c r="S585" s="181"/>
      <c r="T585" s="181"/>
      <c r="U585" s="181"/>
      <c r="V585" s="181"/>
      <c r="W585" s="181"/>
      <c r="X585" s="181"/>
      <c r="Y585" s="181">
        <f t="shared" si="101"/>
        <v>5349.2830000000004</v>
      </c>
      <c r="Z585" s="181">
        <f t="shared" si="102"/>
        <v>0</v>
      </c>
      <c r="AA585" s="181"/>
      <c r="AB585" s="181"/>
      <c r="AC585" s="181"/>
      <c r="AD585" s="181"/>
    </row>
    <row r="586" spans="1:30" x14ac:dyDescent="0.2">
      <c r="A586" s="180"/>
      <c r="C586" s="165" t="s">
        <v>399</v>
      </c>
      <c r="D586" s="181">
        <f>352839.93/1000</f>
        <v>352.83992999999998</v>
      </c>
      <c r="E586" s="181"/>
      <c r="F586" s="181"/>
      <c r="G586" s="181"/>
      <c r="H586" s="181">
        <f>352839.93/1000</f>
        <v>352.83992999999998</v>
      </c>
      <c r="I586" s="181"/>
      <c r="J586" s="181"/>
      <c r="K586" s="181"/>
      <c r="L586" s="181"/>
      <c r="M586" s="181"/>
      <c r="N586" s="181"/>
      <c r="O586" s="181"/>
      <c r="P586" s="181"/>
      <c r="Q586" s="181"/>
      <c r="R586" s="181">
        <v>0</v>
      </c>
      <c r="S586" s="181"/>
      <c r="T586" s="181"/>
      <c r="U586" s="181"/>
      <c r="V586" s="181"/>
      <c r="W586" s="181"/>
      <c r="X586" s="181"/>
      <c r="Y586" s="181">
        <f t="shared" si="101"/>
        <v>352.83992999999998</v>
      </c>
      <c r="Z586" s="181">
        <f t="shared" si="102"/>
        <v>0</v>
      </c>
      <c r="AA586" s="181"/>
      <c r="AB586" s="181"/>
      <c r="AC586" s="181"/>
      <c r="AD586" s="181"/>
    </row>
    <row r="587" spans="1:30" x14ac:dyDescent="0.2">
      <c r="A587" s="180"/>
      <c r="C587" s="165" t="s">
        <v>36</v>
      </c>
      <c r="D587" s="181">
        <f>488527/1000</f>
        <v>488.52699999999999</v>
      </c>
      <c r="E587" s="181">
        <f>TOBEPAID!E429/1000</f>
        <v>488.52699999999999</v>
      </c>
      <c r="F587" s="181">
        <f>TOBEPAID!F429/1000</f>
        <v>0</v>
      </c>
      <c r="G587" s="181">
        <f>TOBEPAID!G429/1000</f>
        <v>0</v>
      </c>
      <c r="H587" s="181">
        <f>488527/1000</f>
        <v>488.52699999999999</v>
      </c>
      <c r="I587" s="181">
        <f>TOBEPAID!I429/1000</f>
        <v>0</v>
      </c>
      <c r="J587" s="181">
        <f>TOBEPAID!J429/1000</f>
        <v>0</v>
      </c>
      <c r="K587" s="181">
        <f>TOBEPAID!K429/1000</f>
        <v>0</v>
      </c>
      <c r="L587" s="181">
        <f>TOBEPAID!L429/1000</f>
        <v>0</v>
      </c>
      <c r="M587" s="181">
        <f>TOBEPAID!M429/1000</f>
        <v>0</v>
      </c>
      <c r="N587" s="181">
        <f>TOBEPAID!N429/1000</f>
        <v>488.52699999999999</v>
      </c>
      <c r="O587" s="181">
        <f>TOBEPAID!O429/1000</f>
        <v>0</v>
      </c>
      <c r="P587" s="181">
        <f>TOBEPAID!P429/1000</f>
        <v>0</v>
      </c>
      <c r="Q587" s="181">
        <f>TOBEPAID!Q429/1000</f>
        <v>0</v>
      </c>
      <c r="R587" s="181">
        <v>0</v>
      </c>
      <c r="S587" s="181">
        <f>TOBEPAID!S429/1000</f>
        <v>0</v>
      </c>
      <c r="T587" s="181">
        <f>TOBEPAID!T429/1000</f>
        <v>0</v>
      </c>
      <c r="U587" s="181">
        <f>TOBEPAID!U429/1000</f>
        <v>0</v>
      </c>
      <c r="V587" s="181">
        <f>TOBEPAID!V429/1000</f>
        <v>0</v>
      </c>
      <c r="W587" s="181">
        <f>TOBEPAID!W429/1000</f>
        <v>0</v>
      </c>
      <c r="X587" s="181">
        <f>TOBEPAID!X429/1000</f>
        <v>0</v>
      </c>
      <c r="Y587" s="181">
        <f t="shared" si="101"/>
        <v>488.52699999999999</v>
      </c>
      <c r="Z587" s="181">
        <f t="shared" si="102"/>
        <v>0</v>
      </c>
      <c r="AA587" s="181">
        <f>TOBEPAID!AA429/1000</f>
        <v>488.52699999999999</v>
      </c>
      <c r="AB587" s="181">
        <f>TOBEPAID!AB429/1000</f>
        <v>0</v>
      </c>
      <c r="AC587" s="181"/>
      <c r="AD587" s="181"/>
    </row>
    <row r="588" spans="1:30" x14ac:dyDescent="0.2">
      <c r="A588" s="180"/>
      <c r="D588" s="182" t="s">
        <v>40</v>
      </c>
      <c r="E588" s="182" t="s">
        <v>40</v>
      </c>
      <c r="F588" s="182" t="s">
        <v>40</v>
      </c>
      <c r="G588" s="182"/>
      <c r="H588" s="182" t="s">
        <v>40</v>
      </c>
      <c r="I588" s="182" t="s">
        <v>40</v>
      </c>
      <c r="J588" s="182" t="s">
        <v>40</v>
      </c>
      <c r="K588" s="182" t="s">
        <v>40</v>
      </c>
      <c r="L588" s="182" t="s">
        <v>40</v>
      </c>
      <c r="M588" s="182"/>
      <c r="N588" s="182" t="s">
        <v>40</v>
      </c>
      <c r="O588" s="182" t="s">
        <v>40</v>
      </c>
      <c r="P588" s="182" t="s">
        <v>40</v>
      </c>
      <c r="Q588" s="182"/>
      <c r="R588" s="182" t="s">
        <v>40</v>
      </c>
      <c r="S588" s="182" t="s">
        <v>40</v>
      </c>
      <c r="T588" s="182" t="s">
        <v>40</v>
      </c>
      <c r="U588" s="182" t="s">
        <v>40</v>
      </c>
      <c r="V588" s="182" t="s">
        <v>40</v>
      </c>
      <c r="W588" s="182"/>
      <c r="X588" s="182" t="s">
        <v>40</v>
      </c>
      <c r="Y588" s="182" t="s">
        <v>40</v>
      </c>
      <c r="Z588" s="182" t="s">
        <v>40</v>
      </c>
      <c r="AA588" s="182" t="s">
        <v>40</v>
      </c>
      <c r="AB588" s="182" t="s">
        <v>40</v>
      </c>
      <c r="AC588" s="182"/>
      <c r="AD588" s="182"/>
    </row>
    <row r="589" spans="1:30" x14ac:dyDescent="0.2">
      <c r="A589" s="180"/>
      <c r="D589" s="196">
        <f>SUM(D581:D587)</f>
        <v>15725.551929999998</v>
      </c>
      <c r="E589" s="196">
        <f>SUM(E581:E587)</f>
        <v>488.52699999999999</v>
      </c>
      <c r="F589" s="196">
        <f>SUM(F581:F587)</f>
        <v>0</v>
      </c>
      <c r="G589" s="196"/>
      <c r="H589" s="196">
        <f>SUM(H581:H587)</f>
        <v>15725.551929999998</v>
      </c>
      <c r="I589" s="196">
        <f>SUM(I581:I587)</f>
        <v>0</v>
      </c>
      <c r="J589" s="196">
        <f>SUM(J581:J587)</f>
        <v>0</v>
      </c>
      <c r="K589" s="196">
        <f>SUM(K581:K587)</f>
        <v>0</v>
      </c>
      <c r="L589" s="196">
        <f>SUM(L581:L587)</f>
        <v>0</v>
      </c>
      <c r="M589" s="196"/>
      <c r="N589" s="196">
        <f>SUM(N581:N587)</f>
        <v>488.52699999999999</v>
      </c>
      <c r="O589" s="196">
        <f>SUM(O581:O587)</f>
        <v>0</v>
      </c>
      <c r="P589" s="196">
        <f>SUM(P581:P587)</f>
        <v>0</v>
      </c>
      <c r="Q589" s="196"/>
      <c r="R589" s="196">
        <f>SUM(R581:R587)</f>
        <v>0</v>
      </c>
      <c r="S589" s="196">
        <f>SUM(S581:S587)</f>
        <v>0</v>
      </c>
      <c r="T589" s="196">
        <f>SUM(T581:T587)</f>
        <v>0</v>
      </c>
      <c r="U589" s="196">
        <f>SUM(U581:U587)</f>
        <v>0</v>
      </c>
      <c r="V589" s="196">
        <f>SUM(V581:V587)</f>
        <v>0</v>
      </c>
      <c r="W589" s="196"/>
      <c r="X589" s="196">
        <f>SUM(X581:X587)</f>
        <v>0</v>
      </c>
      <c r="Y589" s="196">
        <f>SUM(Y581:Y587)</f>
        <v>15725.551929999998</v>
      </c>
      <c r="Z589" s="196">
        <f>SUM(Z581:Z587)</f>
        <v>0</v>
      </c>
      <c r="AA589" s="196">
        <f>SUM(AA581:AA587)</f>
        <v>488.52699999999999</v>
      </c>
      <c r="AB589" s="196">
        <f>SUM(AB581:AB587)</f>
        <v>0</v>
      </c>
      <c r="AC589" s="196"/>
      <c r="AD589" s="196"/>
    </row>
    <row r="590" spans="1:30" x14ac:dyDescent="0.2">
      <c r="A590" s="180"/>
      <c r="D590" s="182" t="s">
        <v>40</v>
      </c>
      <c r="E590" s="182" t="s">
        <v>40</v>
      </c>
      <c r="F590" s="182" t="s">
        <v>40</v>
      </c>
      <c r="G590" s="182"/>
      <c r="H590" s="182" t="s">
        <v>40</v>
      </c>
      <c r="I590" s="182" t="s">
        <v>40</v>
      </c>
      <c r="J590" s="182" t="s">
        <v>40</v>
      </c>
      <c r="K590" s="182" t="s">
        <v>40</v>
      </c>
      <c r="L590" s="182" t="s">
        <v>40</v>
      </c>
      <c r="M590" s="182"/>
      <c r="N590" s="182" t="s">
        <v>40</v>
      </c>
      <c r="O590" s="182" t="s">
        <v>40</v>
      </c>
      <c r="P590" s="182" t="s">
        <v>40</v>
      </c>
      <c r="Q590" s="182"/>
      <c r="R590" s="182" t="s">
        <v>40</v>
      </c>
      <c r="S590" s="182" t="s">
        <v>40</v>
      </c>
      <c r="T590" s="182" t="s">
        <v>40</v>
      </c>
      <c r="U590" s="182" t="s">
        <v>40</v>
      </c>
      <c r="V590" s="182" t="s">
        <v>40</v>
      </c>
      <c r="W590" s="182"/>
      <c r="X590" s="182" t="s">
        <v>40</v>
      </c>
      <c r="Y590" s="182" t="s">
        <v>40</v>
      </c>
      <c r="Z590" s="182" t="s">
        <v>40</v>
      </c>
      <c r="AA590" s="182" t="s">
        <v>40</v>
      </c>
      <c r="AB590" s="182" t="s">
        <v>40</v>
      </c>
      <c r="AC590" s="182"/>
      <c r="AD590" s="182"/>
    </row>
    <row r="591" spans="1:30" x14ac:dyDescent="0.2">
      <c r="A591" s="180"/>
      <c r="D591" s="182"/>
      <c r="E591" s="182"/>
      <c r="F591" s="182"/>
      <c r="G591" s="182"/>
      <c r="H591" s="182"/>
      <c r="I591" s="182"/>
      <c r="J591" s="182"/>
      <c r="K591" s="182"/>
      <c r="L591" s="182"/>
      <c r="M591" s="182"/>
      <c r="N591" s="182"/>
      <c r="O591" s="182"/>
      <c r="P591" s="182"/>
      <c r="Q591" s="182"/>
      <c r="R591" s="182"/>
      <c r="S591" s="182"/>
      <c r="T591" s="182"/>
      <c r="U591" s="182"/>
      <c r="V591" s="182"/>
      <c r="W591" s="182"/>
      <c r="X591" s="182"/>
      <c r="Y591" s="182"/>
      <c r="Z591" s="182"/>
      <c r="AA591" s="182"/>
      <c r="AB591" s="182"/>
      <c r="AC591" s="182"/>
      <c r="AD591" s="182"/>
    </row>
    <row r="592" spans="1:30" x14ac:dyDescent="0.2">
      <c r="A592" s="180">
        <v>42</v>
      </c>
      <c r="B592" s="165" t="s">
        <v>193</v>
      </c>
      <c r="C592" s="166" t="s">
        <v>35</v>
      </c>
      <c r="D592" s="181">
        <f>12968839.05/1000</f>
        <v>12968.83905</v>
      </c>
      <c r="E592" s="181">
        <f>TOBEPAID!E434/1000</f>
        <v>0</v>
      </c>
      <c r="F592" s="181">
        <f>TOBEPAID!F434/1000</f>
        <v>0</v>
      </c>
      <c r="G592" s="181">
        <f>TOBEPAID!G434/1000</f>
        <v>0</v>
      </c>
      <c r="H592" s="181">
        <f>12968602/1000</f>
        <v>12968.602000000001</v>
      </c>
      <c r="I592" s="181">
        <f>TOBEPAID!I434/1000</f>
        <v>0</v>
      </c>
      <c r="J592" s="181">
        <f>TOBEPAID!J434/1000</f>
        <v>0</v>
      </c>
      <c r="K592" s="181">
        <f>TOBEPAID!K434/1000</f>
        <v>0</v>
      </c>
      <c r="L592" s="181">
        <f>TOBEPAID!L434/1000</f>
        <v>0</v>
      </c>
      <c r="M592" s="181">
        <f>TOBEPAID!M434/1000</f>
        <v>0</v>
      </c>
      <c r="N592" s="181">
        <f>TOBEPAID!N434/1000</f>
        <v>0</v>
      </c>
      <c r="O592" s="181">
        <f>TOBEPAID!O434/1000</f>
        <v>0</v>
      </c>
      <c r="P592" s="181">
        <f>TOBEPAID!P434/1000</f>
        <v>0</v>
      </c>
      <c r="Q592" s="181">
        <f>TOBEPAID!Q434/1000</f>
        <v>0</v>
      </c>
      <c r="R592" s="181">
        <v>0</v>
      </c>
      <c r="S592" s="181">
        <f>TOBEPAID!S434/1000</f>
        <v>0</v>
      </c>
      <c r="T592" s="181">
        <f>TOBEPAID!T434/1000</f>
        <v>0</v>
      </c>
      <c r="U592" s="181">
        <f>TOBEPAID!U434/1000</f>
        <v>0</v>
      </c>
      <c r="V592" s="181">
        <f>TOBEPAID!V434/1000</f>
        <v>0</v>
      </c>
      <c r="W592" s="181">
        <f>TOBEPAID!W434/1000</f>
        <v>0</v>
      </c>
      <c r="X592" s="181">
        <f>TOBEPAID!X434/1000</f>
        <v>0</v>
      </c>
      <c r="Y592" s="181">
        <f t="shared" ref="Y592:Y597" si="103">+H592+R592</f>
        <v>12968.602000000001</v>
      </c>
      <c r="Z592" s="181">
        <f t="shared" ref="Z592:Z597" si="104">+D592-Y592</f>
        <v>0.23704999999972642</v>
      </c>
      <c r="AA592" s="181">
        <f>TOBEPAID!AA434/1000</f>
        <v>0</v>
      </c>
      <c r="AB592" s="181">
        <f>TOBEPAID!AB434/1000</f>
        <v>1127.8248899999999</v>
      </c>
      <c r="AC592" s="181"/>
      <c r="AD592" s="181"/>
    </row>
    <row r="593" spans="1:45" x14ac:dyDescent="0.2">
      <c r="C593" s="165" t="s">
        <v>366</v>
      </c>
      <c r="D593" s="165">
        <f>3649648.78/1000</f>
        <v>3649.64878</v>
      </c>
      <c r="H593" s="165">
        <f>3649648/1000</f>
        <v>3649.6480000000001</v>
      </c>
      <c r="R593" s="181">
        <v>0</v>
      </c>
      <c r="Y593" s="181">
        <f t="shared" si="103"/>
        <v>3649.6480000000001</v>
      </c>
      <c r="Z593" s="181">
        <f t="shared" si="104"/>
        <v>7.7999999984967872E-4</v>
      </c>
    </row>
    <row r="594" spans="1:45" x14ac:dyDescent="0.2">
      <c r="C594" s="165" t="s">
        <v>437</v>
      </c>
      <c r="D594" s="165">
        <f>7300000/1000</f>
        <v>7300</v>
      </c>
      <c r="H594" s="165">
        <f>7250907.91/1000</f>
        <v>7250.9079099999999</v>
      </c>
      <c r="R594" s="181">
        <v>0</v>
      </c>
      <c r="Y594" s="181">
        <f t="shared" si="103"/>
        <v>7250.9079099999999</v>
      </c>
      <c r="Z594" s="181">
        <f t="shared" si="104"/>
        <v>49.092090000000098</v>
      </c>
    </row>
    <row r="595" spans="1:45" x14ac:dyDescent="0.2">
      <c r="C595" s="165" t="s">
        <v>468</v>
      </c>
      <c r="D595" s="165">
        <f>6500000/1000</f>
        <v>6500</v>
      </c>
      <c r="H595" s="165">
        <f>6500000/1000</f>
        <v>6500</v>
      </c>
      <c r="R595" s="181">
        <v>0</v>
      </c>
      <c r="Y595" s="181">
        <f t="shared" si="103"/>
        <v>6500</v>
      </c>
      <c r="Z595" s="181">
        <f t="shared" si="104"/>
        <v>0</v>
      </c>
    </row>
    <row r="596" spans="1:45" x14ac:dyDescent="0.2">
      <c r="A596" s="180"/>
      <c r="C596" s="165" t="s">
        <v>53</v>
      </c>
      <c r="D596" s="181">
        <v>0</v>
      </c>
      <c r="E596" s="181">
        <f>TOBEPAID!E435/1000</f>
        <v>0</v>
      </c>
      <c r="F596" s="181">
        <f>TOBEPAID!F435/1000</f>
        <v>0</v>
      </c>
      <c r="G596" s="181">
        <f>TOBEPAID!G435/1000</f>
        <v>0</v>
      </c>
      <c r="H596" s="181">
        <v>0</v>
      </c>
      <c r="I596" s="181">
        <f>TOBEPAID!I435/1000</f>
        <v>0</v>
      </c>
      <c r="J596" s="181">
        <f>TOBEPAID!J435/1000</f>
        <v>0</v>
      </c>
      <c r="K596" s="181">
        <f>TOBEPAID!K435/1000</f>
        <v>0</v>
      </c>
      <c r="L596" s="181">
        <f>TOBEPAID!L435/1000</f>
        <v>0</v>
      </c>
      <c r="M596" s="181">
        <f>TOBEPAID!M435/1000</f>
        <v>0</v>
      </c>
      <c r="N596" s="181">
        <f>TOBEPAID!N435/1000</f>
        <v>0</v>
      </c>
      <c r="O596" s="181">
        <f>TOBEPAID!O435/1000</f>
        <v>0</v>
      </c>
      <c r="P596" s="181">
        <f>TOBEPAID!P435/1000</f>
        <v>0</v>
      </c>
      <c r="Q596" s="181">
        <f>TOBEPAID!Q435/1000</f>
        <v>0</v>
      </c>
      <c r="R596" s="181">
        <v>0</v>
      </c>
      <c r="S596" s="181">
        <f>TOBEPAID!S435/1000</f>
        <v>0</v>
      </c>
      <c r="T596" s="181">
        <f>TOBEPAID!T435/1000</f>
        <v>0</v>
      </c>
      <c r="U596" s="181">
        <f>TOBEPAID!U435/1000</f>
        <v>0</v>
      </c>
      <c r="V596" s="181">
        <f>TOBEPAID!V435/1000</f>
        <v>0</v>
      </c>
      <c r="W596" s="181">
        <f>TOBEPAID!W435/1000</f>
        <v>0</v>
      </c>
      <c r="X596" s="181">
        <f>TOBEPAID!X435/1000</f>
        <v>0</v>
      </c>
      <c r="Y596" s="181">
        <f t="shared" si="103"/>
        <v>0</v>
      </c>
      <c r="Z596" s="181">
        <f t="shared" si="104"/>
        <v>0</v>
      </c>
      <c r="AA596" s="181">
        <f>TOBEPAID!AA435/1000</f>
        <v>0</v>
      </c>
      <c r="AB596" s="181">
        <f>TOBEPAID!AB435/1000</f>
        <v>13284.15343</v>
      </c>
      <c r="AC596" s="181"/>
      <c r="AD596" s="181"/>
    </row>
    <row r="597" spans="1:45" x14ac:dyDescent="0.2">
      <c r="A597" s="180"/>
      <c r="C597" s="165" t="s">
        <v>54</v>
      </c>
      <c r="D597" s="181">
        <v>0</v>
      </c>
      <c r="E597" s="181">
        <f>TOBEPAID!E436/1000</f>
        <v>0</v>
      </c>
      <c r="F597" s="181">
        <f>TOBEPAID!F436/1000</f>
        <v>0</v>
      </c>
      <c r="G597" s="181">
        <f>TOBEPAID!G436/1000</f>
        <v>0</v>
      </c>
      <c r="H597" s="181">
        <v>0</v>
      </c>
      <c r="I597" s="181">
        <f>TOBEPAID!I436/1000</f>
        <v>0</v>
      </c>
      <c r="J597" s="181">
        <f>TOBEPAID!J436/1000</f>
        <v>0</v>
      </c>
      <c r="K597" s="181">
        <f>TOBEPAID!K436/1000</f>
        <v>0</v>
      </c>
      <c r="L597" s="181">
        <f>TOBEPAID!L436/1000</f>
        <v>0</v>
      </c>
      <c r="M597" s="181">
        <f>TOBEPAID!M436/1000</f>
        <v>0</v>
      </c>
      <c r="N597" s="181">
        <f>TOBEPAID!N436/1000</f>
        <v>0</v>
      </c>
      <c r="O597" s="181">
        <f>TOBEPAID!O436/1000</f>
        <v>0</v>
      </c>
      <c r="P597" s="181">
        <f>TOBEPAID!P436/1000</f>
        <v>0</v>
      </c>
      <c r="Q597" s="181">
        <f>TOBEPAID!Q436/1000</f>
        <v>0</v>
      </c>
      <c r="R597" s="181">
        <v>0</v>
      </c>
      <c r="S597" s="181">
        <f>TOBEPAID!S436/1000</f>
        <v>0</v>
      </c>
      <c r="T597" s="181">
        <f>TOBEPAID!T436/1000</f>
        <v>0</v>
      </c>
      <c r="U597" s="181">
        <f>TOBEPAID!U436/1000</f>
        <v>0</v>
      </c>
      <c r="V597" s="181">
        <f>TOBEPAID!V436/1000</f>
        <v>0</v>
      </c>
      <c r="W597" s="181">
        <f>TOBEPAID!W436/1000</f>
        <v>0</v>
      </c>
      <c r="X597" s="181">
        <f>TOBEPAID!X436/1000</f>
        <v>0</v>
      </c>
      <c r="Y597" s="181">
        <f t="shared" si="103"/>
        <v>0</v>
      </c>
      <c r="Z597" s="181">
        <f t="shared" si="104"/>
        <v>0</v>
      </c>
      <c r="AA597" s="181">
        <f>TOBEPAID!AA436/1000</f>
        <v>0</v>
      </c>
      <c r="AB597" s="181">
        <f>TOBEPAID!AB436/1000</f>
        <v>2206.50938</v>
      </c>
      <c r="AC597" s="181"/>
      <c r="AD597" s="181"/>
    </row>
    <row r="598" spans="1:45" x14ac:dyDescent="0.2">
      <c r="A598" s="180"/>
      <c r="D598" s="182" t="s">
        <v>40</v>
      </c>
      <c r="E598" s="182" t="s">
        <v>40</v>
      </c>
      <c r="F598" s="182" t="s">
        <v>40</v>
      </c>
      <c r="G598" s="182"/>
      <c r="H598" s="182" t="s">
        <v>40</v>
      </c>
      <c r="I598" s="182" t="s">
        <v>40</v>
      </c>
      <c r="J598" s="182" t="s">
        <v>40</v>
      </c>
      <c r="K598" s="182" t="s">
        <v>40</v>
      </c>
      <c r="L598" s="182" t="s">
        <v>40</v>
      </c>
      <c r="M598" s="182"/>
      <c r="N598" s="182" t="s">
        <v>40</v>
      </c>
      <c r="O598" s="182" t="s">
        <v>40</v>
      </c>
      <c r="P598" s="182" t="s">
        <v>40</v>
      </c>
      <c r="Q598" s="182"/>
      <c r="R598" s="182" t="s">
        <v>40</v>
      </c>
      <c r="S598" s="182" t="s">
        <v>40</v>
      </c>
      <c r="T598" s="182" t="s">
        <v>40</v>
      </c>
      <c r="U598" s="182" t="s">
        <v>40</v>
      </c>
      <c r="V598" s="182" t="s">
        <v>40</v>
      </c>
      <c r="W598" s="182"/>
      <c r="X598" s="182" t="s">
        <v>40</v>
      </c>
      <c r="Y598" s="182" t="s">
        <v>40</v>
      </c>
      <c r="Z598" s="182" t="s">
        <v>40</v>
      </c>
      <c r="AA598" s="182" t="s">
        <v>40</v>
      </c>
      <c r="AB598" s="182" t="s">
        <v>40</v>
      </c>
      <c r="AC598" s="182"/>
      <c r="AD598" s="182"/>
      <c r="AS598" s="195">
        <f t="shared" ref="AS598:AS609" si="105">+AF599-AK599-AP599</f>
        <v>-1.0000000202126103E-5</v>
      </c>
    </row>
    <row r="599" spans="1:45" x14ac:dyDescent="0.2">
      <c r="A599" s="180"/>
      <c r="D599" s="196">
        <f>SUM(D592:D597)</f>
        <v>30418.487830000002</v>
      </c>
      <c r="E599" s="196">
        <f>SUM(E592:E597)</f>
        <v>0</v>
      </c>
      <c r="F599" s="196">
        <f>SUM(F592:F597)</f>
        <v>0</v>
      </c>
      <c r="G599" s="196"/>
      <c r="H599" s="196">
        <f>SUM(H592:H597)</f>
        <v>30369.157910000002</v>
      </c>
      <c r="I599" s="196">
        <f>SUM(I592:I597)</f>
        <v>0</v>
      </c>
      <c r="J599" s="196">
        <f>SUM(J592:J597)</f>
        <v>0</v>
      </c>
      <c r="K599" s="196">
        <f>SUM(K592:K597)</f>
        <v>0</v>
      </c>
      <c r="L599" s="196">
        <f>SUM(L592:L597)</f>
        <v>0</v>
      </c>
      <c r="M599" s="196"/>
      <c r="N599" s="196">
        <f>SUM(N592:N597)</f>
        <v>0</v>
      </c>
      <c r="O599" s="196">
        <f>SUM(O592:O597)</f>
        <v>0</v>
      </c>
      <c r="P599" s="196">
        <f>SUM(P592:P597)</f>
        <v>0</v>
      </c>
      <c r="Q599" s="196"/>
      <c r="R599" s="196">
        <f>SUM(R592:R597)</f>
        <v>0</v>
      </c>
      <c r="S599" s="196">
        <f>SUM(S592:S597)</f>
        <v>0</v>
      </c>
      <c r="T599" s="196">
        <f>SUM(T592:T597)</f>
        <v>0</v>
      </c>
      <c r="U599" s="196">
        <f>SUM(U592:U597)</f>
        <v>0</v>
      </c>
      <c r="V599" s="196">
        <f>SUM(V592:V597)</f>
        <v>0</v>
      </c>
      <c r="W599" s="196"/>
      <c r="X599" s="196">
        <f>SUM(X592:X597)</f>
        <v>0</v>
      </c>
      <c r="Y599" s="196">
        <f>SUM(Y592:Y597)</f>
        <v>30369.157910000002</v>
      </c>
      <c r="Z599" s="196">
        <f>SUM(Z592:Z597)</f>
        <v>49.329919999999674</v>
      </c>
      <c r="AA599" s="196">
        <f>SUM(AA592:AA597)</f>
        <v>0</v>
      </c>
      <c r="AB599" s="196">
        <f>SUM(AB592:AB597)</f>
        <v>16618.487700000001</v>
      </c>
      <c r="AC599" s="196"/>
      <c r="AD599" s="196"/>
      <c r="AF599" s="193">
        <f>+D610+D537</f>
        <v>2924.0789999999997</v>
      </c>
      <c r="AG599" s="193">
        <f>+E610+E537</f>
        <v>2924.0790099999999</v>
      </c>
      <c r="AH599" s="193">
        <f>+F610+F537</f>
        <v>0</v>
      </c>
      <c r="AI599" s="193">
        <f>+AG599+AH599</f>
        <v>2924.0790099999999</v>
      </c>
      <c r="AJ599" s="193">
        <f>+L610+L537</f>
        <v>0</v>
      </c>
      <c r="AK599" s="193">
        <f>+AI599+AJ599</f>
        <v>2924.0790099999999</v>
      </c>
      <c r="AL599" s="193">
        <f>+O610+O537</f>
        <v>0</v>
      </c>
      <c r="AM599" s="193">
        <f>+P610+P537</f>
        <v>0</v>
      </c>
      <c r="AN599" s="193">
        <f>+AL599+AM599</f>
        <v>0</v>
      </c>
      <c r="AO599" s="193">
        <f>+V610+V537</f>
        <v>0</v>
      </c>
      <c r="AP599" s="195">
        <f>+AN599+AO599</f>
        <v>0</v>
      </c>
      <c r="AQ599" s="195">
        <f>+AI599+AN599</f>
        <v>2924.0790099999999</v>
      </c>
      <c r="AR599" s="195">
        <f>+AF599-AQ599</f>
        <v>-1.0000000202126103E-5</v>
      </c>
      <c r="AS599" s="195">
        <f t="shared" si="105"/>
        <v>0</v>
      </c>
    </row>
    <row r="600" spans="1:45" x14ac:dyDescent="0.2">
      <c r="A600" s="180"/>
      <c r="D600" s="182" t="s">
        <v>40</v>
      </c>
      <c r="E600" s="182" t="s">
        <v>40</v>
      </c>
      <c r="F600" s="182" t="s">
        <v>40</v>
      </c>
      <c r="G600" s="182"/>
      <c r="H600" s="182" t="s">
        <v>40</v>
      </c>
      <c r="I600" s="182" t="s">
        <v>40</v>
      </c>
      <c r="J600" s="182" t="s">
        <v>40</v>
      </c>
      <c r="K600" s="182" t="s">
        <v>40</v>
      </c>
      <c r="L600" s="182" t="s">
        <v>40</v>
      </c>
      <c r="M600" s="182"/>
      <c r="N600" s="182" t="s">
        <v>40</v>
      </c>
      <c r="O600" s="182" t="s">
        <v>40</v>
      </c>
      <c r="P600" s="182" t="s">
        <v>40</v>
      </c>
      <c r="Q600" s="182"/>
      <c r="R600" s="182" t="s">
        <v>40</v>
      </c>
      <c r="S600" s="182" t="s">
        <v>40</v>
      </c>
      <c r="T600" s="182" t="s">
        <v>40</v>
      </c>
      <c r="U600" s="182" t="s">
        <v>40</v>
      </c>
      <c r="V600" s="182" t="s">
        <v>40</v>
      </c>
      <c r="W600" s="182"/>
      <c r="X600" s="182" t="s">
        <v>40</v>
      </c>
      <c r="Y600" s="182" t="s">
        <v>40</v>
      </c>
      <c r="Z600" s="182" t="s">
        <v>40</v>
      </c>
      <c r="AA600" s="182" t="s">
        <v>40</v>
      </c>
      <c r="AB600" s="182" t="s">
        <v>40</v>
      </c>
      <c r="AC600" s="182"/>
      <c r="AD600" s="182"/>
      <c r="AE600" s="194" t="s">
        <v>317</v>
      </c>
      <c r="AF600" s="195">
        <f>+D470+D572</f>
        <v>13079.268</v>
      </c>
      <c r="AG600" s="195">
        <f>+E470+E572</f>
        <v>13079.268</v>
      </c>
      <c r="AH600" s="195">
        <f>+F470+F572</f>
        <v>0</v>
      </c>
      <c r="AI600" s="195">
        <f>+AG600+AH600</f>
        <v>13079.268</v>
      </c>
      <c r="AJ600" s="195">
        <f>+L470</f>
        <v>0</v>
      </c>
      <c r="AK600" s="195">
        <f>+AI600+AJ600</f>
        <v>13079.268</v>
      </c>
      <c r="AL600" s="195">
        <f>+O470</f>
        <v>0</v>
      </c>
      <c r="AM600" s="195">
        <f>+P470</f>
        <v>0</v>
      </c>
      <c r="AN600" s="195">
        <f>+AL600+AM600</f>
        <v>0</v>
      </c>
      <c r="AO600" s="195">
        <f>+V470</f>
        <v>0</v>
      </c>
      <c r="AP600" s="195">
        <f>+AN600+AO600</f>
        <v>0</v>
      </c>
      <c r="AQ600" s="195">
        <f>+AI600+AN600</f>
        <v>13079.268</v>
      </c>
      <c r="AR600" s="195">
        <f>+AF600-AQ600</f>
        <v>0</v>
      </c>
      <c r="AS600" s="195">
        <f t="shared" si="105"/>
        <v>323932.00158999994</v>
      </c>
    </row>
    <row r="601" spans="1:45" x14ac:dyDescent="0.2">
      <c r="A601" s="180"/>
      <c r="D601" s="182"/>
      <c r="E601" s="182"/>
      <c r="F601" s="182"/>
      <c r="G601" s="182"/>
      <c r="H601" s="182"/>
      <c r="I601" s="182"/>
      <c r="J601" s="182"/>
      <c r="K601" s="182"/>
      <c r="L601" s="182"/>
      <c r="M601" s="182"/>
      <c r="N601" s="182"/>
      <c r="O601" s="182"/>
      <c r="P601" s="182"/>
      <c r="Q601" s="182"/>
      <c r="R601" s="182"/>
      <c r="S601" s="182"/>
      <c r="T601" s="182"/>
      <c r="U601" s="182"/>
      <c r="V601" s="182"/>
      <c r="W601" s="182"/>
      <c r="X601" s="182"/>
      <c r="Y601" s="182"/>
      <c r="Z601" s="182"/>
      <c r="AA601" s="182"/>
      <c r="AB601" s="182"/>
      <c r="AC601" s="182"/>
      <c r="AD601" s="182"/>
      <c r="AE601" s="186" t="s">
        <v>298</v>
      </c>
      <c r="AF601" s="195">
        <f>D461+D478+D490+D505+D519+D531+D548+D555+D581+D592+D602+D615</f>
        <v>348256.47504999995</v>
      </c>
      <c r="AG601" s="195">
        <f>E461+E478+E490+E505+E519+E531+E548+E555+E581+E592+E602+E615</f>
        <v>12688.340150000002</v>
      </c>
      <c r="AH601" s="195">
        <f>F461+F478+F490+F505+F519+F531+F548+F555+F581+F592+F602+F615</f>
        <v>0</v>
      </c>
      <c r="AI601" s="195">
        <f>+AG601+AH601</f>
        <v>12688.340150000002</v>
      </c>
      <c r="AJ601" s="195">
        <f>L461+L478+L490+L505+L519+L531+L548+L555+L581+L592+L602+L615</f>
        <v>0</v>
      </c>
      <c r="AK601" s="195">
        <f>+AI601+AJ601</f>
        <v>12688.340150000002</v>
      </c>
      <c r="AL601" s="195">
        <f>O461+O478+O490+O505+O519+O531+O548+O555+O581+O592+O602+O615</f>
        <v>11636.133310000001</v>
      </c>
      <c r="AM601" s="195">
        <f>P461+P478+P490+P505+P519+P531+P548+P555+P581+P592+P602+P615</f>
        <v>0</v>
      </c>
      <c r="AN601" s="195">
        <f>+AL601+AM601</f>
        <v>11636.133310000001</v>
      </c>
      <c r="AO601" s="195">
        <f>V461+V478+V490+V505+V519+V531+V548+V555+V581+V592+V602+V615</f>
        <v>0</v>
      </c>
      <c r="AP601" s="195">
        <f>+AN601+AO601:AO601</f>
        <v>11636.133310000001</v>
      </c>
      <c r="AQ601" s="195">
        <f>+AI601+AN601</f>
        <v>24324.473460000001</v>
      </c>
      <c r="AR601" s="195">
        <f>+AF601-AQ601</f>
        <v>323932.00158999994</v>
      </c>
      <c r="AS601" s="195">
        <f t="shared" si="105"/>
        <v>0</v>
      </c>
    </row>
    <row r="602" spans="1:45" x14ac:dyDescent="0.2">
      <c r="A602" s="180">
        <v>43</v>
      </c>
      <c r="B602" s="165" t="s">
        <v>194</v>
      </c>
      <c r="C602" s="166" t="s">
        <v>35</v>
      </c>
      <c r="D602" s="181">
        <f>20667932/1000</f>
        <v>20667.932000000001</v>
      </c>
      <c r="E602" s="181">
        <f>TOBEPAID!E441/1000</f>
        <v>0</v>
      </c>
      <c r="F602" s="181">
        <f>TOBEPAID!F441/1000</f>
        <v>0</v>
      </c>
      <c r="G602" s="181">
        <f>TOBEPAID!G441/1000</f>
        <v>0</v>
      </c>
      <c r="H602" s="181">
        <f>3000000/1000</f>
        <v>3000</v>
      </c>
      <c r="I602" s="181">
        <f>TOBEPAID!I441/1000</f>
        <v>0</v>
      </c>
      <c r="J602" s="181">
        <f>TOBEPAID!J441/1000</f>
        <v>0</v>
      </c>
      <c r="K602" s="181">
        <f>TOBEPAID!K441/1000</f>
        <v>0</v>
      </c>
      <c r="L602" s="181">
        <f>TOBEPAID!L441/1000</f>
        <v>0</v>
      </c>
      <c r="M602" s="181">
        <f>TOBEPAID!M441/1000</f>
        <v>0</v>
      </c>
      <c r="N602" s="181">
        <f>TOBEPAID!N441/1000</f>
        <v>0</v>
      </c>
      <c r="O602" s="181">
        <f>TOBEPAID!O441/1000</f>
        <v>445.42459000000002</v>
      </c>
      <c r="P602" s="181">
        <f>TOBEPAID!P441/1000</f>
        <v>0</v>
      </c>
      <c r="Q602" s="181">
        <f>TOBEPAID!Q441/1000</f>
        <v>0</v>
      </c>
      <c r="R602" s="181">
        <v>0</v>
      </c>
      <c r="S602" s="181">
        <f>TOBEPAID!S441/1000</f>
        <v>0</v>
      </c>
      <c r="T602" s="181">
        <f>TOBEPAID!T441/1000</f>
        <v>0</v>
      </c>
      <c r="U602" s="181">
        <f>TOBEPAID!U441/1000</f>
        <v>0</v>
      </c>
      <c r="V602" s="181">
        <f>TOBEPAID!V441/1000</f>
        <v>0</v>
      </c>
      <c r="W602" s="181">
        <f>TOBEPAID!W441/1000</f>
        <v>0</v>
      </c>
      <c r="X602" s="181">
        <f>TOBEPAID!X441/1000</f>
        <v>445.42459000000002</v>
      </c>
      <c r="Y602" s="181">
        <f>+H602+R602</f>
        <v>3000</v>
      </c>
      <c r="Z602" s="181">
        <f>+D602-Y602</f>
        <v>17667.932000000001</v>
      </c>
      <c r="AA602" s="181">
        <f>TOBEPAID!AA441/1000</f>
        <v>445.42459000000002</v>
      </c>
      <c r="AB602" s="181">
        <f>TOBEPAID!AB441/1000</f>
        <v>20222.508180000001</v>
      </c>
      <c r="AC602" s="181"/>
      <c r="AD602" s="181"/>
      <c r="AE602" s="186" t="s">
        <v>47</v>
      </c>
      <c r="AF602" s="195">
        <f>D463+D479+D493+D506+D520+D533+D549+D556+D587+D603</f>
        <v>29377.556</v>
      </c>
      <c r="AG602" s="195">
        <f>E463+E479+E493+E506+E520+E533+E549+E556+E587+E603</f>
        <v>29377.556</v>
      </c>
      <c r="AH602" s="195">
        <f>F463+F479+F493+F506+F520+F533+F549+F556+F587+F603</f>
        <v>0</v>
      </c>
      <c r="AI602" s="195">
        <f t="shared" ref="AI602:AI610" si="106">+AG602+AH602</f>
        <v>29377.556</v>
      </c>
      <c r="AJ602" s="195">
        <f>L463+L479+L493+L506+L520+L533+L549+L556+L587+L603</f>
        <v>0</v>
      </c>
      <c r="AK602" s="195">
        <f t="shared" ref="AK602:AK610" si="107">+AI602+AJ602</f>
        <v>29377.556</v>
      </c>
      <c r="AL602" s="195">
        <f>O463+O479+O493+O506+O520+O533+O549+O556+O587+O603</f>
        <v>0</v>
      </c>
      <c r="AM602" s="195">
        <f>P463+P479+P493+P506+P520+P533+P549+P556+P587+P603</f>
        <v>0</v>
      </c>
      <c r="AN602" s="195">
        <f t="shared" ref="AN602:AN610" si="108">+AL602+AM602</f>
        <v>0</v>
      </c>
      <c r="AO602" s="195">
        <f>V463+V479+V493+V506+V520+V533+V549+V556+V587+V603</f>
        <v>0</v>
      </c>
      <c r="AP602" s="195">
        <f t="shared" ref="AP602:AP610" si="109">+AN602+AO602:AO602</f>
        <v>0</v>
      </c>
      <c r="AQ602" s="195">
        <f t="shared" ref="AQ602:AQ610" si="110">+AI602+AN602</f>
        <v>29377.556</v>
      </c>
      <c r="AR602" s="195">
        <f t="shared" ref="AR602:AR610" si="111">+AF602-AQ602</f>
        <v>0</v>
      </c>
      <c r="AS602" s="195">
        <f t="shared" si="105"/>
        <v>637.87795000000096</v>
      </c>
    </row>
    <row r="603" spans="1:45" x14ac:dyDescent="0.2">
      <c r="A603" s="180"/>
      <c r="C603" s="165" t="s">
        <v>36</v>
      </c>
      <c r="D603" s="181">
        <f>2612930/1000</f>
        <v>2612.9299999999998</v>
      </c>
      <c r="E603" s="181">
        <f>TOBEPAID!E442/1000</f>
        <v>2612.9299999999998</v>
      </c>
      <c r="F603" s="181">
        <f>TOBEPAID!F442/1000</f>
        <v>0</v>
      </c>
      <c r="G603" s="181">
        <f>TOBEPAID!G442/1000</f>
        <v>0</v>
      </c>
      <c r="H603" s="181">
        <f>2612930/1000</f>
        <v>2612.9299999999998</v>
      </c>
      <c r="I603" s="181">
        <f>TOBEPAID!I442/1000</f>
        <v>0</v>
      </c>
      <c r="J603" s="181">
        <f>TOBEPAID!J442/1000</f>
        <v>0</v>
      </c>
      <c r="K603" s="181">
        <f>TOBEPAID!K442/1000</f>
        <v>0</v>
      </c>
      <c r="L603" s="181">
        <f>TOBEPAID!L442/1000</f>
        <v>0</v>
      </c>
      <c r="M603" s="181">
        <f>TOBEPAID!M442/1000</f>
        <v>0</v>
      </c>
      <c r="N603" s="181">
        <f>TOBEPAID!N442/1000</f>
        <v>2612.9299999999998</v>
      </c>
      <c r="O603" s="181">
        <f>TOBEPAID!O442/1000</f>
        <v>0</v>
      </c>
      <c r="P603" s="181">
        <f>TOBEPAID!P442/1000</f>
        <v>0</v>
      </c>
      <c r="Q603" s="181">
        <f>TOBEPAID!Q442/1000</f>
        <v>0</v>
      </c>
      <c r="R603" s="181">
        <v>0</v>
      </c>
      <c r="S603" s="181">
        <f>TOBEPAID!S442/1000</f>
        <v>0</v>
      </c>
      <c r="T603" s="181">
        <f>TOBEPAID!T442/1000</f>
        <v>0</v>
      </c>
      <c r="U603" s="181">
        <f>TOBEPAID!U442/1000</f>
        <v>0</v>
      </c>
      <c r="V603" s="181">
        <f>TOBEPAID!V442/1000</f>
        <v>0</v>
      </c>
      <c r="W603" s="181">
        <f>TOBEPAID!W442/1000</f>
        <v>0</v>
      </c>
      <c r="X603" s="181">
        <f>TOBEPAID!X442/1000</f>
        <v>0</v>
      </c>
      <c r="Y603" s="181">
        <f>+H603+R603</f>
        <v>2612.9299999999998</v>
      </c>
      <c r="Z603" s="181">
        <f>+D603-Y603</f>
        <v>0</v>
      </c>
      <c r="AA603" s="181">
        <f>TOBEPAID!AA442/1000</f>
        <v>2612.9299999999998</v>
      </c>
      <c r="AB603" s="181">
        <f>TOBEPAID!AB442/1000</f>
        <v>0</v>
      </c>
      <c r="AC603" s="181"/>
      <c r="AD603" s="181"/>
      <c r="AE603" s="186" t="s">
        <v>36</v>
      </c>
      <c r="AF603" s="195">
        <f>D464+D498+D512</f>
        <v>6165.5013500000005</v>
      </c>
      <c r="AG603" s="195">
        <f>E464+E498+E512</f>
        <v>0</v>
      </c>
      <c r="AH603" s="195">
        <f>F464+F498+F512</f>
        <v>0</v>
      </c>
      <c r="AI603" s="195">
        <f t="shared" si="106"/>
        <v>0</v>
      </c>
      <c r="AJ603" s="195">
        <f>L464+L498+L512</f>
        <v>0</v>
      </c>
      <c r="AK603" s="195">
        <f t="shared" si="107"/>
        <v>0</v>
      </c>
      <c r="AL603" s="195">
        <f>O464+O498+O512</f>
        <v>5527.6233999999995</v>
      </c>
      <c r="AM603" s="195">
        <f>P464+P498+P512</f>
        <v>0</v>
      </c>
      <c r="AN603" s="195">
        <f t="shared" si="108"/>
        <v>5527.6233999999995</v>
      </c>
      <c r="AO603" s="195">
        <f>V464+V498+V512</f>
        <v>0</v>
      </c>
      <c r="AP603" s="195">
        <f t="shared" si="109"/>
        <v>5527.6233999999995</v>
      </c>
      <c r="AQ603" s="195">
        <f t="shared" si="110"/>
        <v>5527.6233999999995</v>
      </c>
      <c r="AR603" s="195">
        <f t="shared" si="111"/>
        <v>637.87795000000096</v>
      </c>
      <c r="AS603" s="195">
        <f t="shared" si="105"/>
        <v>0.16386000000000001</v>
      </c>
    </row>
    <row r="604" spans="1:45" x14ac:dyDescent="0.2">
      <c r="A604" s="180"/>
      <c r="C604" s="165" t="s">
        <v>53</v>
      </c>
      <c r="D604" s="181">
        <f>7448000/1000</f>
        <v>7448</v>
      </c>
      <c r="E604" s="181">
        <f>TOBEPAID!E443/1000</f>
        <v>0</v>
      </c>
      <c r="F604" s="181">
        <f>TOBEPAID!F443/1000</f>
        <v>0</v>
      </c>
      <c r="G604" s="181">
        <f>TOBEPAID!G443/1000</f>
        <v>0</v>
      </c>
      <c r="H604" s="181">
        <v>0</v>
      </c>
      <c r="I604" s="181">
        <f>TOBEPAID!I443/1000</f>
        <v>0</v>
      </c>
      <c r="J604" s="181">
        <f>TOBEPAID!J443/1000</f>
        <v>0</v>
      </c>
      <c r="K604" s="181">
        <f>TOBEPAID!K443/1000</f>
        <v>0</v>
      </c>
      <c r="L604" s="181">
        <f>TOBEPAID!L443/1000</f>
        <v>0</v>
      </c>
      <c r="M604" s="181">
        <f>TOBEPAID!M443/1000</f>
        <v>0</v>
      </c>
      <c r="N604" s="181">
        <f>TOBEPAID!N443/1000</f>
        <v>0</v>
      </c>
      <c r="O604" s="181">
        <f>TOBEPAID!O443/1000</f>
        <v>1300.6234399999998</v>
      </c>
      <c r="P604" s="181">
        <f>TOBEPAID!P443/1000</f>
        <v>0</v>
      </c>
      <c r="Q604" s="181">
        <f>TOBEPAID!Q443/1000</f>
        <v>0</v>
      </c>
      <c r="R604" s="181">
        <f>1300623.44/1000</f>
        <v>1300.6234399999998</v>
      </c>
      <c r="S604" s="181">
        <f>TOBEPAID!S443/1000</f>
        <v>0</v>
      </c>
      <c r="T604" s="181">
        <f>TOBEPAID!T443/1000</f>
        <v>0</v>
      </c>
      <c r="U604" s="181">
        <f>TOBEPAID!U443/1000</f>
        <v>0</v>
      </c>
      <c r="V604" s="181">
        <f>TOBEPAID!V443/1000</f>
        <v>0</v>
      </c>
      <c r="W604" s="181">
        <f>TOBEPAID!W443/1000</f>
        <v>0</v>
      </c>
      <c r="X604" s="181">
        <f>TOBEPAID!X443/1000</f>
        <v>1300.6234399999998</v>
      </c>
      <c r="Y604" s="181">
        <f>+H604+R604</f>
        <v>1300.6234399999998</v>
      </c>
      <c r="Z604" s="181">
        <f>+D604-Y604</f>
        <v>6147.3765600000006</v>
      </c>
      <c r="AA604" s="181">
        <f>TOBEPAID!AA443/1000</f>
        <v>1300.6234399999998</v>
      </c>
      <c r="AB604" s="181">
        <f>TOBEPAID!AB443/1000</f>
        <v>6147.3765600000006</v>
      </c>
      <c r="AC604" s="181"/>
      <c r="AD604" s="181"/>
      <c r="AE604" s="186" t="s">
        <v>183</v>
      </c>
      <c r="AF604" s="195">
        <f>D465+D499+D574</f>
        <v>0.16386000000000001</v>
      </c>
      <c r="AG604" s="195">
        <f>E465+E499+E574</f>
        <v>0</v>
      </c>
      <c r="AH604" s="195">
        <f>F465+F499+F574</f>
        <v>0</v>
      </c>
      <c r="AI604" s="195">
        <f t="shared" si="106"/>
        <v>0</v>
      </c>
      <c r="AJ604" s="195">
        <f>L465+L499+L574</f>
        <v>0</v>
      </c>
      <c r="AK604" s="195">
        <f t="shared" si="107"/>
        <v>0</v>
      </c>
      <c r="AL604" s="195">
        <f>O465+O499+O574</f>
        <v>0</v>
      </c>
      <c r="AM604" s="195">
        <f>P465+P499+P574</f>
        <v>0</v>
      </c>
      <c r="AN604" s="195">
        <f t="shared" si="108"/>
        <v>0</v>
      </c>
      <c r="AO604" s="195">
        <f>V465+V499+V574</f>
        <v>0</v>
      </c>
      <c r="AP604" s="195">
        <f t="shared" si="109"/>
        <v>0</v>
      </c>
      <c r="AQ604" s="195">
        <f t="shared" si="110"/>
        <v>0</v>
      </c>
      <c r="AR604" s="195">
        <f t="shared" si="111"/>
        <v>0.16386000000000001</v>
      </c>
      <c r="AS604" s="195">
        <f t="shared" si="105"/>
        <v>5445.8037999999997</v>
      </c>
    </row>
    <row r="605" spans="1:45" x14ac:dyDescent="0.2">
      <c r="A605" s="180"/>
      <c r="C605" s="165" t="s">
        <v>54</v>
      </c>
      <c r="D605" s="181">
        <v>0</v>
      </c>
      <c r="E605" s="181">
        <f>TOBEPAID!E444/1000</f>
        <v>0</v>
      </c>
      <c r="F605" s="181">
        <f>TOBEPAID!F444/1000</f>
        <v>0</v>
      </c>
      <c r="G605" s="181">
        <f>TOBEPAID!G444/1000</f>
        <v>0</v>
      </c>
      <c r="H605" s="181">
        <v>0</v>
      </c>
      <c r="I605" s="181">
        <f>TOBEPAID!I444/1000</f>
        <v>0</v>
      </c>
      <c r="J605" s="181">
        <f>TOBEPAID!J444/1000</f>
        <v>0</v>
      </c>
      <c r="K605" s="181">
        <f>TOBEPAID!K444/1000</f>
        <v>0</v>
      </c>
      <c r="L605" s="181">
        <f>TOBEPAID!L444/1000</f>
        <v>0</v>
      </c>
      <c r="M605" s="181">
        <f>TOBEPAID!M444/1000</f>
        <v>0</v>
      </c>
      <c r="N605" s="181">
        <f>TOBEPAID!N444/1000</f>
        <v>0</v>
      </c>
      <c r="O605" s="181">
        <f>TOBEPAID!O444/1000</f>
        <v>0</v>
      </c>
      <c r="P605" s="181">
        <f>TOBEPAID!P444/1000</f>
        <v>0</v>
      </c>
      <c r="Q605" s="181">
        <f>TOBEPAID!Q444/1000</f>
        <v>0</v>
      </c>
      <c r="R605" s="181">
        <v>0</v>
      </c>
      <c r="S605" s="181">
        <f>TOBEPAID!S444/1000</f>
        <v>0</v>
      </c>
      <c r="T605" s="181">
        <f>TOBEPAID!T444/1000</f>
        <v>0</v>
      </c>
      <c r="U605" s="181">
        <f>TOBEPAID!U444/1000</f>
        <v>0</v>
      </c>
      <c r="V605" s="181">
        <f>TOBEPAID!V444/1000</f>
        <v>0</v>
      </c>
      <c r="W605" s="181">
        <f>TOBEPAID!W444/1000</f>
        <v>0</v>
      </c>
      <c r="X605" s="181">
        <f>TOBEPAID!X444/1000</f>
        <v>0</v>
      </c>
      <c r="Y605" s="181">
        <f>+H605+R605</f>
        <v>0</v>
      </c>
      <c r="Z605" s="181">
        <f>+D605-Y605</f>
        <v>0</v>
      </c>
      <c r="AA605" s="181">
        <f>TOBEPAID!AA444/1000</f>
        <v>0</v>
      </c>
      <c r="AB605" s="181">
        <f>TOBEPAID!AB444/1000</f>
        <v>0</v>
      </c>
      <c r="AC605" s="181"/>
      <c r="AD605" s="181"/>
      <c r="AE605" s="186" t="s">
        <v>184</v>
      </c>
      <c r="AF605" s="195">
        <f>D550+D561+D573+D606</f>
        <v>16146.06683</v>
      </c>
      <c r="AG605" s="195">
        <f>E550+E561+E573+E606</f>
        <v>0</v>
      </c>
      <c r="AH605" s="195">
        <f>F550+F561+F573+F606</f>
        <v>0</v>
      </c>
      <c r="AI605" s="195">
        <f t="shared" si="106"/>
        <v>0</v>
      </c>
      <c r="AJ605" s="195">
        <f>L550+L561+L573+L606</f>
        <v>0</v>
      </c>
      <c r="AK605" s="195">
        <f t="shared" si="107"/>
        <v>0</v>
      </c>
      <c r="AL605" s="195">
        <f>O550+O561+O573+O606</f>
        <v>10700.26303</v>
      </c>
      <c r="AM605" s="195">
        <f>P550+P561+P573+P606</f>
        <v>0</v>
      </c>
      <c r="AN605" s="195">
        <f t="shared" si="108"/>
        <v>10700.26303</v>
      </c>
      <c r="AO605" s="195">
        <f>V550+V561+V573+V606</f>
        <v>0</v>
      </c>
      <c r="AP605" s="195">
        <f t="shared" si="109"/>
        <v>10700.26303</v>
      </c>
      <c r="AQ605" s="195">
        <f t="shared" si="110"/>
        <v>10700.26303</v>
      </c>
      <c r="AR605" s="195">
        <f t="shared" si="111"/>
        <v>5445.8037999999997</v>
      </c>
      <c r="AS605" s="195">
        <f t="shared" si="105"/>
        <v>0</v>
      </c>
    </row>
    <row r="606" spans="1:45" x14ac:dyDescent="0.2">
      <c r="A606" s="180"/>
      <c r="C606" s="165" t="s">
        <v>38</v>
      </c>
      <c r="D606" s="181">
        <f>10700263/1000</f>
        <v>10700.263000000001</v>
      </c>
      <c r="E606" s="181">
        <f>TOBEPAID!E445/1000</f>
        <v>0</v>
      </c>
      <c r="F606" s="181">
        <f>TOBEPAID!F445/1000</f>
        <v>0</v>
      </c>
      <c r="G606" s="181">
        <f>TOBEPAID!G445/1000</f>
        <v>0</v>
      </c>
      <c r="H606" s="181">
        <v>0</v>
      </c>
      <c r="I606" s="181">
        <f>TOBEPAID!I445/1000</f>
        <v>0</v>
      </c>
      <c r="J606" s="181">
        <f>TOBEPAID!J445/1000</f>
        <v>0</v>
      </c>
      <c r="K606" s="181">
        <f>TOBEPAID!K445/1000</f>
        <v>0</v>
      </c>
      <c r="L606" s="181">
        <f>TOBEPAID!L445/1000</f>
        <v>0</v>
      </c>
      <c r="M606" s="181">
        <f>TOBEPAID!M445/1000</f>
        <v>0</v>
      </c>
      <c r="N606" s="181">
        <f>TOBEPAID!N445/1000</f>
        <v>0</v>
      </c>
      <c r="O606" s="181">
        <f>TOBEPAID!O445/1000</f>
        <v>10700.26303</v>
      </c>
      <c r="P606" s="181">
        <f>TOBEPAID!P445/1000</f>
        <v>0</v>
      </c>
      <c r="Q606" s="181">
        <f>TOBEPAID!Q445/1000</f>
        <v>0</v>
      </c>
      <c r="R606" s="181">
        <f>10700263/1000</f>
        <v>10700.263000000001</v>
      </c>
      <c r="S606" s="181">
        <f>TOBEPAID!S445/1000</f>
        <v>0</v>
      </c>
      <c r="T606" s="181">
        <f>TOBEPAID!T445/1000</f>
        <v>0</v>
      </c>
      <c r="U606" s="181">
        <f>TOBEPAID!U445/1000</f>
        <v>0</v>
      </c>
      <c r="V606" s="181">
        <f>TOBEPAID!V445/1000</f>
        <v>0</v>
      </c>
      <c r="W606" s="181">
        <f>TOBEPAID!W445/1000</f>
        <v>0</v>
      </c>
      <c r="X606" s="181">
        <f>TOBEPAID!X445/1000</f>
        <v>10700.26303</v>
      </c>
      <c r="Y606" s="181">
        <f>+H606+R606</f>
        <v>10700.263000000001</v>
      </c>
      <c r="Z606" s="181">
        <f>+D606-Y606</f>
        <v>0</v>
      </c>
      <c r="AA606" s="181">
        <f>TOBEPAID!AA445/1000</f>
        <v>10700.26303</v>
      </c>
      <c r="AB606" s="181">
        <f>TOBEPAID!AB445/1000</f>
        <v>0</v>
      </c>
      <c r="AC606" s="181"/>
      <c r="AD606" s="181"/>
      <c r="AE606" s="186" t="s">
        <v>38</v>
      </c>
      <c r="AF606" s="195">
        <f>+D562</f>
        <v>0</v>
      </c>
      <c r="AG606" s="195">
        <f>+E562</f>
        <v>0</v>
      </c>
      <c r="AH606" s="195">
        <f>+F562</f>
        <v>0</v>
      </c>
      <c r="AI606" s="195">
        <f t="shared" si="106"/>
        <v>0</v>
      </c>
      <c r="AJ606" s="195">
        <f>+L562</f>
        <v>0</v>
      </c>
      <c r="AK606" s="195">
        <f t="shared" si="107"/>
        <v>0</v>
      </c>
      <c r="AL606" s="195">
        <f>+O562</f>
        <v>0</v>
      </c>
      <c r="AM606" s="195">
        <f>+P562</f>
        <v>0</v>
      </c>
      <c r="AN606" s="195">
        <f t="shared" si="108"/>
        <v>0</v>
      </c>
      <c r="AO606" s="195">
        <f>+V562</f>
        <v>0</v>
      </c>
      <c r="AP606" s="195">
        <f t="shared" si="109"/>
        <v>0</v>
      </c>
      <c r="AQ606" s="195">
        <f t="shared" si="110"/>
        <v>0</v>
      </c>
      <c r="AR606" s="195">
        <f t="shared" si="111"/>
        <v>0</v>
      </c>
      <c r="AS606" s="195">
        <f t="shared" si="105"/>
        <v>0</v>
      </c>
    </row>
    <row r="607" spans="1:45" x14ac:dyDescent="0.2">
      <c r="A607" s="180"/>
      <c r="D607" s="182" t="s">
        <v>40</v>
      </c>
      <c r="E607" s="182" t="s">
        <v>40</v>
      </c>
      <c r="F607" s="182" t="s">
        <v>40</v>
      </c>
      <c r="G607" s="182"/>
      <c r="H607" s="182" t="s">
        <v>40</v>
      </c>
      <c r="I607" s="182" t="s">
        <v>40</v>
      </c>
      <c r="J607" s="182" t="s">
        <v>40</v>
      </c>
      <c r="K607" s="182" t="s">
        <v>40</v>
      </c>
      <c r="L607" s="182" t="s">
        <v>40</v>
      </c>
      <c r="M607" s="182"/>
      <c r="N607" s="182" t="s">
        <v>40</v>
      </c>
      <c r="O607" s="182" t="s">
        <v>40</v>
      </c>
      <c r="P607" s="182" t="s">
        <v>40</v>
      </c>
      <c r="Q607" s="182"/>
      <c r="R607" s="182" t="s">
        <v>40</v>
      </c>
      <c r="S607" s="182" t="s">
        <v>40</v>
      </c>
      <c r="T607" s="182" t="s">
        <v>40</v>
      </c>
      <c r="U607" s="182" t="s">
        <v>40</v>
      </c>
      <c r="V607" s="182" t="s">
        <v>40</v>
      </c>
      <c r="W607" s="182"/>
      <c r="X607" s="182" t="s">
        <v>40</v>
      </c>
      <c r="Y607" s="182" t="s">
        <v>40</v>
      </c>
      <c r="Z607" s="182" t="s">
        <v>40</v>
      </c>
      <c r="AA607" s="182" t="s">
        <v>40</v>
      </c>
      <c r="AB607" s="182" t="s">
        <v>40</v>
      </c>
      <c r="AC607" s="182"/>
      <c r="AD607" s="182"/>
      <c r="AE607" s="186" t="s">
        <v>261</v>
      </c>
      <c r="AF607" s="195">
        <f>+D576</f>
        <v>0</v>
      </c>
      <c r="AG607" s="195">
        <f>+E576</f>
        <v>0</v>
      </c>
      <c r="AH607" s="195">
        <f>+F576</f>
        <v>0</v>
      </c>
      <c r="AI607" s="195">
        <f t="shared" si="106"/>
        <v>0</v>
      </c>
      <c r="AJ607" s="195">
        <f>+L576</f>
        <v>0</v>
      </c>
      <c r="AK607" s="195">
        <f t="shared" si="107"/>
        <v>0</v>
      </c>
      <c r="AL607" s="195">
        <f>+O576</f>
        <v>0</v>
      </c>
      <c r="AM607" s="195">
        <f>+P576</f>
        <v>0</v>
      </c>
      <c r="AN607" s="195">
        <f t="shared" si="108"/>
        <v>0</v>
      </c>
      <c r="AO607" s="195">
        <f>+V576</f>
        <v>0</v>
      </c>
      <c r="AP607" s="195">
        <f t="shared" si="109"/>
        <v>0</v>
      </c>
      <c r="AQ607" s="195">
        <f t="shared" si="110"/>
        <v>0</v>
      </c>
      <c r="AR607" s="195">
        <f t="shared" si="111"/>
        <v>0</v>
      </c>
      <c r="AS607" s="195">
        <f t="shared" si="105"/>
        <v>-7.8000000087286026E-4</v>
      </c>
    </row>
    <row r="608" spans="1:45" x14ac:dyDescent="0.2">
      <c r="A608" s="180"/>
      <c r="D608" s="196">
        <f>SUM(D602:D606)</f>
        <v>41429.125</v>
      </c>
      <c r="E608" s="196">
        <f>SUM(E602:E606)</f>
        <v>2612.9299999999998</v>
      </c>
      <c r="F608" s="196">
        <f>SUM(F602:F606)</f>
        <v>0</v>
      </c>
      <c r="G608" s="196"/>
      <c r="H608" s="196">
        <f>SUM(H602:H606)</f>
        <v>5612.93</v>
      </c>
      <c r="I608" s="196">
        <f>SUM(I602:I606)</f>
        <v>0</v>
      </c>
      <c r="J608" s="196">
        <f>SUM(J602:J606)</f>
        <v>0</v>
      </c>
      <c r="K608" s="196">
        <f>SUM(K602:K606)</f>
        <v>0</v>
      </c>
      <c r="L608" s="196">
        <f>SUM(L602:L606)</f>
        <v>0</v>
      </c>
      <c r="M608" s="196"/>
      <c r="N608" s="196">
        <f>SUM(N602:N606)</f>
        <v>2612.9299999999998</v>
      </c>
      <c r="O608" s="196">
        <f>SUM(O602:O606)</f>
        <v>12446.31106</v>
      </c>
      <c r="P608" s="196">
        <f>SUM(P602:P606)</f>
        <v>0</v>
      </c>
      <c r="Q608" s="196"/>
      <c r="R608" s="196">
        <f>SUM(R602:R606)</f>
        <v>12000.88644</v>
      </c>
      <c r="S608" s="196">
        <f>SUM(S602:S606)</f>
        <v>0</v>
      </c>
      <c r="T608" s="196">
        <f>SUM(T602:T606)</f>
        <v>0</v>
      </c>
      <c r="U608" s="196">
        <f>SUM(U602:U606)</f>
        <v>0</v>
      </c>
      <c r="V608" s="196">
        <f>SUM(V602:V606)</f>
        <v>0</v>
      </c>
      <c r="W608" s="196"/>
      <c r="X608" s="196">
        <f>SUM(X602:X606)</f>
        <v>12446.31106</v>
      </c>
      <c r="Y608" s="196">
        <f>SUM(Y602:Y606)</f>
        <v>17613.816440000002</v>
      </c>
      <c r="Z608" s="196">
        <f>SUM(Z602:Z606)</f>
        <v>23815.308560000001</v>
      </c>
      <c r="AA608" s="196">
        <f>SUM(AA602:AA606)</f>
        <v>15059.24106</v>
      </c>
      <c r="AB608" s="196">
        <f>SUM(AB602:AB606)</f>
        <v>26369.884740000001</v>
      </c>
      <c r="AC608" s="196"/>
      <c r="AD608" s="196"/>
      <c r="AE608" s="186" t="s">
        <v>265</v>
      </c>
      <c r="AF608" s="195">
        <f>+D472</f>
        <v>6452.902</v>
      </c>
      <c r="AG608" s="195">
        <f>+E472</f>
        <v>5617.6804800000009</v>
      </c>
      <c r="AH608" s="195">
        <f>+F472</f>
        <v>0</v>
      </c>
      <c r="AI608" s="195">
        <f t="shared" si="106"/>
        <v>5617.6804800000009</v>
      </c>
      <c r="AJ608" s="195">
        <f>+L472</f>
        <v>0</v>
      </c>
      <c r="AK608" s="195">
        <f t="shared" si="107"/>
        <v>5617.6804800000009</v>
      </c>
      <c r="AL608" s="195">
        <f>+O472</f>
        <v>835.22230000000002</v>
      </c>
      <c r="AM608" s="195">
        <f>+P472</f>
        <v>0</v>
      </c>
      <c r="AN608" s="195">
        <f t="shared" si="108"/>
        <v>835.22230000000002</v>
      </c>
      <c r="AO608" s="195">
        <f>+V472</f>
        <v>0</v>
      </c>
      <c r="AP608" s="195">
        <f t="shared" si="109"/>
        <v>835.22230000000002</v>
      </c>
      <c r="AQ608" s="195">
        <f t="shared" si="110"/>
        <v>6452.9027800000013</v>
      </c>
      <c r="AR608" s="195">
        <f t="shared" si="111"/>
        <v>-7.8000000121392077E-4</v>
      </c>
      <c r="AS608" s="195">
        <f t="shared" si="105"/>
        <v>0</v>
      </c>
    </row>
    <row r="609" spans="1:45" x14ac:dyDescent="0.2">
      <c r="A609" s="180"/>
      <c r="D609" s="182" t="s">
        <v>40</v>
      </c>
      <c r="E609" s="182" t="s">
        <v>40</v>
      </c>
      <c r="F609" s="182" t="s">
        <v>40</v>
      </c>
      <c r="G609" s="182"/>
      <c r="H609" s="182" t="s">
        <v>40</v>
      </c>
      <c r="I609" s="182" t="s">
        <v>40</v>
      </c>
      <c r="J609" s="182" t="s">
        <v>40</v>
      </c>
      <c r="K609" s="182" t="s">
        <v>40</v>
      </c>
      <c r="L609" s="182" t="s">
        <v>40</v>
      </c>
      <c r="M609" s="182"/>
      <c r="N609" s="182" t="s">
        <v>40</v>
      </c>
      <c r="O609" s="182" t="s">
        <v>40</v>
      </c>
      <c r="P609" s="182" t="s">
        <v>40</v>
      </c>
      <c r="Q609" s="182"/>
      <c r="R609" s="182" t="s">
        <v>40</v>
      </c>
      <c r="S609" s="182" t="s">
        <v>40</v>
      </c>
      <c r="T609" s="182" t="s">
        <v>40</v>
      </c>
      <c r="U609" s="182" t="s">
        <v>40</v>
      </c>
      <c r="V609" s="182" t="s">
        <v>40</v>
      </c>
      <c r="W609" s="182"/>
      <c r="X609" s="182" t="s">
        <v>40</v>
      </c>
      <c r="Y609" s="182" t="s">
        <v>40</v>
      </c>
      <c r="Z609" s="182" t="s">
        <v>40</v>
      </c>
      <c r="AA609" s="182" t="s">
        <v>40</v>
      </c>
      <c r="AB609" s="182" t="s">
        <v>40</v>
      </c>
      <c r="AC609" s="182"/>
      <c r="AD609" s="182"/>
      <c r="AE609" s="186" t="s">
        <v>259</v>
      </c>
      <c r="AF609" s="195">
        <f>D485+D473+D500</f>
        <v>40529</v>
      </c>
      <c r="AG609" s="195">
        <f>E485+E473+E500</f>
        <v>40529</v>
      </c>
      <c r="AH609" s="195">
        <f>F485+F473+F500</f>
        <v>0</v>
      </c>
      <c r="AI609" s="195">
        <f t="shared" si="106"/>
        <v>40529</v>
      </c>
      <c r="AJ609" s="195">
        <f>L485+L473+L500</f>
        <v>0</v>
      </c>
      <c r="AK609" s="195">
        <f t="shared" si="107"/>
        <v>40529</v>
      </c>
      <c r="AL609" s="195">
        <f>O485+O473+O500</f>
        <v>0</v>
      </c>
      <c r="AM609" s="195">
        <f>P485+P473+P500</f>
        <v>0</v>
      </c>
      <c r="AN609" s="195">
        <f t="shared" si="108"/>
        <v>0</v>
      </c>
      <c r="AO609" s="195">
        <f>V485+V473+V500</f>
        <v>0</v>
      </c>
      <c r="AP609" s="195">
        <f t="shared" si="109"/>
        <v>0</v>
      </c>
      <c r="AQ609" s="195">
        <f t="shared" si="110"/>
        <v>40529</v>
      </c>
      <c r="AR609" s="195">
        <f t="shared" si="111"/>
        <v>0</v>
      </c>
      <c r="AS609" s="195">
        <f t="shared" si="105"/>
        <v>46335.428110000008</v>
      </c>
    </row>
    <row r="610" spans="1:45" x14ac:dyDescent="0.2">
      <c r="A610" s="180">
        <v>44</v>
      </c>
      <c r="B610" s="165" t="s">
        <v>195</v>
      </c>
      <c r="C610" s="165" t="s">
        <v>365</v>
      </c>
      <c r="D610" s="181">
        <f>910000/1000</f>
        <v>910</v>
      </c>
      <c r="E610" s="181">
        <f>TOBEPAID!E449/1000</f>
        <v>910</v>
      </c>
      <c r="F610" s="181">
        <f>TOBEPAID!F449/1000</f>
        <v>0</v>
      </c>
      <c r="G610" s="181">
        <f>TOBEPAID!G449/1000</f>
        <v>0</v>
      </c>
      <c r="H610" s="181">
        <f>910000/1000</f>
        <v>910</v>
      </c>
      <c r="I610" s="181">
        <f>TOBEPAID!I449/1000</f>
        <v>0</v>
      </c>
      <c r="J610" s="181">
        <f>TOBEPAID!J449/1000</f>
        <v>0</v>
      </c>
      <c r="K610" s="181">
        <f>TOBEPAID!K449/1000</f>
        <v>0</v>
      </c>
      <c r="L610" s="181">
        <f>TOBEPAID!L449/1000</f>
        <v>0</v>
      </c>
      <c r="M610" s="181">
        <f>TOBEPAID!M449/1000</f>
        <v>0</v>
      </c>
      <c r="N610" s="181">
        <f>TOBEPAID!N449/1000</f>
        <v>910</v>
      </c>
      <c r="O610" s="181">
        <f>TOBEPAID!O449/1000</f>
        <v>0</v>
      </c>
      <c r="P610" s="181">
        <f>TOBEPAID!P449/1000</f>
        <v>0</v>
      </c>
      <c r="Q610" s="181">
        <f>TOBEPAID!Q449/1000</f>
        <v>0</v>
      </c>
      <c r="R610" s="181">
        <v>0</v>
      </c>
      <c r="S610" s="181">
        <f>TOBEPAID!S449/1000</f>
        <v>0</v>
      </c>
      <c r="T610" s="181">
        <f>TOBEPAID!T449/1000</f>
        <v>0</v>
      </c>
      <c r="U610" s="181">
        <f>TOBEPAID!U449/1000</f>
        <v>0</v>
      </c>
      <c r="V610" s="181">
        <f>TOBEPAID!V449/1000</f>
        <v>0</v>
      </c>
      <c r="W610" s="181">
        <f>TOBEPAID!W449/1000</f>
        <v>0</v>
      </c>
      <c r="X610" s="181">
        <f>TOBEPAID!X449/1000</f>
        <v>0</v>
      </c>
      <c r="Y610" s="181">
        <f t="shared" ref="Y610:Y615" si="112">+H610+R610</f>
        <v>910</v>
      </c>
      <c r="Z610" s="181">
        <f t="shared" ref="Z610:Z615" si="113">+D610-Y610</f>
        <v>0</v>
      </c>
      <c r="AA610" s="181">
        <f>TOBEPAID!AA449/1000</f>
        <v>910</v>
      </c>
      <c r="AB610" s="181">
        <f>TOBEPAID!AB449/1000</f>
        <v>0</v>
      </c>
      <c r="AC610" s="181"/>
      <c r="AD610" s="181"/>
      <c r="AE610" s="186" t="s">
        <v>262</v>
      </c>
      <c r="AF610" s="195">
        <f>D483+D513+D525+D540+D567+D596+D604+D605</f>
        <v>129027.519</v>
      </c>
      <c r="AG610" s="195">
        <f>E483+E513+E525+E540+E567+E596+E604+E605</f>
        <v>0</v>
      </c>
      <c r="AH610" s="195">
        <f>F483+F513+F525+F540+F567+F596+F604+F605</f>
        <v>0</v>
      </c>
      <c r="AI610" s="195">
        <f t="shared" si="106"/>
        <v>0</v>
      </c>
      <c r="AJ610" s="195">
        <f>L483+L513+L525+L540+L567+L596+L604+L605</f>
        <v>0</v>
      </c>
      <c r="AK610" s="195">
        <f t="shared" si="107"/>
        <v>0</v>
      </c>
      <c r="AL610" s="195">
        <f>O483+O513+O525+O540+O567+O596+O604+O605</f>
        <v>82692.090889999992</v>
      </c>
      <c r="AM610" s="195">
        <f>P483+P513+P525+P540+P567+P596+P604+P605</f>
        <v>0</v>
      </c>
      <c r="AN610" s="195">
        <f t="shared" si="108"/>
        <v>82692.090889999992</v>
      </c>
      <c r="AO610" s="195">
        <f>V483+V513+V525+V540+V567+V596+V604+V605</f>
        <v>0</v>
      </c>
      <c r="AP610" s="195">
        <f t="shared" si="109"/>
        <v>82692.090889999992</v>
      </c>
      <c r="AQ610" s="195">
        <f t="shared" si="110"/>
        <v>82692.090889999992</v>
      </c>
      <c r="AR610" s="195">
        <f t="shared" si="111"/>
        <v>46335.428110000008</v>
      </c>
      <c r="AS610" s="195">
        <f>+AG615-AR615</f>
        <v>19717.519860000004</v>
      </c>
    </row>
    <row r="611" spans="1:45" x14ac:dyDescent="0.2">
      <c r="A611" s="180"/>
      <c r="C611" s="165" t="s">
        <v>459</v>
      </c>
      <c r="D611" s="181">
        <f>95510000/1000</f>
        <v>95510</v>
      </c>
      <c r="E611" s="181"/>
      <c r="F611" s="181"/>
      <c r="G611" s="181"/>
      <c r="H611" s="181">
        <f>19849445/1000</f>
        <v>19849.445</v>
      </c>
      <c r="I611" s="181"/>
      <c r="J611" s="181"/>
      <c r="K611" s="181"/>
      <c r="L611" s="181"/>
      <c r="M611" s="181"/>
      <c r="N611" s="181"/>
      <c r="O611" s="181"/>
      <c r="P611" s="181"/>
      <c r="Q611" s="181"/>
      <c r="R611" s="181">
        <v>0</v>
      </c>
      <c r="S611" s="181"/>
      <c r="T611" s="181"/>
      <c r="U611" s="181"/>
      <c r="V611" s="181"/>
      <c r="W611" s="181"/>
      <c r="X611" s="181"/>
      <c r="Y611" s="181">
        <f t="shared" si="112"/>
        <v>19849.445</v>
      </c>
      <c r="Z611" s="181">
        <f t="shared" si="113"/>
        <v>75660.554999999993</v>
      </c>
      <c r="AA611" s="181"/>
      <c r="AB611" s="181"/>
      <c r="AC611" s="181"/>
      <c r="AD611" s="181"/>
      <c r="AE611" s="186"/>
      <c r="AF611" s="195"/>
      <c r="AG611" s="195"/>
      <c r="AH611" s="195"/>
      <c r="AI611" s="195"/>
      <c r="AJ611" s="195"/>
      <c r="AK611" s="195"/>
      <c r="AL611" s="195"/>
      <c r="AM611" s="195"/>
      <c r="AN611" s="195"/>
      <c r="AO611" s="195"/>
      <c r="AP611" s="195"/>
      <c r="AQ611" s="195"/>
      <c r="AR611" s="195"/>
      <c r="AS611" s="195"/>
    </row>
    <row r="612" spans="1:45" x14ac:dyDescent="0.2">
      <c r="A612" s="180"/>
      <c r="C612" s="165" t="s">
        <v>290</v>
      </c>
      <c r="D612" s="181">
        <f>2880111/1000</f>
        <v>2880.1109999999999</v>
      </c>
      <c r="E612" s="181"/>
      <c r="F612" s="181"/>
      <c r="G612" s="181"/>
      <c r="H612" s="181">
        <f>2880111/1000</f>
        <v>2880.1109999999999</v>
      </c>
      <c r="I612" s="181"/>
      <c r="J612" s="181"/>
      <c r="K612" s="181"/>
      <c r="L612" s="181"/>
      <c r="M612" s="181"/>
      <c r="N612" s="181"/>
      <c r="O612" s="181"/>
      <c r="P612" s="181"/>
      <c r="Q612" s="181"/>
      <c r="R612" s="181">
        <v>0</v>
      </c>
      <c r="S612" s="181"/>
      <c r="T612" s="181"/>
      <c r="U612" s="181"/>
      <c r="V612" s="181"/>
      <c r="W612" s="181"/>
      <c r="X612" s="181"/>
      <c r="Y612" s="181">
        <f t="shared" si="112"/>
        <v>2880.1109999999999</v>
      </c>
      <c r="Z612" s="181">
        <f t="shared" si="113"/>
        <v>0</v>
      </c>
      <c r="AA612" s="181"/>
      <c r="AB612" s="181"/>
      <c r="AC612" s="181"/>
      <c r="AD612" s="181"/>
      <c r="AE612" s="186"/>
      <c r="AF612" s="195"/>
      <c r="AG612" s="195"/>
      <c r="AH612" s="195"/>
      <c r="AI612" s="195"/>
      <c r="AJ612" s="195"/>
      <c r="AK612" s="195"/>
      <c r="AL612" s="195"/>
      <c r="AM612" s="195"/>
      <c r="AN612" s="195"/>
      <c r="AO612" s="195"/>
      <c r="AP612" s="195"/>
      <c r="AQ612" s="195"/>
      <c r="AR612" s="195"/>
      <c r="AS612" s="195"/>
    </row>
    <row r="613" spans="1:45" x14ac:dyDescent="0.2">
      <c r="A613" s="180"/>
      <c r="C613" s="165" t="s">
        <v>408</v>
      </c>
      <c r="D613" s="181">
        <f>6656726/1000</f>
        <v>6656.7259999999997</v>
      </c>
      <c r="E613" s="181"/>
      <c r="F613" s="181"/>
      <c r="G613" s="181"/>
      <c r="H613" s="181">
        <f>6656726/1000</f>
        <v>6656.7259999999997</v>
      </c>
      <c r="I613" s="181"/>
      <c r="J613" s="181"/>
      <c r="K613" s="181"/>
      <c r="L613" s="181"/>
      <c r="M613" s="181"/>
      <c r="N613" s="181"/>
      <c r="O613" s="181"/>
      <c r="P613" s="181"/>
      <c r="Q613" s="181"/>
      <c r="R613" s="181">
        <v>0</v>
      </c>
      <c r="S613" s="181"/>
      <c r="T613" s="181"/>
      <c r="U613" s="181"/>
      <c r="V613" s="181"/>
      <c r="W613" s="181"/>
      <c r="X613" s="181"/>
      <c r="Y613" s="181">
        <f t="shared" si="112"/>
        <v>6656.7259999999997</v>
      </c>
      <c r="Z613" s="181">
        <f t="shared" si="113"/>
        <v>0</v>
      </c>
      <c r="AA613" s="181"/>
      <c r="AB613" s="181"/>
      <c r="AC613" s="181"/>
      <c r="AD613" s="181"/>
      <c r="AE613" s="186"/>
      <c r="AF613" s="195"/>
      <c r="AG613" s="195"/>
      <c r="AH613" s="195"/>
      <c r="AI613" s="195"/>
      <c r="AJ613" s="195"/>
      <c r="AK613" s="195"/>
      <c r="AL613" s="195"/>
      <c r="AM613" s="195"/>
      <c r="AN613" s="195"/>
      <c r="AO613" s="195"/>
      <c r="AP613" s="195"/>
      <c r="AQ613" s="195"/>
      <c r="AR613" s="195"/>
      <c r="AS613" s="195"/>
    </row>
    <row r="614" spans="1:45" x14ac:dyDescent="0.2">
      <c r="A614" s="180"/>
      <c r="C614" s="165" t="s">
        <v>429</v>
      </c>
      <c r="D614" s="181">
        <f>11123956/1000</f>
        <v>11123.956</v>
      </c>
      <c r="E614" s="181"/>
      <c r="F614" s="181"/>
      <c r="G614" s="181"/>
      <c r="H614" s="181">
        <f>11123956/1000</f>
        <v>11123.956</v>
      </c>
      <c r="I614" s="181"/>
      <c r="J614" s="181"/>
      <c r="K614" s="181"/>
      <c r="L614" s="181"/>
      <c r="M614" s="181"/>
      <c r="N614" s="181"/>
      <c r="O614" s="181"/>
      <c r="P614" s="181"/>
      <c r="Q614" s="181"/>
      <c r="R614" s="181">
        <v>0</v>
      </c>
      <c r="S614" s="181"/>
      <c r="T614" s="181"/>
      <c r="U614" s="181"/>
      <c r="V614" s="181"/>
      <c r="W614" s="181"/>
      <c r="X614" s="181"/>
      <c r="Y614" s="181">
        <f t="shared" si="112"/>
        <v>11123.956</v>
      </c>
      <c r="Z614" s="181">
        <f t="shared" si="113"/>
        <v>0</v>
      </c>
      <c r="AA614" s="181"/>
      <c r="AB614" s="181"/>
      <c r="AC614" s="181"/>
      <c r="AD614" s="181"/>
      <c r="AE614" s="186"/>
      <c r="AF614" s="195"/>
      <c r="AG614" s="195"/>
      <c r="AH614" s="195"/>
      <c r="AI614" s="195"/>
      <c r="AJ614" s="195"/>
      <c r="AK614" s="195"/>
      <c r="AL614" s="195"/>
      <c r="AM614" s="195"/>
      <c r="AN614" s="195"/>
      <c r="AO614" s="195"/>
      <c r="AP614" s="195"/>
      <c r="AQ614" s="195"/>
      <c r="AR614" s="195"/>
      <c r="AS614" s="195"/>
    </row>
    <row r="615" spans="1:45" x14ac:dyDescent="0.2">
      <c r="C615" s="166" t="s">
        <v>35</v>
      </c>
      <c r="D615" s="181">
        <f>5404234/1000</f>
        <v>5404.2340000000004</v>
      </c>
      <c r="E615" s="181">
        <f>TOBEPAID!E450/1000</f>
        <v>0</v>
      </c>
      <c r="F615" s="181">
        <f>TOBEPAID!F450/1000</f>
        <v>0</v>
      </c>
      <c r="G615" s="181">
        <f>TOBEPAID!G450/1000</f>
        <v>0</v>
      </c>
      <c r="H615" s="181">
        <f>5362000/1000</f>
        <v>5362</v>
      </c>
      <c r="I615" s="181">
        <f>TOBEPAID!I450/1000</f>
        <v>0</v>
      </c>
      <c r="J615" s="181">
        <f>TOBEPAID!J450/1000</f>
        <v>0</v>
      </c>
      <c r="K615" s="181">
        <f>TOBEPAID!K450/1000</f>
        <v>0</v>
      </c>
      <c r="L615" s="181">
        <f>TOBEPAID!L450/1000</f>
        <v>0</v>
      </c>
      <c r="M615" s="181">
        <f>TOBEPAID!M450/1000</f>
        <v>0</v>
      </c>
      <c r="N615" s="181">
        <f>TOBEPAID!N450/1000</f>
        <v>0</v>
      </c>
      <c r="O615" s="181">
        <f>TOBEPAID!O450/1000</f>
        <v>0</v>
      </c>
      <c r="P615" s="181">
        <f>TOBEPAID!P450/1000</f>
        <v>0</v>
      </c>
      <c r="Q615" s="181">
        <f>TOBEPAID!Q450/1000</f>
        <v>0</v>
      </c>
      <c r="R615" s="181">
        <v>0</v>
      </c>
      <c r="S615" s="181">
        <f>TOBEPAID!S450/1000</f>
        <v>0</v>
      </c>
      <c r="T615" s="181">
        <f>TOBEPAID!T450/1000</f>
        <v>0</v>
      </c>
      <c r="U615" s="181">
        <f>TOBEPAID!U450/1000</f>
        <v>0</v>
      </c>
      <c r="V615" s="181">
        <f>TOBEPAID!V450/1000</f>
        <v>0</v>
      </c>
      <c r="W615" s="181">
        <f>TOBEPAID!W450/1000</f>
        <v>0</v>
      </c>
      <c r="X615" s="181">
        <f>TOBEPAID!X450/1000</f>
        <v>0</v>
      </c>
      <c r="Y615" s="181">
        <f t="shared" si="112"/>
        <v>5362</v>
      </c>
      <c r="Z615" s="181">
        <f t="shared" si="113"/>
        <v>42.234000000000378</v>
      </c>
      <c r="AA615" s="181">
        <f>TOBEPAID!AA450/1000</f>
        <v>0</v>
      </c>
      <c r="AB615" s="181">
        <f>TOBEPAID!AB450/1000</f>
        <v>5404.2346799999996</v>
      </c>
      <c r="AC615" s="181"/>
      <c r="AD615" s="181"/>
      <c r="AE615" s="186" t="s">
        <v>53</v>
      </c>
      <c r="AF615" s="195">
        <f>+D523+D534+D575</f>
        <v>19717.516</v>
      </c>
      <c r="AG615" s="195">
        <f>+E523+E534+E575</f>
        <v>19717.517930000002</v>
      </c>
      <c r="AH615" s="195">
        <f>+F523+F534+F575</f>
        <v>0</v>
      </c>
      <c r="AI615" s="195">
        <f>+AG615+AH615</f>
        <v>19717.517930000002</v>
      </c>
      <c r="AJ615" s="195">
        <f>+L534+L534+L575</f>
        <v>0</v>
      </c>
      <c r="AK615" s="195">
        <f>+AI615+AJ615</f>
        <v>19717.517930000002</v>
      </c>
      <c r="AL615" s="195">
        <f>+O534+O575</f>
        <v>0</v>
      </c>
      <c r="AM615" s="195">
        <f>+P534+P575</f>
        <v>0</v>
      </c>
      <c r="AN615" s="195">
        <f>+AL615+AM615</f>
        <v>0</v>
      </c>
      <c r="AO615" s="195">
        <f>+V534+V575</f>
        <v>0</v>
      </c>
      <c r="AP615" s="195">
        <f>+AN615+AO615:AO615</f>
        <v>0</v>
      </c>
      <c r="AQ615" s="195">
        <f>+AI615+AN615</f>
        <v>19717.517930000002</v>
      </c>
      <c r="AR615" s="195">
        <f>+AF615-AQ615</f>
        <v>-1.9300000021758024E-3</v>
      </c>
    </row>
    <row r="616" spans="1:45" x14ac:dyDescent="0.2">
      <c r="D616" s="182" t="s">
        <v>40</v>
      </c>
      <c r="E616" s="182" t="s">
        <v>40</v>
      </c>
      <c r="F616" s="182" t="s">
        <v>40</v>
      </c>
      <c r="G616" s="182"/>
      <c r="H616" s="182" t="s">
        <v>40</v>
      </c>
      <c r="I616" s="182" t="s">
        <v>40</v>
      </c>
      <c r="J616" s="182" t="s">
        <v>40</v>
      </c>
      <c r="K616" s="182" t="s">
        <v>40</v>
      </c>
      <c r="L616" s="182" t="s">
        <v>40</v>
      </c>
      <c r="M616" s="182"/>
      <c r="N616" s="182" t="s">
        <v>40</v>
      </c>
      <c r="O616" s="182" t="s">
        <v>40</v>
      </c>
      <c r="P616" s="182" t="s">
        <v>40</v>
      </c>
      <c r="Q616" s="182"/>
      <c r="R616" s="182" t="s">
        <v>40</v>
      </c>
      <c r="S616" s="182" t="s">
        <v>40</v>
      </c>
      <c r="T616" s="182" t="s">
        <v>40</v>
      </c>
      <c r="U616" s="182" t="s">
        <v>40</v>
      </c>
      <c r="V616" s="182" t="s">
        <v>40</v>
      </c>
      <c r="W616" s="182"/>
      <c r="X616" s="182" t="s">
        <v>40</v>
      </c>
      <c r="Y616" s="182" t="s">
        <v>40</v>
      </c>
      <c r="Z616" s="182" t="s">
        <v>40</v>
      </c>
      <c r="AA616" s="182" t="s">
        <v>40</v>
      </c>
      <c r="AB616" s="182" t="s">
        <v>40</v>
      </c>
      <c r="AC616" s="182"/>
      <c r="AD616" s="182"/>
      <c r="AE616" s="186" t="s">
        <v>347</v>
      </c>
      <c r="AS616" s="195">
        <f>+AF617-AK617-AP617</f>
        <v>2603.8951099999977</v>
      </c>
    </row>
    <row r="617" spans="1:45" x14ac:dyDescent="0.2">
      <c r="D617" s="191">
        <f>SUM(D610:D615)</f>
        <v>122485.027</v>
      </c>
      <c r="E617" s="191">
        <f>SUM(E610:E615)</f>
        <v>910</v>
      </c>
      <c r="F617" s="191">
        <f>SUM(F610:F615)</f>
        <v>0</v>
      </c>
      <c r="G617" s="191"/>
      <c r="H617" s="191">
        <f>SUM(H610:H615)</f>
        <v>46782.237999999998</v>
      </c>
      <c r="I617" s="191">
        <f>SUM(I610:I615)</f>
        <v>0</v>
      </c>
      <c r="J617" s="191">
        <f>SUM(J610:J615)</f>
        <v>0</v>
      </c>
      <c r="K617" s="191">
        <f>SUM(K610:K615)</f>
        <v>0</v>
      </c>
      <c r="L617" s="191">
        <f>SUM(L610:L615)</f>
        <v>0</v>
      </c>
      <c r="M617" s="191"/>
      <c r="N617" s="191">
        <f>SUM(N610:N615)</f>
        <v>910</v>
      </c>
      <c r="O617" s="191">
        <f>SUM(O610:O615)</f>
        <v>0</v>
      </c>
      <c r="P617" s="191">
        <f>SUM(P610:P615)</f>
        <v>0</v>
      </c>
      <c r="Q617" s="191"/>
      <c r="R617" s="191">
        <f>SUM(R610:R615)</f>
        <v>0</v>
      </c>
      <c r="S617" s="191">
        <f>SUM(S610:S615)</f>
        <v>0</v>
      </c>
      <c r="T617" s="191">
        <f>SUM(T610:T615)</f>
        <v>0</v>
      </c>
      <c r="U617" s="191">
        <f>SUM(U610:U615)</f>
        <v>0</v>
      </c>
      <c r="V617" s="191">
        <f>SUM(V610:V615)</f>
        <v>0</v>
      </c>
      <c r="W617" s="191"/>
      <c r="X617" s="191">
        <f>SUM(X610:X615)</f>
        <v>0</v>
      </c>
      <c r="Y617" s="191">
        <f>SUM(Y610:Y615)</f>
        <v>46782.237999999998</v>
      </c>
      <c r="Z617" s="191">
        <f>SUM(Z610:Z615)</f>
        <v>75702.78899999999</v>
      </c>
      <c r="AA617" s="191">
        <f>SUM(AA610:AA615)</f>
        <v>910</v>
      </c>
      <c r="AB617" s="191">
        <f>SUM(AB610:AB615)</f>
        <v>5404.2346799999996</v>
      </c>
      <c r="AC617" s="191"/>
      <c r="AD617" s="191"/>
      <c r="AF617" s="195">
        <f>D484+D514+D526+D541+D597</f>
        <v>64201.57703</v>
      </c>
      <c r="AG617" s="195">
        <f>E484+E514+E526+E541+E597</f>
        <v>0</v>
      </c>
      <c r="AH617" s="195">
        <f>F484+F514+F526+F541+F597</f>
        <v>0</v>
      </c>
      <c r="AI617" s="195">
        <f>+AG617+AH617</f>
        <v>0</v>
      </c>
      <c r="AJ617" s="195">
        <f>H484+H514+H526+H541+H597</f>
        <v>3000</v>
      </c>
      <c r="AK617" s="195">
        <f>+AI617+AJ617</f>
        <v>3000</v>
      </c>
      <c r="AL617" s="195">
        <f>O484+O514+O526+O541+O597</f>
        <v>58597.681920000003</v>
      </c>
      <c r="AM617" s="195">
        <f>P484+P514+P526+P541+P597</f>
        <v>0</v>
      </c>
      <c r="AN617" s="195">
        <f>+AL617+AM617</f>
        <v>58597.681920000003</v>
      </c>
      <c r="AO617" s="195">
        <f>V484+V514+V526+V541+V597</f>
        <v>0</v>
      </c>
      <c r="AP617" s="195">
        <f>+AN617+AO617:AO617</f>
        <v>58597.681920000003</v>
      </c>
      <c r="AQ617" s="195">
        <f>+AI617+AN617</f>
        <v>58597.681920000003</v>
      </c>
      <c r="AR617" s="195">
        <f>+AF617-AQ617</f>
        <v>5603.8951099999977</v>
      </c>
      <c r="AS617" s="195">
        <f>SUM(AS598:AS616)</f>
        <v>398672.68948999984</v>
      </c>
    </row>
    <row r="618" spans="1:45" x14ac:dyDescent="0.2">
      <c r="A618" s="180"/>
      <c r="D618" s="182" t="s">
        <v>40</v>
      </c>
      <c r="E618" s="182" t="s">
        <v>40</v>
      </c>
      <c r="F618" s="182" t="s">
        <v>40</v>
      </c>
      <c r="G618" s="182"/>
      <c r="H618" s="182" t="s">
        <v>40</v>
      </c>
      <c r="I618" s="182" t="s">
        <v>40</v>
      </c>
      <c r="J618" s="182" t="s">
        <v>40</v>
      </c>
      <c r="K618" s="182" t="s">
        <v>40</v>
      </c>
      <c r="L618" s="182" t="s">
        <v>40</v>
      </c>
      <c r="M618" s="182"/>
      <c r="N618" s="182" t="s">
        <v>40</v>
      </c>
      <c r="O618" s="182" t="s">
        <v>40</v>
      </c>
      <c r="P618" s="182" t="s">
        <v>40</v>
      </c>
      <c r="Q618" s="182"/>
      <c r="R618" s="182" t="s">
        <v>40</v>
      </c>
      <c r="S618" s="182" t="s">
        <v>40</v>
      </c>
      <c r="T618" s="182" t="s">
        <v>40</v>
      </c>
      <c r="U618" s="182" t="s">
        <v>40</v>
      </c>
      <c r="V618" s="182" t="s">
        <v>40</v>
      </c>
      <c r="W618" s="182"/>
      <c r="X618" s="182" t="s">
        <v>40</v>
      </c>
      <c r="Y618" s="182" t="s">
        <v>40</v>
      </c>
      <c r="Z618" s="182" t="s">
        <v>40</v>
      </c>
      <c r="AA618" s="182" t="s">
        <v>40</v>
      </c>
      <c r="AB618" s="182" t="s">
        <v>40</v>
      </c>
      <c r="AC618" s="182"/>
      <c r="AD618" s="182"/>
      <c r="AE618" s="186" t="s">
        <v>54</v>
      </c>
      <c r="AF618" s="195">
        <f t="shared" ref="AF618:AR618" si="114">SUM(AF599:AF617)</f>
        <v>675877.62411999993</v>
      </c>
      <c r="AG618" s="195">
        <f t="shared" si="114"/>
        <v>123933.44157</v>
      </c>
      <c r="AH618" s="195">
        <f t="shared" si="114"/>
        <v>0</v>
      </c>
      <c r="AI618" s="195">
        <f t="shared" si="114"/>
        <v>123933.44157</v>
      </c>
      <c r="AJ618" s="195">
        <f t="shared" si="114"/>
        <v>3000</v>
      </c>
      <c r="AK618" s="195">
        <f t="shared" si="114"/>
        <v>126933.44157</v>
      </c>
      <c r="AL618" s="195">
        <f t="shared" si="114"/>
        <v>169989.01485000001</v>
      </c>
      <c r="AM618" s="195">
        <f t="shared" si="114"/>
        <v>0</v>
      </c>
      <c r="AN618" s="195">
        <f t="shared" si="114"/>
        <v>169989.01485000001</v>
      </c>
      <c r="AO618" s="195">
        <f t="shared" si="114"/>
        <v>0</v>
      </c>
      <c r="AP618" s="195">
        <f t="shared" si="114"/>
        <v>169989.01485000001</v>
      </c>
      <c r="AQ618" s="195">
        <f t="shared" si="114"/>
        <v>293922.45642</v>
      </c>
      <c r="AR618" s="195">
        <f t="shared" si="114"/>
        <v>381955.16769999982</v>
      </c>
    </row>
    <row r="619" spans="1:45" x14ac:dyDescent="0.2">
      <c r="A619" s="180"/>
      <c r="B619" s="202" t="s">
        <v>3</v>
      </c>
      <c r="C619" s="202" t="s">
        <v>178</v>
      </c>
      <c r="D619" s="196">
        <f>D475+D487+D502+D516+D528+D543+D552+D564+D578+D589+D599+D608+D617</f>
        <v>3893709.5405200003</v>
      </c>
      <c r="E619" s="196">
        <f>E475+E487+E502+E516+E528+E543+E552+E564+E578+E589+E599+E608+E617</f>
        <v>123933.44157</v>
      </c>
      <c r="F619" s="196">
        <f>F475+F487+F502+F516+F528+F543+F552+F564+F578+F589+F599+F608+F617</f>
        <v>0</v>
      </c>
      <c r="G619" s="196"/>
      <c r="H619" s="196">
        <f>H475+H487+H502+H516+H528+H543+H552+H564+H578+H589+H599+H608+H617</f>
        <v>3447085.1903100004</v>
      </c>
      <c r="I619" s="196">
        <f>I475+I487+I502+I516+I528+I543+I552+I564+I578+I589+I599+I608+I617</f>
        <v>0</v>
      </c>
      <c r="J619" s="196">
        <f>J475+J487+J502+J516+J528+J543+J552+J564+J578+J589+J599+J608+J617</f>
        <v>0</v>
      </c>
      <c r="K619" s="196">
        <f>K475+K487+K502+K516+K528+K543+K552+K564+K578+K589+K599+K608+K617</f>
        <v>0</v>
      </c>
      <c r="L619" s="196">
        <f>L475+L487+L502+L516+L528+L543+L552+L564+L578+L589+L599+L608+L617</f>
        <v>0</v>
      </c>
      <c r="M619" s="196"/>
      <c r="N619" s="196">
        <f>N475+N487+N502+N516+N528+N543+N552+N564+N578+N589+N599+N608+N617</f>
        <v>123933.44157</v>
      </c>
      <c r="O619" s="196">
        <f>O475+O487+O502+O516+O528+O543+O552+O564+O578+O589+O599+O608+O617</f>
        <v>169989.01484999998</v>
      </c>
      <c r="P619" s="196">
        <f>P475+P487+P502+P516+P528+P543+P552+P564+P578+P589+P599+P608+P617</f>
        <v>0</v>
      </c>
      <c r="Q619" s="196"/>
      <c r="R619" s="196">
        <f>R475+R487+R502+R516+R528+R543+R552+R564+R578+R589+R599+R608+R617</f>
        <v>175155.29417000004</v>
      </c>
      <c r="S619" s="196">
        <f>S475+S487+S502+S516+S528+S543+S552+S564+S578+S589+S599+S608+S617</f>
        <v>0</v>
      </c>
      <c r="T619" s="196">
        <f>T475+T487+T502+T516+T528+T543+T552+T564+T578+T589+T599+T608+T617</f>
        <v>0</v>
      </c>
      <c r="U619" s="196">
        <f>U475+U487+U502+U516+U528+U543+U552+U564+U578+U589+U599+U608+U617</f>
        <v>0</v>
      </c>
      <c r="V619" s="196">
        <f>V475+V487+V502+V516+V528+V543+V552+V564+V578+V589+V599+V608+V617</f>
        <v>0</v>
      </c>
      <c r="W619" s="196"/>
      <c r="X619" s="196">
        <f>X475+X487+X502+X516+X528+X543+X552+X564+X578+X589+X599+X608+X617</f>
        <v>169989.01484999998</v>
      </c>
      <c r="Y619" s="196">
        <f>Y475+Y487+Y502+Y516+Y528+Y543+Y552+Y564+Y578+Y589+Y599+Y608+Y617</f>
        <v>3622240.4844799996</v>
      </c>
      <c r="Z619" s="196">
        <f>Z475+Z487+Z502+Z516+Z528+Z543+Z552+Z564+Z578+Z589+Z599+Z608+Z617</f>
        <v>271469.05625999998</v>
      </c>
      <c r="AA619" s="196">
        <f>AA475+AA487+AA502+AA516+AA528+AA543+AA552+AA564+AA578+AA589+AA599+AA608+AA617</f>
        <v>293922.45642000006</v>
      </c>
      <c r="AB619" s="196">
        <f>AB475+AB487+AB502+AB516+AB528+AB543+AB552+AB564+AB578+AB589+AB599+AB608+AB617</f>
        <v>393210.72782000003</v>
      </c>
      <c r="AC619" s="196"/>
      <c r="AD619" s="196"/>
    </row>
    <row r="620" spans="1:45" x14ac:dyDescent="0.2">
      <c r="A620" s="180"/>
      <c r="D620" s="182" t="s">
        <v>50</v>
      </c>
      <c r="E620" s="182" t="s">
        <v>50</v>
      </c>
      <c r="F620" s="182" t="s">
        <v>50</v>
      </c>
      <c r="G620" s="182"/>
      <c r="H620" s="182" t="s">
        <v>50</v>
      </c>
      <c r="I620" s="182" t="s">
        <v>50</v>
      </c>
      <c r="J620" s="182" t="s">
        <v>50</v>
      </c>
      <c r="K620" s="182" t="s">
        <v>50</v>
      </c>
      <c r="L620" s="182" t="s">
        <v>50</v>
      </c>
      <c r="M620" s="182"/>
      <c r="N620" s="182" t="s">
        <v>50</v>
      </c>
      <c r="O620" s="182" t="s">
        <v>50</v>
      </c>
      <c r="P620" s="182" t="s">
        <v>50</v>
      </c>
      <c r="Q620" s="182"/>
      <c r="R620" s="182" t="s">
        <v>50</v>
      </c>
      <c r="S620" s="182" t="s">
        <v>50</v>
      </c>
      <c r="T620" s="182" t="s">
        <v>50</v>
      </c>
      <c r="U620" s="182" t="s">
        <v>50</v>
      </c>
      <c r="V620" s="182" t="s">
        <v>50</v>
      </c>
      <c r="W620" s="182"/>
      <c r="X620" s="182" t="s">
        <v>50</v>
      </c>
      <c r="Y620" s="182" t="s">
        <v>50</v>
      </c>
      <c r="Z620" s="182" t="s">
        <v>50</v>
      </c>
      <c r="AA620" s="182" t="s">
        <v>50</v>
      </c>
      <c r="AB620" s="182" t="s">
        <v>50</v>
      </c>
      <c r="AC620" s="182"/>
      <c r="AD620" s="182"/>
      <c r="AE620" s="204"/>
    </row>
    <row r="621" spans="1:45" x14ac:dyDescent="0.2">
      <c r="A621" s="180"/>
      <c r="C621" s="186"/>
      <c r="D621" s="191"/>
      <c r="E621" s="191"/>
      <c r="F621" s="191"/>
      <c r="G621" s="191"/>
      <c r="H621" s="191"/>
      <c r="I621" s="191"/>
      <c r="J621" s="191"/>
      <c r="K621" s="191"/>
      <c r="L621" s="191"/>
      <c r="M621" s="191"/>
      <c r="N621" s="191"/>
      <c r="O621" s="191"/>
      <c r="P621" s="191"/>
      <c r="Q621" s="191"/>
      <c r="R621" s="191"/>
      <c r="S621" s="191"/>
      <c r="T621" s="191"/>
      <c r="U621" s="191"/>
      <c r="V621" s="191"/>
      <c r="W621" s="191"/>
      <c r="X621" s="191"/>
      <c r="Y621" s="191"/>
      <c r="Z621" s="191"/>
      <c r="AA621" s="191"/>
      <c r="AB621" s="191"/>
      <c r="AC621" s="191"/>
      <c r="AD621" s="191"/>
    </row>
    <row r="622" spans="1:45" x14ac:dyDescent="0.2">
      <c r="A622" s="180"/>
      <c r="D622" s="191"/>
      <c r="E622" s="191"/>
      <c r="F622" s="191"/>
      <c r="G622" s="191"/>
      <c r="H622" s="191"/>
      <c r="I622" s="191"/>
      <c r="J622" s="191"/>
      <c r="K622" s="191"/>
      <c r="L622" s="191"/>
      <c r="M622" s="191"/>
      <c r="N622" s="191"/>
      <c r="O622" s="191"/>
      <c r="P622" s="191"/>
      <c r="Q622" s="191"/>
      <c r="R622" s="191"/>
      <c r="S622" s="191"/>
      <c r="T622" s="191"/>
      <c r="U622" s="191"/>
      <c r="V622" s="191"/>
      <c r="W622" s="191"/>
      <c r="X622" s="191"/>
      <c r="Y622" s="191"/>
      <c r="Z622" s="191"/>
      <c r="AA622" s="191"/>
      <c r="AB622" s="191"/>
      <c r="AC622" s="191"/>
      <c r="AD622" s="191"/>
    </row>
    <row r="623" spans="1:45" x14ac:dyDescent="0.2">
      <c r="A623" s="180"/>
      <c r="B623" s="166" t="s">
        <v>77</v>
      </c>
      <c r="D623" s="191"/>
      <c r="E623" s="191"/>
      <c r="F623" s="191"/>
      <c r="G623" s="191"/>
      <c r="H623" s="191"/>
      <c r="I623" s="191"/>
      <c r="J623" s="191"/>
      <c r="K623" s="191"/>
      <c r="L623" s="191"/>
      <c r="M623" s="191"/>
      <c r="N623" s="191"/>
      <c r="O623" s="191"/>
      <c r="P623" s="191"/>
      <c r="Q623" s="191"/>
      <c r="R623" s="191"/>
      <c r="S623" s="191"/>
      <c r="T623" s="191"/>
      <c r="U623" s="191"/>
      <c r="V623" s="191"/>
      <c r="W623" s="191"/>
      <c r="X623" s="191"/>
      <c r="Y623" s="191"/>
      <c r="Z623" s="191"/>
      <c r="AA623" s="191"/>
      <c r="AB623" s="191"/>
      <c r="AC623" s="191"/>
      <c r="AD623" s="191"/>
    </row>
    <row r="624" spans="1:45" x14ac:dyDescent="0.2">
      <c r="A624" s="180"/>
      <c r="D624" s="191"/>
      <c r="E624" s="191"/>
      <c r="F624" s="191"/>
      <c r="G624" s="191"/>
      <c r="H624" s="191"/>
      <c r="I624" s="191"/>
      <c r="J624" s="191"/>
      <c r="K624" s="191"/>
      <c r="L624" s="191"/>
      <c r="M624" s="191"/>
      <c r="N624" s="191"/>
      <c r="O624" s="191"/>
      <c r="P624" s="191"/>
      <c r="Q624" s="191"/>
      <c r="R624" s="191"/>
      <c r="S624" s="191"/>
      <c r="T624" s="191"/>
      <c r="U624" s="191"/>
      <c r="V624" s="191"/>
      <c r="W624" s="191"/>
      <c r="X624" s="191"/>
      <c r="Y624" s="191"/>
      <c r="Z624" s="191"/>
      <c r="AA624" s="191"/>
      <c r="AB624" s="191"/>
      <c r="AC624" s="191"/>
      <c r="AD624" s="191"/>
    </row>
    <row r="625" spans="1:30" x14ac:dyDescent="0.2">
      <c r="A625" s="180">
        <v>45</v>
      </c>
      <c r="B625" s="166" t="s">
        <v>368</v>
      </c>
      <c r="C625" s="166" t="s">
        <v>35</v>
      </c>
      <c r="D625" s="181">
        <f>61936042.23/1000</f>
        <v>61936.042229999999</v>
      </c>
      <c r="E625" s="181">
        <f>TOBEPAID!E460/1000</f>
        <v>0</v>
      </c>
      <c r="F625" s="181">
        <f>TOBEPAID!F460/1000</f>
        <v>0</v>
      </c>
      <c r="G625" s="181">
        <f>TOBEPAID!G460/1000</f>
        <v>0</v>
      </c>
      <c r="H625" s="181">
        <v>0</v>
      </c>
      <c r="I625" s="181">
        <f>TOBEPAID!I460/1000</f>
        <v>0</v>
      </c>
      <c r="J625" s="181">
        <f>TOBEPAID!J460/1000</f>
        <v>0</v>
      </c>
      <c r="K625" s="181">
        <f>TOBEPAID!K460/1000</f>
        <v>0</v>
      </c>
      <c r="L625" s="181">
        <f>TOBEPAID!L460/1000</f>
        <v>0</v>
      </c>
      <c r="M625" s="181">
        <f>TOBEPAID!M460/1000</f>
        <v>0</v>
      </c>
      <c r="N625" s="181">
        <f>TOBEPAID!N460/1000</f>
        <v>0</v>
      </c>
      <c r="O625" s="181">
        <f>TOBEPAID!O460/1000</f>
        <v>128.25638999999998</v>
      </c>
      <c r="P625" s="181">
        <f>TOBEPAID!P460/1000</f>
        <v>0</v>
      </c>
      <c r="Q625" s="181">
        <f>TOBEPAID!Q460/1000</f>
        <v>0</v>
      </c>
      <c r="R625" s="181">
        <f>26962326/1000</f>
        <v>26962.326000000001</v>
      </c>
      <c r="S625" s="181">
        <f>TOBEPAID!S460/1000</f>
        <v>0</v>
      </c>
      <c r="T625" s="181">
        <f>TOBEPAID!T460/1000</f>
        <v>0</v>
      </c>
      <c r="U625" s="181">
        <f>TOBEPAID!U460/1000</f>
        <v>0</v>
      </c>
      <c r="V625" s="181">
        <f>TOBEPAID!V460/1000</f>
        <v>0</v>
      </c>
      <c r="W625" s="181">
        <f>TOBEPAID!W460/1000</f>
        <v>0</v>
      </c>
      <c r="X625" s="181">
        <f>TOBEPAID!X460/1000</f>
        <v>128.25638999999998</v>
      </c>
      <c r="Y625" s="181">
        <f t="shared" ref="Y625:Y631" si="115">+H625+R625</f>
        <v>26962.326000000001</v>
      </c>
      <c r="Z625" s="181">
        <f t="shared" ref="Z625:Z631" si="116">+D625-Y625</f>
        <v>34973.716229999998</v>
      </c>
      <c r="AA625" s="181">
        <f>TOBEPAID!AA460/1000</f>
        <v>128.25638999999998</v>
      </c>
      <c r="AB625" s="181">
        <f>TOBEPAID!AB460/1000</f>
        <v>1501.3693500000002</v>
      </c>
      <c r="AC625" s="181"/>
      <c r="AD625" s="181"/>
    </row>
    <row r="626" spans="1:30" x14ac:dyDescent="0.2">
      <c r="A626" s="180"/>
      <c r="C626" s="168" t="s">
        <v>36</v>
      </c>
      <c r="D626" s="181">
        <f>1849609.58/1000</f>
        <v>1849.6095800000001</v>
      </c>
      <c r="E626" s="181">
        <f>TOBEPAID!E461/1000</f>
        <v>1849.6095800000001</v>
      </c>
      <c r="F626" s="181">
        <f>TOBEPAID!F461/1000</f>
        <v>0</v>
      </c>
      <c r="G626" s="181">
        <f>TOBEPAID!G461/1000</f>
        <v>0</v>
      </c>
      <c r="H626" s="181">
        <f>1849609/1000</f>
        <v>1849.6089999999999</v>
      </c>
      <c r="I626" s="181">
        <f>TOBEPAID!I461/1000</f>
        <v>0</v>
      </c>
      <c r="J626" s="181">
        <f>TOBEPAID!J461/1000</f>
        <v>0</v>
      </c>
      <c r="K626" s="181">
        <f>TOBEPAID!K461/1000</f>
        <v>0</v>
      </c>
      <c r="L626" s="181">
        <f>TOBEPAID!L461/1000</f>
        <v>0</v>
      </c>
      <c r="M626" s="181">
        <f>TOBEPAID!M461/1000</f>
        <v>0</v>
      </c>
      <c r="N626" s="181">
        <f>TOBEPAID!N461/1000</f>
        <v>1849.6095800000001</v>
      </c>
      <c r="O626" s="181">
        <f>TOBEPAID!O461/1000</f>
        <v>0</v>
      </c>
      <c r="P626" s="181">
        <f>TOBEPAID!P461/1000</f>
        <v>0</v>
      </c>
      <c r="Q626" s="181">
        <f>TOBEPAID!Q461/1000</f>
        <v>0</v>
      </c>
      <c r="R626" s="181">
        <v>0</v>
      </c>
      <c r="S626" s="181">
        <f>TOBEPAID!S461/1000</f>
        <v>0</v>
      </c>
      <c r="T626" s="181">
        <f>TOBEPAID!T461/1000</f>
        <v>0</v>
      </c>
      <c r="U626" s="181">
        <f>TOBEPAID!U461/1000</f>
        <v>0</v>
      </c>
      <c r="V626" s="181">
        <f>TOBEPAID!V461/1000</f>
        <v>0</v>
      </c>
      <c r="W626" s="181">
        <f>TOBEPAID!W461/1000</f>
        <v>0</v>
      </c>
      <c r="X626" s="181">
        <f>TOBEPAID!X461/1000</f>
        <v>0</v>
      </c>
      <c r="Y626" s="181">
        <f t="shared" si="115"/>
        <v>1849.6089999999999</v>
      </c>
      <c r="Z626" s="181">
        <f t="shared" si="116"/>
        <v>5.800000001272565E-4</v>
      </c>
      <c r="AA626" s="181">
        <f>TOBEPAID!AA461/1000</f>
        <v>1849.6095800000001</v>
      </c>
      <c r="AB626" s="181">
        <f>TOBEPAID!AB461/1000</f>
        <v>0</v>
      </c>
      <c r="AC626" s="181"/>
      <c r="AD626" s="181"/>
    </row>
    <row r="627" spans="1:30" x14ac:dyDescent="0.2">
      <c r="A627" s="180"/>
      <c r="C627" s="168" t="s">
        <v>483</v>
      </c>
      <c r="D627" s="181">
        <f>4000000/1000</f>
        <v>4000</v>
      </c>
      <c r="E627" s="181"/>
      <c r="F627" s="181"/>
      <c r="G627" s="181"/>
      <c r="H627" s="181">
        <f>4000000/1000</f>
        <v>4000</v>
      </c>
      <c r="I627" s="181"/>
      <c r="J627" s="181"/>
      <c r="K627" s="181"/>
      <c r="L627" s="181"/>
      <c r="M627" s="181"/>
      <c r="N627" s="181"/>
      <c r="O627" s="181"/>
      <c r="P627" s="181"/>
      <c r="Q627" s="181"/>
      <c r="R627" s="181">
        <v>0</v>
      </c>
      <c r="S627" s="181"/>
      <c r="T627" s="181"/>
      <c r="U627" s="181"/>
      <c r="V627" s="181"/>
      <c r="W627" s="181"/>
      <c r="X627" s="181"/>
      <c r="Y627" s="181">
        <f>+H627+R627</f>
        <v>4000</v>
      </c>
      <c r="Z627" s="181">
        <f>+D627-Y627</f>
        <v>0</v>
      </c>
      <c r="AA627" s="181"/>
      <c r="AB627" s="181"/>
      <c r="AC627" s="181"/>
      <c r="AD627" s="181"/>
    </row>
    <row r="628" spans="1:30" x14ac:dyDescent="0.2">
      <c r="A628" s="180"/>
      <c r="C628" s="166" t="s">
        <v>290</v>
      </c>
      <c r="D628" s="181">
        <f>100000000/1000</f>
        <v>100000</v>
      </c>
      <c r="E628" s="181"/>
      <c r="F628" s="181"/>
      <c r="G628" s="181"/>
      <c r="H628" s="181">
        <f>100000000/1000</f>
        <v>100000</v>
      </c>
      <c r="I628" s="181"/>
      <c r="J628" s="181"/>
      <c r="K628" s="181"/>
      <c r="L628" s="181"/>
      <c r="M628" s="181"/>
      <c r="N628" s="181"/>
      <c r="O628" s="181"/>
      <c r="P628" s="181"/>
      <c r="Q628" s="181"/>
      <c r="R628" s="181">
        <v>0</v>
      </c>
      <c r="S628" s="181"/>
      <c r="T628" s="181"/>
      <c r="U628" s="181"/>
      <c r="V628" s="181"/>
      <c r="W628" s="181"/>
      <c r="X628" s="181"/>
      <c r="Y628" s="181">
        <f t="shared" si="115"/>
        <v>100000</v>
      </c>
      <c r="Z628" s="181">
        <f t="shared" si="116"/>
        <v>0</v>
      </c>
      <c r="AA628" s="181"/>
      <c r="AB628" s="181"/>
      <c r="AC628" s="181"/>
      <c r="AD628" s="181"/>
    </row>
    <row r="629" spans="1:30" x14ac:dyDescent="0.2">
      <c r="A629" s="180"/>
      <c r="C629" s="213" t="s">
        <v>62</v>
      </c>
      <c r="D629" s="181">
        <f>8523000/1000</f>
        <v>8523</v>
      </c>
      <c r="E629" s="181">
        <f>TOBEPAID!E462/1000</f>
        <v>8523</v>
      </c>
      <c r="F629" s="181">
        <f>TOBEPAID!F462/1000</f>
        <v>0</v>
      </c>
      <c r="G629" s="181">
        <f>TOBEPAID!G462/1000</f>
        <v>0</v>
      </c>
      <c r="H629" s="181">
        <f>8523000/1000</f>
        <v>8523</v>
      </c>
      <c r="I629" s="181">
        <f>TOBEPAID!I462/1000</f>
        <v>0</v>
      </c>
      <c r="J629" s="181">
        <f>TOBEPAID!J462/1000</f>
        <v>0</v>
      </c>
      <c r="K629" s="181">
        <f>TOBEPAID!K462/1000</f>
        <v>0</v>
      </c>
      <c r="L629" s="181">
        <f>TOBEPAID!L462/1000</f>
        <v>0</v>
      </c>
      <c r="M629" s="181">
        <f>TOBEPAID!M462/1000</f>
        <v>0</v>
      </c>
      <c r="N629" s="181">
        <f>TOBEPAID!N462/1000</f>
        <v>8523</v>
      </c>
      <c r="O629" s="181">
        <f>TOBEPAID!O462/1000</f>
        <v>0</v>
      </c>
      <c r="P629" s="181">
        <f>TOBEPAID!P462/1000</f>
        <v>0</v>
      </c>
      <c r="Q629" s="181">
        <f>TOBEPAID!Q462/1000</f>
        <v>0</v>
      </c>
      <c r="R629" s="181">
        <v>0</v>
      </c>
      <c r="S629" s="181">
        <f>TOBEPAID!S462/1000</f>
        <v>0</v>
      </c>
      <c r="T629" s="181">
        <f>TOBEPAID!T462/1000</f>
        <v>0</v>
      </c>
      <c r="U629" s="181">
        <f>TOBEPAID!U462/1000</f>
        <v>0</v>
      </c>
      <c r="V629" s="181">
        <f>TOBEPAID!V462/1000</f>
        <v>0</v>
      </c>
      <c r="W629" s="181">
        <f>TOBEPAID!W462/1000</f>
        <v>0</v>
      </c>
      <c r="X629" s="181">
        <f>TOBEPAID!X462/1000</f>
        <v>0</v>
      </c>
      <c r="Y629" s="181">
        <f t="shared" si="115"/>
        <v>8523</v>
      </c>
      <c r="Z629" s="181">
        <f t="shared" si="116"/>
        <v>0</v>
      </c>
      <c r="AA629" s="181">
        <f>TOBEPAID!AA462/1000</f>
        <v>8523</v>
      </c>
      <c r="AB629" s="181">
        <f>TOBEPAID!AB462/1000</f>
        <v>0</v>
      </c>
      <c r="AC629" s="181"/>
      <c r="AD629" s="181"/>
    </row>
    <row r="630" spans="1:30" x14ac:dyDescent="0.2">
      <c r="A630" s="180"/>
      <c r="C630" s="213" t="s">
        <v>80</v>
      </c>
      <c r="D630" s="181">
        <f>40679000/1000</f>
        <v>40679</v>
      </c>
      <c r="E630" s="181"/>
      <c r="F630" s="181"/>
      <c r="G630" s="181"/>
      <c r="H630" s="181">
        <f>40679000/1000</f>
        <v>40679</v>
      </c>
      <c r="I630" s="181"/>
      <c r="J630" s="181"/>
      <c r="K630" s="181"/>
      <c r="L630" s="181"/>
      <c r="M630" s="181"/>
      <c r="N630" s="181"/>
      <c r="O630" s="181"/>
      <c r="P630" s="181"/>
      <c r="Q630" s="181"/>
      <c r="R630" s="181">
        <v>0</v>
      </c>
      <c r="S630" s="181"/>
      <c r="T630" s="181"/>
      <c r="U630" s="181"/>
      <c r="V630" s="181"/>
      <c r="W630" s="181"/>
      <c r="X630" s="181"/>
      <c r="Y630" s="181">
        <f t="shared" si="115"/>
        <v>40679</v>
      </c>
      <c r="Z630" s="181">
        <f t="shared" si="116"/>
        <v>0</v>
      </c>
      <c r="AA630" s="181"/>
      <c r="AB630" s="181"/>
      <c r="AC630" s="181"/>
      <c r="AD630" s="181"/>
    </row>
    <row r="631" spans="1:30" x14ac:dyDescent="0.2">
      <c r="A631" s="180"/>
      <c r="C631" s="213" t="s">
        <v>262</v>
      </c>
      <c r="D631" s="181">
        <f>17785000/1000</f>
        <v>17785</v>
      </c>
      <c r="E631" s="181"/>
      <c r="F631" s="181"/>
      <c r="G631" s="181"/>
      <c r="H631" s="181">
        <f>17785000/1000</f>
        <v>17785</v>
      </c>
      <c r="I631" s="181"/>
      <c r="J631" s="181"/>
      <c r="K631" s="181"/>
      <c r="L631" s="181"/>
      <c r="M631" s="181"/>
      <c r="N631" s="181"/>
      <c r="O631" s="181"/>
      <c r="P631" s="181"/>
      <c r="Q631" s="181"/>
      <c r="R631" s="181">
        <v>0</v>
      </c>
      <c r="S631" s="181"/>
      <c r="T631" s="181"/>
      <c r="U631" s="181"/>
      <c r="V631" s="181"/>
      <c r="W631" s="181"/>
      <c r="X631" s="181"/>
      <c r="Y631" s="181">
        <f t="shared" si="115"/>
        <v>17785</v>
      </c>
      <c r="Z631" s="181">
        <f t="shared" si="116"/>
        <v>0</v>
      </c>
      <c r="AA631" s="181"/>
      <c r="AB631" s="181"/>
      <c r="AC631" s="181"/>
      <c r="AD631" s="181"/>
    </row>
    <row r="632" spans="1:30" x14ac:dyDescent="0.2">
      <c r="A632" s="180"/>
      <c r="B632" s="172"/>
      <c r="D632" s="182" t="s">
        <v>40</v>
      </c>
      <c r="E632" s="182" t="s">
        <v>40</v>
      </c>
      <c r="F632" s="182" t="s">
        <v>40</v>
      </c>
      <c r="G632" s="182"/>
      <c r="H632" s="182" t="s">
        <v>40</v>
      </c>
      <c r="I632" s="182" t="s">
        <v>40</v>
      </c>
      <c r="J632" s="182" t="s">
        <v>40</v>
      </c>
      <c r="K632" s="182" t="s">
        <v>40</v>
      </c>
      <c r="L632" s="182" t="s">
        <v>40</v>
      </c>
      <c r="M632" s="182"/>
      <c r="N632" s="182" t="s">
        <v>40</v>
      </c>
      <c r="O632" s="182" t="s">
        <v>40</v>
      </c>
      <c r="P632" s="182" t="s">
        <v>40</v>
      </c>
      <c r="Q632" s="182"/>
      <c r="R632" s="182" t="s">
        <v>40</v>
      </c>
      <c r="S632" s="182" t="s">
        <v>40</v>
      </c>
      <c r="T632" s="182" t="s">
        <v>40</v>
      </c>
      <c r="U632" s="182" t="s">
        <v>40</v>
      </c>
      <c r="V632" s="182" t="s">
        <v>40</v>
      </c>
      <c r="W632" s="182"/>
      <c r="X632" s="182" t="s">
        <v>40</v>
      </c>
      <c r="Y632" s="182" t="s">
        <v>40</v>
      </c>
      <c r="Z632" s="182" t="s">
        <v>40</v>
      </c>
      <c r="AA632" s="182" t="s">
        <v>40</v>
      </c>
      <c r="AB632" s="182" t="s">
        <v>40</v>
      </c>
      <c r="AC632" s="182"/>
      <c r="AD632" s="182"/>
    </row>
    <row r="633" spans="1:30" x14ac:dyDescent="0.2">
      <c r="A633" s="180"/>
      <c r="B633" s="172"/>
      <c r="D633" s="181">
        <f>SUM(D625:D631)</f>
        <v>234772.65181000001</v>
      </c>
      <c r="E633" s="181">
        <f>SUM(E625:E629)</f>
        <v>10372.60958</v>
      </c>
      <c r="F633" s="181">
        <f>SUM(F625:F629)</f>
        <v>0</v>
      </c>
      <c r="G633" s="181"/>
      <c r="H633" s="181">
        <f>SUM(H625:H631)</f>
        <v>172836.609</v>
      </c>
      <c r="I633" s="181">
        <f>SUM(I625:I629)</f>
        <v>0</v>
      </c>
      <c r="J633" s="181">
        <f>SUM(J625:J629)</f>
        <v>0</v>
      </c>
      <c r="K633" s="181">
        <f>SUM(K625:K629)</f>
        <v>0</v>
      </c>
      <c r="L633" s="181">
        <f>SUM(L625:L629)</f>
        <v>0</v>
      </c>
      <c r="M633" s="181"/>
      <c r="N633" s="181">
        <f>SUM(N625:N629)</f>
        <v>10372.60958</v>
      </c>
      <c r="O633" s="181">
        <f>SUM(O625:O629)</f>
        <v>128.25638999999998</v>
      </c>
      <c r="P633" s="181">
        <f>SUM(P625:P629)</f>
        <v>0</v>
      </c>
      <c r="Q633" s="181"/>
      <c r="R633" s="181">
        <f>SUM(R625:R631)</f>
        <v>26962.326000000001</v>
      </c>
      <c r="S633" s="181">
        <f>SUM(S625:S629)</f>
        <v>0</v>
      </c>
      <c r="T633" s="181">
        <f>SUM(T625:T629)</f>
        <v>0</v>
      </c>
      <c r="U633" s="181">
        <f>SUM(U625:U629)</f>
        <v>0</v>
      </c>
      <c r="V633" s="181">
        <f>SUM(V625:V629)</f>
        <v>0</v>
      </c>
      <c r="W633" s="181"/>
      <c r="X633" s="181">
        <f>SUM(X625:X629)</f>
        <v>128.25638999999998</v>
      </c>
      <c r="Y633" s="181">
        <f>SUM(Y625:Y631)</f>
        <v>199798.935</v>
      </c>
      <c r="Z633" s="181">
        <f>SUM(Z625:Z631)</f>
        <v>34973.716809999998</v>
      </c>
      <c r="AA633" s="181">
        <f>SUM(AA625:AA629)</f>
        <v>10500.865970000001</v>
      </c>
      <c r="AB633" s="181">
        <f>SUM(AB625:AB629)</f>
        <v>1501.3693500000002</v>
      </c>
      <c r="AC633" s="181"/>
      <c r="AD633" s="181"/>
    </row>
    <row r="634" spans="1:30" x14ac:dyDescent="0.2">
      <c r="A634" s="180"/>
      <c r="D634" s="182" t="s">
        <v>40</v>
      </c>
      <c r="E634" s="182" t="s">
        <v>40</v>
      </c>
      <c r="F634" s="182" t="s">
        <v>40</v>
      </c>
      <c r="G634" s="182"/>
      <c r="H634" s="182" t="s">
        <v>40</v>
      </c>
      <c r="I634" s="182" t="s">
        <v>40</v>
      </c>
      <c r="J634" s="182" t="s">
        <v>40</v>
      </c>
      <c r="K634" s="182" t="s">
        <v>40</v>
      </c>
      <c r="L634" s="182" t="s">
        <v>40</v>
      </c>
      <c r="M634" s="182"/>
      <c r="N634" s="182" t="s">
        <v>40</v>
      </c>
      <c r="O634" s="182" t="s">
        <v>40</v>
      </c>
      <c r="P634" s="182" t="s">
        <v>40</v>
      </c>
      <c r="Q634" s="182"/>
      <c r="R634" s="182" t="s">
        <v>40</v>
      </c>
      <c r="S634" s="182" t="s">
        <v>40</v>
      </c>
      <c r="T634" s="182" t="s">
        <v>40</v>
      </c>
      <c r="U634" s="182" t="s">
        <v>40</v>
      </c>
      <c r="V634" s="182" t="s">
        <v>40</v>
      </c>
      <c r="W634" s="182"/>
      <c r="X634" s="182" t="s">
        <v>40</v>
      </c>
      <c r="Y634" s="182" t="s">
        <v>40</v>
      </c>
      <c r="Z634" s="182" t="s">
        <v>40</v>
      </c>
      <c r="AA634" s="182" t="s">
        <v>40</v>
      </c>
      <c r="AB634" s="182" t="s">
        <v>40</v>
      </c>
      <c r="AC634" s="182"/>
      <c r="AD634" s="182"/>
    </row>
    <row r="635" spans="1:30" x14ac:dyDescent="0.2">
      <c r="A635" s="180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</row>
    <row r="636" spans="1:30" x14ac:dyDescent="0.2">
      <c r="A636" s="180">
        <v>46</v>
      </c>
      <c r="B636" s="166" t="s">
        <v>82</v>
      </c>
      <c r="C636" s="166" t="s">
        <v>35</v>
      </c>
      <c r="D636" s="181">
        <f>3484147/1000</f>
        <v>3484.1469999999999</v>
      </c>
      <c r="E636" s="181">
        <f>TOBEPAID!E479/1000</f>
        <v>0</v>
      </c>
      <c r="F636" s="181">
        <f>TOBEPAID!F479/1000</f>
        <v>0</v>
      </c>
      <c r="G636" s="181">
        <f>TOBEPAID!G479/1000</f>
        <v>0</v>
      </c>
      <c r="H636" s="181">
        <f>2700000/1000</f>
        <v>2700</v>
      </c>
      <c r="I636" s="181">
        <f>TOBEPAID!I479/1000</f>
        <v>0</v>
      </c>
      <c r="J636" s="181">
        <f>TOBEPAID!J479/1000</f>
        <v>0</v>
      </c>
      <c r="K636" s="181">
        <f>TOBEPAID!K479/1000</f>
        <v>0</v>
      </c>
      <c r="L636" s="181">
        <f>TOBEPAID!L479/1000</f>
        <v>0</v>
      </c>
      <c r="M636" s="181">
        <f>TOBEPAID!M479/1000</f>
        <v>0</v>
      </c>
      <c r="N636" s="181">
        <f>TOBEPAID!N479/1000</f>
        <v>0</v>
      </c>
      <c r="O636" s="181">
        <f>TOBEPAID!O479/1000</f>
        <v>752.23023999999998</v>
      </c>
      <c r="P636" s="181">
        <f>TOBEPAID!P479/1000</f>
        <v>0</v>
      </c>
      <c r="Q636" s="181">
        <f>TOBEPAID!Q479/1000</f>
        <v>0</v>
      </c>
      <c r="R636" s="181">
        <f>1956745/1000</f>
        <v>1956.7449999999999</v>
      </c>
      <c r="S636" s="181">
        <f>TOBEPAID!S479/1000</f>
        <v>0</v>
      </c>
      <c r="T636" s="181">
        <f>TOBEPAID!T479/1000</f>
        <v>0</v>
      </c>
      <c r="U636" s="181">
        <f>TOBEPAID!U479/1000</f>
        <v>0</v>
      </c>
      <c r="V636" s="181">
        <f>TOBEPAID!V479/1000</f>
        <v>0</v>
      </c>
      <c r="W636" s="181">
        <f>TOBEPAID!W479/1000</f>
        <v>0</v>
      </c>
      <c r="X636" s="181">
        <f>TOBEPAID!X479/1000</f>
        <v>752.23023999999998</v>
      </c>
      <c r="Y636" s="181">
        <f>+H636+R636</f>
        <v>4656.7449999999999</v>
      </c>
      <c r="Z636" s="181">
        <f t="shared" ref="Z636:Z646" si="117">+D636-Y636</f>
        <v>-1172.598</v>
      </c>
      <c r="AA636" s="181">
        <f>TOBEPAID!AA479/1000</f>
        <v>752.23023999999998</v>
      </c>
      <c r="AB636" s="181">
        <f>TOBEPAID!AB479/1000</f>
        <v>0</v>
      </c>
      <c r="AC636" s="181"/>
      <c r="AD636" s="181"/>
    </row>
    <row r="637" spans="1:30" x14ac:dyDescent="0.2">
      <c r="A637" s="180"/>
      <c r="C637" s="168" t="s">
        <v>36</v>
      </c>
      <c r="D637" s="181">
        <f>2012276/1000</f>
        <v>2012.2760000000001</v>
      </c>
      <c r="E637" s="181">
        <f>TOBEPAID!E480/1000</f>
        <v>2012.27694</v>
      </c>
      <c r="F637" s="181">
        <f>TOBEPAID!F480/1000</f>
        <v>0</v>
      </c>
      <c r="G637" s="181">
        <f>TOBEPAID!G480/1000</f>
        <v>0</v>
      </c>
      <c r="H637" s="181">
        <f>2012276/1000</f>
        <v>2012.2760000000001</v>
      </c>
      <c r="I637" s="181">
        <f>TOBEPAID!I480/1000</f>
        <v>0</v>
      </c>
      <c r="J637" s="181">
        <f>TOBEPAID!J480/1000</f>
        <v>0</v>
      </c>
      <c r="K637" s="181">
        <f>TOBEPAID!K480/1000</f>
        <v>0</v>
      </c>
      <c r="L637" s="181">
        <f>TOBEPAID!L480/1000</f>
        <v>0</v>
      </c>
      <c r="M637" s="181">
        <f>TOBEPAID!M480/1000</f>
        <v>0</v>
      </c>
      <c r="N637" s="181">
        <f>TOBEPAID!N480/1000</f>
        <v>2012.27694</v>
      </c>
      <c r="O637" s="181">
        <f>TOBEPAID!O480/1000</f>
        <v>0</v>
      </c>
      <c r="P637" s="181">
        <f>TOBEPAID!P480/1000</f>
        <v>0</v>
      </c>
      <c r="Q637" s="181">
        <f>TOBEPAID!Q480/1000</f>
        <v>0</v>
      </c>
      <c r="R637" s="181">
        <v>0</v>
      </c>
      <c r="S637" s="181">
        <f>TOBEPAID!S480/1000</f>
        <v>0</v>
      </c>
      <c r="T637" s="181">
        <f>TOBEPAID!T480/1000</f>
        <v>0</v>
      </c>
      <c r="U637" s="181">
        <f>TOBEPAID!U480/1000</f>
        <v>0</v>
      </c>
      <c r="V637" s="181">
        <f>TOBEPAID!V480/1000</f>
        <v>0</v>
      </c>
      <c r="W637" s="181">
        <f>TOBEPAID!W480/1000</f>
        <v>0</v>
      </c>
      <c r="X637" s="181">
        <f>TOBEPAID!X480/1000</f>
        <v>0</v>
      </c>
      <c r="Y637" s="181">
        <f t="shared" ref="Y637:Y646" si="118">+H637+R637</f>
        <v>2012.2760000000001</v>
      </c>
      <c r="Z637" s="181">
        <f t="shared" si="117"/>
        <v>0</v>
      </c>
      <c r="AA637" s="181">
        <f>TOBEPAID!AA480/1000</f>
        <v>2012.27694</v>
      </c>
      <c r="AB637" s="181">
        <f>TOBEPAID!AB480/1000</f>
        <v>0</v>
      </c>
      <c r="AC637" s="181"/>
      <c r="AD637" s="181"/>
    </row>
    <row r="638" spans="1:30" x14ac:dyDescent="0.2">
      <c r="A638" s="180"/>
      <c r="C638" s="166" t="s">
        <v>76</v>
      </c>
      <c r="D638" s="181">
        <v>0</v>
      </c>
      <c r="E638" s="181">
        <f>TOBEPAID!E481/1000</f>
        <v>0</v>
      </c>
      <c r="F638" s="181">
        <f>TOBEPAID!F481/1000</f>
        <v>0</v>
      </c>
      <c r="G638" s="181">
        <f>TOBEPAID!G481/1000</f>
        <v>0</v>
      </c>
      <c r="H638" s="181">
        <v>0</v>
      </c>
      <c r="I638" s="181">
        <f>TOBEPAID!I481/1000</f>
        <v>0</v>
      </c>
      <c r="J638" s="181">
        <f>TOBEPAID!J481/1000</f>
        <v>0</v>
      </c>
      <c r="K638" s="181">
        <f>TOBEPAID!K481/1000</f>
        <v>0</v>
      </c>
      <c r="L638" s="181">
        <f>TOBEPAID!L481/1000</f>
        <v>0</v>
      </c>
      <c r="M638" s="181">
        <f>TOBEPAID!M481/1000</f>
        <v>0</v>
      </c>
      <c r="N638" s="181">
        <f>TOBEPAID!N481/1000</f>
        <v>0</v>
      </c>
      <c r="O638" s="181">
        <f>TOBEPAID!O481/1000</f>
        <v>0</v>
      </c>
      <c r="P638" s="181">
        <f>TOBEPAID!P481/1000</f>
        <v>0</v>
      </c>
      <c r="Q638" s="181">
        <f>TOBEPAID!Q481/1000</f>
        <v>0</v>
      </c>
      <c r="R638" s="181">
        <v>0</v>
      </c>
      <c r="S638" s="181">
        <f>TOBEPAID!S481/1000</f>
        <v>0</v>
      </c>
      <c r="T638" s="181">
        <f>TOBEPAID!T481/1000</f>
        <v>0</v>
      </c>
      <c r="U638" s="181">
        <f>TOBEPAID!U481/1000</f>
        <v>0</v>
      </c>
      <c r="V638" s="181">
        <f>TOBEPAID!V481/1000</f>
        <v>0</v>
      </c>
      <c r="W638" s="181">
        <f>TOBEPAID!W481/1000</f>
        <v>0</v>
      </c>
      <c r="X638" s="181">
        <f>TOBEPAID!X481/1000</f>
        <v>0</v>
      </c>
      <c r="Y638" s="181">
        <f t="shared" si="118"/>
        <v>0</v>
      </c>
      <c r="Z638" s="181">
        <f t="shared" si="117"/>
        <v>0</v>
      </c>
      <c r="AA638" s="181">
        <f>TOBEPAID!AA481/1000</f>
        <v>0</v>
      </c>
      <c r="AB638" s="181">
        <f>TOBEPAID!AB481/1000</f>
        <v>1695.3683000000001</v>
      </c>
      <c r="AC638" s="181"/>
      <c r="AD638" s="181"/>
    </row>
    <row r="639" spans="1:30" x14ac:dyDescent="0.2">
      <c r="A639" s="180"/>
      <c r="C639" s="166" t="s">
        <v>37</v>
      </c>
      <c r="D639" s="181">
        <f>1493185/1000</f>
        <v>1493.1849999999999</v>
      </c>
      <c r="E639" s="181">
        <f>TOBEPAID!E482/1000</f>
        <v>0</v>
      </c>
      <c r="F639" s="181">
        <f>TOBEPAID!F482/1000</f>
        <v>0</v>
      </c>
      <c r="G639" s="181">
        <f>TOBEPAID!G482/1000</f>
        <v>0</v>
      </c>
      <c r="H639" s="181">
        <v>0</v>
      </c>
      <c r="I639" s="181">
        <f>TOBEPAID!I482/1000</f>
        <v>0</v>
      </c>
      <c r="J639" s="181">
        <f>TOBEPAID!J482/1000</f>
        <v>0</v>
      </c>
      <c r="K639" s="181">
        <f>TOBEPAID!K482/1000</f>
        <v>0</v>
      </c>
      <c r="L639" s="181">
        <f>TOBEPAID!L482/1000</f>
        <v>0</v>
      </c>
      <c r="M639" s="181">
        <f>TOBEPAID!M482/1000</f>
        <v>0</v>
      </c>
      <c r="N639" s="181">
        <f>TOBEPAID!N482/1000</f>
        <v>0</v>
      </c>
      <c r="O639" s="181">
        <f>TOBEPAID!O482/1000</f>
        <v>1493.1859500000003</v>
      </c>
      <c r="P639" s="181">
        <f>TOBEPAID!P482/1000</f>
        <v>0</v>
      </c>
      <c r="Q639" s="181">
        <f>TOBEPAID!Q482/1000</f>
        <v>0</v>
      </c>
      <c r="R639" s="181">
        <f>1493185/1000</f>
        <v>1493.1849999999999</v>
      </c>
      <c r="S639" s="181">
        <f>TOBEPAID!S482/1000</f>
        <v>1426.22037</v>
      </c>
      <c r="T639" s="181">
        <f>TOBEPAID!T482/1000</f>
        <v>0</v>
      </c>
      <c r="U639" s="181">
        <f>TOBEPAID!U482/1000</f>
        <v>0</v>
      </c>
      <c r="V639" s="181">
        <f>TOBEPAID!V482/1000</f>
        <v>0</v>
      </c>
      <c r="W639" s="181">
        <f>TOBEPAID!W482/1000</f>
        <v>0</v>
      </c>
      <c r="X639" s="181">
        <f>TOBEPAID!X482/1000</f>
        <v>1493.1859500000003</v>
      </c>
      <c r="Y639" s="181">
        <f t="shared" si="118"/>
        <v>1493.1849999999999</v>
      </c>
      <c r="Z639" s="181">
        <f t="shared" si="117"/>
        <v>0</v>
      </c>
      <c r="AA639" s="181">
        <f>TOBEPAID!AA482/1000</f>
        <v>1493.1859500000003</v>
      </c>
      <c r="AB639" s="181">
        <f>TOBEPAID!AB482/1000</f>
        <v>13.642419999999925</v>
      </c>
      <c r="AC639" s="181"/>
      <c r="AD639" s="181"/>
    </row>
    <row r="640" spans="1:30" x14ac:dyDescent="0.2">
      <c r="A640" s="180"/>
      <c r="C640" s="166" t="s">
        <v>454</v>
      </c>
      <c r="D640" s="181">
        <f>4600000/1000</f>
        <v>4600</v>
      </c>
      <c r="E640" s="181"/>
      <c r="F640" s="181"/>
      <c r="G640" s="181"/>
      <c r="H640" s="181">
        <f>4600000/1000</f>
        <v>4600</v>
      </c>
      <c r="I640" s="181"/>
      <c r="J640" s="181"/>
      <c r="K640" s="181"/>
      <c r="L640" s="181"/>
      <c r="M640" s="181"/>
      <c r="N640" s="181"/>
      <c r="O640" s="181"/>
      <c r="P640" s="181"/>
      <c r="Q640" s="181"/>
      <c r="R640" s="181">
        <v>0</v>
      </c>
      <c r="S640" s="181"/>
      <c r="T640" s="181"/>
      <c r="U640" s="181"/>
      <c r="V640" s="181"/>
      <c r="W640" s="181"/>
      <c r="X640" s="181"/>
      <c r="Y640" s="181">
        <f>+H640+R640</f>
        <v>4600</v>
      </c>
      <c r="Z640" s="181">
        <f t="shared" si="117"/>
        <v>0</v>
      </c>
      <c r="AA640" s="181"/>
      <c r="AB640" s="181"/>
      <c r="AC640" s="181"/>
      <c r="AD640" s="181"/>
    </row>
    <row r="641" spans="1:30" x14ac:dyDescent="0.2">
      <c r="A641" s="180"/>
      <c r="C641" s="166" t="s">
        <v>468</v>
      </c>
      <c r="D641" s="181">
        <f>9938114.23/1000</f>
        <v>9938.114230000001</v>
      </c>
      <c r="E641" s="181"/>
      <c r="F641" s="181"/>
      <c r="G641" s="181"/>
      <c r="H641" s="181">
        <f>9938114.23/1000</f>
        <v>9938.114230000001</v>
      </c>
      <c r="I641" s="181"/>
      <c r="J641" s="181"/>
      <c r="K641" s="181"/>
      <c r="L641" s="181"/>
      <c r="M641" s="181"/>
      <c r="N641" s="181"/>
      <c r="O641" s="181"/>
      <c r="P641" s="181"/>
      <c r="Q641" s="181"/>
      <c r="R641" s="181">
        <v>0</v>
      </c>
      <c r="S641" s="181"/>
      <c r="T641" s="181"/>
      <c r="U641" s="181"/>
      <c r="V641" s="181"/>
      <c r="W641" s="181"/>
      <c r="X641" s="181"/>
      <c r="Y641" s="181">
        <f>+H641+R641</f>
        <v>9938.114230000001</v>
      </c>
      <c r="Z641" s="181">
        <f t="shared" si="117"/>
        <v>0</v>
      </c>
      <c r="AA641" s="181"/>
      <c r="AB641" s="181"/>
      <c r="AC641" s="181"/>
      <c r="AD641" s="181"/>
    </row>
    <row r="642" spans="1:30" x14ac:dyDescent="0.2">
      <c r="A642" s="180"/>
      <c r="C642" s="166" t="s">
        <v>473</v>
      </c>
      <c r="D642" s="181">
        <f>11500000/1000</f>
        <v>11500</v>
      </c>
      <c r="E642" s="181"/>
      <c r="F642" s="181"/>
      <c r="G642" s="181"/>
      <c r="H642" s="181">
        <f>11500000/1000</f>
        <v>11500</v>
      </c>
      <c r="I642" s="181"/>
      <c r="J642" s="181"/>
      <c r="K642" s="181"/>
      <c r="L642" s="181"/>
      <c r="M642" s="181"/>
      <c r="N642" s="181"/>
      <c r="O642" s="181"/>
      <c r="P642" s="181"/>
      <c r="Q642" s="181"/>
      <c r="R642" s="181">
        <v>0</v>
      </c>
      <c r="S642" s="181"/>
      <c r="T642" s="181"/>
      <c r="U642" s="181"/>
      <c r="V642" s="181"/>
      <c r="W642" s="181"/>
      <c r="X642" s="181"/>
      <c r="Y642" s="181">
        <f>+H642+R642</f>
        <v>11500</v>
      </c>
      <c r="Z642" s="181">
        <f t="shared" si="117"/>
        <v>0</v>
      </c>
      <c r="AA642" s="181"/>
      <c r="AB642" s="181"/>
      <c r="AC642" s="181"/>
      <c r="AD642" s="181"/>
    </row>
    <row r="643" spans="1:30" x14ac:dyDescent="0.2">
      <c r="C643" s="166" t="s">
        <v>290</v>
      </c>
      <c r="D643" s="181">
        <f>8500000/1000</f>
        <v>8500</v>
      </c>
      <c r="E643" s="181">
        <f>TOBEPAID!E483/1000</f>
        <v>8500</v>
      </c>
      <c r="F643" s="181">
        <f>TOBEPAID!F483/1000</f>
        <v>0</v>
      </c>
      <c r="G643" s="181">
        <f>TOBEPAID!G483/1000</f>
        <v>0</v>
      </c>
      <c r="H643" s="181">
        <f>8500000/1000</f>
        <v>8500</v>
      </c>
      <c r="I643" s="181">
        <f>TOBEPAID!I483/1000</f>
        <v>0</v>
      </c>
      <c r="J643" s="181">
        <f>TOBEPAID!J483/1000</f>
        <v>0</v>
      </c>
      <c r="K643" s="181">
        <f>TOBEPAID!K483/1000</f>
        <v>0</v>
      </c>
      <c r="L643" s="181">
        <f>TOBEPAID!L483/1000</f>
        <v>0</v>
      </c>
      <c r="M643" s="181">
        <f>TOBEPAID!M483/1000</f>
        <v>0</v>
      </c>
      <c r="N643" s="181">
        <f>TOBEPAID!N483/1000</f>
        <v>8500</v>
      </c>
      <c r="O643" s="181">
        <f>TOBEPAID!O483/1000</f>
        <v>0</v>
      </c>
      <c r="P643" s="181">
        <f>TOBEPAID!P483/1000</f>
        <v>0</v>
      </c>
      <c r="Q643" s="181">
        <f>TOBEPAID!Q483/1000</f>
        <v>0</v>
      </c>
      <c r="R643" s="181">
        <v>0</v>
      </c>
      <c r="S643" s="181">
        <f>TOBEPAID!S483/1000</f>
        <v>0</v>
      </c>
      <c r="T643" s="181">
        <f>TOBEPAID!T483/1000</f>
        <v>0</v>
      </c>
      <c r="U643" s="181">
        <f>TOBEPAID!U483/1000</f>
        <v>0</v>
      </c>
      <c r="V643" s="181">
        <f>TOBEPAID!V483/1000</f>
        <v>0</v>
      </c>
      <c r="W643" s="181">
        <f>TOBEPAID!W483/1000</f>
        <v>0</v>
      </c>
      <c r="X643" s="181">
        <f>TOBEPAID!X483/1000</f>
        <v>0</v>
      </c>
      <c r="Y643" s="181">
        <f t="shared" si="118"/>
        <v>8500</v>
      </c>
      <c r="Z643" s="181">
        <f t="shared" si="117"/>
        <v>0</v>
      </c>
      <c r="AA643" s="181">
        <f>TOBEPAID!AA483/1000</f>
        <v>8500</v>
      </c>
      <c r="AB643" s="181">
        <f>TOBEPAID!AB483/1000</f>
        <v>0</v>
      </c>
      <c r="AC643" s="181"/>
      <c r="AD643" s="181"/>
    </row>
    <row r="644" spans="1:30" x14ac:dyDescent="0.2">
      <c r="C644" s="166" t="s">
        <v>425</v>
      </c>
      <c r="D644" s="181">
        <f>244174750.09/1000</f>
        <v>244174.75009000002</v>
      </c>
      <c r="E644" s="181"/>
      <c r="F644" s="181"/>
      <c r="G644" s="181"/>
      <c r="H644" s="181">
        <f>244174750.09/1000</f>
        <v>244174.75009000002</v>
      </c>
      <c r="I644" s="181"/>
      <c r="J644" s="181"/>
      <c r="K644" s="181"/>
      <c r="L644" s="181"/>
      <c r="M644" s="181"/>
      <c r="N644" s="181"/>
      <c r="O644" s="181"/>
      <c r="P644" s="181"/>
      <c r="Q644" s="181"/>
      <c r="R644" s="181">
        <v>0</v>
      </c>
      <c r="S644" s="181"/>
      <c r="T644" s="181"/>
      <c r="U644" s="181"/>
      <c r="V644" s="181"/>
      <c r="W644" s="181"/>
      <c r="X644" s="181"/>
      <c r="Y644" s="181">
        <f t="shared" si="118"/>
        <v>244174.75009000002</v>
      </c>
      <c r="Z644" s="181">
        <f>+D644-Y644</f>
        <v>0</v>
      </c>
      <c r="AA644" s="181"/>
      <c r="AB644" s="181"/>
      <c r="AC644" s="181"/>
      <c r="AD644" s="181"/>
    </row>
    <row r="645" spans="1:30" x14ac:dyDescent="0.2">
      <c r="A645" s="180"/>
      <c r="C645" s="166" t="s">
        <v>38</v>
      </c>
      <c r="D645" s="181">
        <v>15.65</v>
      </c>
      <c r="E645" s="181">
        <f>TOBEPAID!E484/1000</f>
        <v>0</v>
      </c>
      <c r="F645" s="181">
        <f>TOBEPAID!F484/1000</f>
        <v>0</v>
      </c>
      <c r="G645" s="181">
        <f>TOBEPAID!G484/1000</f>
        <v>0</v>
      </c>
      <c r="H645" s="181">
        <v>0</v>
      </c>
      <c r="I645" s="181">
        <f>TOBEPAID!I484/1000</f>
        <v>0</v>
      </c>
      <c r="J645" s="181">
        <f>TOBEPAID!J484/1000</f>
        <v>0</v>
      </c>
      <c r="K645" s="181">
        <f>TOBEPAID!K484/1000</f>
        <v>0</v>
      </c>
      <c r="L645" s="181">
        <f>TOBEPAID!L484/1000</f>
        <v>0</v>
      </c>
      <c r="M645" s="181">
        <f>TOBEPAID!M484/1000</f>
        <v>0</v>
      </c>
      <c r="N645" s="181">
        <f>TOBEPAID!N484/1000</f>
        <v>0</v>
      </c>
      <c r="O645" s="181">
        <f>TOBEPAID!O484/1000</f>
        <v>15.65</v>
      </c>
      <c r="P645" s="181">
        <f>TOBEPAID!P484/1000</f>
        <v>0</v>
      </c>
      <c r="Q645" s="181">
        <f>TOBEPAID!Q484/1000</f>
        <v>0</v>
      </c>
      <c r="R645" s="181">
        <v>15.65</v>
      </c>
      <c r="S645" s="181">
        <f>TOBEPAID!S484/1000</f>
        <v>0</v>
      </c>
      <c r="T645" s="181">
        <f>TOBEPAID!T484/1000</f>
        <v>0</v>
      </c>
      <c r="U645" s="181">
        <f>TOBEPAID!U484/1000</f>
        <v>0</v>
      </c>
      <c r="V645" s="181">
        <f>TOBEPAID!V484/1000</f>
        <v>0</v>
      </c>
      <c r="W645" s="181">
        <f>TOBEPAID!W484/1000</f>
        <v>0</v>
      </c>
      <c r="X645" s="181">
        <f>TOBEPAID!X484/1000</f>
        <v>15.65</v>
      </c>
      <c r="Y645" s="181">
        <f t="shared" si="118"/>
        <v>15.65</v>
      </c>
      <c r="Z645" s="181">
        <f t="shared" si="117"/>
        <v>0</v>
      </c>
      <c r="AA645" s="181">
        <f>TOBEPAID!AA484/1000</f>
        <v>15.65</v>
      </c>
      <c r="AB645" s="181">
        <f>TOBEPAID!AB484/1000</f>
        <v>134.98170000000002</v>
      </c>
      <c r="AC645" s="181"/>
      <c r="AD645" s="181"/>
    </row>
    <row r="646" spans="1:30" x14ac:dyDescent="0.2">
      <c r="A646" s="180"/>
      <c r="C646" s="192" t="s">
        <v>39</v>
      </c>
      <c r="D646" s="181">
        <v>0</v>
      </c>
      <c r="E646" s="181">
        <f>TOBEPAID!E485/1000</f>
        <v>0</v>
      </c>
      <c r="F646" s="181">
        <f>TOBEPAID!F485/1000</f>
        <v>0</v>
      </c>
      <c r="G646" s="181">
        <f>TOBEPAID!G485/1000</f>
        <v>0</v>
      </c>
      <c r="H646" s="181">
        <v>0</v>
      </c>
      <c r="I646" s="181">
        <f>TOBEPAID!I485/1000</f>
        <v>0</v>
      </c>
      <c r="J646" s="181">
        <f>TOBEPAID!J485/1000</f>
        <v>0</v>
      </c>
      <c r="K646" s="181">
        <f>TOBEPAID!K485/1000</f>
        <v>0</v>
      </c>
      <c r="L646" s="181">
        <f>TOBEPAID!L485/1000</f>
        <v>0</v>
      </c>
      <c r="M646" s="181">
        <f>TOBEPAID!M485/1000</f>
        <v>0</v>
      </c>
      <c r="N646" s="181">
        <f>TOBEPAID!N485/1000</f>
        <v>0</v>
      </c>
      <c r="O646" s="181">
        <f>TOBEPAID!O485/1000</f>
        <v>0</v>
      </c>
      <c r="P646" s="181">
        <f>TOBEPAID!P485/1000</f>
        <v>0</v>
      </c>
      <c r="Q646" s="181">
        <f>TOBEPAID!Q485/1000</f>
        <v>0</v>
      </c>
      <c r="R646" s="181">
        <v>0</v>
      </c>
      <c r="S646" s="181">
        <f>TOBEPAID!S485/1000</f>
        <v>0</v>
      </c>
      <c r="T646" s="181">
        <f>TOBEPAID!T485/1000</f>
        <v>0</v>
      </c>
      <c r="U646" s="181">
        <f>TOBEPAID!U485/1000</f>
        <v>0</v>
      </c>
      <c r="V646" s="181">
        <f>TOBEPAID!V485/1000</f>
        <v>0</v>
      </c>
      <c r="W646" s="181">
        <f>TOBEPAID!W485/1000</f>
        <v>0</v>
      </c>
      <c r="X646" s="181">
        <f>TOBEPAID!X485/1000</f>
        <v>0</v>
      </c>
      <c r="Y646" s="181">
        <f t="shared" si="118"/>
        <v>0</v>
      </c>
      <c r="Z646" s="181">
        <f t="shared" si="117"/>
        <v>0</v>
      </c>
      <c r="AA646" s="181">
        <f>TOBEPAID!AA485/1000</f>
        <v>0</v>
      </c>
      <c r="AB646" s="181">
        <f>TOBEPAID!AB485/1000</f>
        <v>887.92472999999995</v>
      </c>
      <c r="AC646" s="181"/>
      <c r="AD646" s="181"/>
    </row>
    <row r="647" spans="1:30" x14ac:dyDescent="0.2">
      <c r="A647" s="180"/>
      <c r="D647" s="182" t="s">
        <v>40</v>
      </c>
      <c r="E647" s="182" t="s">
        <v>40</v>
      </c>
      <c r="F647" s="182" t="s">
        <v>40</v>
      </c>
      <c r="G647" s="182"/>
      <c r="H647" s="182" t="s">
        <v>40</v>
      </c>
      <c r="I647" s="182" t="s">
        <v>40</v>
      </c>
      <c r="J647" s="182" t="s">
        <v>40</v>
      </c>
      <c r="K647" s="182" t="s">
        <v>40</v>
      </c>
      <c r="L647" s="182" t="s">
        <v>40</v>
      </c>
      <c r="M647" s="182"/>
      <c r="N647" s="182" t="s">
        <v>40</v>
      </c>
      <c r="O647" s="182" t="s">
        <v>40</v>
      </c>
      <c r="P647" s="182" t="s">
        <v>40</v>
      </c>
      <c r="Q647" s="182"/>
      <c r="R647" s="182" t="s">
        <v>40</v>
      </c>
      <c r="S647" s="182" t="s">
        <v>40</v>
      </c>
      <c r="T647" s="182" t="s">
        <v>40</v>
      </c>
      <c r="U647" s="182" t="s">
        <v>40</v>
      </c>
      <c r="V647" s="182" t="s">
        <v>40</v>
      </c>
      <c r="W647" s="182"/>
      <c r="X647" s="182" t="s">
        <v>40</v>
      </c>
      <c r="Y647" s="182" t="s">
        <v>40</v>
      </c>
      <c r="Z647" s="182" t="s">
        <v>40</v>
      </c>
      <c r="AA647" s="182" t="s">
        <v>40</v>
      </c>
      <c r="AB647" s="182" t="s">
        <v>40</v>
      </c>
      <c r="AC647" s="182"/>
      <c r="AD647" s="182"/>
    </row>
    <row r="648" spans="1:30" x14ac:dyDescent="0.2">
      <c r="A648" s="180"/>
      <c r="D648" s="181">
        <f>SUM(D636:D646)</f>
        <v>285718.12232000002</v>
      </c>
      <c r="E648" s="181">
        <f>SUM(E636:E646)</f>
        <v>10512.27694</v>
      </c>
      <c r="F648" s="181">
        <f>SUM(F636:F646)</f>
        <v>0</v>
      </c>
      <c r="G648" s="181"/>
      <c r="H648" s="181">
        <f>SUM(H636:H646)</f>
        <v>283425.14032000001</v>
      </c>
      <c r="I648" s="181">
        <f>SUM(I636:I646)</f>
        <v>0</v>
      </c>
      <c r="J648" s="181">
        <f>SUM(J636:J646)</f>
        <v>0</v>
      </c>
      <c r="K648" s="181">
        <f>SUM(K636:K646)</f>
        <v>0</v>
      </c>
      <c r="L648" s="181">
        <f>SUM(L636:L646)</f>
        <v>0</v>
      </c>
      <c r="M648" s="181"/>
      <c r="N648" s="181">
        <f>SUM(N636:N646)</f>
        <v>10512.27694</v>
      </c>
      <c r="O648" s="181">
        <f>SUM(O636:O646)</f>
        <v>2261.0661900000005</v>
      </c>
      <c r="P648" s="181">
        <f>SUM(P636:P646)</f>
        <v>0</v>
      </c>
      <c r="Q648" s="181"/>
      <c r="R648" s="181">
        <f>SUM(R636:R646)</f>
        <v>3465.58</v>
      </c>
      <c r="S648" s="181">
        <f>SUM(S636:S646)</f>
        <v>1426.22037</v>
      </c>
      <c r="T648" s="181">
        <f>SUM(T636:T646)</f>
        <v>0</v>
      </c>
      <c r="U648" s="181">
        <f>SUM(U636:U646)</f>
        <v>0</v>
      </c>
      <c r="V648" s="181">
        <f>SUM(V636:V646)</f>
        <v>0</v>
      </c>
      <c r="W648" s="181"/>
      <c r="X648" s="181">
        <f>SUM(X636:X646)</f>
        <v>2261.0661900000005</v>
      </c>
      <c r="Y648" s="181">
        <f>SUM(Y636:Y646)</f>
        <v>286890.72032000002</v>
      </c>
      <c r="Z648" s="181">
        <f>SUM(Z636:Z646)</f>
        <v>-1172.598</v>
      </c>
      <c r="AA648" s="181">
        <f>SUM(AA636:AA646)</f>
        <v>12773.343129999999</v>
      </c>
      <c r="AB648" s="181">
        <f>SUM(AB636:AB646)</f>
        <v>2731.9171500000002</v>
      </c>
      <c r="AC648" s="181"/>
      <c r="AD648" s="181"/>
    </row>
    <row r="649" spans="1:30" x14ac:dyDescent="0.2">
      <c r="A649" s="180"/>
      <c r="B649" s="172"/>
      <c r="D649" s="182" t="s">
        <v>40</v>
      </c>
      <c r="E649" s="182" t="s">
        <v>40</v>
      </c>
      <c r="F649" s="182" t="s">
        <v>40</v>
      </c>
      <c r="G649" s="182"/>
      <c r="H649" s="182" t="s">
        <v>40</v>
      </c>
      <c r="I649" s="182" t="s">
        <v>40</v>
      </c>
      <c r="J649" s="182" t="s">
        <v>40</v>
      </c>
      <c r="K649" s="182" t="s">
        <v>40</v>
      </c>
      <c r="L649" s="182" t="s">
        <v>40</v>
      </c>
      <c r="M649" s="182"/>
      <c r="N649" s="182" t="s">
        <v>40</v>
      </c>
      <c r="O649" s="182" t="s">
        <v>40</v>
      </c>
      <c r="P649" s="182" t="s">
        <v>40</v>
      </c>
      <c r="Q649" s="182"/>
      <c r="R649" s="182" t="s">
        <v>40</v>
      </c>
      <c r="S649" s="182" t="s">
        <v>40</v>
      </c>
      <c r="T649" s="182" t="s">
        <v>40</v>
      </c>
      <c r="U649" s="182" t="s">
        <v>40</v>
      </c>
      <c r="V649" s="182" t="s">
        <v>40</v>
      </c>
      <c r="W649" s="182"/>
      <c r="X649" s="182" t="s">
        <v>40</v>
      </c>
      <c r="Y649" s="182" t="s">
        <v>40</v>
      </c>
      <c r="Z649" s="182" t="s">
        <v>40</v>
      </c>
      <c r="AA649" s="182" t="s">
        <v>40</v>
      </c>
      <c r="AB649" s="182" t="s">
        <v>40</v>
      </c>
      <c r="AC649" s="182"/>
      <c r="AD649" s="182"/>
    </row>
    <row r="650" spans="1:30" x14ac:dyDescent="0.2">
      <c r="A650" s="180"/>
      <c r="B650" s="172"/>
      <c r="D650" s="196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221"/>
      <c r="P650" s="189"/>
      <c r="Q650" s="189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</row>
    <row r="651" spans="1:30" x14ac:dyDescent="0.2">
      <c r="A651" s="180">
        <v>47</v>
      </c>
      <c r="B651" s="166" t="s">
        <v>83</v>
      </c>
      <c r="C651" s="166" t="s">
        <v>35</v>
      </c>
      <c r="D651" s="181">
        <f>8607826/1000</f>
        <v>8607.8259999999991</v>
      </c>
      <c r="E651" s="181">
        <f>TOBEPAID!E491/1000</f>
        <v>0</v>
      </c>
      <c r="F651" s="181">
        <f>TOBEPAID!F491/1000</f>
        <v>0</v>
      </c>
      <c r="G651" s="181">
        <f>TOBEPAID!G491/1000</f>
        <v>0</v>
      </c>
      <c r="H651" s="181">
        <v>0</v>
      </c>
      <c r="I651" s="181">
        <f>TOBEPAID!I491/1000</f>
        <v>0</v>
      </c>
      <c r="J651" s="181">
        <f>TOBEPAID!J491/1000</f>
        <v>0</v>
      </c>
      <c r="K651" s="181">
        <f>TOBEPAID!K491/1000</f>
        <v>0</v>
      </c>
      <c r="L651" s="181">
        <f>TOBEPAID!L491/1000</f>
        <v>0</v>
      </c>
      <c r="M651" s="181">
        <f>TOBEPAID!M491/1000</f>
        <v>0</v>
      </c>
      <c r="N651" s="181">
        <f>TOBEPAID!N491/1000</f>
        <v>0</v>
      </c>
      <c r="O651" s="181">
        <f>TOBEPAID!O491/1000</f>
        <v>3246.2381600000003</v>
      </c>
      <c r="P651" s="181">
        <f>TOBEPAID!P491/1000</f>
        <v>0</v>
      </c>
      <c r="Q651" s="181">
        <f>TOBEPAID!Q491/1000</f>
        <v>0</v>
      </c>
      <c r="R651" s="181">
        <f>6482301/1000</f>
        <v>6482.3010000000004</v>
      </c>
      <c r="S651" s="181">
        <f>TOBEPAID!S491/1000</f>
        <v>0</v>
      </c>
      <c r="T651" s="181">
        <f>TOBEPAID!T491/1000</f>
        <v>0</v>
      </c>
      <c r="U651" s="181">
        <f>TOBEPAID!U491/1000</f>
        <v>0</v>
      </c>
      <c r="V651" s="181">
        <f>TOBEPAID!V491/1000</f>
        <v>0</v>
      </c>
      <c r="W651" s="181">
        <f>TOBEPAID!W491/1000</f>
        <v>0</v>
      </c>
      <c r="X651" s="181">
        <f>TOBEPAID!X491/1000</f>
        <v>3246.2381600000003</v>
      </c>
      <c r="Y651" s="181">
        <f t="shared" ref="Y651:Y658" si="119">+H651+R651</f>
        <v>6482.3010000000004</v>
      </c>
      <c r="Z651" s="181">
        <f t="shared" ref="Z651:Z658" si="120">+D651-Y651</f>
        <v>2125.5249999999987</v>
      </c>
      <c r="AA651" s="181">
        <f>TOBEPAID!AA491/1000</f>
        <v>3246.2381600000003</v>
      </c>
      <c r="AB651" s="181">
        <f>TOBEPAID!AB491/1000</f>
        <v>5361.5881999999992</v>
      </c>
      <c r="AC651" s="181"/>
      <c r="AD651" s="181"/>
    </row>
    <row r="652" spans="1:30" x14ac:dyDescent="0.2">
      <c r="A652" s="180"/>
      <c r="C652" s="168" t="s">
        <v>36</v>
      </c>
      <c r="D652" s="181">
        <f>1987562/1000</f>
        <v>1987.5619999999999</v>
      </c>
      <c r="E652" s="181">
        <f>TOBEPAID!E492/1000</f>
        <v>1987.56242</v>
      </c>
      <c r="F652" s="181">
        <f>TOBEPAID!F492/1000</f>
        <v>0</v>
      </c>
      <c r="G652" s="181">
        <f>TOBEPAID!G492/1000</f>
        <v>0</v>
      </c>
      <c r="H652" s="181">
        <f>1987562/1000</f>
        <v>1987.5619999999999</v>
      </c>
      <c r="I652" s="181">
        <f>TOBEPAID!I492/1000</f>
        <v>0</v>
      </c>
      <c r="J652" s="181">
        <f>TOBEPAID!J492/1000</f>
        <v>0</v>
      </c>
      <c r="K652" s="181">
        <f>TOBEPAID!K492/1000</f>
        <v>0</v>
      </c>
      <c r="L652" s="181">
        <f>TOBEPAID!L492/1000</f>
        <v>0</v>
      </c>
      <c r="M652" s="181">
        <f>TOBEPAID!M492/1000</f>
        <v>0</v>
      </c>
      <c r="N652" s="181">
        <f>TOBEPAID!N492/1000</f>
        <v>1987.56242</v>
      </c>
      <c r="O652" s="181">
        <f>TOBEPAID!O492/1000</f>
        <v>0</v>
      </c>
      <c r="P652" s="181">
        <f>TOBEPAID!P492/1000</f>
        <v>0</v>
      </c>
      <c r="Q652" s="181">
        <f>TOBEPAID!Q492/1000</f>
        <v>0</v>
      </c>
      <c r="R652" s="181">
        <v>0</v>
      </c>
      <c r="S652" s="181">
        <f>TOBEPAID!S492/1000</f>
        <v>0</v>
      </c>
      <c r="T652" s="181">
        <f>TOBEPAID!T492/1000</f>
        <v>0</v>
      </c>
      <c r="U652" s="181">
        <f>TOBEPAID!U492/1000</f>
        <v>0</v>
      </c>
      <c r="V652" s="181">
        <f>TOBEPAID!V492/1000</f>
        <v>0</v>
      </c>
      <c r="W652" s="181">
        <f>TOBEPAID!W492/1000</f>
        <v>0</v>
      </c>
      <c r="X652" s="181">
        <f>TOBEPAID!X492/1000</f>
        <v>0</v>
      </c>
      <c r="Y652" s="181">
        <f t="shared" si="119"/>
        <v>1987.5619999999999</v>
      </c>
      <c r="Z652" s="181">
        <f t="shared" si="120"/>
        <v>0</v>
      </c>
      <c r="AA652" s="181">
        <f>TOBEPAID!AA492/1000</f>
        <v>1987.56242</v>
      </c>
      <c r="AB652" s="181">
        <f>TOBEPAID!AB492/1000</f>
        <v>0</v>
      </c>
      <c r="AC652" s="181"/>
      <c r="AD652" s="181"/>
    </row>
    <row r="653" spans="1:30" x14ac:dyDescent="0.2">
      <c r="A653" s="180"/>
      <c r="C653" s="168" t="s">
        <v>44</v>
      </c>
      <c r="D653" s="181">
        <f>27327000/1000</f>
        <v>27327</v>
      </c>
      <c r="E653" s="181">
        <f>TOBEPAID!E493/1000</f>
        <v>27327</v>
      </c>
      <c r="F653" s="181">
        <f>TOBEPAID!F493/1000</f>
        <v>0</v>
      </c>
      <c r="G653" s="181">
        <f>TOBEPAID!G493/1000</f>
        <v>0</v>
      </c>
      <c r="H653" s="181">
        <f>27327000/1000</f>
        <v>27327</v>
      </c>
      <c r="I653" s="181">
        <f>TOBEPAID!I493/1000</f>
        <v>0</v>
      </c>
      <c r="J653" s="181">
        <f>TOBEPAID!J493/1000</f>
        <v>0</v>
      </c>
      <c r="K653" s="181">
        <f>TOBEPAID!K493/1000</f>
        <v>0</v>
      </c>
      <c r="L653" s="181">
        <f>TOBEPAID!L493/1000</f>
        <v>0</v>
      </c>
      <c r="M653" s="181">
        <f>TOBEPAID!M493/1000</f>
        <v>0</v>
      </c>
      <c r="N653" s="181">
        <f>TOBEPAID!N493/1000</f>
        <v>27327</v>
      </c>
      <c r="O653" s="181">
        <f>TOBEPAID!O493/1000</f>
        <v>0</v>
      </c>
      <c r="P653" s="181">
        <f>TOBEPAID!P493/1000</f>
        <v>0</v>
      </c>
      <c r="Q653" s="181">
        <f>TOBEPAID!Q493/1000</f>
        <v>0</v>
      </c>
      <c r="R653" s="181">
        <v>0</v>
      </c>
      <c r="S653" s="181">
        <f>TOBEPAID!S493/1000</f>
        <v>0</v>
      </c>
      <c r="T653" s="181">
        <f>TOBEPAID!T493/1000</f>
        <v>0</v>
      </c>
      <c r="U653" s="181">
        <f>TOBEPAID!U493/1000</f>
        <v>0</v>
      </c>
      <c r="V653" s="181">
        <f>TOBEPAID!V493/1000</f>
        <v>0</v>
      </c>
      <c r="W653" s="181">
        <f>TOBEPAID!W493/1000</f>
        <v>0</v>
      </c>
      <c r="X653" s="181">
        <f>TOBEPAID!X493/1000</f>
        <v>0</v>
      </c>
      <c r="Y653" s="181">
        <f t="shared" si="119"/>
        <v>27327</v>
      </c>
      <c r="Z653" s="181">
        <f t="shared" si="120"/>
        <v>0</v>
      </c>
      <c r="AA653" s="181">
        <f>TOBEPAID!AA493/1000</f>
        <v>27327</v>
      </c>
      <c r="AB653" s="181">
        <f>TOBEPAID!AB493/1000</f>
        <v>0</v>
      </c>
      <c r="AC653" s="181"/>
      <c r="AD653" s="181"/>
    </row>
    <row r="654" spans="1:30" x14ac:dyDescent="0.2">
      <c r="A654" s="180"/>
      <c r="C654" s="166" t="s">
        <v>468</v>
      </c>
      <c r="D654" s="181">
        <f>50000000/1000</f>
        <v>50000</v>
      </c>
      <c r="E654" s="181"/>
      <c r="F654" s="181"/>
      <c r="G654" s="181"/>
      <c r="H654" s="181">
        <f>50000000/1000</f>
        <v>50000</v>
      </c>
      <c r="I654" s="181"/>
      <c r="J654" s="181"/>
      <c r="K654" s="181"/>
      <c r="L654" s="181"/>
      <c r="M654" s="181"/>
      <c r="N654" s="181"/>
      <c r="O654" s="181"/>
      <c r="P654" s="181"/>
      <c r="Q654" s="181"/>
      <c r="R654" s="181">
        <v>0</v>
      </c>
      <c r="S654" s="181"/>
      <c r="T654" s="181"/>
      <c r="U654" s="181"/>
      <c r="V654" s="181"/>
      <c r="W654" s="181"/>
      <c r="X654" s="181"/>
      <c r="Y654" s="181">
        <f>+H654+R654</f>
        <v>50000</v>
      </c>
      <c r="Z654" s="181">
        <f>+D654-Y654</f>
        <v>0</v>
      </c>
      <c r="AA654" s="181"/>
      <c r="AB654" s="181"/>
      <c r="AC654" s="181"/>
      <c r="AD654" s="181"/>
    </row>
    <row r="655" spans="1:30" x14ac:dyDescent="0.2">
      <c r="A655" s="180"/>
      <c r="C655" s="166" t="s">
        <v>468</v>
      </c>
      <c r="D655" s="181">
        <f>72000000/1000</f>
        <v>72000</v>
      </c>
      <c r="E655" s="181"/>
      <c r="F655" s="181"/>
      <c r="G655" s="181"/>
      <c r="H655" s="181">
        <f>72000000/1000</f>
        <v>72000</v>
      </c>
      <c r="I655" s="181"/>
      <c r="J655" s="181"/>
      <c r="K655" s="181"/>
      <c r="L655" s="181"/>
      <c r="M655" s="181"/>
      <c r="N655" s="181"/>
      <c r="O655" s="181"/>
      <c r="P655" s="181"/>
      <c r="Q655" s="181"/>
      <c r="R655" s="181">
        <v>0</v>
      </c>
      <c r="S655" s="181"/>
      <c r="T655" s="181"/>
      <c r="U655" s="181"/>
      <c r="V655" s="181"/>
      <c r="W655" s="181"/>
      <c r="X655" s="181"/>
      <c r="Y655" s="181">
        <f>+H655+R655</f>
        <v>72000</v>
      </c>
      <c r="Z655" s="181">
        <f>+D655-Y655</f>
        <v>0</v>
      </c>
      <c r="AA655" s="181"/>
      <c r="AB655" s="181"/>
      <c r="AC655" s="181"/>
      <c r="AD655" s="181"/>
    </row>
    <row r="656" spans="1:30" x14ac:dyDescent="0.2">
      <c r="C656" s="165" t="s">
        <v>346</v>
      </c>
      <c r="D656" s="181">
        <f>8652898/1000</f>
        <v>8652.8979999999992</v>
      </c>
      <c r="E656" s="181">
        <f>TOBEPAID!E494/1000</f>
        <v>8652.8987799999995</v>
      </c>
      <c r="F656" s="181">
        <f>TOBEPAID!F494/1000</f>
        <v>0</v>
      </c>
      <c r="G656" s="181">
        <f>TOBEPAID!G494/1000</f>
        <v>0</v>
      </c>
      <c r="H656" s="181">
        <f>8652898/1000</f>
        <v>8652.8979999999992</v>
      </c>
      <c r="I656" s="181">
        <f>TOBEPAID!I494/1000</f>
        <v>0</v>
      </c>
      <c r="J656" s="181">
        <f>TOBEPAID!J494/1000</f>
        <v>0</v>
      </c>
      <c r="K656" s="181">
        <f>TOBEPAID!K494/1000</f>
        <v>0</v>
      </c>
      <c r="L656" s="181">
        <f>TOBEPAID!L494/1000</f>
        <v>0</v>
      </c>
      <c r="M656" s="181">
        <f>TOBEPAID!M494/1000</f>
        <v>0</v>
      </c>
      <c r="N656" s="181">
        <f>TOBEPAID!N494/1000</f>
        <v>8652.8987799999995</v>
      </c>
      <c r="O656" s="181">
        <f>TOBEPAID!O494/1000</f>
        <v>0</v>
      </c>
      <c r="P656" s="181">
        <f>TOBEPAID!P494/1000</f>
        <v>0</v>
      </c>
      <c r="Q656" s="181">
        <f>TOBEPAID!Q494/1000</f>
        <v>0</v>
      </c>
      <c r="R656" s="181">
        <v>0</v>
      </c>
      <c r="S656" s="181">
        <f>TOBEPAID!S494/1000</f>
        <v>0</v>
      </c>
      <c r="T656" s="181">
        <f>TOBEPAID!T494/1000</f>
        <v>0</v>
      </c>
      <c r="U656" s="181">
        <f>TOBEPAID!U494/1000</f>
        <v>0</v>
      </c>
      <c r="V656" s="181">
        <f>TOBEPAID!V494/1000</f>
        <v>0</v>
      </c>
      <c r="W656" s="181">
        <f>TOBEPAID!W494/1000</f>
        <v>0</v>
      </c>
      <c r="X656" s="181">
        <f>TOBEPAID!X494/1000</f>
        <v>0</v>
      </c>
      <c r="Y656" s="181">
        <f t="shared" si="119"/>
        <v>8652.8979999999992</v>
      </c>
      <c r="Z656" s="181">
        <f t="shared" si="120"/>
        <v>0</v>
      </c>
      <c r="AA656" s="181">
        <f>TOBEPAID!AA494/1000</f>
        <v>8652.8987799999995</v>
      </c>
      <c r="AB656" s="181">
        <f>TOBEPAID!AB494/1000</f>
        <v>0</v>
      </c>
      <c r="AC656" s="181"/>
      <c r="AD656" s="181"/>
    </row>
    <row r="657" spans="1:30" x14ac:dyDescent="0.2">
      <c r="A657" s="180"/>
      <c r="C657" s="166" t="s">
        <v>37</v>
      </c>
      <c r="D657" s="181">
        <f>174704/1000</f>
        <v>174.70400000000001</v>
      </c>
      <c r="E657" s="181">
        <f>TOBEPAID!E495/1000</f>
        <v>0</v>
      </c>
      <c r="F657" s="181">
        <f>TOBEPAID!F495/1000</f>
        <v>0</v>
      </c>
      <c r="G657" s="181">
        <f>TOBEPAID!G495/1000</f>
        <v>0</v>
      </c>
      <c r="H657" s="181">
        <v>0</v>
      </c>
      <c r="I657" s="181">
        <f>TOBEPAID!I495/1000</f>
        <v>0</v>
      </c>
      <c r="J657" s="181">
        <f>TOBEPAID!J495/1000</f>
        <v>0</v>
      </c>
      <c r="K657" s="181">
        <f>TOBEPAID!K495/1000</f>
        <v>0</v>
      </c>
      <c r="L657" s="181">
        <f>TOBEPAID!L495/1000</f>
        <v>0</v>
      </c>
      <c r="M657" s="181">
        <f>TOBEPAID!M495/1000</f>
        <v>0</v>
      </c>
      <c r="N657" s="181">
        <f>TOBEPAID!N495/1000</f>
        <v>0</v>
      </c>
      <c r="O657" s="181">
        <f>TOBEPAID!O495/1000</f>
        <v>174.70400000000001</v>
      </c>
      <c r="P657" s="181">
        <f>TOBEPAID!P495/1000</f>
        <v>0</v>
      </c>
      <c r="Q657" s="181">
        <f>TOBEPAID!Q495/1000</f>
        <v>0</v>
      </c>
      <c r="R657" s="181">
        <f>174704/1000</f>
        <v>174.70400000000001</v>
      </c>
      <c r="S657" s="181">
        <f>TOBEPAID!S495/1000</f>
        <v>0</v>
      </c>
      <c r="T657" s="181">
        <f>TOBEPAID!T495/1000</f>
        <v>0</v>
      </c>
      <c r="U657" s="181">
        <f>TOBEPAID!U495/1000</f>
        <v>0</v>
      </c>
      <c r="V657" s="181">
        <f>TOBEPAID!V495/1000</f>
        <v>0</v>
      </c>
      <c r="W657" s="181">
        <f>TOBEPAID!W495/1000</f>
        <v>0</v>
      </c>
      <c r="X657" s="181">
        <f>TOBEPAID!X495/1000</f>
        <v>174.70400000000001</v>
      </c>
      <c r="Y657" s="181">
        <f t="shared" si="119"/>
        <v>174.70400000000001</v>
      </c>
      <c r="Z657" s="181">
        <f t="shared" si="120"/>
        <v>0</v>
      </c>
      <c r="AA657" s="181">
        <f>TOBEPAID!AA495/1000</f>
        <v>174.70400000000001</v>
      </c>
      <c r="AB657" s="181">
        <f>TOBEPAID!AB495/1000</f>
        <v>1.0000000000582076E-4</v>
      </c>
      <c r="AC657" s="181"/>
      <c r="AD657" s="181"/>
    </row>
    <row r="658" spans="1:30" x14ac:dyDescent="0.2">
      <c r="A658" s="180"/>
      <c r="C658" s="166" t="s">
        <v>266</v>
      </c>
      <c r="D658" s="181">
        <f>10000000/1000</f>
        <v>10000</v>
      </c>
      <c r="E658" s="181">
        <f>TOBEPAID!E496/1000</f>
        <v>5843.7300300000006</v>
      </c>
      <c r="F658" s="181">
        <f>TOBEPAID!F496/1000</f>
        <v>0</v>
      </c>
      <c r="G658" s="181">
        <f>TOBEPAID!G496/1000</f>
        <v>0</v>
      </c>
      <c r="H658" s="181">
        <f>5843730/1000</f>
        <v>5843.73</v>
      </c>
      <c r="I658" s="181">
        <f>TOBEPAID!I496/1000</f>
        <v>0</v>
      </c>
      <c r="J658" s="181">
        <f>TOBEPAID!J496/1000</f>
        <v>0</v>
      </c>
      <c r="K658" s="181">
        <f>TOBEPAID!K496/1000</f>
        <v>0</v>
      </c>
      <c r="L658" s="181">
        <f>TOBEPAID!L496/1000</f>
        <v>0</v>
      </c>
      <c r="M658" s="181">
        <f>TOBEPAID!M496/1000</f>
        <v>0</v>
      </c>
      <c r="N658" s="181">
        <f>TOBEPAID!N496/1000</f>
        <v>5843.7300300000006</v>
      </c>
      <c r="O658" s="181">
        <f>TOBEPAID!O496/1000</f>
        <v>835.22230000000002</v>
      </c>
      <c r="P658" s="181">
        <f>TOBEPAID!P496/1000</f>
        <v>0</v>
      </c>
      <c r="Q658" s="181">
        <f>TOBEPAID!Q496/1000</f>
        <v>0</v>
      </c>
      <c r="R658" s="181">
        <f>835222/1000</f>
        <v>835.22199999999998</v>
      </c>
      <c r="S658" s="181">
        <f>TOBEPAID!S496/1000</f>
        <v>0</v>
      </c>
      <c r="T658" s="181">
        <f>TOBEPAID!T496/1000</f>
        <v>0</v>
      </c>
      <c r="U658" s="181">
        <f>TOBEPAID!U496/1000</f>
        <v>0</v>
      </c>
      <c r="V658" s="181">
        <f>TOBEPAID!V496/1000</f>
        <v>0</v>
      </c>
      <c r="W658" s="181">
        <f>TOBEPAID!W496/1000</f>
        <v>0</v>
      </c>
      <c r="X658" s="181">
        <f>TOBEPAID!X496/1000</f>
        <v>835.22230000000002</v>
      </c>
      <c r="Y658" s="181">
        <f t="shared" si="119"/>
        <v>6678.9519999999993</v>
      </c>
      <c r="Z658" s="181">
        <f t="shared" si="120"/>
        <v>3321.0480000000007</v>
      </c>
      <c r="AA658" s="181">
        <f>TOBEPAID!AA496/1000</f>
        <v>6678.9523300000001</v>
      </c>
      <c r="AB658" s="181">
        <f>TOBEPAID!AB496/1000</f>
        <v>3321.0476699999999</v>
      </c>
      <c r="AC658" s="181"/>
      <c r="AD658" s="181"/>
    </row>
    <row r="659" spans="1:30" x14ac:dyDescent="0.2">
      <c r="A659" s="180"/>
      <c r="D659" s="182" t="s">
        <v>40</v>
      </c>
      <c r="E659" s="182" t="s">
        <v>40</v>
      </c>
      <c r="F659" s="182" t="s">
        <v>40</v>
      </c>
      <c r="G659" s="182"/>
      <c r="H659" s="182" t="s">
        <v>40</v>
      </c>
      <c r="I659" s="182" t="s">
        <v>40</v>
      </c>
      <c r="J659" s="182" t="s">
        <v>40</v>
      </c>
      <c r="K659" s="182" t="s">
        <v>40</v>
      </c>
      <c r="L659" s="182" t="s">
        <v>40</v>
      </c>
      <c r="M659" s="182"/>
      <c r="N659" s="182" t="s">
        <v>40</v>
      </c>
      <c r="O659" s="182" t="s">
        <v>40</v>
      </c>
      <c r="P659" s="182" t="s">
        <v>40</v>
      </c>
      <c r="Q659" s="182"/>
      <c r="R659" s="182" t="s">
        <v>40</v>
      </c>
      <c r="S659" s="182" t="s">
        <v>40</v>
      </c>
      <c r="T659" s="182" t="s">
        <v>40</v>
      </c>
      <c r="U659" s="182" t="s">
        <v>40</v>
      </c>
      <c r="V659" s="182" t="s">
        <v>40</v>
      </c>
      <c r="W659" s="182"/>
      <c r="X659" s="182" t="s">
        <v>40</v>
      </c>
      <c r="Y659" s="182" t="s">
        <v>40</v>
      </c>
      <c r="Z659" s="182" t="s">
        <v>40</v>
      </c>
      <c r="AA659" s="182" t="s">
        <v>40</v>
      </c>
      <c r="AB659" s="182" t="s">
        <v>40</v>
      </c>
      <c r="AC659" s="182"/>
      <c r="AD659" s="182"/>
    </row>
    <row r="660" spans="1:30" x14ac:dyDescent="0.2">
      <c r="A660" s="180"/>
      <c r="D660" s="181">
        <f>SUM(D651:D658)</f>
        <v>178749.99</v>
      </c>
      <c r="E660" s="181">
        <f>SUM(E651:E658)</f>
        <v>43811.191229999997</v>
      </c>
      <c r="F660" s="181">
        <f>SUM(F651:F658)</f>
        <v>0</v>
      </c>
      <c r="G660" s="181"/>
      <c r="H660" s="181">
        <f>SUM(H651:H658)</f>
        <v>165811.19</v>
      </c>
      <c r="I660" s="181">
        <f>SUM(I651:I658)</f>
        <v>0</v>
      </c>
      <c r="J660" s="181">
        <f>SUM(J651:J658)</f>
        <v>0</v>
      </c>
      <c r="K660" s="181">
        <f>SUM(K651:K658)</f>
        <v>0</v>
      </c>
      <c r="L660" s="181">
        <f>SUM(L651:L658)</f>
        <v>0</v>
      </c>
      <c r="M660" s="181"/>
      <c r="N660" s="181">
        <f>SUM(N651:N658)</f>
        <v>43811.191229999997</v>
      </c>
      <c r="O660" s="181">
        <f>SUM(O651:O658)</f>
        <v>4256.1644600000009</v>
      </c>
      <c r="P660" s="181">
        <f>SUM(P651:P658)</f>
        <v>0</v>
      </c>
      <c r="Q660" s="181"/>
      <c r="R660" s="181">
        <f>SUM(R651:R658)</f>
        <v>7492.2269999999999</v>
      </c>
      <c r="S660" s="181">
        <f>SUM(S651:S658)</f>
        <v>0</v>
      </c>
      <c r="T660" s="181">
        <f>SUM(T651:T658)</f>
        <v>0</v>
      </c>
      <c r="U660" s="181">
        <f>SUM(U651:U658)</f>
        <v>0</v>
      </c>
      <c r="V660" s="181">
        <f>SUM(V651:V658)</f>
        <v>0</v>
      </c>
      <c r="W660" s="181"/>
      <c r="X660" s="181">
        <f>SUM(X651:X658)</f>
        <v>4256.1644600000009</v>
      </c>
      <c r="Y660" s="181">
        <f>SUM(Y651:Y658)</f>
        <v>173303.41699999999</v>
      </c>
      <c r="Z660" s="181">
        <f>SUM(Z651:Z658)</f>
        <v>5446.5729999999994</v>
      </c>
      <c r="AA660" s="181">
        <f>SUM(AA651:AA658)</f>
        <v>48067.355689999997</v>
      </c>
      <c r="AB660" s="181">
        <f>SUM(AB651:AB658)</f>
        <v>8682.6359699999994</v>
      </c>
      <c r="AC660" s="181"/>
      <c r="AD660" s="181"/>
    </row>
    <row r="661" spans="1:30" x14ac:dyDescent="0.2">
      <c r="A661" s="180"/>
      <c r="D661" s="182" t="s">
        <v>40</v>
      </c>
      <c r="E661" s="182" t="s">
        <v>40</v>
      </c>
      <c r="F661" s="182" t="s">
        <v>40</v>
      </c>
      <c r="G661" s="182"/>
      <c r="H661" s="182" t="s">
        <v>40</v>
      </c>
      <c r="I661" s="182" t="s">
        <v>40</v>
      </c>
      <c r="J661" s="182" t="s">
        <v>40</v>
      </c>
      <c r="K661" s="182" t="s">
        <v>40</v>
      </c>
      <c r="L661" s="182" t="s">
        <v>40</v>
      </c>
      <c r="M661" s="182"/>
      <c r="N661" s="182" t="s">
        <v>40</v>
      </c>
      <c r="O661" s="182" t="s">
        <v>40</v>
      </c>
      <c r="P661" s="182" t="s">
        <v>40</v>
      </c>
      <c r="Q661" s="182"/>
      <c r="R661" s="182" t="s">
        <v>40</v>
      </c>
      <c r="S661" s="182" t="s">
        <v>40</v>
      </c>
      <c r="T661" s="182" t="s">
        <v>40</v>
      </c>
      <c r="U661" s="182" t="s">
        <v>40</v>
      </c>
      <c r="V661" s="182" t="s">
        <v>40</v>
      </c>
      <c r="W661" s="182"/>
      <c r="X661" s="182" t="s">
        <v>40</v>
      </c>
      <c r="Y661" s="182" t="s">
        <v>40</v>
      </c>
      <c r="Z661" s="182" t="s">
        <v>40</v>
      </c>
      <c r="AA661" s="182" t="s">
        <v>40</v>
      </c>
      <c r="AB661" s="182" t="s">
        <v>40</v>
      </c>
      <c r="AC661" s="182"/>
      <c r="AD661" s="182"/>
    </row>
    <row r="662" spans="1:30" x14ac:dyDescent="0.2">
      <c r="A662" s="180"/>
      <c r="D662" s="182"/>
      <c r="E662" s="182"/>
      <c r="F662" s="203"/>
      <c r="G662" s="218"/>
      <c r="H662" s="188"/>
      <c r="I662" s="189"/>
      <c r="J662" s="189"/>
      <c r="K662" s="189"/>
      <c r="L662" s="189"/>
      <c r="M662" s="188"/>
      <c r="N662" s="189"/>
      <c r="O662" s="221"/>
      <c r="P662" s="189"/>
      <c r="Q662" s="189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</row>
    <row r="663" spans="1:30" x14ac:dyDescent="0.2">
      <c r="A663" s="180">
        <v>48</v>
      </c>
      <c r="B663" s="166" t="s">
        <v>84</v>
      </c>
      <c r="C663" s="166" t="s">
        <v>35</v>
      </c>
      <c r="D663" s="181">
        <f>19221211/1000</f>
        <v>19221.210999999999</v>
      </c>
      <c r="E663" s="181">
        <f>TOBEPAID!E501/1000</f>
        <v>0</v>
      </c>
      <c r="F663" s="181">
        <f>TOBEPAID!F501/1000</f>
        <v>0</v>
      </c>
      <c r="G663" s="181">
        <f>TOBEPAID!G501/1000</f>
        <v>0</v>
      </c>
      <c r="H663" s="181">
        <v>0</v>
      </c>
      <c r="I663" s="181">
        <f>TOBEPAID!I501/1000</f>
        <v>0</v>
      </c>
      <c r="J663" s="181">
        <f>TOBEPAID!J501/1000</f>
        <v>0</v>
      </c>
      <c r="K663" s="181">
        <f>TOBEPAID!K501/1000</f>
        <v>0</v>
      </c>
      <c r="L663" s="181">
        <f>TOBEPAID!L501/1000</f>
        <v>0</v>
      </c>
      <c r="M663" s="181">
        <f>TOBEPAID!M501/1000</f>
        <v>0</v>
      </c>
      <c r="N663" s="181">
        <f>TOBEPAID!N501/1000</f>
        <v>0</v>
      </c>
      <c r="O663" s="181">
        <f>TOBEPAID!O501/1000</f>
        <v>9599.9998099999993</v>
      </c>
      <c r="P663" s="181">
        <f>TOBEPAID!P501/1000</f>
        <v>0</v>
      </c>
      <c r="Q663" s="181">
        <f>TOBEPAID!Q501/1000</f>
        <v>0</v>
      </c>
      <c r="R663" s="181">
        <f>11044420/1000</f>
        <v>11044.42</v>
      </c>
      <c r="S663" s="181">
        <f>TOBEPAID!S501/1000</f>
        <v>6263.1173699999999</v>
      </c>
      <c r="T663" s="181">
        <f>TOBEPAID!T501/1000</f>
        <v>3270.9118800000001</v>
      </c>
      <c r="U663" s="181">
        <f>TOBEPAID!U501/1000</f>
        <v>0</v>
      </c>
      <c r="V663" s="181">
        <f>TOBEPAID!V501/1000</f>
        <v>0</v>
      </c>
      <c r="W663" s="181">
        <f>TOBEPAID!W501/1000</f>
        <v>0</v>
      </c>
      <c r="X663" s="181">
        <f>TOBEPAID!X501/1000</f>
        <v>9599.9998099999993</v>
      </c>
      <c r="Y663" s="181">
        <f t="shared" ref="Y663:Y670" si="121">+H663+R663</f>
        <v>11044.42</v>
      </c>
      <c r="Z663" s="181">
        <f t="shared" ref="Z663:Z670" si="122">+D663-Y663</f>
        <v>8176.7909999999993</v>
      </c>
      <c r="AA663" s="181">
        <f>TOBEPAID!AA501/1000</f>
        <v>9599.9998099999993</v>
      </c>
      <c r="AB663" s="181">
        <f>TOBEPAID!AB501/1000</f>
        <v>9621.2118100000025</v>
      </c>
      <c r="AC663" s="181"/>
      <c r="AD663" s="181"/>
    </row>
    <row r="664" spans="1:30" x14ac:dyDescent="0.2">
      <c r="A664" s="180"/>
      <c r="C664" s="168" t="s">
        <v>36</v>
      </c>
      <c r="D664" s="181">
        <f>412209/1000</f>
        <v>412.209</v>
      </c>
      <c r="E664" s="181">
        <f>TOBEPAID!E502/1000</f>
        <v>412.20940000000002</v>
      </c>
      <c r="F664" s="181">
        <f>TOBEPAID!F502/1000</f>
        <v>0</v>
      </c>
      <c r="G664" s="181">
        <f>TOBEPAID!G502/1000</f>
        <v>0</v>
      </c>
      <c r="H664" s="181">
        <f>412209/1000</f>
        <v>412.209</v>
      </c>
      <c r="I664" s="181">
        <f>TOBEPAID!I502/1000</f>
        <v>0</v>
      </c>
      <c r="J664" s="181">
        <f>TOBEPAID!J502/1000</f>
        <v>0</v>
      </c>
      <c r="K664" s="181">
        <f>TOBEPAID!K502/1000</f>
        <v>0</v>
      </c>
      <c r="L664" s="181">
        <f>TOBEPAID!L502/1000</f>
        <v>0</v>
      </c>
      <c r="M664" s="181">
        <f>TOBEPAID!M502/1000</f>
        <v>0</v>
      </c>
      <c r="N664" s="181">
        <f>TOBEPAID!N502/1000</f>
        <v>412.20940000000002</v>
      </c>
      <c r="O664" s="181">
        <f>TOBEPAID!O502/1000</f>
        <v>0</v>
      </c>
      <c r="P664" s="181">
        <f>TOBEPAID!P502/1000</f>
        <v>0</v>
      </c>
      <c r="Q664" s="181">
        <f>TOBEPAID!Q502/1000</f>
        <v>0</v>
      </c>
      <c r="R664" s="181">
        <v>0</v>
      </c>
      <c r="S664" s="181">
        <f>TOBEPAID!S502/1000</f>
        <v>0</v>
      </c>
      <c r="T664" s="181">
        <f>TOBEPAID!T502/1000</f>
        <v>0</v>
      </c>
      <c r="U664" s="181">
        <f>TOBEPAID!U502/1000</f>
        <v>0</v>
      </c>
      <c r="V664" s="181">
        <f>TOBEPAID!V502/1000</f>
        <v>0</v>
      </c>
      <c r="W664" s="181">
        <f>TOBEPAID!W502/1000</f>
        <v>0</v>
      </c>
      <c r="X664" s="181">
        <f>TOBEPAID!X502/1000</f>
        <v>0</v>
      </c>
      <c r="Y664" s="181">
        <f t="shared" si="121"/>
        <v>412.209</v>
      </c>
      <c r="Z664" s="181">
        <f t="shared" si="122"/>
        <v>0</v>
      </c>
      <c r="AA664" s="181">
        <f>TOBEPAID!AA502/1000</f>
        <v>412.20940000000002</v>
      </c>
      <c r="AB664" s="181">
        <f>TOBEPAID!AB502/1000</f>
        <v>0</v>
      </c>
      <c r="AC664" s="181"/>
      <c r="AD664" s="181"/>
    </row>
    <row r="665" spans="1:30" x14ac:dyDescent="0.2">
      <c r="A665" s="180"/>
      <c r="C665" s="168" t="s">
        <v>44</v>
      </c>
      <c r="D665" s="181">
        <f>20063586/1000</f>
        <v>20063.585999999999</v>
      </c>
      <c r="E665" s="181">
        <f>TOBEPAID!E503/1000</f>
        <v>20063.585999999999</v>
      </c>
      <c r="F665" s="181">
        <f>TOBEPAID!F503/1000</f>
        <v>0</v>
      </c>
      <c r="G665" s="181">
        <f>TOBEPAID!G503/1000</f>
        <v>0</v>
      </c>
      <c r="H665" s="181">
        <f>20063586/1000</f>
        <v>20063.585999999999</v>
      </c>
      <c r="I665" s="181">
        <f>TOBEPAID!I503/1000</f>
        <v>0</v>
      </c>
      <c r="J665" s="181">
        <f>TOBEPAID!J503/1000</f>
        <v>0</v>
      </c>
      <c r="K665" s="181">
        <f>TOBEPAID!K503/1000</f>
        <v>0</v>
      </c>
      <c r="L665" s="181">
        <f>TOBEPAID!L503/1000</f>
        <v>0</v>
      </c>
      <c r="M665" s="181">
        <f>TOBEPAID!M503/1000</f>
        <v>0</v>
      </c>
      <c r="N665" s="181">
        <f>TOBEPAID!N503/1000</f>
        <v>20063.585999999999</v>
      </c>
      <c r="O665" s="181">
        <f>TOBEPAID!O503/1000</f>
        <v>0</v>
      </c>
      <c r="P665" s="181">
        <f>TOBEPAID!P503/1000</f>
        <v>0</v>
      </c>
      <c r="Q665" s="181">
        <f>TOBEPAID!Q503/1000</f>
        <v>0</v>
      </c>
      <c r="R665" s="181">
        <v>0</v>
      </c>
      <c r="S665" s="181">
        <f>TOBEPAID!S503/1000</f>
        <v>0</v>
      </c>
      <c r="T665" s="181">
        <f>TOBEPAID!T503/1000</f>
        <v>0</v>
      </c>
      <c r="U665" s="181">
        <f>TOBEPAID!U503/1000</f>
        <v>0</v>
      </c>
      <c r="V665" s="181">
        <f>TOBEPAID!V503/1000</f>
        <v>0</v>
      </c>
      <c r="W665" s="181">
        <f>TOBEPAID!W503/1000</f>
        <v>0</v>
      </c>
      <c r="X665" s="181">
        <f>TOBEPAID!X503/1000</f>
        <v>0</v>
      </c>
      <c r="Y665" s="181">
        <f t="shared" si="121"/>
        <v>20063.585999999999</v>
      </c>
      <c r="Z665" s="181">
        <f t="shared" si="122"/>
        <v>0</v>
      </c>
      <c r="AA665" s="181">
        <f>TOBEPAID!AA503/1000</f>
        <v>20063.585999999999</v>
      </c>
      <c r="AB665" s="181">
        <f>TOBEPAID!AB503/1000</f>
        <v>0</v>
      </c>
      <c r="AC665" s="181"/>
      <c r="AD665" s="181"/>
    </row>
    <row r="666" spans="1:30" x14ac:dyDescent="0.2">
      <c r="A666" s="180"/>
      <c r="C666" s="166" t="s">
        <v>425</v>
      </c>
      <c r="D666" s="181">
        <f>27275707.92/1000</f>
        <v>27275.707920000001</v>
      </c>
      <c r="E666" s="181"/>
      <c r="F666" s="181"/>
      <c r="G666" s="181"/>
      <c r="H666" s="181">
        <f>27275707.92/1000</f>
        <v>27275.707920000001</v>
      </c>
      <c r="I666" s="181"/>
      <c r="J666" s="181"/>
      <c r="K666" s="181"/>
      <c r="L666" s="181"/>
      <c r="M666" s="181"/>
      <c r="N666" s="181"/>
      <c r="O666" s="181"/>
      <c r="P666" s="181"/>
      <c r="Q666" s="181"/>
      <c r="R666" s="181">
        <v>0</v>
      </c>
      <c r="S666" s="181"/>
      <c r="T666" s="181"/>
      <c r="U666" s="181"/>
      <c r="V666" s="181"/>
      <c r="W666" s="181"/>
      <c r="X666" s="181"/>
      <c r="Y666" s="181">
        <f>+H666+R666</f>
        <v>27275.707920000001</v>
      </c>
      <c r="Z666" s="181">
        <f>+D666-Y666</f>
        <v>0</v>
      </c>
      <c r="AA666" s="181"/>
      <c r="AB666" s="181"/>
      <c r="AC666" s="181"/>
      <c r="AD666" s="181"/>
    </row>
    <row r="667" spans="1:30" x14ac:dyDescent="0.2">
      <c r="A667" s="180"/>
      <c r="C667" s="166" t="s">
        <v>468</v>
      </c>
      <c r="D667" s="181">
        <f>10000000/1000</f>
        <v>10000</v>
      </c>
      <c r="E667" s="181"/>
      <c r="F667" s="181"/>
      <c r="G667" s="181"/>
      <c r="H667" s="181">
        <f>10000000/1000</f>
        <v>10000</v>
      </c>
      <c r="I667" s="181"/>
      <c r="J667" s="181"/>
      <c r="K667" s="181"/>
      <c r="L667" s="181"/>
      <c r="M667" s="181"/>
      <c r="N667" s="181"/>
      <c r="O667" s="181"/>
      <c r="P667" s="181"/>
      <c r="Q667" s="181"/>
      <c r="R667" s="181">
        <v>0</v>
      </c>
      <c r="S667" s="181"/>
      <c r="T667" s="181"/>
      <c r="U667" s="181"/>
      <c r="V667" s="181"/>
      <c r="W667" s="181"/>
      <c r="X667" s="181"/>
      <c r="Y667" s="181">
        <f>+H667+R667</f>
        <v>10000</v>
      </c>
      <c r="Z667" s="181">
        <f>+D667-Y667</f>
        <v>0</v>
      </c>
      <c r="AA667" s="181"/>
      <c r="AB667" s="181"/>
      <c r="AC667" s="181"/>
      <c r="AD667" s="181"/>
    </row>
    <row r="668" spans="1:30" x14ac:dyDescent="0.2">
      <c r="C668" s="165" t="s">
        <v>346</v>
      </c>
      <c r="D668" s="181">
        <f>2327913/1000</f>
        <v>2327.913</v>
      </c>
      <c r="E668" s="181">
        <f>TOBEPAID!E504/1000</f>
        <v>2327.91399</v>
      </c>
      <c r="F668" s="181">
        <f>TOBEPAID!F504/1000</f>
        <v>0</v>
      </c>
      <c r="G668" s="181">
        <f>TOBEPAID!G504/1000</f>
        <v>0</v>
      </c>
      <c r="H668" s="181">
        <f>2327913/1000</f>
        <v>2327.913</v>
      </c>
      <c r="I668" s="181">
        <f>TOBEPAID!I504/1000</f>
        <v>0</v>
      </c>
      <c r="J668" s="181">
        <f>TOBEPAID!J504/1000</f>
        <v>0</v>
      </c>
      <c r="K668" s="181">
        <f>TOBEPAID!K504/1000</f>
        <v>0</v>
      </c>
      <c r="L668" s="181">
        <f>TOBEPAID!L504/1000</f>
        <v>0</v>
      </c>
      <c r="M668" s="181">
        <f>TOBEPAID!M504/1000</f>
        <v>0</v>
      </c>
      <c r="N668" s="181">
        <f>TOBEPAID!N504/1000</f>
        <v>2327.91399</v>
      </c>
      <c r="O668" s="181">
        <f>TOBEPAID!O504/1000</f>
        <v>0</v>
      </c>
      <c r="P668" s="181">
        <f>TOBEPAID!P504/1000</f>
        <v>0</v>
      </c>
      <c r="Q668" s="181">
        <f>TOBEPAID!Q504/1000</f>
        <v>0</v>
      </c>
      <c r="R668" s="181">
        <v>0</v>
      </c>
      <c r="S668" s="181">
        <f>TOBEPAID!S504/1000</f>
        <v>0</v>
      </c>
      <c r="T668" s="181">
        <f>TOBEPAID!T504/1000</f>
        <v>0</v>
      </c>
      <c r="U668" s="181">
        <f>TOBEPAID!U504/1000</f>
        <v>0</v>
      </c>
      <c r="V668" s="181">
        <f>TOBEPAID!V504/1000</f>
        <v>0</v>
      </c>
      <c r="W668" s="181">
        <f>TOBEPAID!W504/1000</f>
        <v>0</v>
      </c>
      <c r="X668" s="181">
        <f>TOBEPAID!X504/1000</f>
        <v>0</v>
      </c>
      <c r="Y668" s="181">
        <f t="shared" si="121"/>
        <v>2327.913</v>
      </c>
      <c r="Z668" s="181">
        <f t="shared" si="122"/>
        <v>0</v>
      </c>
      <c r="AA668" s="181">
        <f>TOBEPAID!AA504/1000</f>
        <v>2327.91399</v>
      </c>
      <c r="AB668" s="181">
        <f>TOBEPAID!AB504/1000</f>
        <v>0</v>
      </c>
      <c r="AC668" s="181"/>
      <c r="AD668" s="181"/>
    </row>
    <row r="669" spans="1:30" x14ac:dyDescent="0.2">
      <c r="A669" s="180"/>
      <c r="C669" s="166" t="s">
        <v>37</v>
      </c>
      <c r="D669" s="181">
        <f>188958/1000</f>
        <v>188.958</v>
      </c>
      <c r="E669" s="181">
        <f>TOBEPAID!E505/1000</f>
        <v>0</v>
      </c>
      <c r="F669" s="181">
        <f>TOBEPAID!F505/1000</f>
        <v>0</v>
      </c>
      <c r="G669" s="181">
        <f>TOBEPAID!G505/1000</f>
        <v>0</v>
      </c>
      <c r="H669" s="181">
        <v>0</v>
      </c>
      <c r="I669" s="181">
        <f>TOBEPAID!I505/1000</f>
        <v>0</v>
      </c>
      <c r="J669" s="181">
        <f>TOBEPAID!J505/1000</f>
        <v>0</v>
      </c>
      <c r="K669" s="181">
        <f>TOBEPAID!K505/1000</f>
        <v>0</v>
      </c>
      <c r="L669" s="181">
        <f>TOBEPAID!L505/1000</f>
        <v>0</v>
      </c>
      <c r="M669" s="181">
        <f>TOBEPAID!M505/1000</f>
        <v>0</v>
      </c>
      <c r="N669" s="181">
        <f>TOBEPAID!N505/1000</f>
        <v>0</v>
      </c>
      <c r="O669" s="181">
        <f>TOBEPAID!O505/1000</f>
        <v>0.39146000000000003</v>
      </c>
      <c r="P669" s="181">
        <f>TOBEPAID!P505/1000</f>
        <v>0</v>
      </c>
      <c r="Q669" s="181">
        <f>TOBEPAID!Q505/1000</f>
        <v>0</v>
      </c>
      <c r="R669" s="181">
        <v>0.39100000000000001</v>
      </c>
      <c r="S669" s="181">
        <f>TOBEPAID!S505/1000</f>
        <v>0</v>
      </c>
      <c r="T669" s="181">
        <f>TOBEPAID!T505/1000</f>
        <v>0</v>
      </c>
      <c r="U669" s="181">
        <f>TOBEPAID!U505/1000</f>
        <v>0</v>
      </c>
      <c r="V669" s="181">
        <f>TOBEPAID!V505/1000</f>
        <v>0</v>
      </c>
      <c r="W669" s="181">
        <f>TOBEPAID!W505/1000</f>
        <v>0</v>
      </c>
      <c r="X669" s="181">
        <f>TOBEPAID!X505/1000</f>
        <v>0.39146000000000003</v>
      </c>
      <c r="Y669" s="181">
        <f t="shared" si="121"/>
        <v>0.39100000000000001</v>
      </c>
      <c r="Z669" s="181">
        <f t="shared" si="122"/>
        <v>188.56700000000001</v>
      </c>
      <c r="AA669" s="181">
        <f>TOBEPAID!AA505/1000</f>
        <v>0.39146000000000003</v>
      </c>
      <c r="AB669" s="181">
        <f>TOBEPAID!AB505/1000</f>
        <v>188.56661</v>
      </c>
      <c r="AC669" s="181"/>
      <c r="AD669" s="181"/>
    </row>
    <row r="670" spans="1:30" x14ac:dyDescent="0.2">
      <c r="A670" s="180"/>
      <c r="C670" s="192" t="s">
        <v>39</v>
      </c>
      <c r="D670" s="181">
        <f>3714169/1000</f>
        <v>3714.1689999999999</v>
      </c>
      <c r="E670" s="181">
        <f>TOBEPAID!E506/1000</f>
        <v>0</v>
      </c>
      <c r="F670" s="181">
        <f>TOBEPAID!F506/1000</f>
        <v>0</v>
      </c>
      <c r="G670" s="181">
        <f>TOBEPAID!G506/1000</f>
        <v>0</v>
      </c>
      <c r="H670" s="181">
        <v>0</v>
      </c>
      <c r="I670" s="181">
        <f>TOBEPAID!I506/1000</f>
        <v>0</v>
      </c>
      <c r="J670" s="181">
        <f>TOBEPAID!J506/1000</f>
        <v>0</v>
      </c>
      <c r="K670" s="181">
        <f>TOBEPAID!K506/1000</f>
        <v>0</v>
      </c>
      <c r="L670" s="181">
        <f>TOBEPAID!L506/1000</f>
        <v>0</v>
      </c>
      <c r="M670" s="181">
        <f>TOBEPAID!M506/1000</f>
        <v>0</v>
      </c>
      <c r="N670" s="181">
        <f>TOBEPAID!N506/1000</f>
        <v>0</v>
      </c>
      <c r="O670" s="181">
        <f>TOBEPAID!O506/1000</f>
        <v>288.36020000000002</v>
      </c>
      <c r="P670" s="181">
        <f>TOBEPAID!P506/1000</f>
        <v>0</v>
      </c>
      <c r="Q670" s="181">
        <f>TOBEPAID!Q506/1000</f>
        <v>0</v>
      </c>
      <c r="R670" s="181">
        <f>288360/1000</f>
        <v>288.36</v>
      </c>
      <c r="S670" s="181">
        <f>TOBEPAID!S506/1000</f>
        <v>0</v>
      </c>
      <c r="T670" s="181">
        <f>TOBEPAID!T506/1000</f>
        <v>0</v>
      </c>
      <c r="U670" s="181">
        <f>TOBEPAID!U506/1000</f>
        <v>0</v>
      </c>
      <c r="V670" s="181">
        <f>TOBEPAID!V506/1000</f>
        <v>0</v>
      </c>
      <c r="W670" s="181">
        <f>TOBEPAID!W506/1000</f>
        <v>0</v>
      </c>
      <c r="X670" s="181">
        <f>TOBEPAID!X506/1000</f>
        <v>288.36020000000002</v>
      </c>
      <c r="Y670" s="181">
        <f t="shared" si="121"/>
        <v>288.36</v>
      </c>
      <c r="Z670" s="181">
        <f t="shared" si="122"/>
        <v>3425.8089999999997</v>
      </c>
      <c r="AA670" s="181">
        <f>TOBEPAID!AA506/1000</f>
        <v>288.36020000000002</v>
      </c>
      <c r="AB670" s="181">
        <f>TOBEPAID!AB506/1000</f>
        <v>3425.8092900000001</v>
      </c>
      <c r="AC670" s="181"/>
      <c r="AD670" s="181"/>
    </row>
    <row r="671" spans="1:30" x14ac:dyDescent="0.2">
      <c r="A671" s="180"/>
      <c r="D671" s="182" t="s">
        <v>40</v>
      </c>
      <c r="E671" s="182" t="s">
        <v>40</v>
      </c>
      <c r="F671" s="182" t="s">
        <v>40</v>
      </c>
      <c r="G671" s="182"/>
      <c r="H671" s="182" t="s">
        <v>40</v>
      </c>
      <c r="I671" s="182" t="s">
        <v>40</v>
      </c>
      <c r="J671" s="182" t="s">
        <v>40</v>
      </c>
      <c r="K671" s="182" t="s">
        <v>40</v>
      </c>
      <c r="L671" s="182" t="s">
        <v>40</v>
      </c>
      <c r="M671" s="182"/>
      <c r="N671" s="182" t="s">
        <v>40</v>
      </c>
      <c r="O671" s="182" t="s">
        <v>40</v>
      </c>
      <c r="P671" s="182" t="s">
        <v>40</v>
      </c>
      <c r="Q671" s="182"/>
      <c r="R671" s="182" t="s">
        <v>40</v>
      </c>
      <c r="S671" s="182" t="s">
        <v>40</v>
      </c>
      <c r="T671" s="182" t="s">
        <v>40</v>
      </c>
      <c r="U671" s="182" t="s">
        <v>40</v>
      </c>
      <c r="V671" s="182" t="s">
        <v>40</v>
      </c>
      <c r="W671" s="182"/>
      <c r="X671" s="182" t="s">
        <v>40</v>
      </c>
      <c r="Y671" s="182" t="s">
        <v>40</v>
      </c>
      <c r="Z671" s="182" t="s">
        <v>40</v>
      </c>
      <c r="AA671" s="182" t="s">
        <v>40</v>
      </c>
      <c r="AB671" s="182" t="s">
        <v>40</v>
      </c>
      <c r="AC671" s="182"/>
      <c r="AD671" s="182"/>
    </row>
    <row r="672" spans="1:30" x14ac:dyDescent="0.2">
      <c r="A672" s="180"/>
      <c r="D672" s="181">
        <f>SUM(D663:D670)</f>
        <v>83203.753919999988</v>
      </c>
      <c r="E672" s="181">
        <f>SUM(E663:E670)</f>
        <v>22803.70939</v>
      </c>
      <c r="F672" s="181">
        <f>SUM(F663:F670)</f>
        <v>0</v>
      </c>
      <c r="G672" s="181"/>
      <c r="H672" s="181">
        <f>SUM(H663:H670)</f>
        <v>60079.415919999999</v>
      </c>
      <c r="I672" s="181">
        <f>SUM(I663:I670)</f>
        <v>0</v>
      </c>
      <c r="J672" s="181">
        <f>SUM(J663:J670)</f>
        <v>0</v>
      </c>
      <c r="K672" s="181">
        <f>SUM(K663:K670)</f>
        <v>0</v>
      </c>
      <c r="L672" s="181">
        <f>SUM(L663:L670)</f>
        <v>0</v>
      </c>
      <c r="M672" s="181"/>
      <c r="N672" s="181">
        <f>SUM(N663:N670)</f>
        <v>22803.70939</v>
      </c>
      <c r="O672" s="181">
        <f>SUM(O663:O670)</f>
        <v>9888.7514699999992</v>
      </c>
      <c r="P672" s="181">
        <f>SUM(P663:P670)</f>
        <v>0</v>
      </c>
      <c r="Q672" s="181"/>
      <c r="R672" s="181">
        <f>SUM(R663:R670)</f>
        <v>11333.171</v>
      </c>
      <c r="S672" s="181">
        <f>SUM(S663:S670)</f>
        <v>6263.1173699999999</v>
      </c>
      <c r="T672" s="181">
        <f>SUM(T663:T670)</f>
        <v>3270.9118800000001</v>
      </c>
      <c r="U672" s="181">
        <f>SUM(U663:U670)</f>
        <v>0</v>
      </c>
      <c r="V672" s="181">
        <f>SUM(V663:V670)</f>
        <v>0</v>
      </c>
      <c r="W672" s="181"/>
      <c r="X672" s="181">
        <f>SUM(X663:X670)</f>
        <v>9888.7514699999992</v>
      </c>
      <c r="Y672" s="181">
        <f>SUM(Y663:Y670)</f>
        <v>71412.586920000002</v>
      </c>
      <c r="Z672" s="181">
        <f>SUM(Z663:Z670)</f>
        <v>11791.166999999999</v>
      </c>
      <c r="AA672" s="181">
        <f>SUM(AA663:AA670)</f>
        <v>32692.460859999996</v>
      </c>
      <c r="AB672" s="181">
        <f>SUM(AB663:AB670)</f>
        <v>13235.587710000003</v>
      </c>
      <c r="AC672" s="181"/>
      <c r="AD672" s="181"/>
    </row>
    <row r="673" spans="1:30" x14ac:dyDescent="0.2">
      <c r="A673" s="180"/>
      <c r="D673" s="182" t="s">
        <v>40</v>
      </c>
      <c r="E673" s="182" t="s">
        <v>40</v>
      </c>
      <c r="F673" s="182" t="s">
        <v>40</v>
      </c>
      <c r="G673" s="182"/>
      <c r="H673" s="182" t="s">
        <v>40</v>
      </c>
      <c r="I673" s="182" t="s">
        <v>40</v>
      </c>
      <c r="J673" s="182" t="s">
        <v>40</v>
      </c>
      <c r="K673" s="182" t="s">
        <v>40</v>
      </c>
      <c r="L673" s="182" t="s">
        <v>40</v>
      </c>
      <c r="M673" s="182"/>
      <c r="N673" s="182" t="s">
        <v>40</v>
      </c>
      <c r="O673" s="182" t="s">
        <v>40</v>
      </c>
      <c r="P673" s="182" t="s">
        <v>40</v>
      </c>
      <c r="Q673" s="182"/>
      <c r="R673" s="182" t="s">
        <v>40</v>
      </c>
      <c r="S673" s="182" t="s">
        <v>40</v>
      </c>
      <c r="T673" s="182" t="s">
        <v>40</v>
      </c>
      <c r="U673" s="182" t="s">
        <v>40</v>
      </c>
      <c r="V673" s="182" t="s">
        <v>40</v>
      </c>
      <c r="W673" s="182"/>
      <c r="X673" s="182" t="s">
        <v>40</v>
      </c>
      <c r="Y673" s="182" t="s">
        <v>40</v>
      </c>
      <c r="Z673" s="182" t="s">
        <v>40</v>
      </c>
      <c r="AA673" s="182" t="s">
        <v>40</v>
      </c>
      <c r="AB673" s="182" t="s">
        <v>40</v>
      </c>
      <c r="AC673" s="182"/>
      <c r="AD673" s="182"/>
    </row>
    <row r="674" spans="1:30" x14ac:dyDescent="0.2">
      <c r="A674" s="180" t="s">
        <v>351</v>
      </c>
      <c r="D674" s="182"/>
      <c r="E674" s="182"/>
      <c r="F674" s="203"/>
      <c r="G674" s="189"/>
      <c r="H674" s="188"/>
      <c r="I674" s="189"/>
      <c r="J674" s="189"/>
      <c r="K674" s="189"/>
      <c r="L674" s="189"/>
      <c r="M674" s="188"/>
      <c r="N674" s="182"/>
      <c r="O674" s="221"/>
      <c r="P674" s="189"/>
      <c r="Q674" s="221"/>
      <c r="R674" s="182"/>
      <c r="S674" s="182"/>
      <c r="T674" s="182"/>
      <c r="U674" s="182"/>
      <c r="V674" s="191"/>
      <c r="W674" s="182"/>
      <c r="X674" s="182"/>
      <c r="Y674" s="182"/>
      <c r="Z674" s="182"/>
      <c r="AA674" s="182"/>
      <c r="AB674" s="182"/>
      <c r="AC674" s="182"/>
      <c r="AD674" s="182"/>
    </row>
    <row r="675" spans="1:30" x14ac:dyDescent="0.2">
      <c r="A675" s="180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</row>
    <row r="676" spans="1:30" x14ac:dyDescent="0.2">
      <c r="A676" s="180">
        <v>49</v>
      </c>
      <c r="B676" s="166" t="s">
        <v>85</v>
      </c>
      <c r="C676" s="166" t="s">
        <v>35</v>
      </c>
      <c r="D676" s="181">
        <f>57165882/1000</f>
        <v>57165.881999999998</v>
      </c>
      <c r="E676" s="181">
        <f>TOBEPAID!E513/1000</f>
        <v>6303.0601400000005</v>
      </c>
      <c r="F676" s="181">
        <f>TOBEPAID!F513/1000</f>
        <v>0</v>
      </c>
      <c r="G676" s="181">
        <f>TOBEPAID!G513/1000</f>
        <v>0</v>
      </c>
      <c r="H676" s="181">
        <f>44821560/1000</f>
        <v>44821.56</v>
      </c>
      <c r="I676" s="181">
        <f>TOBEPAID!I513/1000</f>
        <v>0</v>
      </c>
      <c r="J676" s="181">
        <f>TOBEPAID!J513/1000</f>
        <v>0</v>
      </c>
      <c r="K676" s="181">
        <f>TOBEPAID!K513/1000</f>
        <v>0</v>
      </c>
      <c r="L676" s="181">
        <f>TOBEPAID!L513/1000</f>
        <v>0</v>
      </c>
      <c r="M676" s="181">
        <f>TOBEPAID!M513/1000</f>
        <v>0</v>
      </c>
      <c r="N676" s="181">
        <f>TOBEPAID!N513/1000</f>
        <v>6303.0601400000005</v>
      </c>
      <c r="O676" s="181">
        <f>TOBEPAID!O513/1000</f>
        <v>2104.5374900000002</v>
      </c>
      <c r="P676" s="181">
        <f>TOBEPAID!P513/1000</f>
        <v>0</v>
      </c>
      <c r="Q676" s="181">
        <f>TOBEPAID!Q513/1000</f>
        <v>0</v>
      </c>
      <c r="R676" s="181">
        <f>85394/1000</f>
        <v>85.394000000000005</v>
      </c>
      <c r="S676" s="181">
        <f>TOBEPAID!S513/1000</f>
        <v>0</v>
      </c>
      <c r="T676" s="181">
        <f>TOBEPAID!T513/1000</f>
        <v>0</v>
      </c>
      <c r="U676" s="181">
        <f>TOBEPAID!U513/1000</f>
        <v>0</v>
      </c>
      <c r="V676" s="181">
        <f>TOBEPAID!V513/1000</f>
        <v>0</v>
      </c>
      <c r="W676" s="181">
        <f>TOBEPAID!W513/1000</f>
        <v>0</v>
      </c>
      <c r="X676" s="181">
        <f>TOBEPAID!X513/1000</f>
        <v>2104.5374900000002</v>
      </c>
      <c r="Y676" s="181">
        <f>+H676+R676</f>
        <v>44906.953999999998</v>
      </c>
      <c r="Z676" s="181">
        <f>+D676-Y676</f>
        <v>12258.928</v>
      </c>
      <c r="AA676" s="181">
        <f>TOBEPAID!AA513/1000</f>
        <v>8407.5976300000002</v>
      </c>
      <c r="AB676" s="181">
        <f>TOBEPAID!AB513/1000</f>
        <v>34836.805930000002</v>
      </c>
      <c r="AC676" s="181"/>
      <c r="AD676" s="181"/>
    </row>
    <row r="677" spans="1:30" x14ac:dyDescent="0.2">
      <c r="A677" s="180"/>
      <c r="C677" s="168" t="s">
        <v>36</v>
      </c>
      <c r="D677" s="181">
        <f>2445344/1000</f>
        <v>2445.3440000000001</v>
      </c>
      <c r="E677" s="181">
        <f>TOBEPAID!E514/1000</f>
        <v>2445.3442699999996</v>
      </c>
      <c r="F677" s="181">
        <f>TOBEPAID!F514/1000</f>
        <v>0</v>
      </c>
      <c r="G677" s="181">
        <f>TOBEPAID!G514/1000</f>
        <v>0</v>
      </c>
      <c r="H677" s="181">
        <f>2445344/1000</f>
        <v>2445.3440000000001</v>
      </c>
      <c r="I677" s="181">
        <f>TOBEPAID!I514/1000</f>
        <v>0</v>
      </c>
      <c r="J677" s="181">
        <f>TOBEPAID!J514/1000</f>
        <v>0</v>
      </c>
      <c r="K677" s="181">
        <f>TOBEPAID!K514/1000</f>
        <v>0</v>
      </c>
      <c r="L677" s="181">
        <f>TOBEPAID!L514/1000</f>
        <v>0</v>
      </c>
      <c r="M677" s="181">
        <f>TOBEPAID!M514/1000</f>
        <v>0</v>
      </c>
      <c r="N677" s="181">
        <f>TOBEPAID!N514/1000</f>
        <v>2445.3442699999996</v>
      </c>
      <c r="O677" s="181">
        <f>TOBEPAID!O514/1000</f>
        <v>0</v>
      </c>
      <c r="P677" s="181">
        <f>TOBEPAID!P514/1000</f>
        <v>0</v>
      </c>
      <c r="Q677" s="181">
        <f>TOBEPAID!Q514/1000</f>
        <v>0</v>
      </c>
      <c r="R677" s="181">
        <v>0</v>
      </c>
      <c r="S677" s="181">
        <f>TOBEPAID!S514/1000</f>
        <v>0</v>
      </c>
      <c r="T677" s="181">
        <f>TOBEPAID!T514/1000</f>
        <v>0</v>
      </c>
      <c r="U677" s="181">
        <f>TOBEPAID!U514/1000</f>
        <v>0</v>
      </c>
      <c r="V677" s="181">
        <f>TOBEPAID!V514/1000</f>
        <v>0</v>
      </c>
      <c r="W677" s="181">
        <f>TOBEPAID!W514/1000</f>
        <v>0</v>
      </c>
      <c r="X677" s="181">
        <f>TOBEPAID!X514/1000</f>
        <v>0</v>
      </c>
      <c r="Y677" s="181">
        <f>TOBEPAID!Y514/1000</f>
        <v>2445.3442699999996</v>
      </c>
      <c r="Z677" s="181">
        <f>TOBEPAID!Z514/1000</f>
        <v>0</v>
      </c>
      <c r="AA677" s="181">
        <f>TOBEPAID!AA514/1000</f>
        <v>2445.3442699999996</v>
      </c>
      <c r="AB677" s="181">
        <f>TOBEPAID!AB514/1000</f>
        <v>0</v>
      </c>
      <c r="AC677" s="181"/>
      <c r="AD677" s="181"/>
    </row>
    <row r="678" spans="1:30" x14ac:dyDescent="0.2">
      <c r="A678" s="180"/>
      <c r="C678" s="168" t="s">
        <v>487</v>
      </c>
      <c r="D678" s="181">
        <f>134425000/1000</f>
        <v>134425</v>
      </c>
      <c r="E678" s="181"/>
      <c r="F678" s="181"/>
      <c r="G678" s="181"/>
      <c r="H678" s="181">
        <v>0</v>
      </c>
      <c r="I678" s="181"/>
      <c r="J678" s="181"/>
      <c r="K678" s="181"/>
      <c r="L678" s="181"/>
      <c r="M678" s="181"/>
      <c r="N678" s="181"/>
      <c r="O678" s="181"/>
      <c r="P678" s="181"/>
      <c r="Q678" s="181"/>
      <c r="R678" s="181">
        <v>0</v>
      </c>
      <c r="S678" s="181"/>
      <c r="T678" s="181"/>
      <c r="U678" s="181"/>
      <c r="V678" s="181"/>
      <c r="W678" s="181"/>
      <c r="X678" s="181"/>
      <c r="Y678" s="181">
        <f>+H678+R678</f>
        <v>0</v>
      </c>
      <c r="Z678" s="181">
        <f>+D678-Y678</f>
        <v>134425</v>
      </c>
      <c r="AA678" s="181"/>
      <c r="AB678" s="181"/>
      <c r="AC678" s="181"/>
      <c r="AD678" s="181"/>
    </row>
    <row r="679" spans="1:30" x14ac:dyDescent="0.2">
      <c r="A679" s="180"/>
      <c r="C679" s="168" t="s">
        <v>44</v>
      </c>
      <c r="D679" s="181">
        <f>8746000/1000</f>
        <v>8746</v>
      </c>
      <c r="E679" s="181">
        <f>TOBEPAID!E515/1000</f>
        <v>8746</v>
      </c>
      <c r="F679" s="181">
        <f>TOBEPAID!F515/1000</f>
        <v>0</v>
      </c>
      <c r="G679" s="181">
        <f>TOBEPAID!G515/1000</f>
        <v>0</v>
      </c>
      <c r="H679" s="181">
        <f>8746000/1000</f>
        <v>8746</v>
      </c>
      <c r="I679" s="181">
        <f>TOBEPAID!I515/1000</f>
        <v>0</v>
      </c>
      <c r="J679" s="181">
        <f>TOBEPAID!J515/1000</f>
        <v>0</v>
      </c>
      <c r="K679" s="181">
        <f>TOBEPAID!K515/1000</f>
        <v>0</v>
      </c>
      <c r="L679" s="181">
        <f>TOBEPAID!L515/1000</f>
        <v>0</v>
      </c>
      <c r="M679" s="181">
        <f>TOBEPAID!M515/1000</f>
        <v>0</v>
      </c>
      <c r="N679" s="181">
        <f>TOBEPAID!N515/1000</f>
        <v>8746</v>
      </c>
      <c r="O679" s="181">
        <f>TOBEPAID!O515/1000</f>
        <v>0</v>
      </c>
      <c r="P679" s="181">
        <f>TOBEPAID!P515/1000</f>
        <v>0</v>
      </c>
      <c r="Q679" s="181">
        <f>TOBEPAID!Q515/1000</f>
        <v>0</v>
      </c>
      <c r="R679" s="181">
        <v>0</v>
      </c>
      <c r="S679" s="181">
        <f>TOBEPAID!S515/1000</f>
        <v>0</v>
      </c>
      <c r="T679" s="181">
        <f>TOBEPAID!T515/1000</f>
        <v>0</v>
      </c>
      <c r="U679" s="181">
        <f>TOBEPAID!U515/1000</f>
        <v>0</v>
      </c>
      <c r="V679" s="181">
        <f>TOBEPAID!V515/1000</f>
        <v>0</v>
      </c>
      <c r="W679" s="181">
        <f>TOBEPAID!W515/1000</f>
        <v>0</v>
      </c>
      <c r="X679" s="181">
        <f>TOBEPAID!X515/1000</f>
        <v>0</v>
      </c>
      <c r="Y679" s="181">
        <f>TOBEPAID!Y515/1000</f>
        <v>8746</v>
      </c>
      <c r="Z679" s="181">
        <f>TOBEPAID!Z515/1000</f>
        <v>0</v>
      </c>
      <c r="AA679" s="181">
        <f>TOBEPAID!AA515/1000</f>
        <v>8746</v>
      </c>
      <c r="AB679" s="181">
        <f>TOBEPAID!AB515/1000</f>
        <v>0</v>
      </c>
      <c r="AC679" s="181"/>
      <c r="AD679" s="181"/>
    </row>
    <row r="680" spans="1:30" x14ac:dyDescent="0.2">
      <c r="A680" s="180"/>
      <c r="C680" s="168" t="s">
        <v>437</v>
      </c>
      <c r="D680" s="181">
        <f>10000000/1000</f>
        <v>10000</v>
      </c>
      <c r="E680" s="181"/>
      <c r="F680" s="181"/>
      <c r="G680" s="181"/>
      <c r="H680" s="181">
        <f>10000000/1000</f>
        <v>10000</v>
      </c>
      <c r="I680" s="181"/>
      <c r="J680" s="181"/>
      <c r="K680" s="181"/>
      <c r="L680" s="181"/>
      <c r="M680" s="181"/>
      <c r="N680" s="181"/>
      <c r="O680" s="181"/>
      <c r="P680" s="181"/>
      <c r="Q680" s="181"/>
      <c r="R680" s="181">
        <v>0</v>
      </c>
      <c r="S680" s="181"/>
      <c r="T680" s="181"/>
      <c r="U680" s="181"/>
      <c r="V680" s="181"/>
      <c r="W680" s="181"/>
      <c r="X680" s="181"/>
      <c r="Y680" s="181">
        <f>+H680+R680</f>
        <v>10000</v>
      </c>
      <c r="Z680" s="181">
        <f>+D680-Y680</f>
        <v>0</v>
      </c>
      <c r="AA680" s="181"/>
      <c r="AB680" s="181"/>
      <c r="AC680" s="181"/>
      <c r="AD680" s="181"/>
    </row>
    <row r="681" spans="1:30" x14ac:dyDescent="0.2">
      <c r="A681" s="180"/>
      <c r="C681" s="168" t="s">
        <v>48</v>
      </c>
      <c r="D681" s="181">
        <f>961600/1000</f>
        <v>961.6</v>
      </c>
      <c r="E681" s="181">
        <f>TOBEPAID!E516/1000</f>
        <v>961.60034999999993</v>
      </c>
      <c r="F681" s="181">
        <f>TOBEPAID!F516/1000</f>
        <v>0</v>
      </c>
      <c r="G681" s="181">
        <f>TOBEPAID!G516/1000</f>
        <v>0</v>
      </c>
      <c r="H681" s="181">
        <f>961600/1000</f>
        <v>961.6</v>
      </c>
      <c r="I681" s="181">
        <f>TOBEPAID!I516/1000</f>
        <v>0</v>
      </c>
      <c r="J681" s="181">
        <f>TOBEPAID!J516/1000</f>
        <v>0</v>
      </c>
      <c r="K681" s="181">
        <f>TOBEPAID!K516/1000</f>
        <v>0</v>
      </c>
      <c r="L681" s="181">
        <f>TOBEPAID!L516/1000</f>
        <v>0</v>
      </c>
      <c r="M681" s="181">
        <f>TOBEPAID!M516/1000</f>
        <v>0</v>
      </c>
      <c r="N681" s="181">
        <f>TOBEPAID!N516/1000</f>
        <v>961.60034999999993</v>
      </c>
      <c r="O681" s="181">
        <f>TOBEPAID!O516/1000</f>
        <v>0</v>
      </c>
      <c r="P681" s="181">
        <f>TOBEPAID!P516/1000</f>
        <v>0</v>
      </c>
      <c r="Q681" s="181">
        <f>TOBEPAID!Q516/1000</f>
        <v>0</v>
      </c>
      <c r="R681" s="181">
        <v>0</v>
      </c>
      <c r="S681" s="181">
        <f>TOBEPAID!S516/1000</f>
        <v>0</v>
      </c>
      <c r="T681" s="181">
        <f>TOBEPAID!T516/1000</f>
        <v>0</v>
      </c>
      <c r="U681" s="181">
        <f>TOBEPAID!U516/1000</f>
        <v>0</v>
      </c>
      <c r="V681" s="181">
        <f>TOBEPAID!V516/1000</f>
        <v>0</v>
      </c>
      <c r="W681" s="181">
        <f>TOBEPAID!W516/1000</f>
        <v>0</v>
      </c>
      <c r="X681" s="181">
        <f>TOBEPAID!X516/1000</f>
        <v>0</v>
      </c>
      <c r="Y681" s="181">
        <f>TOBEPAID!Y516/1000</f>
        <v>961.60034999999993</v>
      </c>
      <c r="Z681" s="181">
        <f>TOBEPAID!Z516/1000</f>
        <v>0</v>
      </c>
      <c r="AA681" s="181">
        <f>TOBEPAID!AA516/1000</f>
        <v>961.60034999999993</v>
      </c>
      <c r="AB681" s="181">
        <f>TOBEPAID!AB516/1000</f>
        <v>0</v>
      </c>
      <c r="AC681" s="181"/>
      <c r="AD681" s="181"/>
    </row>
    <row r="682" spans="1:30" x14ac:dyDescent="0.2">
      <c r="C682" s="168" t="s">
        <v>290</v>
      </c>
      <c r="D682" s="181">
        <f>77500000/1000</f>
        <v>77500</v>
      </c>
      <c r="E682" s="181">
        <f>TOBEPAID!E517/1000</f>
        <v>26500</v>
      </c>
      <c r="F682" s="181">
        <f>TOBEPAID!F517/1000</f>
        <v>3000</v>
      </c>
      <c r="G682" s="181">
        <f>TOBEPAID!G517/1000</f>
        <v>0</v>
      </c>
      <c r="H682" s="181">
        <f>77500000/1000</f>
        <v>77500</v>
      </c>
      <c r="I682" s="181">
        <f>TOBEPAID!I517/1000</f>
        <v>0</v>
      </c>
      <c r="J682" s="181">
        <f>TOBEPAID!J517/1000</f>
        <v>0</v>
      </c>
      <c r="K682" s="181">
        <f>TOBEPAID!K517/1000</f>
        <v>0</v>
      </c>
      <c r="L682" s="181">
        <f>TOBEPAID!L517/1000</f>
        <v>0</v>
      </c>
      <c r="M682" s="181">
        <f>TOBEPAID!M517/1000</f>
        <v>0</v>
      </c>
      <c r="N682" s="181">
        <f>TOBEPAID!N517/1000</f>
        <v>29500</v>
      </c>
      <c r="O682" s="181">
        <f>TOBEPAID!O517/1000</f>
        <v>0</v>
      </c>
      <c r="P682" s="181">
        <f>TOBEPAID!P517/1000</f>
        <v>0</v>
      </c>
      <c r="Q682" s="181">
        <f>TOBEPAID!Q517/1000</f>
        <v>0</v>
      </c>
      <c r="R682" s="181">
        <v>0</v>
      </c>
      <c r="S682" s="181">
        <f>TOBEPAID!S517/1000</f>
        <v>0</v>
      </c>
      <c r="T682" s="181">
        <f>TOBEPAID!T517/1000</f>
        <v>0</v>
      </c>
      <c r="U682" s="181">
        <f>TOBEPAID!U517/1000</f>
        <v>0</v>
      </c>
      <c r="V682" s="181">
        <f>TOBEPAID!V517/1000</f>
        <v>0</v>
      </c>
      <c r="W682" s="181">
        <f>TOBEPAID!W517/1000</f>
        <v>0</v>
      </c>
      <c r="X682" s="181">
        <f>TOBEPAID!X517/1000</f>
        <v>0</v>
      </c>
      <c r="Y682" s="181">
        <f>+H682+R682</f>
        <v>77500</v>
      </c>
      <c r="Z682" s="181">
        <f>TOBEPAID!Z517/1000</f>
        <v>0</v>
      </c>
      <c r="AA682" s="181">
        <f>TOBEPAID!AA517/1000</f>
        <v>29500</v>
      </c>
      <c r="AB682" s="181">
        <f>TOBEPAID!AB517/1000</f>
        <v>0</v>
      </c>
      <c r="AC682" s="181"/>
      <c r="AD682" s="181"/>
    </row>
    <row r="683" spans="1:30" x14ac:dyDescent="0.2">
      <c r="A683" s="180"/>
      <c r="C683" s="166" t="s">
        <v>37</v>
      </c>
      <c r="D683" s="181">
        <v>0</v>
      </c>
      <c r="E683" s="181">
        <f>TOBEPAID!E518/1000</f>
        <v>0</v>
      </c>
      <c r="F683" s="181">
        <f>TOBEPAID!F518/1000</f>
        <v>0</v>
      </c>
      <c r="G683" s="181">
        <f>TOBEPAID!G518/1000</f>
        <v>0</v>
      </c>
      <c r="H683" s="181">
        <v>0</v>
      </c>
      <c r="I683" s="181">
        <f>TOBEPAID!I518/1000</f>
        <v>0</v>
      </c>
      <c r="J683" s="181">
        <f>TOBEPAID!J518/1000</f>
        <v>0</v>
      </c>
      <c r="K683" s="181">
        <f>TOBEPAID!K518/1000</f>
        <v>0</v>
      </c>
      <c r="L683" s="181">
        <f>TOBEPAID!L518/1000</f>
        <v>0</v>
      </c>
      <c r="M683" s="181">
        <f>TOBEPAID!M518/1000</f>
        <v>0</v>
      </c>
      <c r="N683" s="181">
        <f>TOBEPAID!N518/1000</f>
        <v>0</v>
      </c>
      <c r="O683" s="181">
        <f>TOBEPAID!O518/1000</f>
        <v>0</v>
      </c>
      <c r="P683" s="181">
        <f>TOBEPAID!P518/1000</f>
        <v>0</v>
      </c>
      <c r="Q683" s="181">
        <f>TOBEPAID!Q518/1000</f>
        <v>0</v>
      </c>
      <c r="R683" s="181">
        <v>0</v>
      </c>
      <c r="S683" s="181">
        <f>TOBEPAID!S518/1000</f>
        <v>0</v>
      </c>
      <c r="T683" s="181">
        <f>TOBEPAID!T518/1000</f>
        <v>0</v>
      </c>
      <c r="U683" s="181">
        <f>TOBEPAID!U518/1000</f>
        <v>0</v>
      </c>
      <c r="V683" s="181">
        <f>TOBEPAID!V518/1000</f>
        <v>0</v>
      </c>
      <c r="W683" s="181">
        <f>TOBEPAID!W518/1000</f>
        <v>0</v>
      </c>
      <c r="X683" s="181">
        <f>TOBEPAID!X518/1000</f>
        <v>0</v>
      </c>
      <c r="Y683" s="181">
        <f>TOBEPAID!Y518/1000</f>
        <v>0</v>
      </c>
      <c r="Z683" s="181">
        <v>0</v>
      </c>
      <c r="AA683" s="181">
        <f>TOBEPAID!AA518/1000</f>
        <v>0</v>
      </c>
      <c r="AB683" s="181">
        <f>TOBEPAID!AB518/1000</f>
        <v>11433.63723</v>
      </c>
      <c r="AC683" s="181"/>
      <c r="AD683" s="181"/>
    </row>
    <row r="684" spans="1:30" x14ac:dyDescent="0.2">
      <c r="A684" s="180"/>
      <c r="C684" s="192" t="s">
        <v>39</v>
      </c>
      <c r="D684" s="181">
        <v>0</v>
      </c>
      <c r="E684" s="181">
        <f>TOBEPAID!E519/1000</f>
        <v>0</v>
      </c>
      <c r="F684" s="181">
        <f>TOBEPAID!F519/1000</f>
        <v>0</v>
      </c>
      <c r="G684" s="181">
        <f>TOBEPAID!G519/1000</f>
        <v>0</v>
      </c>
      <c r="H684" s="181">
        <v>0</v>
      </c>
      <c r="I684" s="181">
        <f>TOBEPAID!I519/1000</f>
        <v>0</v>
      </c>
      <c r="J684" s="181">
        <f>TOBEPAID!J519/1000</f>
        <v>0</v>
      </c>
      <c r="K684" s="181">
        <f>TOBEPAID!K519/1000</f>
        <v>0</v>
      </c>
      <c r="L684" s="181">
        <f>TOBEPAID!L519/1000</f>
        <v>0</v>
      </c>
      <c r="M684" s="181">
        <f>TOBEPAID!M519/1000</f>
        <v>0</v>
      </c>
      <c r="N684" s="181">
        <f>TOBEPAID!N519/1000</f>
        <v>0</v>
      </c>
      <c r="O684" s="181">
        <f>TOBEPAID!O519/1000</f>
        <v>0</v>
      </c>
      <c r="P684" s="181">
        <f>TOBEPAID!P519/1000</f>
        <v>0</v>
      </c>
      <c r="Q684" s="181">
        <f>TOBEPAID!Q519/1000</f>
        <v>0</v>
      </c>
      <c r="R684" s="181">
        <v>0</v>
      </c>
      <c r="S684" s="181">
        <f>TOBEPAID!S519/1000</f>
        <v>0</v>
      </c>
      <c r="T684" s="181">
        <f>TOBEPAID!T519/1000</f>
        <v>0</v>
      </c>
      <c r="U684" s="181">
        <f>TOBEPAID!U519/1000</f>
        <v>0</v>
      </c>
      <c r="V684" s="181">
        <f>TOBEPAID!V519/1000</f>
        <v>0</v>
      </c>
      <c r="W684" s="181">
        <f>TOBEPAID!W519/1000</f>
        <v>0</v>
      </c>
      <c r="X684" s="181">
        <f>TOBEPAID!X519/1000</f>
        <v>0</v>
      </c>
      <c r="Y684" s="181">
        <f>TOBEPAID!Y519/1000</f>
        <v>0</v>
      </c>
      <c r="Z684" s="181">
        <v>0</v>
      </c>
      <c r="AA684" s="181">
        <f>TOBEPAID!AA519/1000</f>
        <v>0</v>
      </c>
      <c r="AB684" s="181">
        <f>TOBEPAID!AB519/1000</f>
        <v>2487.8421200000003</v>
      </c>
      <c r="AC684" s="181"/>
      <c r="AD684" s="181"/>
    </row>
    <row r="685" spans="1:30" x14ac:dyDescent="0.2">
      <c r="A685" s="180"/>
      <c r="D685" s="182" t="s">
        <v>40</v>
      </c>
      <c r="E685" s="182" t="s">
        <v>40</v>
      </c>
      <c r="F685" s="182" t="s">
        <v>40</v>
      </c>
      <c r="G685" s="182"/>
      <c r="H685" s="182" t="s">
        <v>40</v>
      </c>
      <c r="I685" s="182" t="s">
        <v>40</v>
      </c>
      <c r="J685" s="182" t="s">
        <v>40</v>
      </c>
      <c r="K685" s="182" t="s">
        <v>40</v>
      </c>
      <c r="L685" s="182" t="s">
        <v>40</v>
      </c>
      <c r="M685" s="182"/>
      <c r="N685" s="182" t="s">
        <v>40</v>
      </c>
      <c r="O685" s="182" t="s">
        <v>40</v>
      </c>
      <c r="P685" s="182" t="s">
        <v>40</v>
      </c>
      <c r="Q685" s="182"/>
      <c r="R685" s="182" t="s">
        <v>40</v>
      </c>
      <c r="S685" s="182" t="s">
        <v>40</v>
      </c>
      <c r="T685" s="182" t="s">
        <v>40</v>
      </c>
      <c r="U685" s="182" t="s">
        <v>40</v>
      </c>
      <c r="V685" s="182" t="s">
        <v>40</v>
      </c>
      <c r="W685" s="182"/>
      <c r="X685" s="182" t="s">
        <v>40</v>
      </c>
      <c r="Y685" s="182" t="s">
        <v>40</v>
      </c>
      <c r="Z685" s="182" t="s">
        <v>40</v>
      </c>
      <c r="AA685" s="182" t="s">
        <v>40</v>
      </c>
      <c r="AB685" s="182" t="s">
        <v>40</v>
      </c>
      <c r="AC685" s="182"/>
      <c r="AD685" s="182"/>
    </row>
    <row r="686" spans="1:30" x14ac:dyDescent="0.2">
      <c r="A686" s="180"/>
      <c r="D686" s="181">
        <f>SUM(D676:D684)</f>
        <v>291243.826</v>
      </c>
      <c r="E686" s="181">
        <f>SUM(E676:E684)</f>
        <v>44956.004759999996</v>
      </c>
      <c r="F686" s="181">
        <f>SUM(F676:F684)</f>
        <v>3000</v>
      </c>
      <c r="G686" s="181"/>
      <c r="H686" s="181">
        <f>SUM(H676:H684)</f>
        <v>144474.50400000002</v>
      </c>
      <c r="I686" s="181">
        <f>SUM(I676:I684)</f>
        <v>0</v>
      </c>
      <c r="J686" s="181">
        <f>SUM(J676:J684)</f>
        <v>0</v>
      </c>
      <c r="K686" s="181">
        <f>SUM(K676:K684)</f>
        <v>0</v>
      </c>
      <c r="L686" s="181">
        <f>SUM(L676:L684)</f>
        <v>0</v>
      </c>
      <c r="M686" s="181"/>
      <c r="N686" s="181">
        <f>SUM(N676:N684)</f>
        <v>47956.004759999996</v>
      </c>
      <c r="O686" s="181">
        <f>SUM(O676:O684)</f>
        <v>2104.5374900000002</v>
      </c>
      <c r="P686" s="181">
        <f>SUM(P676:P684)</f>
        <v>0</v>
      </c>
      <c r="Q686" s="181"/>
      <c r="R686" s="181">
        <f>SUM(R676:R684)</f>
        <v>85.394000000000005</v>
      </c>
      <c r="S686" s="181">
        <f>SUM(S676:S684)</f>
        <v>0</v>
      </c>
      <c r="T686" s="181">
        <f>SUM(T676:T684)</f>
        <v>0</v>
      </c>
      <c r="U686" s="181">
        <f>SUM(U676:U684)</f>
        <v>0</v>
      </c>
      <c r="V686" s="181">
        <f>SUM(V676:V684)</f>
        <v>0</v>
      </c>
      <c r="W686" s="181"/>
      <c r="X686" s="181">
        <f>SUM(X676:X684)</f>
        <v>2104.5374900000002</v>
      </c>
      <c r="Y686" s="181">
        <f>SUM(Y676:Y684)</f>
        <v>144559.89861999999</v>
      </c>
      <c r="Z686" s="181">
        <f>SUM(Z676:Z684)</f>
        <v>146683.92800000001</v>
      </c>
      <c r="AA686" s="181">
        <f>SUM(AA676:AA684)</f>
        <v>50060.542249999999</v>
      </c>
      <c r="AB686" s="181">
        <f>SUM(AB676:AB684)</f>
        <v>48758.285280000004</v>
      </c>
      <c r="AC686" s="181"/>
      <c r="AD686" s="181"/>
    </row>
    <row r="687" spans="1:30" x14ac:dyDescent="0.2">
      <c r="A687" s="180"/>
      <c r="D687" s="182" t="s">
        <v>40</v>
      </c>
      <c r="E687" s="182" t="s">
        <v>40</v>
      </c>
      <c r="F687" s="182" t="s">
        <v>40</v>
      </c>
      <c r="G687" s="182"/>
      <c r="H687" s="182" t="s">
        <v>40</v>
      </c>
      <c r="I687" s="182" t="s">
        <v>40</v>
      </c>
      <c r="J687" s="182" t="s">
        <v>40</v>
      </c>
      <c r="K687" s="182" t="s">
        <v>40</v>
      </c>
      <c r="L687" s="182" t="s">
        <v>40</v>
      </c>
      <c r="M687" s="182"/>
      <c r="N687" s="182" t="s">
        <v>40</v>
      </c>
      <c r="O687" s="182" t="s">
        <v>40</v>
      </c>
      <c r="P687" s="182" t="s">
        <v>40</v>
      </c>
      <c r="Q687" s="182"/>
      <c r="R687" s="182" t="s">
        <v>40</v>
      </c>
      <c r="S687" s="182" t="s">
        <v>40</v>
      </c>
      <c r="T687" s="182" t="s">
        <v>40</v>
      </c>
      <c r="U687" s="182" t="s">
        <v>40</v>
      </c>
      <c r="V687" s="182" t="s">
        <v>40</v>
      </c>
      <c r="W687" s="182"/>
      <c r="X687" s="182" t="s">
        <v>40</v>
      </c>
      <c r="Y687" s="182" t="s">
        <v>40</v>
      </c>
      <c r="Z687" s="182" t="s">
        <v>40</v>
      </c>
      <c r="AA687" s="182" t="s">
        <v>40</v>
      </c>
      <c r="AB687" s="182" t="s">
        <v>40</v>
      </c>
      <c r="AC687" s="182"/>
      <c r="AD687" s="182"/>
    </row>
    <row r="688" spans="1:30" x14ac:dyDescent="0.2">
      <c r="A688" s="180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</row>
    <row r="689" spans="1:30" x14ac:dyDescent="0.2">
      <c r="A689" s="180">
        <v>50</v>
      </c>
      <c r="B689" s="166" t="s">
        <v>86</v>
      </c>
      <c r="C689" s="166" t="s">
        <v>35</v>
      </c>
      <c r="D689" s="181">
        <f>45123415/1000</f>
        <v>45123.415000000001</v>
      </c>
      <c r="E689" s="181">
        <f>TOBEPAID!E524/1000</f>
        <v>0</v>
      </c>
      <c r="F689" s="181">
        <f>TOBEPAID!F524/1000</f>
        <v>0</v>
      </c>
      <c r="G689" s="181">
        <f>TOBEPAID!G524/1000</f>
        <v>0</v>
      </c>
      <c r="H689" s="181">
        <f>28085933/1000</f>
        <v>28085.933000000001</v>
      </c>
      <c r="I689" s="181">
        <f>TOBEPAID!I524/1000</f>
        <v>0</v>
      </c>
      <c r="J689" s="181">
        <f>TOBEPAID!J524/1000</f>
        <v>0</v>
      </c>
      <c r="K689" s="181">
        <f>TOBEPAID!K524/1000</f>
        <v>0</v>
      </c>
      <c r="L689" s="181">
        <f>TOBEPAID!L524/1000</f>
        <v>0</v>
      </c>
      <c r="M689" s="181">
        <f>TOBEPAID!M524/1000</f>
        <v>0</v>
      </c>
      <c r="N689" s="181">
        <f>TOBEPAID!N524/1000</f>
        <v>0</v>
      </c>
      <c r="O689" s="181">
        <f>TOBEPAID!O524/1000</f>
        <v>15288.522569999999</v>
      </c>
      <c r="P689" s="181">
        <f>TOBEPAID!P524/1000</f>
        <v>0</v>
      </c>
      <c r="Q689" s="181">
        <f>TOBEPAID!Q524/1000</f>
        <v>0</v>
      </c>
      <c r="R689" s="181">
        <f>16834118/1000</f>
        <v>16834.117999999999</v>
      </c>
      <c r="S689" s="181">
        <f>TOBEPAID!S524/1000</f>
        <v>8036.9875499999998</v>
      </c>
      <c r="T689" s="181">
        <f>TOBEPAID!T524/1000</f>
        <v>2809.7527999999998</v>
      </c>
      <c r="U689" s="181">
        <f>TOBEPAID!U524/1000</f>
        <v>0</v>
      </c>
      <c r="V689" s="181">
        <f>TOBEPAID!V524/1000</f>
        <v>0</v>
      </c>
      <c r="W689" s="181">
        <f>TOBEPAID!W524/1000</f>
        <v>0</v>
      </c>
      <c r="X689" s="181">
        <f>TOBEPAID!X524/1000</f>
        <v>15288.522569999999</v>
      </c>
      <c r="Y689" s="181">
        <f t="shared" ref="Y689:Y697" si="123">+H689+R689</f>
        <v>44920.050999999999</v>
      </c>
      <c r="Z689" s="181">
        <f t="shared" ref="Z689:Z697" si="124">+D689-Y689</f>
        <v>203.3640000000014</v>
      </c>
      <c r="AA689" s="181">
        <f>TOBEPAID!AA524/1000</f>
        <v>15288.522569999999</v>
      </c>
      <c r="AB689" s="181">
        <f>TOBEPAID!AB524/1000</f>
        <v>4319.9105300000028</v>
      </c>
      <c r="AC689" s="181"/>
      <c r="AD689" s="181"/>
    </row>
    <row r="690" spans="1:30" x14ac:dyDescent="0.2">
      <c r="A690" s="180"/>
      <c r="C690" s="168" t="s">
        <v>36</v>
      </c>
      <c r="D690" s="181">
        <f>4910344/1000</f>
        <v>4910.3440000000001</v>
      </c>
      <c r="E690" s="181">
        <f>TOBEPAID!E525/1000</f>
        <v>4910.3446299999996</v>
      </c>
      <c r="F690" s="181">
        <f>TOBEPAID!F525/1000</f>
        <v>0</v>
      </c>
      <c r="G690" s="181">
        <f>TOBEPAID!G525/1000</f>
        <v>0</v>
      </c>
      <c r="H690" s="181">
        <f>4910344/1000</f>
        <v>4910.3440000000001</v>
      </c>
      <c r="I690" s="181">
        <f>TOBEPAID!I525/1000</f>
        <v>0</v>
      </c>
      <c r="J690" s="181">
        <f>TOBEPAID!J525/1000</f>
        <v>0</v>
      </c>
      <c r="K690" s="181">
        <f>TOBEPAID!K525/1000</f>
        <v>0</v>
      </c>
      <c r="L690" s="181">
        <f>TOBEPAID!L525/1000</f>
        <v>0</v>
      </c>
      <c r="M690" s="181">
        <f>TOBEPAID!M525/1000</f>
        <v>0</v>
      </c>
      <c r="N690" s="181">
        <f>TOBEPAID!N525/1000</f>
        <v>4910.3446299999996</v>
      </c>
      <c r="O690" s="181">
        <f>TOBEPAID!O525/1000</f>
        <v>0</v>
      </c>
      <c r="P690" s="181">
        <f>TOBEPAID!P525/1000</f>
        <v>0</v>
      </c>
      <c r="Q690" s="181">
        <f>TOBEPAID!Q525/1000</f>
        <v>0</v>
      </c>
      <c r="R690" s="181">
        <v>0</v>
      </c>
      <c r="S690" s="181">
        <f>TOBEPAID!S525/1000</f>
        <v>0</v>
      </c>
      <c r="T690" s="181">
        <f>TOBEPAID!T525/1000</f>
        <v>0</v>
      </c>
      <c r="U690" s="181">
        <f>TOBEPAID!U525/1000</f>
        <v>0</v>
      </c>
      <c r="V690" s="181">
        <f>TOBEPAID!V525/1000</f>
        <v>0</v>
      </c>
      <c r="W690" s="181">
        <f>TOBEPAID!W525/1000</f>
        <v>0</v>
      </c>
      <c r="X690" s="181">
        <f>TOBEPAID!X525/1000</f>
        <v>0</v>
      </c>
      <c r="Y690" s="181">
        <f t="shared" si="123"/>
        <v>4910.3440000000001</v>
      </c>
      <c r="Z690" s="181">
        <f t="shared" si="124"/>
        <v>0</v>
      </c>
      <c r="AA690" s="181">
        <f>TOBEPAID!AA525/1000</f>
        <v>4910.3446299999996</v>
      </c>
      <c r="AB690" s="181">
        <f>TOBEPAID!AB525/1000</f>
        <v>0</v>
      </c>
      <c r="AC690" s="181"/>
      <c r="AD690" s="181"/>
    </row>
    <row r="691" spans="1:30" x14ac:dyDescent="0.2">
      <c r="A691" s="180"/>
      <c r="C691" s="168" t="s">
        <v>456</v>
      </c>
      <c r="D691" s="181">
        <f>235135000/1000</f>
        <v>235135</v>
      </c>
      <c r="E691" s="181"/>
      <c r="F691" s="181"/>
      <c r="G691" s="181"/>
      <c r="H691" s="181">
        <f>11000000/1000</f>
        <v>11000</v>
      </c>
      <c r="I691" s="181"/>
      <c r="J691" s="181"/>
      <c r="K691" s="181"/>
      <c r="L691" s="181"/>
      <c r="M691" s="181"/>
      <c r="N691" s="181"/>
      <c r="O691" s="181"/>
      <c r="P691" s="181"/>
      <c r="Q691" s="181"/>
      <c r="R691" s="181">
        <v>0</v>
      </c>
      <c r="S691" s="181"/>
      <c r="T691" s="181"/>
      <c r="U691" s="181"/>
      <c r="V691" s="181"/>
      <c r="W691" s="181"/>
      <c r="X691" s="181"/>
      <c r="Y691" s="181">
        <f>+H691+R691</f>
        <v>11000</v>
      </c>
      <c r="Z691" s="181">
        <f t="shared" si="124"/>
        <v>224135</v>
      </c>
      <c r="AA691" s="181"/>
      <c r="AB691" s="181"/>
      <c r="AC691" s="181"/>
      <c r="AD691" s="181"/>
    </row>
    <row r="692" spans="1:30" x14ac:dyDescent="0.2">
      <c r="A692" s="180"/>
      <c r="C692" s="168" t="s">
        <v>374</v>
      </c>
      <c r="D692" s="181">
        <f>23757750/1000</f>
        <v>23757.75</v>
      </c>
      <c r="E692" s="181"/>
      <c r="F692" s="181"/>
      <c r="G692" s="181"/>
      <c r="H692" s="181">
        <f>23757750/1000</f>
        <v>23757.75</v>
      </c>
      <c r="I692" s="181"/>
      <c r="J692" s="181"/>
      <c r="K692" s="181"/>
      <c r="L692" s="181"/>
      <c r="M692" s="181"/>
      <c r="N692" s="181"/>
      <c r="O692" s="181"/>
      <c r="P692" s="181"/>
      <c r="Q692" s="181"/>
      <c r="R692" s="181">
        <v>0</v>
      </c>
      <c r="S692" s="181"/>
      <c r="T692" s="181"/>
      <c r="U692" s="181"/>
      <c r="V692" s="181"/>
      <c r="W692" s="181"/>
      <c r="X692" s="181"/>
      <c r="Y692" s="181">
        <f t="shared" si="123"/>
        <v>23757.75</v>
      </c>
      <c r="Z692" s="181">
        <f t="shared" si="124"/>
        <v>0</v>
      </c>
      <c r="AA692" s="181"/>
      <c r="AB692" s="181"/>
      <c r="AC692" s="181"/>
      <c r="AD692" s="181"/>
    </row>
    <row r="693" spans="1:30" x14ac:dyDescent="0.2">
      <c r="A693" s="180"/>
      <c r="C693" s="168" t="s">
        <v>438</v>
      </c>
      <c r="D693" s="181">
        <f>8218666.17/1000</f>
        <v>8218.6661700000004</v>
      </c>
      <c r="E693" s="181"/>
      <c r="F693" s="181"/>
      <c r="G693" s="181"/>
      <c r="H693" s="181">
        <f>8218666.17/1000</f>
        <v>8218.6661700000004</v>
      </c>
      <c r="I693" s="181"/>
      <c r="J693" s="181"/>
      <c r="K693" s="181"/>
      <c r="L693" s="181"/>
      <c r="M693" s="181"/>
      <c r="N693" s="181"/>
      <c r="O693" s="181"/>
      <c r="P693" s="181"/>
      <c r="Q693" s="181"/>
      <c r="R693" s="181">
        <v>0</v>
      </c>
      <c r="S693" s="181"/>
      <c r="T693" s="181"/>
      <c r="U693" s="181"/>
      <c r="V693" s="181"/>
      <c r="W693" s="181"/>
      <c r="X693" s="181"/>
      <c r="Y693" s="181">
        <f>+H693+R693</f>
        <v>8218.6661700000004</v>
      </c>
      <c r="Z693" s="181">
        <f t="shared" si="124"/>
        <v>0</v>
      </c>
      <c r="AA693" s="181"/>
      <c r="AB693" s="181"/>
      <c r="AC693" s="181"/>
      <c r="AD693" s="181"/>
    </row>
    <row r="694" spans="1:30" x14ac:dyDescent="0.2">
      <c r="C694" s="165" t="s">
        <v>298</v>
      </c>
      <c r="D694" s="181">
        <f>4800000/1000</f>
        <v>4800</v>
      </c>
      <c r="E694" s="181">
        <f>TOBEPAID!E526/1000</f>
        <v>4800</v>
      </c>
      <c r="F694" s="181">
        <f>TOBEPAID!F526/1000</f>
        <v>0</v>
      </c>
      <c r="G694" s="181">
        <f>TOBEPAID!G526/1000</f>
        <v>0</v>
      </c>
      <c r="H694" s="181">
        <f>4800000/1000</f>
        <v>4800</v>
      </c>
      <c r="I694" s="181">
        <f>TOBEPAID!I526/1000</f>
        <v>0</v>
      </c>
      <c r="J694" s="181">
        <f>TOBEPAID!J526/1000</f>
        <v>0</v>
      </c>
      <c r="K694" s="181">
        <f>TOBEPAID!K526/1000</f>
        <v>0</v>
      </c>
      <c r="L694" s="181">
        <f>TOBEPAID!L526/1000</f>
        <v>0</v>
      </c>
      <c r="M694" s="181">
        <f>TOBEPAID!M526/1000</f>
        <v>0</v>
      </c>
      <c r="N694" s="181">
        <f>TOBEPAID!N526/1000</f>
        <v>4800</v>
      </c>
      <c r="O694" s="181">
        <f>TOBEPAID!O526/1000</f>
        <v>0</v>
      </c>
      <c r="P694" s="181">
        <f>TOBEPAID!P526/1000</f>
        <v>0</v>
      </c>
      <c r="Q694" s="181">
        <f>TOBEPAID!Q526/1000</f>
        <v>0</v>
      </c>
      <c r="R694" s="181">
        <v>0</v>
      </c>
      <c r="S694" s="181">
        <f>TOBEPAID!S526/1000</f>
        <v>0</v>
      </c>
      <c r="T694" s="181">
        <f>TOBEPAID!T526/1000</f>
        <v>0</v>
      </c>
      <c r="U694" s="181">
        <f>TOBEPAID!U526/1000</f>
        <v>0</v>
      </c>
      <c r="V694" s="181">
        <f>TOBEPAID!V526/1000</f>
        <v>0</v>
      </c>
      <c r="W694" s="181">
        <f>TOBEPAID!W526/1000</f>
        <v>0</v>
      </c>
      <c r="X694" s="181">
        <f>TOBEPAID!X526/1000</f>
        <v>0</v>
      </c>
      <c r="Y694" s="181">
        <f t="shared" si="123"/>
        <v>4800</v>
      </c>
      <c r="Z694" s="181">
        <f t="shared" si="124"/>
        <v>0</v>
      </c>
      <c r="AA694" s="181">
        <f>TOBEPAID!AA526/1000</f>
        <v>4800</v>
      </c>
      <c r="AB694" s="181">
        <f>TOBEPAID!AB526/1000</f>
        <v>0</v>
      </c>
      <c r="AC694" s="181"/>
      <c r="AD694" s="181"/>
    </row>
    <row r="695" spans="1:30" x14ac:dyDescent="0.2">
      <c r="C695" s="165" t="s">
        <v>425</v>
      </c>
      <c r="D695" s="181">
        <f>93000000/1000</f>
        <v>93000</v>
      </c>
      <c r="E695" s="181"/>
      <c r="F695" s="181"/>
      <c r="G695" s="181"/>
      <c r="H695" s="181">
        <f>93000000/1000</f>
        <v>93000</v>
      </c>
      <c r="I695" s="181"/>
      <c r="J695" s="181"/>
      <c r="K695" s="181"/>
      <c r="L695" s="181"/>
      <c r="M695" s="181"/>
      <c r="N695" s="181"/>
      <c r="O695" s="181"/>
      <c r="P695" s="181"/>
      <c r="Q695" s="181"/>
      <c r="R695" s="181">
        <v>0</v>
      </c>
      <c r="S695" s="181"/>
      <c r="T695" s="181"/>
      <c r="U695" s="181"/>
      <c r="V695" s="181"/>
      <c r="W695" s="181"/>
      <c r="X695" s="181"/>
      <c r="Y695" s="181">
        <f t="shared" si="123"/>
        <v>93000</v>
      </c>
      <c r="Z695" s="181">
        <f t="shared" si="124"/>
        <v>0</v>
      </c>
      <c r="AA695" s="181"/>
      <c r="AB695" s="181"/>
      <c r="AC695" s="181"/>
      <c r="AD695" s="181"/>
    </row>
    <row r="696" spans="1:30" x14ac:dyDescent="0.2">
      <c r="A696" s="180"/>
      <c r="C696" s="166" t="s">
        <v>37</v>
      </c>
      <c r="D696" s="181">
        <f>722545/1000</f>
        <v>722.54499999999996</v>
      </c>
      <c r="E696" s="181">
        <f>TOBEPAID!E527/1000</f>
        <v>0</v>
      </c>
      <c r="F696" s="181">
        <f>TOBEPAID!F527/1000</f>
        <v>0</v>
      </c>
      <c r="G696" s="181">
        <f>TOBEPAID!G527/1000</f>
        <v>0</v>
      </c>
      <c r="H696" s="181">
        <v>0</v>
      </c>
      <c r="I696" s="181">
        <f>TOBEPAID!I527/1000</f>
        <v>0</v>
      </c>
      <c r="J696" s="181">
        <f>TOBEPAID!J527/1000</f>
        <v>0</v>
      </c>
      <c r="K696" s="181">
        <f>TOBEPAID!K527/1000</f>
        <v>0</v>
      </c>
      <c r="L696" s="181">
        <f>TOBEPAID!L527/1000</f>
        <v>0</v>
      </c>
      <c r="M696" s="181">
        <f>TOBEPAID!M527/1000</f>
        <v>0</v>
      </c>
      <c r="N696" s="181">
        <f>TOBEPAID!N527/1000</f>
        <v>0</v>
      </c>
      <c r="O696" s="181">
        <f>TOBEPAID!O527/1000</f>
        <v>722.5458000000001</v>
      </c>
      <c r="P696" s="181">
        <f>TOBEPAID!P527/1000</f>
        <v>0</v>
      </c>
      <c r="Q696" s="181">
        <f>TOBEPAID!Q527/1000</f>
        <v>0</v>
      </c>
      <c r="R696" s="181">
        <f>722545/1000</f>
        <v>722.54499999999996</v>
      </c>
      <c r="S696" s="181">
        <f>TOBEPAID!S527/1000</f>
        <v>0</v>
      </c>
      <c r="T696" s="181">
        <f>TOBEPAID!T527/1000</f>
        <v>0</v>
      </c>
      <c r="U696" s="181">
        <f>TOBEPAID!U527/1000</f>
        <v>0</v>
      </c>
      <c r="V696" s="181">
        <f>TOBEPAID!V527/1000</f>
        <v>0</v>
      </c>
      <c r="W696" s="181">
        <f>TOBEPAID!W527/1000</f>
        <v>0</v>
      </c>
      <c r="X696" s="181">
        <f>TOBEPAID!X527/1000</f>
        <v>722.5458000000001</v>
      </c>
      <c r="Y696" s="181">
        <f t="shared" si="123"/>
        <v>722.54499999999996</v>
      </c>
      <c r="Z696" s="181">
        <f t="shared" si="124"/>
        <v>0</v>
      </c>
      <c r="AA696" s="181">
        <f>TOBEPAID!AA527/1000</f>
        <v>722.5458000000001</v>
      </c>
      <c r="AB696" s="181">
        <f>TOBEPAID!AB527/1000</f>
        <v>45185.880640000003</v>
      </c>
      <c r="AC696" s="181"/>
      <c r="AD696" s="181"/>
    </row>
    <row r="697" spans="1:30" x14ac:dyDescent="0.2">
      <c r="A697" s="180"/>
      <c r="C697" s="192" t="s">
        <v>39</v>
      </c>
      <c r="D697" s="181">
        <v>0</v>
      </c>
      <c r="E697" s="181">
        <f>TOBEPAID!E528/1000</f>
        <v>0</v>
      </c>
      <c r="F697" s="181">
        <f>TOBEPAID!F528/1000</f>
        <v>0</v>
      </c>
      <c r="G697" s="181">
        <f>TOBEPAID!G528/1000</f>
        <v>0</v>
      </c>
      <c r="H697" s="181">
        <v>0</v>
      </c>
      <c r="I697" s="181">
        <f>TOBEPAID!I528/1000</f>
        <v>0</v>
      </c>
      <c r="J697" s="181">
        <f>TOBEPAID!J528/1000</f>
        <v>0</v>
      </c>
      <c r="K697" s="181">
        <f>TOBEPAID!K528/1000</f>
        <v>0</v>
      </c>
      <c r="L697" s="181">
        <f>TOBEPAID!L528/1000</f>
        <v>0</v>
      </c>
      <c r="M697" s="181">
        <f>TOBEPAID!M528/1000</f>
        <v>0</v>
      </c>
      <c r="N697" s="181">
        <f>TOBEPAID!N528/1000</f>
        <v>0</v>
      </c>
      <c r="O697" s="181">
        <f>TOBEPAID!O528/1000</f>
        <v>0</v>
      </c>
      <c r="P697" s="181">
        <f>TOBEPAID!P528/1000</f>
        <v>0</v>
      </c>
      <c r="Q697" s="181">
        <f>TOBEPAID!Q528/1000</f>
        <v>0</v>
      </c>
      <c r="R697" s="181">
        <v>0</v>
      </c>
      <c r="S697" s="181">
        <f>TOBEPAID!S528/1000</f>
        <v>0</v>
      </c>
      <c r="T697" s="181">
        <f>TOBEPAID!T528/1000</f>
        <v>0</v>
      </c>
      <c r="U697" s="181">
        <f>TOBEPAID!U528/1000</f>
        <v>0</v>
      </c>
      <c r="V697" s="181">
        <f>TOBEPAID!V528/1000</f>
        <v>0</v>
      </c>
      <c r="W697" s="181">
        <f>TOBEPAID!W528/1000</f>
        <v>0</v>
      </c>
      <c r="X697" s="181">
        <f>TOBEPAID!X528/1000</f>
        <v>0</v>
      </c>
      <c r="Y697" s="181">
        <f t="shared" si="123"/>
        <v>0</v>
      </c>
      <c r="Z697" s="181">
        <f t="shared" si="124"/>
        <v>0</v>
      </c>
      <c r="AA697" s="181">
        <f>TOBEPAID!AA528/1000</f>
        <v>0</v>
      </c>
      <c r="AB697" s="181">
        <f>TOBEPAID!AB528/1000</f>
        <v>4086.8522400000002</v>
      </c>
      <c r="AC697" s="181"/>
      <c r="AD697" s="181"/>
    </row>
    <row r="698" spans="1:30" x14ac:dyDescent="0.2">
      <c r="A698" s="180"/>
      <c r="D698" s="182" t="s">
        <v>40</v>
      </c>
      <c r="E698" s="182" t="s">
        <v>40</v>
      </c>
      <c r="F698" s="182" t="s">
        <v>40</v>
      </c>
      <c r="G698" s="182"/>
      <c r="H698" s="182" t="s">
        <v>40</v>
      </c>
      <c r="I698" s="182" t="s">
        <v>40</v>
      </c>
      <c r="J698" s="182" t="s">
        <v>40</v>
      </c>
      <c r="K698" s="182" t="s">
        <v>40</v>
      </c>
      <c r="L698" s="182" t="s">
        <v>40</v>
      </c>
      <c r="M698" s="182"/>
      <c r="N698" s="182" t="s">
        <v>40</v>
      </c>
      <c r="O698" s="182" t="s">
        <v>40</v>
      </c>
      <c r="P698" s="182" t="s">
        <v>40</v>
      </c>
      <c r="Q698" s="182"/>
      <c r="R698" s="182" t="s">
        <v>40</v>
      </c>
      <c r="S698" s="182" t="s">
        <v>40</v>
      </c>
      <c r="T698" s="182" t="s">
        <v>40</v>
      </c>
      <c r="U698" s="182" t="s">
        <v>40</v>
      </c>
      <c r="V698" s="182" t="s">
        <v>40</v>
      </c>
      <c r="W698" s="182"/>
      <c r="X698" s="182" t="s">
        <v>40</v>
      </c>
      <c r="Y698" s="182" t="s">
        <v>40</v>
      </c>
      <c r="Z698" s="182" t="s">
        <v>40</v>
      </c>
      <c r="AA698" s="182" t="s">
        <v>40</v>
      </c>
      <c r="AB698" s="182" t="s">
        <v>40</v>
      </c>
      <c r="AC698" s="182"/>
      <c r="AD698" s="182"/>
    </row>
    <row r="699" spans="1:30" x14ac:dyDescent="0.2">
      <c r="A699" s="180"/>
      <c r="D699" s="181">
        <f>SUM(D689:D697)</f>
        <v>415667.72016999999</v>
      </c>
      <c r="E699" s="181">
        <f>SUM(E689:E697)</f>
        <v>9710.3446299999996</v>
      </c>
      <c r="F699" s="181">
        <f>SUM(F689:F697)</f>
        <v>0</v>
      </c>
      <c r="G699" s="181"/>
      <c r="H699" s="181">
        <f>SUM(H689:H697)</f>
        <v>173772.69316999998</v>
      </c>
      <c r="I699" s="181">
        <f>SUM(I689:I697)</f>
        <v>0</v>
      </c>
      <c r="J699" s="181">
        <f>SUM(J689:J697)</f>
        <v>0</v>
      </c>
      <c r="K699" s="181">
        <f>SUM(K689:K697)</f>
        <v>0</v>
      </c>
      <c r="L699" s="181">
        <f>SUM(L689:L697)</f>
        <v>0</v>
      </c>
      <c r="M699" s="181"/>
      <c r="N699" s="181">
        <f>SUM(N689:N697)</f>
        <v>9710.3446299999996</v>
      </c>
      <c r="O699" s="181">
        <f>SUM(O689:O697)</f>
        <v>16011.068369999999</v>
      </c>
      <c r="P699" s="181">
        <f>SUM(P689:P697)</f>
        <v>0</v>
      </c>
      <c r="Q699" s="181"/>
      <c r="R699" s="181">
        <f>SUM(R689:R697)</f>
        <v>17556.662999999997</v>
      </c>
      <c r="S699" s="181">
        <f>SUM(S689:S697)</f>
        <v>8036.9875499999998</v>
      </c>
      <c r="T699" s="181">
        <f>SUM(T689:T697)</f>
        <v>2809.7527999999998</v>
      </c>
      <c r="U699" s="181">
        <f>SUM(U689:U697)</f>
        <v>0</v>
      </c>
      <c r="V699" s="181">
        <f>SUM(V689:V697)</f>
        <v>0</v>
      </c>
      <c r="W699" s="181"/>
      <c r="X699" s="181">
        <f>SUM(X689:X697)</f>
        <v>16011.068369999999</v>
      </c>
      <c r="Y699" s="181">
        <f>SUM(Y689:Y697)</f>
        <v>191329.35617000001</v>
      </c>
      <c r="Z699" s="181">
        <f>SUM(Z689:Z697)</f>
        <v>224338.364</v>
      </c>
      <c r="AA699" s="181">
        <f>SUM(AA689:AA697)</f>
        <v>25721.413</v>
      </c>
      <c r="AB699" s="181">
        <f>SUM(AB689:AB697)</f>
        <v>53592.643410000004</v>
      </c>
      <c r="AC699" s="181"/>
      <c r="AD699" s="181"/>
    </row>
    <row r="700" spans="1:30" x14ac:dyDescent="0.2">
      <c r="A700" s="180"/>
      <c r="B700" s="172"/>
      <c r="D700" s="182" t="s">
        <v>40</v>
      </c>
      <c r="E700" s="182" t="s">
        <v>40</v>
      </c>
      <c r="F700" s="182" t="s">
        <v>40</v>
      </c>
      <c r="G700" s="182"/>
      <c r="H700" s="182" t="s">
        <v>40</v>
      </c>
      <c r="I700" s="182" t="s">
        <v>40</v>
      </c>
      <c r="J700" s="182" t="s">
        <v>40</v>
      </c>
      <c r="K700" s="182" t="s">
        <v>40</v>
      </c>
      <c r="L700" s="182" t="s">
        <v>40</v>
      </c>
      <c r="M700" s="182"/>
      <c r="N700" s="182" t="s">
        <v>40</v>
      </c>
      <c r="O700" s="182" t="s">
        <v>40</v>
      </c>
      <c r="P700" s="182" t="s">
        <v>40</v>
      </c>
      <c r="Q700" s="182"/>
      <c r="R700" s="182" t="s">
        <v>40</v>
      </c>
      <c r="S700" s="182" t="s">
        <v>40</v>
      </c>
      <c r="T700" s="182" t="s">
        <v>40</v>
      </c>
      <c r="U700" s="182" t="s">
        <v>40</v>
      </c>
      <c r="V700" s="182" t="s">
        <v>40</v>
      </c>
      <c r="W700" s="182"/>
      <c r="X700" s="182" t="s">
        <v>40</v>
      </c>
      <c r="Y700" s="182" t="s">
        <v>40</v>
      </c>
      <c r="Z700" s="182" t="s">
        <v>40</v>
      </c>
      <c r="AA700" s="182" t="s">
        <v>40</v>
      </c>
      <c r="AB700" s="182" t="s">
        <v>40</v>
      </c>
      <c r="AC700" s="182"/>
      <c r="AD700" s="182"/>
    </row>
    <row r="701" spans="1:30" x14ac:dyDescent="0.2">
      <c r="A701" s="180"/>
      <c r="B701" s="17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</row>
    <row r="702" spans="1:30" x14ac:dyDescent="0.2">
      <c r="A702" s="180">
        <v>51</v>
      </c>
      <c r="B702" s="166" t="s">
        <v>354</v>
      </c>
      <c r="C702" s="166" t="s">
        <v>35</v>
      </c>
      <c r="D702" s="181">
        <f>36967921.15/1000</f>
        <v>36967.921150000002</v>
      </c>
      <c r="E702" s="181">
        <f>TOBEPAID!E533/1000</f>
        <v>0</v>
      </c>
      <c r="F702" s="181">
        <f>TOBEPAID!F533/1000</f>
        <v>0</v>
      </c>
      <c r="G702" s="181">
        <f>TOBEPAID!G533/1000</f>
        <v>0</v>
      </c>
      <c r="H702" s="181">
        <f>20520111/1000</f>
        <v>20520.111000000001</v>
      </c>
      <c r="I702" s="181">
        <f>TOBEPAID!I533/1000</f>
        <v>0</v>
      </c>
      <c r="J702" s="181">
        <f>TOBEPAID!J533/1000</f>
        <v>0</v>
      </c>
      <c r="K702" s="181">
        <f>TOBEPAID!K533/1000</f>
        <v>0</v>
      </c>
      <c r="L702" s="181">
        <f>TOBEPAID!L533/1000</f>
        <v>0</v>
      </c>
      <c r="M702" s="181">
        <f>TOBEPAID!M533/1000</f>
        <v>0</v>
      </c>
      <c r="N702" s="181">
        <f>TOBEPAID!N533/1000</f>
        <v>0</v>
      </c>
      <c r="O702" s="181">
        <f>TOBEPAID!O533/1000</f>
        <v>2585.1795900000002</v>
      </c>
      <c r="P702" s="181">
        <f>TOBEPAID!P533/1000</f>
        <v>0</v>
      </c>
      <c r="Q702" s="181">
        <f>TOBEPAID!Q533/1000</f>
        <v>0</v>
      </c>
      <c r="R702" s="181">
        <f>2585179/1000</f>
        <v>2585.1790000000001</v>
      </c>
      <c r="S702" s="181">
        <f>TOBEPAID!S533/1000</f>
        <v>0</v>
      </c>
      <c r="T702" s="181">
        <f>TOBEPAID!T533/1000</f>
        <v>0</v>
      </c>
      <c r="U702" s="181">
        <f>TOBEPAID!U533/1000</f>
        <v>0</v>
      </c>
      <c r="V702" s="181">
        <f>TOBEPAID!V533/1000</f>
        <v>0</v>
      </c>
      <c r="W702" s="181">
        <f>TOBEPAID!W533/1000</f>
        <v>0</v>
      </c>
      <c r="X702" s="181">
        <f>TOBEPAID!X533/1000</f>
        <v>2585.1795900000002</v>
      </c>
      <c r="Y702" s="181">
        <f>+H702+R702</f>
        <v>23105.29</v>
      </c>
      <c r="Z702" s="181">
        <f>+D702-Y702</f>
        <v>13862.631150000001</v>
      </c>
      <c r="AA702" s="181">
        <f>TOBEPAID!AA533/1000</f>
        <v>2585.1795900000002</v>
      </c>
      <c r="AB702" s="181">
        <f>TOBEPAID!AB533/1000</f>
        <v>34382.741559999995</v>
      </c>
      <c r="AC702" s="181"/>
      <c r="AD702" s="181"/>
    </row>
    <row r="703" spans="1:30" x14ac:dyDescent="0.2">
      <c r="A703" s="180"/>
      <c r="C703" s="168" t="s">
        <v>36</v>
      </c>
      <c r="D703" s="181">
        <f>2957018/1000</f>
        <v>2957.018</v>
      </c>
      <c r="E703" s="181">
        <f>TOBEPAID!E534/1000</f>
        <v>2957.0187299999998</v>
      </c>
      <c r="F703" s="181">
        <f>TOBEPAID!F534/1000</f>
        <v>0</v>
      </c>
      <c r="G703" s="181">
        <f>TOBEPAID!G534/1000</f>
        <v>0</v>
      </c>
      <c r="H703" s="181">
        <f>2957018/1000</f>
        <v>2957.018</v>
      </c>
      <c r="I703" s="181">
        <f>TOBEPAID!I534/1000</f>
        <v>0</v>
      </c>
      <c r="J703" s="181">
        <f>TOBEPAID!J534/1000</f>
        <v>0</v>
      </c>
      <c r="K703" s="181">
        <f>TOBEPAID!K534/1000</f>
        <v>0</v>
      </c>
      <c r="L703" s="181">
        <f>TOBEPAID!L534/1000</f>
        <v>0</v>
      </c>
      <c r="M703" s="181">
        <f>TOBEPAID!M534/1000</f>
        <v>0</v>
      </c>
      <c r="N703" s="181">
        <f>TOBEPAID!N534/1000</f>
        <v>2957.0187299999998</v>
      </c>
      <c r="O703" s="181">
        <f>TOBEPAID!O534/1000</f>
        <v>0</v>
      </c>
      <c r="P703" s="181">
        <f>TOBEPAID!P534/1000</f>
        <v>0</v>
      </c>
      <c r="Q703" s="181">
        <f>TOBEPAID!Q534/1000</f>
        <v>0</v>
      </c>
      <c r="R703" s="181">
        <v>0</v>
      </c>
      <c r="S703" s="181">
        <f>TOBEPAID!S534/1000</f>
        <v>0</v>
      </c>
      <c r="T703" s="181">
        <f>TOBEPAID!T534/1000</f>
        <v>0</v>
      </c>
      <c r="U703" s="181">
        <f>TOBEPAID!U534/1000</f>
        <v>0</v>
      </c>
      <c r="V703" s="181">
        <f>TOBEPAID!V534/1000</f>
        <v>0</v>
      </c>
      <c r="W703" s="181">
        <f>TOBEPAID!W534/1000</f>
        <v>0</v>
      </c>
      <c r="X703" s="181">
        <f>TOBEPAID!X534/1000</f>
        <v>0</v>
      </c>
      <c r="Y703" s="181">
        <f>+H703+R703</f>
        <v>2957.018</v>
      </c>
      <c r="Z703" s="181">
        <f>+D703-Y703</f>
        <v>0</v>
      </c>
      <c r="AA703" s="181">
        <f>TOBEPAID!AA534/1000</f>
        <v>2957.0187299999998</v>
      </c>
      <c r="AB703" s="181">
        <f>TOBEPAID!AB534/1000</f>
        <v>0</v>
      </c>
      <c r="AC703" s="181"/>
      <c r="AD703" s="181"/>
    </row>
    <row r="704" spans="1:30" x14ac:dyDescent="0.2">
      <c r="C704" s="165" t="s">
        <v>329</v>
      </c>
      <c r="D704" s="181">
        <f>2454776/1000</f>
        <v>2454.7759999999998</v>
      </c>
      <c r="E704" s="181">
        <f>TOBEPAID!E535/1000</f>
        <v>2454.7760830000002</v>
      </c>
      <c r="F704" s="181">
        <f>TOBEPAID!F535/1000</f>
        <v>0</v>
      </c>
      <c r="G704" s="181">
        <f>TOBEPAID!G535/1000</f>
        <v>0</v>
      </c>
      <c r="H704" s="181">
        <f>2454776/1000</f>
        <v>2454.7759999999998</v>
      </c>
      <c r="I704" s="181">
        <f>TOBEPAID!I535/1000</f>
        <v>0</v>
      </c>
      <c r="J704" s="181">
        <f>TOBEPAID!J535/1000</f>
        <v>0</v>
      </c>
      <c r="K704" s="181">
        <f>TOBEPAID!K535/1000</f>
        <v>0</v>
      </c>
      <c r="L704" s="181">
        <f>TOBEPAID!L535/1000</f>
        <v>0</v>
      </c>
      <c r="M704" s="181">
        <f>TOBEPAID!M535/1000</f>
        <v>0</v>
      </c>
      <c r="N704" s="181">
        <f>TOBEPAID!N535/1000</f>
        <v>2454.7760830000002</v>
      </c>
      <c r="O704" s="181">
        <f>TOBEPAID!O535/1000</f>
        <v>0</v>
      </c>
      <c r="P704" s="181">
        <f>TOBEPAID!P535/1000</f>
        <v>0</v>
      </c>
      <c r="Q704" s="181">
        <f>TOBEPAID!Q535/1000</f>
        <v>0</v>
      </c>
      <c r="R704" s="181">
        <v>0</v>
      </c>
      <c r="S704" s="181">
        <f>TOBEPAID!S535/1000</f>
        <v>0</v>
      </c>
      <c r="T704" s="181">
        <f>TOBEPAID!T535/1000</f>
        <v>0</v>
      </c>
      <c r="U704" s="181">
        <f>TOBEPAID!U535/1000</f>
        <v>0</v>
      </c>
      <c r="V704" s="181">
        <f>TOBEPAID!V535/1000</f>
        <v>0</v>
      </c>
      <c r="W704" s="181">
        <f>TOBEPAID!W535/1000</f>
        <v>0</v>
      </c>
      <c r="X704" s="181">
        <f>TOBEPAID!X535/1000</f>
        <v>0</v>
      </c>
      <c r="Y704" s="181">
        <f>+H704+R704</f>
        <v>2454.7759999999998</v>
      </c>
      <c r="Z704" s="181">
        <f>+D704-Y704</f>
        <v>0</v>
      </c>
      <c r="AA704" s="181">
        <f>TOBEPAID!AA535/1000</f>
        <v>2454.7760830000002</v>
      </c>
      <c r="AB704" s="181">
        <f>TOBEPAID!AB535/1000</f>
        <v>-3.0000000260770321E-6</v>
      </c>
      <c r="AC704" s="181"/>
      <c r="AD704" s="181"/>
    </row>
    <row r="705" spans="1:30" x14ac:dyDescent="0.2">
      <c r="A705" s="180"/>
      <c r="C705" s="166" t="s">
        <v>53</v>
      </c>
      <c r="D705" s="181">
        <f>45046586/1000</f>
        <v>45046.586000000003</v>
      </c>
      <c r="E705" s="181">
        <f>TOBEPAID!E536/1000</f>
        <v>0</v>
      </c>
      <c r="F705" s="181">
        <f>TOBEPAID!F536/1000</f>
        <v>0</v>
      </c>
      <c r="G705" s="181">
        <f>TOBEPAID!G536/1000</f>
        <v>0</v>
      </c>
      <c r="H705" s="181">
        <v>0</v>
      </c>
      <c r="I705" s="181">
        <f>TOBEPAID!I536/1000</f>
        <v>0</v>
      </c>
      <c r="J705" s="181">
        <f>TOBEPAID!J536/1000</f>
        <v>0</v>
      </c>
      <c r="K705" s="181">
        <f>TOBEPAID!K536/1000</f>
        <v>0</v>
      </c>
      <c r="L705" s="181">
        <f>TOBEPAID!L536/1000</f>
        <v>0</v>
      </c>
      <c r="M705" s="181">
        <f>TOBEPAID!M536/1000</f>
        <v>0</v>
      </c>
      <c r="N705" s="181">
        <f>TOBEPAID!N536/1000</f>
        <v>0</v>
      </c>
      <c r="O705" s="181">
        <f>TOBEPAID!O536/1000</f>
        <v>7011.4226899999994</v>
      </c>
      <c r="P705" s="181">
        <f>TOBEPAID!P536/1000</f>
        <v>0</v>
      </c>
      <c r="Q705" s="181">
        <f>TOBEPAID!Q536/1000</f>
        <v>0</v>
      </c>
      <c r="R705" s="181">
        <f>7011422/1000</f>
        <v>7011.4219999999996</v>
      </c>
      <c r="S705" s="181">
        <f>TOBEPAID!S536/1000</f>
        <v>0</v>
      </c>
      <c r="T705" s="181">
        <f>TOBEPAID!T536/1000</f>
        <v>0</v>
      </c>
      <c r="U705" s="181">
        <f>TOBEPAID!U536/1000</f>
        <v>0</v>
      </c>
      <c r="V705" s="181">
        <f>TOBEPAID!V536/1000</f>
        <v>0</v>
      </c>
      <c r="W705" s="181">
        <f>TOBEPAID!W536/1000</f>
        <v>0</v>
      </c>
      <c r="X705" s="181">
        <f>TOBEPAID!X536/1000</f>
        <v>7011.4226899999994</v>
      </c>
      <c r="Y705" s="181">
        <f>+H705+R705</f>
        <v>7011.4219999999996</v>
      </c>
      <c r="Z705" s="181">
        <f>+D705-Y705</f>
        <v>38035.164000000004</v>
      </c>
      <c r="AA705" s="181">
        <f>TOBEPAID!AA536/1000</f>
        <v>7011.4226899999994</v>
      </c>
      <c r="AB705" s="181">
        <f>TOBEPAID!AB536/1000</f>
        <v>38035.164150000004</v>
      </c>
      <c r="AC705" s="181"/>
      <c r="AD705" s="181"/>
    </row>
    <row r="706" spans="1:30" x14ac:dyDescent="0.2">
      <c r="A706" s="180"/>
      <c r="C706" s="166" t="s">
        <v>54</v>
      </c>
      <c r="D706" s="181">
        <f>16304159/1000</f>
        <v>16304.159</v>
      </c>
      <c r="E706" s="181">
        <f>TOBEPAID!E537/1000</f>
        <v>0</v>
      </c>
      <c r="F706" s="181">
        <f>TOBEPAID!F537/1000</f>
        <v>0</v>
      </c>
      <c r="G706" s="181">
        <f>TOBEPAID!G537/1000</f>
        <v>0</v>
      </c>
      <c r="H706" s="181">
        <v>0</v>
      </c>
      <c r="I706" s="181">
        <f>TOBEPAID!I537/1000</f>
        <v>0</v>
      </c>
      <c r="J706" s="181">
        <f>TOBEPAID!J537/1000</f>
        <v>0</v>
      </c>
      <c r="K706" s="181">
        <f>TOBEPAID!K537/1000</f>
        <v>0</v>
      </c>
      <c r="L706" s="181">
        <f>TOBEPAID!L537/1000</f>
        <v>0</v>
      </c>
      <c r="M706" s="181">
        <f>TOBEPAID!M537/1000</f>
        <v>0</v>
      </c>
      <c r="N706" s="181">
        <f>TOBEPAID!N537/1000</f>
        <v>0</v>
      </c>
      <c r="O706" s="181">
        <f>TOBEPAID!O537/1000</f>
        <v>16304.15929</v>
      </c>
      <c r="P706" s="181">
        <f>TOBEPAID!P537/1000</f>
        <v>0</v>
      </c>
      <c r="Q706" s="181">
        <f>TOBEPAID!Q537/1000</f>
        <v>0</v>
      </c>
      <c r="R706" s="181">
        <f>16304159/1000</f>
        <v>16304.159</v>
      </c>
      <c r="S706" s="181">
        <f>TOBEPAID!S537/1000</f>
        <v>0</v>
      </c>
      <c r="T706" s="181">
        <f>TOBEPAID!T537/1000</f>
        <v>0</v>
      </c>
      <c r="U706" s="181">
        <f>TOBEPAID!U537/1000</f>
        <v>0</v>
      </c>
      <c r="V706" s="181">
        <f>TOBEPAID!V537/1000</f>
        <v>0</v>
      </c>
      <c r="W706" s="181">
        <f>TOBEPAID!W537/1000</f>
        <v>0</v>
      </c>
      <c r="X706" s="181">
        <f>TOBEPAID!X537/1000</f>
        <v>16304.15929</v>
      </c>
      <c r="Y706" s="181">
        <f>+H706+R706</f>
        <v>16304.159</v>
      </c>
      <c r="Z706" s="181">
        <f>+D706-Y706</f>
        <v>0</v>
      </c>
      <c r="AA706" s="181">
        <f>TOBEPAID!AA537/1000</f>
        <v>16304.15929</v>
      </c>
      <c r="AB706" s="181">
        <f>TOBEPAID!AB537/1000</f>
        <v>0</v>
      </c>
      <c r="AC706" s="181"/>
      <c r="AD706" s="181"/>
    </row>
    <row r="707" spans="1:30" x14ac:dyDescent="0.2">
      <c r="A707" s="180"/>
      <c r="D707" s="182" t="s">
        <v>40</v>
      </c>
      <c r="E707" s="182" t="s">
        <v>40</v>
      </c>
      <c r="F707" s="182" t="s">
        <v>40</v>
      </c>
      <c r="G707" s="182"/>
      <c r="H707" s="182" t="s">
        <v>40</v>
      </c>
      <c r="I707" s="182" t="s">
        <v>40</v>
      </c>
      <c r="J707" s="182" t="s">
        <v>40</v>
      </c>
      <c r="K707" s="182" t="s">
        <v>40</v>
      </c>
      <c r="L707" s="182" t="s">
        <v>40</v>
      </c>
      <c r="M707" s="182"/>
      <c r="N707" s="182" t="s">
        <v>40</v>
      </c>
      <c r="O707" s="182" t="s">
        <v>40</v>
      </c>
      <c r="P707" s="182" t="s">
        <v>40</v>
      </c>
      <c r="Q707" s="182"/>
      <c r="R707" s="182" t="s">
        <v>40</v>
      </c>
      <c r="S707" s="182" t="s">
        <v>40</v>
      </c>
      <c r="T707" s="182" t="s">
        <v>40</v>
      </c>
      <c r="U707" s="182" t="s">
        <v>40</v>
      </c>
      <c r="V707" s="182" t="s">
        <v>40</v>
      </c>
      <c r="W707" s="182"/>
      <c r="X707" s="182" t="s">
        <v>40</v>
      </c>
      <c r="Y707" s="182" t="s">
        <v>40</v>
      </c>
      <c r="Z707" s="182" t="s">
        <v>40</v>
      </c>
      <c r="AA707" s="182" t="s">
        <v>40</v>
      </c>
      <c r="AB707" s="182" t="s">
        <v>40</v>
      </c>
      <c r="AC707" s="182"/>
      <c r="AD707" s="182"/>
    </row>
    <row r="708" spans="1:30" x14ac:dyDescent="0.2">
      <c r="A708" s="180"/>
      <c r="D708" s="181">
        <f>SUM(D702:D706)</f>
        <v>103730.46015000001</v>
      </c>
      <c r="E708" s="181">
        <f>SUM(E702:E706)</f>
        <v>5411.7948130000004</v>
      </c>
      <c r="F708" s="181">
        <f>SUM(F702:F706)</f>
        <v>0</v>
      </c>
      <c r="G708" s="181"/>
      <c r="H708" s="181">
        <f>SUM(H702:H706)</f>
        <v>25931.904999999999</v>
      </c>
      <c r="I708" s="181">
        <f>SUM(I702:I706)</f>
        <v>0</v>
      </c>
      <c r="J708" s="181">
        <f>SUM(J702:J706)</f>
        <v>0</v>
      </c>
      <c r="K708" s="181">
        <f>SUM(K702:K706)</f>
        <v>0</v>
      </c>
      <c r="L708" s="181">
        <f>SUM(L702:L706)</f>
        <v>0</v>
      </c>
      <c r="M708" s="181"/>
      <c r="N708" s="181">
        <f>SUM(N702:N706)</f>
        <v>5411.7948130000004</v>
      </c>
      <c r="O708" s="181">
        <f>SUM(O702:O706)</f>
        <v>25900.761569999999</v>
      </c>
      <c r="P708" s="181">
        <f>SUM(P702:P706)</f>
        <v>0</v>
      </c>
      <c r="Q708" s="181"/>
      <c r="R708" s="181">
        <f>SUM(R702:R706)</f>
        <v>25900.76</v>
      </c>
      <c r="S708" s="181">
        <f>SUM(S702:S706)</f>
        <v>0</v>
      </c>
      <c r="T708" s="181">
        <f>SUM(T702:T706)</f>
        <v>0</v>
      </c>
      <c r="U708" s="181">
        <f>SUM(U702:U706)</f>
        <v>0</v>
      </c>
      <c r="V708" s="181">
        <f>SUM(V702:V706)</f>
        <v>0</v>
      </c>
      <c r="W708" s="181"/>
      <c r="X708" s="181">
        <f>SUM(X702:X706)</f>
        <v>25900.761569999999</v>
      </c>
      <c r="Y708" s="181">
        <f>SUM(Y702:Y706)</f>
        <v>51832.665000000001</v>
      </c>
      <c r="Z708" s="181">
        <f>SUM(Z702:Z706)</f>
        <v>51897.795150000005</v>
      </c>
      <c r="AA708" s="181">
        <f>SUM(AA702:AA706)</f>
        <v>31312.556382999999</v>
      </c>
      <c r="AB708" s="181">
        <f>SUM(AB702:AB706)</f>
        <v>72417.905706999998</v>
      </c>
      <c r="AC708" s="181"/>
      <c r="AD708" s="181"/>
    </row>
    <row r="709" spans="1:30" x14ac:dyDescent="0.2">
      <c r="A709" s="180"/>
      <c r="B709" s="172"/>
      <c r="D709" s="182" t="s">
        <v>40</v>
      </c>
      <c r="E709" s="182" t="s">
        <v>40</v>
      </c>
      <c r="F709" s="182" t="s">
        <v>40</v>
      </c>
      <c r="G709" s="182"/>
      <c r="H709" s="182" t="s">
        <v>40</v>
      </c>
      <c r="I709" s="182" t="s">
        <v>40</v>
      </c>
      <c r="J709" s="182" t="s">
        <v>40</v>
      </c>
      <c r="K709" s="182" t="s">
        <v>40</v>
      </c>
      <c r="L709" s="182" t="s">
        <v>40</v>
      </c>
      <c r="M709" s="182"/>
      <c r="N709" s="182" t="s">
        <v>40</v>
      </c>
      <c r="O709" s="182" t="s">
        <v>40</v>
      </c>
      <c r="P709" s="182" t="s">
        <v>40</v>
      </c>
      <c r="Q709" s="182"/>
      <c r="R709" s="182" t="s">
        <v>40</v>
      </c>
      <c r="S709" s="182" t="s">
        <v>40</v>
      </c>
      <c r="T709" s="182" t="s">
        <v>40</v>
      </c>
      <c r="U709" s="182" t="s">
        <v>40</v>
      </c>
      <c r="V709" s="182" t="s">
        <v>40</v>
      </c>
      <c r="W709" s="182"/>
      <c r="X709" s="182" t="s">
        <v>40</v>
      </c>
      <c r="Y709" s="182" t="s">
        <v>40</v>
      </c>
      <c r="Z709" s="182" t="s">
        <v>40</v>
      </c>
      <c r="AA709" s="182" t="s">
        <v>40</v>
      </c>
      <c r="AB709" s="182" t="s">
        <v>40</v>
      </c>
      <c r="AC709" s="182"/>
      <c r="AD709" s="182"/>
    </row>
    <row r="710" spans="1:30" x14ac:dyDescent="0.2">
      <c r="A710" s="180"/>
      <c r="B710" s="172"/>
      <c r="D710" s="182"/>
      <c r="E710" s="182"/>
      <c r="F710" s="203"/>
      <c r="G710" s="188"/>
      <c r="H710" s="189"/>
      <c r="I710" s="189"/>
      <c r="J710" s="189"/>
      <c r="K710" s="199"/>
      <c r="L710" s="189"/>
      <c r="M710" s="188"/>
      <c r="N710" s="191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</row>
    <row r="711" spans="1:30" x14ac:dyDescent="0.2">
      <c r="A711" s="180">
        <v>52</v>
      </c>
      <c r="B711" s="166" t="s">
        <v>88</v>
      </c>
      <c r="C711" s="168" t="s">
        <v>35</v>
      </c>
      <c r="D711" s="181">
        <v>0</v>
      </c>
      <c r="E711" s="181">
        <f>TOBEPAID!E542/1000</f>
        <v>0</v>
      </c>
      <c r="F711" s="181">
        <f>TOBEPAID!F542/1000</f>
        <v>0</v>
      </c>
      <c r="G711" s="181">
        <f>TOBEPAID!G542/1000</f>
        <v>0</v>
      </c>
      <c r="H711" s="181">
        <v>0</v>
      </c>
      <c r="I711" s="181">
        <f>TOBEPAID!I542/1000</f>
        <v>0</v>
      </c>
      <c r="J711" s="181">
        <f>TOBEPAID!J542/1000</f>
        <v>0</v>
      </c>
      <c r="K711" s="181">
        <f>TOBEPAID!K542/1000</f>
        <v>0</v>
      </c>
      <c r="L711" s="181">
        <f>TOBEPAID!L542/1000</f>
        <v>0</v>
      </c>
      <c r="M711" s="181">
        <f>TOBEPAID!M542/1000</f>
        <v>0</v>
      </c>
      <c r="N711" s="181">
        <f>TOBEPAID!N542/1000</f>
        <v>0</v>
      </c>
      <c r="O711" s="181">
        <f>TOBEPAID!O542/1000</f>
        <v>0</v>
      </c>
      <c r="P711" s="181">
        <f>TOBEPAID!P542/1000</f>
        <v>0</v>
      </c>
      <c r="Q711" s="181">
        <f>TOBEPAID!Q542/1000</f>
        <v>0</v>
      </c>
      <c r="R711" s="181">
        <v>0</v>
      </c>
      <c r="S711" s="181">
        <f>TOBEPAID!S542/1000</f>
        <v>0</v>
      </c>
      <c r="T711" s="181">
        <f>TOBEPAID!T542/1000</f>
        <v>0</v>
      </c>
      <c r="U711" s="181">
        <f>TOBEPAID!U542/1000</f>
        <v>0</v>
      </c>
      <c r="V711" s="181">
        <f>TOBEPAID!V542/1000</f>
        <v>0</v>
      </c>
      <c r="W711" s="181">
        <f>TOBEPAID!W542/1000</f>
        <v>0</v>
      </c>
      <c r="X711" s="181">
        <f>TOBEPAID!X542/1000</f>
        <v>0</v>
      </c>
      <c r="Y711" s="181">
        <f t="shared" ref="Y711:Y718" si="125">+H711+R711</f>
        <v>0</v>
      </c>
      <c r="Z711" s="181">
        <f t="shared" ref="Z711:Z718" si="126">+D711-Y711</f>
        <v>0</v>
      </c>
      <c r="AA711" s="181">
        <f>TOBEPAID!AA542/1000</f>
        <v>0</v>
      </c>
      <c r="AB711" s="181">
        <f>TOBEPAID!AB542/1000</f>
        <v>0</v>
      </c>
      <c r="AC711" s="181"/>
      <c r="AD711" s="181"/>
    </row>
    <row r="712" spans="1:30" x14ac:dyDescent="0.2">
      <c r="A712" s="180"/>
      <c r="C712" s="168" t="s">
        <v>36</v>
      </c>
      <c r="D712" s="181">
        <f>511867/1000</f>
        <v>511.86700000000002</v>
      </c>
      <c r="E712" s="181">
        <f>TOBEPAID!E543/1000</f>
        <v>511.86700000000002</v>
      </c>
      <c r="F712" s="181">
        <f>TOBEPAID!F543/1000</f>
        <v>0</v>
      </c>
      <c r="G712" s="181">
        <f>TOBEPAID!G543/1000</f>
        <v>0</v>
      </c>
      <c r="H712" s="181">
        <f>511867/1000</f>
        <v>511.86700000000002</v>
      </c>
      <c r="I712" s="181">
        <f>TOBEPAID!I543/1000</f>
        <v>0</v>
      </c>
      <c r="J712" s="181">
        <f>TOBEPAID!J543/1000</f>
        <v>0</v>
      </c>
      <c r="K712" s="181">
        <f>TOBEPAID!K543/1000</f>
        <v>0</v>
      </c>
      <c r="L712" s="181">
        <f>TOBEPAID!L543/1000</f>
        <v>0</v>
      </c>
      <c r="M712" s="181">
        <f>TOBEPAID!M543/1000</f>
        <v>0</v>
      </c>
      <c r="N712" s="181">
        <f>TOBEPAID!N543/1000</f>
        <v>511.86700000000002</v>
      </c>
      <c r="O712" s="181">
        <f>TOBEPAID!O543/1000</f>
        <v>0</v>
      </c>
      <c r="P712" s="181">
        <f>TOBEPAID!P543/1000</f>
        <v>0</v>
      </c>
      <c r="Q712" s="181">
        <f>TOBEPAID!Q543/1000</f>
        <v>0</v>
      </c>
      <c r="R712" s="181">
        <v>0</v>
      </c>
      <c r="S712" s="181">
        <f>TOBEPAID!S543/1000</f>
        <v>0</v>
      </c>
      <c r="T712" s="181">
        <f>TOBEPAID!T543/1000</f>
        <v>0</v>
      </c>
      <c r="U712" s="181">
        <f>TOBEPAID!U543/1000</f>
        <v>0</v>
      </c>
      <c r="V712" s="181">
        <f>TOBEPAID!V543/1000</f>
        <v>0</v>
      </c>
      <c r="W712" s="181">
        <f>TOBEPAID!W543/1000</f>
        <v>0</v>
      </c>
      <c r="X712" s="181">
        <f>TOBEPAID!X543/1000</f>
        <v>0</v>
      </c>
      <c r="Y712" s="181">
        <f t="shared" si="125"/>
        <v>511.86700000000002</v>
      </c>
      <c r="Z712" s="181">
        <f t="shared" si="126"/>
        <v>0</v>
      </c>
      <c r="AA712" s="181">
        <f>TOBEPAID!AA543/1000</f>
        <v>511.86700000000002</v>
      </c>
      <c r="AB712" s="181">
        <f>TOBEPAID!AB543/1000</f>
        <v>0</v>
      </c>
      <c r="AC712" s="181"/>
      <c r="AD712" s="181"/>
    </row>
    <row r="713" spans="1:30" x14ac:dyDescent="0.2">
      <c r="A713" s="180"/>
      <c r="C713" s="166" t="s">
        <v>53</v>
      </c>
      <c r="D713" s="181">
        <f>5188692.59/1000</f>
        <v>5188.6925899999997</v>
      </c>
      <c r="E713" s="181">
        <f>TOBEPAID!E544/1000</f>
        <v>0</v>
      </c>
      <c r="F713" s="181">
        <f>TOBEPAID!F544/1000</f>
        <v>0</v>
      </c>
      <c r="G713" s="181">
        <f>TOBEPAID!G544/1000</f>
        <v>0</v>
      </c>
      <c r="H713" s="181">
        <v>0</v>
      </c>
      <c r="I713" s="181">
        <f>TOBEPAID!I544/1000</f>
        <v>0</v>
      </c>
      <c r="J713" s="181">
        <f>TOBEPAID!J544/1000</f>
        <v>0</v>
      </c>
      <c r="K713" s="181">
        <f>TOBEPAID!K544/1000</f>
        <v>0</v>
      </c>
      <c r="L713" s="181">
        <f>TOBEPAID!L544/1000</f>
        <v>0</v>
      </c>
      <c r="M713" s="181">
        <f>TOBEPAID!M544/1000</f>
        <v>0</v>
      </c>
      <c r="N713" s="181">
        <f>TOBEPAID!N544/1000</f>
        <v>0</v>
      </c>
      <c r="O713" s="181">
        <f>TOBEPAID!O544/1000</f>
        <v>5188.6925899999997</v>
      </c>
      <c r="P713" s="181">
        <f>TOBEPAID!P544/1000</f>
        <v>0</v>
      </c>
      <c r="Q713" s="181">
        <f>TOBEPAID!Q544/1000</f>
        <v>0</v>
      </c>
      <c r="R713" s="181">
        <f>5139930.58/1000</f>
        <v>5139.9305800000002</v>
      </c>
      <c r="S713" s="181">
        <f>TOBEPAID!S544/1000</f>
        <v>0</v>
      </c>
      <c r="T713" s="181">
        <f>TOBEPAID!T544/1000</f>
        <v>0</v>
      </c>
      <c r="U713" s="181">
        <f>TOBEPAID!U544/1000</f>
        <v>0</v>
      </c>
      <c r="V713" s="181">
        <f>TOBEPAID!V544/1000</f>
        <v>0</v>
      </c>
      <c r="W713" s="181">
        <f>TOBEPAID!W544/1000</f>
        <v>0</v>
      </c>
      <c r="X713" s="181">
        <f>TOBEPAID!X544/1000</f>
        <v>5188.6925899999997</v>
      </c>
      <c r="Y713" s="181">
        <f t="shared" si="125"/>
        <v>5139.9305800000002</v>
      </c>
      <c r="Z713" s="181">
        <f t="shared" si="126"/>
        <v>48.762009999999464</v>
      </c>
      <c r="AA713" s="181">
        <f>TOBEPAID!AA544/1000</f>
        <v>5188.6925899999997</v>
      </c>
      <c r="AB713" s="181">
        <f>TOBEPAID!AB544/1000</f>
        <v>0</v>
      </c>
      <c r="AC713" s="181"/>
      <c r="AD713" s="181"/>
    </row>
    <row r="714" spans="1:30" x14ac:dyDescent="0.2">
      <c r="A714" s="180"/>
      <c r="C714" s="166" t="s">
        <v>412</v>
      </c>
      <c r="D714" s="181">
        <f>27884698.52/1000</f>
        <v>27884.698519999998</v>
      </c>
      <c r="E714" s="181"/>
      <c r="F714" s="181"/>
      <c r="G714" s="181"/>
      <c r="H714" s="181">
        <f>24262698/1000</f>
        <v>24262.698</v>
      </c>
      <c r="I714" s="181"/>
      <c r="J714" s="181"/>
      <c r="K714" s="181"/>
      <c r="L714" s="181"/>
      <c r="M714" s="181"/>
      <c r="N714" s="181"/>
      <c r="O714" s="181"/>
      <c r="P714" s="181"/>
      <c r="Q714" s="181"/>
      <c r="R714" s="181">
        <v>0</v>
      </c>
      <c r="S714" s="181"/>
      <c r="T714" s="181"/>
      <c r="U714" s="181"/>
      <c r="V714" s="181"/>
      <c r="W714" s="181"/>
      <c r="X714" s="181"/>
      <c r="Y714" s="181">
        <f>+H714+R714</f>
        <v>24262.698</v>
      </c>
      <c r="Z714" s="181">
        <f t="shared" si="126"/>
        <v>3622.0005199999978</v>
      </c>
      <c r="AA714" s="181"/>
      <c r="AB714" s="181"/>
      <c r="AC714" s="181"/>
      <c r="AD714" s="181"/>
    </row>
    <row r="715" spans="1:30" x14ac:dyDescent="0.2">
      <c r="A715" s="180"/>
      <c r="C715" s="166" t="s">
        <v>425</v>
      </c>
      <c r="D715" s="181">
        <f>150000000/1000</f>
        <v>150000</v>
      </c>
      <c r="E715" s="181"/>
      <c r="F715" s="181"/>
      <c r="G715" s="181"/>
      <c r="H715" s="181">
        <f>150000000/1000</f>
        <v>150000</v>
      </c>
      <c r="I715" s="181"/>
      <c r="J715" s="181"/>
      <c r="K715" s="181"/>
      <c r="L715" s="181"/>
      <c r="M715" s="181"/>
      <c r="N715" s="181"/>
      <c r="O715" s="181"/>
      <c r="P715" s="181"/>
      <c r="Q715" s="181"/>
      <c r="R715" s="181">
        <v>0</v>
      </c>
      <c r="S715" s="181"/>
      <c r="T715" s="181"/>
      <c r="U715" s="181"/>
      <c r="V715" s="181"/>
      <c r="W715" s="181"/>
      <c r="X715" s="181"/>
      <c r="Y715" s="181">
        <f>+H715+R715</f>
        <v>150000</v>
      </c>
      <c r="Z715" s="181">
        <f t="shared" si="126"/>
        <v>0</v>
      </c>
      <c r="AA715" s="181"/>
      <c r="AB715" s="181"/>
      <c r="AC715" s="181"/>
      <c r="AD715" s="181"/>
    </row>
    <row r="716" spans="1:30" x14ac:dyDescent="0.2">
      <c r="A716" s="180"/>
      <c r="C716" s="165" t="s">
        <v>399</v>
      </c>
      <c r="D716" s="181">
        <f>1750269.42/1000</f>
        <v>1750.2694199999999</v>
      </c>
      <c r="E716" s="181"/>
      <c r="F716" s="181"/>
      <c r="G716" s="181"/>
      <c r="H716" s="181">
        <f>1750269.42/1000</f>
        <v>1750.2694199999999</v>
      </c>
      <c r="I716" s="181"/>
      <c r="J716" s="181"/>
      <c r="K716" s="181"/>
      <c r="L716" s="181"/>
      <c r="M716" s="181"/>
      <c r="N716" s="181"/>
      <c r="O716" s="181"/>
      <c r="P716" s="181"/>
      <c r="Q716" s="181"/>
      <c r="R716" s="181">
        <v>0</v>
      </c>
      <c r="S716" s="181"/>
      <c r="T716" s="181"/>
      <c r="U716" s="181"/>
      <c r="V716" s="181"/>
      <c r="W716" s="181"/>
      <c r="X716" s="181"/>
      <c r="Y716" s="181">
        <f t="shared" si="125"/>
        <v>1750.2694199999999</v>
      </c>
      <c r="Z716" s="181">
        <f t="shared" si="126"/>
        <v>0</v>
      </c>
      <c r="AA716" s="181"/>
      <c r="AB716" s="181"/>
      <c r="AC716" s="181"/>
      <c r="AD716" s="181"/>
    </row>
    <row r="717" spans="1:30" x14ac:dyDescent="0.2">
      <c r="A717" s="180"/>
      <c r="C717" s="166" t="s">
        <v>38</v>
      </c>
      <c r="D717" s="181">
        <f>2456018/1000</f>
        <v>2456.018</v>
      </c>
      <c r="E717" s="181">
        <f>TOBEPAID!E545/1000</f>
        <v>0</v>
      </c>
      <c r="F717" s="181">
        <f>TOBEPAID!F545/1000</f>
        <v>0</v>
      </c>
      <c r="G717" s="181">
        <f>TOBEPAID!G545/1000</f>
        <v>0</v>
      </c>
      <c r="H717" s="181">
        <v>0</v>
      </c>
      <c r="I717" s="181">
        <f>TOBEPAID!I545/1000</f>
        <v>0</v>
      </c>
      <c r="J717" s="181">
        <f>TOBEPAID!J545/1000</f>
        <v>0</v>
      </c>
      <c r="K717" s="181">
        <f>TOBEPAID!K545/1000</f>
        <v>0</v>
      </c>
      <c r="L717" s="181">
        <f>TOBEPAID!L545/1000</f>
        <v>0</v>
      </c>
      <c r="M717" s="181">
        <f>TOBEPAID!M545/1000</f>
        <v>0</v>
      </c>
      <c r="N717" s="181">
        <f>TOBEPAID!N545/1000</f>
        <v>0</v>
      </c>
      <c r="O717" s="181">
        <f>TOBEPAID!O545/1000</f>
        <v>0</v>
      </c>
      <c r="P717" s="181">
        <f>TOBEPAID!P545/1000</f>
        <v>0</v>
      </c>
      <c r="Q717" s="181">
        <f>TOBEPAID!Q545/1000</f>
        <v>0</v>
      </c>
      <c r="R717" s="181">
        <v>0</v>
      </c>
      <c r="S717" s="181">
        <f>TOBEPAID!S545/1000</f>
        <v>0</v>
      </c>
      <c r="T717" s="181">
        <f>TOBEPAID!T545/1000</f>
        <v>0</v>
      </c>
      <c r="U717" s="181">
        <f>TOBEPAID!U545/1000</f>
        <v>0</v>
      </c>
      <c r="V717" s="181">
        <f>TOBEPAID!V545/1000</f>
        <v>0</v>
      </c>
      <c r="W717" s="181">
        <f>TOBEPAID!W545/1000</f>
        <v>0</v>
      </c>
      <c r="X717" s="181">
        <f>TOBEPAID!X545/1000</f>
        <v>0</v>
      </c>
      <c r="Y717" s="181">
        <f t="shared" si="125"/>
        <v>0</v>
      </c>
      <c r="Z717" s="181">
        <f t="shared" si="126"/>
        <v>2456.018</v>
      </c>
      <c r="AA717" s="181">
        <f>TOBEPAID!AA545/1000</f>
        <v>0</v>
      </c>
      <c r="AB717" s="181">
        <f>TOBEPAID!AB545/1000</f>
        <v>2456.018</v>
      </c>
      <c r="AC717" s="181"/>
      <c r="AD717" s="181"/>
    </row>
    <row r="718" spans="1:30" x14ac:dyDescent="0.2">
      <c r="A718" s="180"/>
      <c r="C718" s="166" t="s">
        <v>54</v>
      </c>
      <c r="D718" s="181">
        <f>TOBEPAID!D546/1000</f>
        <v>10700.09223</v>
      </c>
      <c r="E718" s="181">
        <f>TOBEPAID!E546/1000</f>
        <v>0</v>
      </c>
      <c r="F718" s="181">
        <f>TOBEPAID!F546/1000</f>
        <v>0</v>
      </c>
      <c r="G718" s="181">
        <f>TOBEPAID!G546/1000</f>
        <v>0</v>
      </c>
      <c r="H718" s="181">
        <v>0</v>
      </c>
      <c r="I718" s="181">
        <f>TOBEPAID!I546/1000</f>
        <v>0</v>
      </c>
      <c r="J718" s="181">
        <f>TOBEPAID!J546/1000</f>
        <v>0</v>
      </c>
      <c r="K718" s="181">
        <f>TOBEPAID!K546/1000</f>
        <v>0</v>
      </c>
      <c r="L718" s="181">
        <f>TOBEPAID!L546/1000</f>
        <v>0</v>
      </c>
      <c r="M718" s="181">
        <f>TOBEPAID!M546/1000</f>
        <v>0</v>
      </c>
      <c r="N718" s="181">
        <f>TOBEPAID!N546/1000</f>
        <v>0</v>
      </c>
      <c r="O718" s="181">
        <f>TOBEPAID!O546/1000</f>
        <v>10700.092229999998</v>
      </c>
      <c r="P718" s="181">
        <f>TOBEPAID!P546/1000</f>
        <v>0</v>
      </c>
      <c r="Q718" s="181">
        <f>TOBEPAID!Q546/1000</f>
        <v>0</v>
      </c>
      <c r="R718" s="181">
        <f>10700092.23/1000</f>
        <v>10700.09223</v>
      </c>
      <c r="S718" s="181">
        <f>TOBEPAID!S546/1000</f>
        <v>0</v>
      </c>
      <c r="T718" s="181">
        <f>TOBEPAID!T546/1000</f>
        <v>0</v>
      </c>
      <c r="U718" s="181">
        <f>TOBEPAID!U546/1000</f>
        <v>0</v>
      </c>
      <c r="V718" s="181">
        <f>TOBEPAID!V546/1000</f>
        <v>0</v>
      </c>
      <c r="W718" s="181">
        <f>TOBEPAID!W546/1000</f>
        <v>0</v>
      </c>
      <c r="X718" s="181">
        <f>TOBEPAID!X546/1000</f>
        <v>10700.092229999998</v>
      </c>
      <c r="Y718" s="181">
        <f t="shared" si="125"/>
        <v>10700.09223</v>
      </c>
      <c r="Z718" s="181">
        <f t="shared" si="126"/>
        <v>0</v>
      </c>
      <c r="AA718" s="181">
        <f>TOBEPAID!AA546/1000</f>
        <v>10700.092229999998</v>
      </c>
      <c r="AB718" s="181">
        <f>TOBEPAID!AB546/1000</f>
        <v>0</v>
      </c>
      <c r="AC718" s="181"/>
      <c r="AD718" s="181"/>
    </row>
    <row r="719" spans="1:30" x14ac:dyDescent="0.2">
      <c r="A719" s="180"/>
      <c r="D719" s="182" t="s">
        <v>40</v>
      </c>
      <c r="E719" s="182" t="s">
        <v>40</v>
      </c>
      <c r="F719" s="182" t="s">
        <v>40</v>
      </c>
      <c r="G719" s="182"/>
      <c r="H719" s="182" t="s">
        <v>40</v>
      </c>
      <c r="I719" s="182" t="s">
        <v>40</v>
      </c>
      <c r="J719" s="182" t="s">
        <v>40</v>
      </c>
      <c r="K719" s="182" t="s">
        <v>40</v>
      </c>
      <c r="L719" s="182" t="s">
        <v>40</v>
      </c>
      <c r="M719" s="182"/>
      <c r="N719" s="182" t="s">
        <v>40</v>
      </c>
      <c r="O719" s="182" t="s">
        <v>40</v>
      </c>
      <c r="P719" s="182" t="s">
        <v>40</v>
      </c>
      <c r="Q719" s="182"/>
      <c r="R719" s="182" t="s">
        <v>40</v>
      </c>
      <c r="S719" s="182" t="s">
        <v>40</v>
      </c>
      <c r="T719" s="182" t="s">
        <v>40</v>
      </c>
      <c r="U719" s="182" t="s">
        <v>40</v>
      </c>
      <c r="V719" s="182" t="s">
        <v>40</v>
      </c>
      <c r="W719" s="182"/>
      <c r="X719" s="182" t="s">
        <v>40</v>
      </c>
      <c r="Y719" s="182" t="s">
        <v>40</v>
      </c>
      <c r="Z719" s="182" t="s">
        <v>40</v>
      </c>
      <c r="AA719" s="182" t="s">
        <v>40</v>
      </c>
      <c r="AB719" s="182" t="s">
        <v>40</v>
      </c>
      <c r="AC719" s="182"/>
      <c r="AD719" s="182"/>
    </row>
    <row r="720" spans="1:30" x14ac:dyDescent="0.2">
      <c r="A720" s="180"/>
      <c r="D720" s="181">
        <f>SUM(D711:D718)</f>
        <v>198491.63776000001</v>
      </c>
      <c r="E720" s="181">
        <f>SUM(E711:E718)</f>
        <v>511.86700000000002</v>
      </c>
      <c r="F720" s="181">
        <f>SUM(F711:F718)</f>
        <v>0</v>
      </c>
      <c r="G720" s="181"/>
      <c r="H720" s="181">
        <f>SUM(H711:H718)</f>
        <v>176524.83442</v>
      </c>
      <c r="I720" s="181">
        <f>SUM(I711:I718)</f>
        <v>0</v>
      </c>
      <c r="J720" s="181">
        <f>SUM(J711:J718)</f>
        <v>0</v>
      </c>
      <c r="K720" s="181">
        <f>SUM(K711:K718)</f>
        <v>0</v>
      </c>
      <c r="L720" s="181">
        <f>SUM(L711:L718)</f>
        <v>0</v>
      </c>
      <c r="M720" s="181"/>
      <c r="N720" s="181">
        <f>SUM(N711:N718)</f>
        <v>511.86700000000002</v>
      </c>
      <c r="O720" s="181">
        <f>SUM(O711:O718)</f>
        <v>15888.784819999997</v>
      </c>
      <c r="P720" s="181">
        <f>SUM(P711:P718)</f>
        <v>0</v>
      </c>
      <c r="Q720" s="181"/>
      <c r="R720" s="181">
        <f>SUM(R711:R718)</f>
        <v>15840.02281</v>
      </c>
      <c r="S720" s="181">
        <f>SUM(S711:S718)</f>
        <v>0</v>
      </c>
      <c r="T720" s="181">
        <f>SUM(T711:T718)</f>
        <v>0</v>
      </c>
      <c r="U720" s="181">
        <f>SUM(U711:U718)</f>
        <v>0</v>
      </c>
      <c r="V720" s="181">
        <f>SUM(V711:V718)</f>
        <v>0</v>
      </c>
      <c r="W720" s="181"/>
      <c r="X720" s="181">
        <f>SUM(X711:X718)</f>
        <v>15888.784819999997</v>
      </c>
      <c r="Y720" s="181">
        <f>SUM(Y711:Y718)</f>
        <v>192364.85722999999</v>
      </c>
      <c r="Z720" s="181">
        <f>SUM(Z711:Z718)</f>
        <v>6126.7805299999973</v>
      </c>
      <c r="AA720" s="181">
        <f>SUM(AA711:AA718)</f>
        <v>16400.651819999999</v>
      </c>
      <c r="AB720" s="181">
        <f>SUM(AB711:AB718)</f>
        <v>2456.018</v>
      </c>
      <c r="AC720" s="181"/>
      <c r="AD720" s="181"/>
    </row>
    <row r="721" spans="1:45" x14ac:dyDescent="0.2">
      <c r="A721" s="180"/>
      <c r="B721" s="172"/>
      <c r="D721" s="182" t="s">
        <v>40</v>
      </c>
      <c r="E721" s="182" t="s">
        <v>40</v>
      </c>
      <c r="F721" s="182" t="s">
        <v>40</v>
      </c>
      <c r="G721" s="182"/>
      <c r="H721" s="182" t="s">
        <v>40</v>
      </c>
      <c r="I721" s="182" t="s">
        <v>40</v>
      </c>
      <c r="J721" s="182" t="s">
        <v>40</v>
      </c>
      <c r="K721" s="182" t="s">
        <v>40</v>
      </c>
      <c r="L721" s="182" t="s">
        <v>40</v>
      </c>
      <c r="M721" s="182"/>
      <c r="N721" s="182" t="s">
        <v>40</v>
      </c>
      <c r="O721" s="182" t="s">
        <v>40</v>
      </c>
      <c r="P721" s="182" t="s">
        <v>40</v>
      </c>
      <c r="Q721" s="182"/>
      <c r="R721" s="182" t="s">
        <v>40</v>
      </c>
      <c r="S721" s="182" t="s">
        <v>40</v>
      </c>
      <c r="T721" s="182" t="s">
        <v>40</v>
      </c>
      <c r="U721" s="182" t="s">
        <v>40</v>
      </c>
      <c r="V721" s="182" t="s">
        <v>40</v>
      </c>
      <c r="W721" s="182"/>
      <c r="X721" s="182" t="s">
        <v>40</v>
      </c>
      <c r="Y721" s="182" t="s">
        <v>40</v>
      </c>
      <c r="Z721" s="182" t="s">
        <v>40</v>
      </c>
      <c r="AA721" s="182" t="s">
        <v>40</v>
      </c>
      <c r="AB721" s="182" t="s">
        <v>40</v>
      </c>
      <c r="AC721" s="182"/>
      <c r="AD721" s="182"/>
    </row>
    <row r="722" spans="1:45" x14ac:dyDescent="0.2">
      <c r="A722" s="180"/>
      <c r="B722" s="17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</row>
    <row r="723" spans="1:45" x14ac:dyDescent="0.2">
      <c r="A723" s="180">
        <v>53</v>
      </c>
      <c r="B723" s="166" t="s">
        <v>89</v>
      </c>
      <c r="C723" s="166" t="s">
        <v>35</v>
      </c>
      <c r="D723" s="181">
        <f>63916485/1000</f>
        <v>63916.485000000001</v>
      </c>
      <c r="E723" s="181">
        <f>TOBEPAID!E551/1000</f>
        <v>0</v>
      </c>
      <c r="F723" s="181">
        <f>TOBEPAID!F551/1000</f>
        <v>0</v>
      </c>
      <c r="G723" s="181">
        <f>TOBEPAID!G551/1000</f>
        <v>0</v>
      </c>
      <c r="H723" s="181">
        <v>0</v>
      </c>
      <c r="I723" s="181">
        <f>TOBEPAID!I551/1000</f>
        <v>0</v>
      </c>
      <c r="J723" s="181">
        <f>TOBEPAID!J551/1000</f>
        <v>0</v>
      </c>
      <c r="K723" s="181">
        <f>TOBEPAID!K551/1000</f>
        <v>0</v>
      </c>
      <c r="L723" s="181">
        <f>TOBEPAID!L551/1000</f>
        <v>0</v>
      </c>
      <c r="M723" s="181">
        <f>TOBEPAID!M551/1000</f>
        <v>0</v>
      </c>
      <c r="N723" s="181">
        <f>TOBEPAID!N551/1000</f>
        <v>0</v>
      </c>
      <c r="O723" s="181">
        <f>TOBEPAID!O551/1000</f>
        <v>10.558630000000004</v>
      </c>
      <c r="P723" s="181">
        <f>TOBEPAID!P551/1000</f>
        <v>0</v>
      </c>
      <c r="Q723" s="181">
        <f>TOBEPAID!Q551/1000</f>
        <v>0</v>
      </c>
      <c r="R723" s="181">
        <f>459101.82/1000</f>
        <v>459.10182000000003</v>
      </c>
      <c r="S723" s="181">
        <f>TOBEPAID!S551/1000</f>
        <v>0</v>
      </c>
      <c r="T723" s="181">
        <f>TOBEPAID!T551/1000</f>
        <v>0</v>
      </c>
      <c r="U723" s="181">
        <f>TOBEPAID!U551/1000</f>
        <v>0</v>
      </c>
      <c r="V723" s="181">
        <f>TOBEPAID!V551/1000</f>
        <v>0</v>
      </c>
      <c r="W723" s="181">
        <f>TOBEPAID!W551/1000</f>
        <v>0</v>
      </c>
      <c r="X723" s="181">
        <f>TOBEPAID!X551/1000</f>
        <v>10.558630000000004</v>
      </c>
      <c r="Y723" s="181">
        <f t="shared" ref="Y723:Y728" si="127">+H723+R723</f>
        <v>459.10182000000003</v>
      </c>
      <c r="Z723" s="181">
        <f>+D723-Y723</f>
        <v>63457.383179999997</v>
      </c>
      <c r="AA723" s="181">
        <f>TOBEPAID!AA551/1000</f>
        <v>10.558630000000004</v>
      </c>
      <c r="AB723" s="181">
        <f>TOBEPAID!AB551/1000</f>
        <v>63905.926989999993</v>
      </c>
      <c r="AC723" s="181"/>
      <c r="AD723" s="181"/>
    </row>
    <row r="724" spans="1:45" x14ac:dyDescent="0.2">
      <c r="A724" s="180"/>
      <c r="B724" s="166"/>
      <c r="C724" s="166" t="s">
        <v>454</v>
      </c>
      <c r="D724" s="181">
        <f>2000000/1000</f>
        <v>2000</v>
      </c>
      <c r="E724" s="181"/>
      <c r="F724" s="181"/>
      <c r="G724" s="181"/>
      <c r="H724" s="181">
        <f>1989950/1000</f>
        <v>1989.95</v>
      </c>
      <c r="I724" s="181"/>
      <c r="J724" s="181"/>
      <c r="K724" s="181"/>
      <c r="L724" s="181"/>
      <c r="M724" s="181"/>
      <c r="N724" s="181"/>
      <c r="O724" s="181"/>
      <c r="P724" s="181"/>
      <c r="Q724" s="181"/>
      <c r="R724" s="181">
        <v>0</v>
      </c>
      <c r="S724" s="181"/>
      <c r="T724" s="181"/>
      <c r="U724" s="181"/>
      <c r="V724" s="181"/>
      <c r="W724" s="181"/>
      <c r="X724" s="181"/>
      <c r="Y724" s="181">
        <f t="shared" si="127"/>
        <v>1989.95</v>
      </c>
      <c r="Z724" s="181">
        <f>+D724-Y724</f>
        <v>10.049999999999955</v>
      </c>
      <c r="AA724" s="181"/>
      <c r="AB724" s="181"/>
      <c r="AC724" s="181"/>
      <c r="AD724" s="181"/>
    </row>
    <row r="725" spans="1:45" x14ac:dyDescent="0.2">
      <c r="A725" s="180"/>
      <c r="B725" s="166"/>
      <c r="C725" s="166" t="s">
        <v>407</v>
      </c>
      <c r="D725" s="181">
        <f>1000000/1000</f>
        <v>1000</v>
      </c>
      <c r="E725" s="181"/>
      <c r="F725" s="181"/>
      <c r="G725" s="181"/>
      <c r="H725" s="181">
        <f>1000000/1000</f>
        <v>1000</v>
      </c>
      <c r="I725" s="181"/>
      <c r="J725" s="181"/>
      <c r="K725" s="181"/>
      <c r="L725" s="181"/>
      <c r="M725" s="181"/>
      <c r="N725" s="181"/>
      <c r="O725" s="181"/>
      <c r="P725" s="181"/>
      <c r="Q725" s="181"/>
      <c r="R725" s="181">
        <v>0</v>
      </c>
      <c r="S725" s="181"/>
      <c r="T725" s="181"/>
      <c r="U725" s="181"/>
      <c r="V725" s="181"/>
      <c r="W725" s="181"/>
      <c r="X725" s="181"/>
      <c r="Y725" s="181">
        <f t="shared" si="127"/>
        <v>1000</v>
      </c>
      <c r="Z725" s="181">
        <f>+D725-Y725</f>
        <v>0</v>
      </c>
      <c r="AA725" s="181"/>
      <c r="AB725" s="181"/>
      <c r="AC725" s="181"/>
      <c r="AD725" s="181"/>
    </row>
    <row r="726" spans="1:45" x14ac:dyDescent="0.2">
      <c r="A726" s="180"/>
      <c r="C726" s="166" t="s">
        <v>90</v>
      </c>
      <c r="D726" s="181">
        <f>182409/1000</f>
        <v>182.40899999999999</v>
      </c>
      <c r="E726" s="181">
        <f>TOBEPAID!E552/1000</f>
        <v>0</v>
      </c>
      <c r="F726" s="181">
        <f>TOBEPAID!F552/1000</f>
        <v>0</v>
      </c>
      <c r="G726" s="181">
        <f>TOBEPAID!G552/1000</f>
        <v>0</v>
      </c>
      <c r="H726" s="181">
        <v>0</v>
      </c>
      <c r="I726" s="181">
        <f>TOBEPAID!I552/1000</f>
        <v>0</v>
      </c>
      <c r="J726" s="181">
        <f>TOBEPAID!J552/1000</f>
        <v>0</v>
      </c>
      <c r="K726" s="181">
        <f>TOBEPAID!K552/1000</f>
        <v>0</v>
      </c>
      <c r="L726" s="181">
        <f>TOBEPAID!L552/1000</f>
        <v>0</v>
      </c>
      <c r="M726" s="181">
        <f>TOBEPAID!M552/1000</f>
        <v>0</v>
      </c>
      <c r="N726" s="181">
        <f>TOBEPAID!N552/1000</f>
        <v>0</v>
      </c>
      <c r="O726" s="181">
        <f>TOBEPAID!O552/1000</f>
        <v>0</v>
      </c>
      <c r="P726" s="181">
        <f>TOBEPAID!P552/1000</f>
        <v>0</v>
      </c>
      <c r="Q726" s="181">
        <f>TOBEPAID!Q552/1000</f>
        <v>0</v>
      </c>
      <c r="R726" s="181">
        <v>0</v>
      </c>
      <c r="S726" s="181">
        <f>TOBEPAID!S552/1000</f>
        <v>0</v>
      </c>
      <c r="T726" s="181">
        <f>TOBEPAID!T552/1000</f>
        <v>0</v>
      </c>
      <c r="U726" s="181">
        <f>TOBEPAID!U552/1000</f>
        <v>0</v>
      </c>
      <c r="V726" s="181">
        <f>TOBEPAID!V552/1000</f>
        <v>0</v>
      </c>
      <c r="W726" s="181">
        <f>TOBEPAID!W552/1000</f>
        <v>0</v>
      </c>
      <c r="X726" s="181">
        <f>TOBEPAID!X552/1000</f>
        <v>0</v>
      </c>
      <c r="Y726" s="181">
        <f t="shared" si="127"/>
        <v>0</v>
      </c>
      <c r="Z726" s="181">
        <f>+D726-Y726</f>
        <v>182.40899999999999</v>
      </c>
      <c r="AA726" s="181">
        <f>TOBEPAID!AA552/1000</f>
        <v>0</v>
      </c>
      <c r="AB726" s="181">
        <f>TOBEPAID!AB552/1000</f>
        <v>182.40937</v>
      </c>
      <c r="AC726" s="181"/>
      <c r="AD726" s="181"/>
    </row>
    <row r="727" spans="1:45" x14ac:dyDescent="0.2">
      <c r="C727" s="165" t="s">
        <v>399</v>
      </c>
      <c r="D727" s="165">
        <f>141137/1000</f>
        <v>141.137</v>
      </c>
      <c r="H727" s="165">
        <f>141137.35/1000</f>
        <v>141.13735</v>
      </c>
      <c r="R727" s="181">
        <v>0</v>
      </c>
      <c r="Y727" s="181">
        <f t="shared" si="127"/>
        <v>141.13735</v>
      </c>
      <c r="Z727" s="181">
        <f>+Y727-H727</f>
        <v>0</v>
      </c>
    </row>
    <row r="728" spans="1:45" x14ac:dyDescent="0.2">
      <c r="A728" s="180"/>
      <c r="C728" s="166" t="s">
        <v>38</v>
      </c>
      <c r="D728" s="181">
        <f>294634/1000</f>
        <v>294.63400000000001</v>
      </c>
      <c r="E728" s="181">
        <f>TOBEPAID!E553/1000</f>
        <v>0</v>
      </c>
      <c r="F728" s="181">
        <f>TOBEPAID!F553/1000</f>
        <v>0</v>
      </c>
      <c r="G728" s="181">
        <f>TOBEPAID!G553/1000</f>
        <v>0</v>
      </c>
      <c r="H728" s="181">
        <v>0</v>
      </c>
      <c r="I728" s="181">
        <f>TOBEPAID!I553/1000</f>
        <v>0</v>
      </c>
      <c r="J728" s="181">
        <f>TOBEPAID!J553/1000</f>
        <v>0</v>
      </c>
      <c r="K728" s="181">
        <f>TOBEPAID!K553/1000</f>
        <v>0</v>
      </c>
      <c r="L728" s="181">
        <f>TOBEPAID!L553/1000</f>
        <v>0</v>
      </c>
      <c r="M728" s="181">
        <f>TOBEPAID!M553/1000</f>
        <v>0</v>
      </c>
      <c r="N728" s="181">
        <f>TOBEPAID!N553/1000</f>
        <v>0</v>
      </c>
      <c r="O728" s="181">
        <f>TOBEPAID!O553/1000</f>
        <v>0</v>
      </c>
      <c r="P728" s="181">
        <f>TOBEPAID!P553/1000</f>
        <v>0</v>
      </c>
      <c r="Q728" s="181">
        <f>TOBEPAID!Q553/1000</f>
        <v>0</v>
      </c>
      <c r="R728" s="181">
        <v>0</v>
      </c>
      <c r="S728" s="181">
        <f>TOBEPAID!S553/1000</f>
        <v>0</v>
      </c>
      <c r="T728" s="181">
        <f>TOBEPAID!T553/1000</f>
        <v>0</v>
      </c>
      <c r="U728" s="181">
        <f>TOBEPAID!U553/1000</f>
        <v>0</v>
      </c>
      <c r="V728" s="181">
        <f>TOBEPAID!V553/1000</f>
        <v>0</v>
      </c>
      <c r="W728" s="181">
        <f>TOBEPAID!W553/1000</f>
        <v>0</v>
      </c>
      <c r="X728" s="181">
        <f>TOBEPAID!X553/1000</f>
        <v>0</v>
      </c>
      <c r="Y728" s="181">
        <f t="shared" si="127"/>
        <v>0</v>
      </c>
      <c r="Z728" s="181">
        <f>+D728-Y728</f>
        <v>294.63400000000001</v>
      </c>
      <c r="AA728" s="181">
        <f>TOBEPAID!AA553/1000</f>
        <v>0</v>
      </c>
      <c r="AB728" s="181">
        <f>TOBEPAID!AB553/1000</f>
        <v>294.63400000000001</v>
      </c>
      <c r="AC728" s="181"/>
      <c r="AD728" s="181"/>
    </row>
    <row r="729" spans="1:45" x14ac:dyDescent="0.2">
      <c r="A729" s="180"/>
      <c r="D729" s="182" t="s">
        <v>40</v>
      </c>
      <c r="E729" s="182" t="s">
        <v>40</v>
      </c>
      <c r="F729" s="182" t="s">
        <v>40</v>
      </c>
      <c r="G729" s="182"/>
      <c r="H729" s="182" t="s">
        <v>40</v>
      </c>
      <c r="I729" s="182" t="s">
        <v>40</v>
      </c>
      <c r="J729" s="182" t="s">
        <v>40</v>
      </c>
      <c r="K729" s="182" t="s">
        <v>40</v>
      </c>
      <c r="L729" s="182" t="s">
        <v>40</v>
      </c>
      <c r="M729" s="182"/>
      <c r="N729" s="182" t="s">
        <v>40</v>
      </c>
      <c r="O729" s="182" t="s">
        <v>40</v>
      </c>
      <c r="P729" s="182" t="s">
        <v>40</v>
      </c>
      <c r="Q729" s="182"/>
      <c r="R729" s="182" t="s">
        <v>40</v>
      </c>
      <c r="S729" s="182" t="s">
        <v>40</v>
      </c>
      <c r="T729" s="182" t="s">
        <v>40</v>
      </c>
      <c r="U729" s="182" t="s">
        <v>40</v>
      </c>
      <c r="V729" s="182" t="s">
        <v>40</v>
      </c>
      <c r="W729" s="182"/>
      <c r="X729" s="182" t="s">
        <v>40</v>
      </c>
      <c r="Y729" s="182" t="s">
        <v>40</v>
      </c>
      <c r="Z729" s="182" t="s">
        <v>40</v>
      </c>
      <c r="AA729" s="182" t="s">
        <v>40</v>
      </c>
      <c r="AB729" s="182" t="s">
        <v>40</v>
      </c>
      <c r="AC729" s="182"/>
      <c r="AD729" s="182"/>
    </row>
    <row r="730" spans="1:45" x14ac:dyDescent="0.2">
      <c r="A730" s="180"/>
      <c r="D730" s="181">
        <f>SUM(D723:D728)</f>
        <v>67534.665000000008</v>
      </c>
      <c r="E730" s="181">
        <f>SUM(E723:E728)</f>
        <v>0</v>
      </c>
      <c r="F730" s="181">
        <f>SUM(F723:F728)</f>
        <v>0</v>
      </c>
      <c r="G730" s="181"/>
      <c r="H730" s="181">
        <f>SUM(H723:H728)</f>
        <v>3131.0873499999998</v>
      </c>
      <c r="I730" s="181">
        <f>SUM(I723:I728)</f>
        <v>0</v>
      </c>
      <c r="J730" s="181">
        <f>SUM(J723:J728)</f>
        <v>0</v>
      </c>
      <c r="K730" s="181">
        <f>SUM(K723:K728)</f>
        <v>0</v>
      </c>
      <c r="L730" s="181">
        <f>SUM(L723:L728)</f>
        <v>0</v>
      </c>
      <c r="M730" s="181"/>
      <c r="N730" s="181">
        <f>SUM(N723:N728)</f>
        <v>0</v>
      </c>
      <c r="O730" s="181">
        <f>SUM(O723:O728)</f>
        <v>10.558630000000004</v>
      </c>
      <c r="P730" s="181">
        <f>SUM(P723:P728)</f>
        <v>0</v>
      </c>
      <c r="Q730" s="181"/>
      <c r="R730" s="181">
        <f>SUM(R723:R728)</f>
        <v>459.10182000000003</v>
      </c>
      <c r="S730" s="181">
        <f>SUM(S723:S728)</f>
        <v>0</v>
      </c>
      <c r="T730" s="181">
        <f>SUM(T723:T728)</f>
        <v>0</v>
      </c>
      <c r="U730" s="181">
        <f>SUM(U723:U728)</f>
        <v>0</v>
      </c>
      <c r="V730" s="181">
        <f>SUM(V723:V728)</f>
        <v>0</v>
      </c>
      <c r="W730" s="181"/>
      <c r="X730" s="181">
        <f>SUM(X723:X728)</f>
        <v>10.558630000000004</v>
      </c>
      <c r="Y730" s="181">
        <f>SUM(Y723:Y728)</f>
        <v>3590.1891700000001</v>
      </c>
      <c r="Z730" s="181">
        <f>SUM(Z723:Z728)</f>
        <v>63944.476179999998</v>
      </c>
      <c r="AA730" s="181">
        <f>SUM(AA723:AA728)</f>
        <v>10.558630000000004</v>
      </c>
      <c r="AB730" s="181">
        <f>SUM(AB723:AB728)</f>
        <v>64382.970359999992</v>
      </c>
      <c r="AC730" s="181"/>
      <c r="AD730" s="181"/>
    </row>
    <row r="731" spans="1:45" x14ac:dyDescent="0.2">
      <c r="A731" s="180"/>
      <c r="D731" s="182" t="s">
        <v>40</v>
      </c>
      <c r="E731" s="182" t="s">
        <v>40</v>
      </c>
      <c r="F731" s="182" t="s">
        <v>40</v>
      </c>
      <c r="G731" s="182"/>
      <c r="H731" s="182" t="s">
        <v>40</v>
      </c>
      <c r="I731" s="182" t="s">
        <v>40</v>
      </c>
      <c r="J731" s="182" t="s">
        <v>40</v>
      </c>
      <c r="K731" s="182" t="s">
        <v>40</v>
      </c>
      <c r="L731" s="182" t="s">
        <v>40</v>
      </c>
      <c r="M731" s="182"/>
      <c r="N731" s="182" t="s">
        <v>40</v>
      </c>
      <c r="O731" s="182" t="s">
        <v>40</v>
      </c>
      <c r="P731" s="182" t="s">
        <v>40</v>
      </c>
      <c r="Q731" s="182"/>
      <c r="R731" s="182" t="s">
        <v>40</v>
      </c>
      <c r="S731" s="182" t="s">
        <v>40</v>
      </c>
      <c r="T731" s="182" t="s">
        <v>40</v>
      </c>
      <c r="U731" s="182" t="s">
        <v>40</v>
      </c>
      <c r="V731" s="182" t="s">
        <v>40</v>
      </c>
      <c r="W731" s="182"/>
      <c r="X731" s="182" t="s">
        <v>40</v>
      </c>
      <c r="Y731" s="182" t="s">
        <v>40</v>
      </c>
      <c r="Z731" s="182" t="s">
        <v>40</v>
      </c>
      <c r="AA731" s="182" t="s">
        <v>40</v>
      </c>
      <c r="AB731" s="182" t="s">
        <v>40</v>
      </c>
      <c r="AC731" s="182"/>
      <c r="AD731" s="182"/>
      <c r="AS731" s="195">
        <f t="shared" ref="AS731:AS744" si="128">+AF732-AK732-AP732</f>
        <v>-1.8530000015744008E-3</v>
      </c>
    </row>
    <row r="732" spans="1:45" x14ac:dyDescent="0.2">
      <c r="A732" s="180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F732" s="195">
        <f>+D656+D668+D704</f>
        <v>13435.587</v>
      </c>
      <c r="AG732" s="195">
        <f>+E656+E668+E704</f>
        <v>13435.588853000001</v>
      </c>
      <c r="AH732" s="195">
        <f>+F656+F668+F704</f>
        <v>0</v>
      </c>
      <c r="AI732" s="195">
        <f>+AG732+AH732</f>
        <v>13435.588853000001</v>
      </c>
      <c r="AJ732" s="195">
        <f>+L656+L668+L704</f>
        <v>0</v>
      </c>
      <c r="AK732" s="195">
        <f>+AI732+AJ732</f>
        <v>13435.588853000001</v>
      </c>
      <c r="AL732" s="195">
        <f>+O656+O668+O704</f>
        <v>0</v>
      </c>
      <c r="AM732" s="195">
        <f>+P656+P668+P704</f>
        <v>0</v>
      </c>
      <c r="AN732" s="195">
        <f>+AL732+AM732</f>
        <v>0</v>
      </c>
      <c r="AO732" s="195">
        <f>+V656+V668+V704</f>
        <v>0</v>
      </c>
      <c r="AP732" s="195">
        <f>+AN732+AO732</f>
        <v>0</v>
      </c>
      <c r="AQ732" s="195">
        <f>+AI732+AI687+AI703</f>
        <v>13435.588853000001</v>
      </c>
      <c r="AR732" s="195">
        <f>+AJ732+AJ687</f>
        <v>0</v>
      </c>
      <c r="AS732" s="195">
        <f t="shared" si="128"/>
        <v>48000</v>
      </c>
    </row>
    <row r="733" spans="1:45" x14ac:dyDescent="0.2">
      <c r="A733" s="180">
        <v>54</v>
      </c>
      <c r="B733" s="166" t="s">
        <v>91</v>
      </c>
      <c r="C733" s="166" t="s">
        <v>35</v>
      </c>
      <c r="D733" s="181">
        <f>39844908/1000</f>
        <v>39844.908000000003</v>
      </c>
      <c r="E733" s="181">
        <f>TOBEPAID!E558/1000</f>
        <v>0</v>
      </c>
      <c r="F733" s="181">
        <f>TOBEPAID!F558/1000</f>
        <v>0</v>
      </c>
      <c r="G733" s="181">
        <f>TOBEPAID!G558/1000</f>
        <v>0</v>
      </c>
      <c r="H733" s="181">
        <f>10000000/1000</f>
        <v>10000</v>
      </c>
      <c r="I733" s="181">
        <f>TOBEPAID!I558/1000</f>
        <v>0</v>
      </c>
      <c r="J733" s="181">
        <f>TOBEPAID!J558/1000</f>
        <v>0</v>
      </c>
      <c r="K733" s="181">
        <f>TOBEPAID!K558/1000</f>
        <v>0</v>
      </c>
      <c r="L733" s="181">
        <f>TOBEPAID!L558/1000</f>
        <v>0</v>
      </c>
      <c r="M733" s="181">
        <f>TOBEPAID!M558/1000</f>
        <v>0</v>
      </c>
      <c r="N733" s="181">
        <f>TOBEPAID!N558/1000</f>
        <v>0</v>
      </c>
      <c r="O733" s="181">
        <f>TOBEPAID!O558/1000</f>
        <v>1729.9448499999999</v>
      </c>
      <c r="P733" s="181">
        <f>TOBEPAID!P558/1000</f>
        <v>0</v>
      </c>
      <c r="Q733" s="181">
        <f>TOBEPAID!Q558/1000</f>
        <v>0</v>
      </c>
      <c r="R733" s="181">
        <f>2212297/1000</f>
        <v>2212.297</v>
      </c>
      <c r="S733" s="181">
        <f>TOBEPAID!S558/1000</f>
        <v>0</v>
      </c>
      <c r="T733" s="181">
        <f>TOBEPAID!T558/1000</f>
        <v>0</v>
      </c>
      <c r="U733" s="181">
        <f>TOBEPAID!U558/1000</f>
        <v>0</v>
      </c>
      <c r="V733" s="181">
        <f>TOBEPAID!V558/1000</f>
        <v>0</v>
      </c>
      <c r="W733" s="181">
        <f>TOBEPAID!W558/1000</f>
        <v>0</v>
      </c>
      <c r="X733" s="181">
        <f>TOBEPAID!X558/1000</f>
        <v>1729.9448499999999</v>
      </c>
      <c r="Y733" s="181">
        <f>+H733+R733</f>
        <v>12212.297</v>
      </c>
      <c r="Z733" s="181">
        <f t="shared" ref="Z733:Z742" si="129">+D733-Y733</f>
        <v>27632.611000000004</v>
      </c>
      <c r="AA733" s="181">
        <f>TOBEPAID!AA558/1000</f>
        <v>1729.9448499999999</v>
      </c>
      <c r="AB733" s="181">
        <f>TOBEPAID!AB558/1000</f>
        <v>38114.963399999993</v>
      </c>
      <c r="AC733" s="181"/>
      <c r="AD733" s="181"/>
      <c r="AE733" s="186" t="s">
        <v>329</v>
      </c>
      <c r="AF733" s="195">
        <f>+D643+D682</f>
        <v>86000</v>
      </c>
      <c r="AG733" s="195">
        <f>+E643+E682</f>
        <v>35000</v>
      </c>
      <c r="AH733" s="195">
        <f>+F643+F682</f>
        <v>3000</v>
      </c>
      <c r="AI733" s="195">
        <f>+AG733+AH733</f>
        <v>38000</v>
      </c>
      <c r="AJ733" s="195">
        <f>+L643+L682</f>
        <v>0</v>
      </c>
      <c r="AK733" s="195">
        <f>+AI733+AJ733</f>
        <v>38000</v>
      </c>
      <c r="AL733" s="195">
        <f>+O643+O682</f>
        <v>0</v>
      </c>
      <c r="AM733" s="195">
        <f>+P643+P682</f>
        <v>0</v>
      </c>
      <c r="AN733" s="195">
        <f>+AL733+AM733</f>
        <v>0</v>
      </c>
      <c r="AO733" s="195">
        <f>+V643+V682</f>
        <v>0</v>
      </c>
      <c r="AP733" s="195">
        <f>+AN733+AO733</f>
        <v>0</v>
      </c>
      <c r="AQ733" s="195">
        <f>+AI733+AI688</f>
        <v>38000</v>
      </c>
      <c r="AR733" s="195">
        <f>+AJ733+AJ688</f>
        <v>0</v>
      </c>
      <c r="AS733" s="195">
        <f>+AF735-AK735-AP735</f>
        <v>-9.9000000045634806E-4</v>
      </c>
    </row>
    <row r="734" spans="1:45" x14ac:dyDescent="0.2">
      <c r="A734" s="180"/>
      <c r="B734" s="166"/>
      <c r="C734" s="166" t="s">
        <v>458</v>
      </c>
      <c r="D734" s="181">
        <f>160000000/1000</f>
        <v>160000</v>
      </c>
      <c r="E734" s="181"/>
      <c r="F734" s="181"/>
      <c r="G734" s="181"/>
      <c r="H734" s="181">
        <v>0</v>
      </c>
      <c r="I734" s="181"/>
      <c r="J734" s="181"/>
      <c r="K734" s="181"/>
      <c r="L734" s="181"/>
      <c r="M734" s="181"/>
      <c r="N734" s="181"/>
      <c r="O734" s="181"/>
      <c r="P734" s="181"/>
      <c r="Q734" s="181"/>
      <c r="R734" s="181">
        <v>0</v>
      </c>
      <c r="S734" s="181"/>
      <c r="T734" s="181"/>
      <c r="U734" s="181"/>
      <c r="V734" s="181"/>
      <c r="W734" s="181"/>
      <c r="X734" s="181"/>
      <c r="Y734" s="181">
        <f>+H734+R734</f>
        <v>0</v>
      </c>
      <c r="Z734" s="181">
        <f t="shared" si="129"/>
        <v>160000</v>
      </c>
      <c r="AA734" s="181"/>
      <c r="AB734" s="181"/>
      <c r="AC734" s="181"/>
      <c r="AD734" s="181"/>
      <c r="AE734" s="186"/>
      <c r="AF734" s="195"/>
      <c r="AG734" s="195"/>
      <c r="AH734" s="195"/>
      <c r="AI734" s="195"/>
      <c r="AJ734" s="195"/>
      <c r="AK734" s="195"/>
      <c r="AL734" s="195"/>
      <c r="AM734" s="195"/>
      <c r="AN734" s="195"/>
      <c r="AO734" s="195"/>
      <c r="AP734" s="195"/>
      <c r="AQ734" s="195"/>
      <c r="AR734" s="195"/>
      <c r="AS734" s="195"/>
    </row>
    <row r="735" spans="1:45" x14ac:dyDescent="0.2">
      <c r="C735" s="165" t="s">
        <v>375</v>
      </c>
      <c r="D735" s="181">
        <f>5398276/1000</f>
        <v>5398.2759999999998</v>
      </c>
      <c r="E735" s="181">
        <f>TOBEPAID!E559/1000</f>
        <v>5398.2769900000003</v>
      </c>
      <c r="F735" s="181">
        <f>TOBEPAID!F559/1000</f>
        <v>0</v>
      </c>
      <c r="G735" s="181">
        <f>TOBEPAID!G559/1000</f>
        <v>0</v>
      </c>
      <c r="H735" s="181">
        <f>5398276/1000</f>
        <v>5398.2759999999998</v>
      </c>
      <c r="I735" s="181">
        <f>TOBEPAID!I559/1000</f>
        <v>0</v>
      </c>
      <c r="J735" s="181">
        <f>TOBEPAID!J559/1000</f>
        <v>0</v>
      </c>
      <c r="K735" s="181">
        <f>TOBEPAID!K559/1000</f>
        <v>0</v>
      </c>
      <c r="L735" s="181">
        <f>TOBEPAID!L559/1000</f>
        <v>0</v>
      </c>
      <c r="M735" s="181">
        <f>TOBEPAID!M559/1000</f>
        <v>0</v>
      </c>
      <c r="N735" s="181">
        <f>TOBEPAID!N559/1000</f>
        <v>5398.2769900000003</v>
      </c>
      <c r="O735" s="181">
        <f>TOBEPAID!O559/1000</f>
        <v>0</v>
      </c>
      <c r="P735" s="181">
        <f>TOBEPAID!P559/1000</f>
        <v>0</v>
      </c>
      <c r="Q735" s="181">
        <f>TOBEPAID!Q559/1000</f>
        <v>0</v>
      </c>
      <c r="R735" s="181">
        <v>0</v>
      </c>
      <c r="S735" s="181">
        <f>TOBEPAID!S559/1000</f>
        <v>0</v>
      </c>
      <c r="T735" s="181">
        <f>TOBEPAID!T559/1000</f>
        <v>0</v>
      </c>
      <c r="U735" s="181">
        <f>TOBEPAID!U559/1000</f>
        <v>0</v>
      </c>
      <c r="V735" s="181">
        <f>TOBEPAID!V559/1000</f>
        <v>0</v>
      </c>
      <c r="W735" s="181">
        <f>TOBEPAID!W559/1000</f>
        <v>0</v>
      </c>
      <c r="X735" s="181">
        <f>TOBEPAID!X559/1000</f>
        <v>0</v>
      </c>
      <c r="Y735" s="181">
        <f t="shared" ref="Y735:Y742" si="130">+H735+R735</f>
        <v>5398.2759999999998</v>
      </c>
      <c r="Z735" s="181">
        <f t="shared" si="129"/>
        <v>0</v>
      </c>
      <c r="AA735" s="181">
        <f>TOBEPAID!AA559/1000</f>
        <v>5398.2769900000003</v>
      </c>
      <c r="AB735" s="181">
        <f>TOBEPAID!AB559/1000</f>
        <v>0</v>
      </c>
      <c r="AC735" s="181"/>
      <c r="AD735" s="181"/>
      <c r="AE735" s="186" t="s">
        <v>327</v>
      </c>
      <c r="AF735" s="195">
        <f>+D735+D751</f>
        <v>13398.276</v>
      </c>
      <c r="AG735" s="195">
        <f>+E735+E751</f>
        <v>13398.27699</v>
      </c>
      <c r="AH735" s="195">
        <f>+F735+F751</f>
        <v>0</v>
      </c>
      <c r="AI735" s="195">
        <f>+AG735+AH735</f>
        <v>13398.27699</v>
      </c>
      <c r="AJ735" s="195">
        <f>+L735+L751</f>
        <v>0</v>
      </c>
      <c r="AK735" s="195">
        <f>+AI735+AJ735</f>
        <v>13398.27699</v>
      </c>
      <c r="AL735" s="195">
        <f>+O735+O751</f>
        <v>0</v>
      </c>
      <c r="AM735" s="195">
        <f>+P735+P751</f>
        <v>0</v>
      </c>
      <c r="AN735" s="195">
        <f>+AL735+AM735</f>
        <v>0</v>
      </c>
      <c r="AO735" s="195">
        <f>+V735+V751</f>
        <v>0</v>
      </c>
      <c r="AP735" s="195">
        <f>+AN735+AO735</f>
        <v>0</v>
      </c>
      <c r="AQ735" s="195">
        <f>+AI735+AI689</f>
        <v>13398.27699</v>
      </c>
      <c r="AR735" s="195">
        <f>+AJ735+AJ689</f>
        <v>0</v>
      </c>
      <c r="AS735" s="195">
        <f>+AF738-AK738-AP738</f>
        <v>0</v>
      </c>
    </row>
    <row r="736" spans="1:45" x14ac:dyDescent="0.2">
      <c r="C736" s="165" t="s">
        <v>302</v>
      </c>
      <c r="D736" s="181">
        <f>28000000/1000</f>
        <v>28000</v>
      </c>
      <c r="E736" s="181"/>
      <c r="F736" s="181"/>
      <c r="G736" s="181"/>
      <c r="H736" s="181">
        <f>28000000/1000</f>
        <v>28000</v>
      </c>
      <c r="I736" s="181"/>
      <c r="J736" s="181"/>
      <c r="K736" s="181"/>
      <c r="L736" s="181"/>
      <c r="M736" s="181"/>
      <c r="N736" s="181"/>
      <c r="O736" s="181"/>
      <c r="P736" s="181"/>
      <c r="Q736" s="181"/>
      <c r="R736" s="181">
        <v>0</v>
      </c>
      <c r="S736" s="181"/>
      <c r="T736" s="181"/>
      <c r="U736" s="181"/>
      <c r="V736" s="181"/>
      <c r="W736" s="181"/>
      <c r="X736" s="181"/>
      <c r="Y736" s="181">
        <f>+H736+R736</f>
        <v>28000</v>
      </c>
      <c r="Z736" s="181">
        <f t="shared" si="129"/>
        <v>0</v>
      </c>
      <c r="AA736" s="181"/>
      <c r="AB736" s="181"/>
      <c r="AC736" s="181"/>
      <c r="AD736" s="181"/>
      <c r="AE736" s="186"/>
      <c r="AF736" s="195"/>
      <c r="AG736" s="195"/>
      <c r="AH736" s="195"/>
      <c r="AI736" s="195"/>
      <c r="AJ736" s="195"/>
      <c r="AK736" s="195"/>
      <c r="AL736" s="195"/>
      <c r="AM736" s="195"/>
      <c r="AN736" s="195"/>
      <c r="AO736" s="195"/>
      <c r="AP736" s="195"/>
      <c r="AQ736" s="195"/>
      <c r="AR736" s="195"/>
      <c r="AS736" s="195"/>
    </row>
    <row r="737" spans="1:45" x14ac:dyDescent="0.2">
      <c r="C737" s="165" t="s">
        <v>425</v>
      </c>
      <c r="D737" s="181">
        <f>17500000/1000</f>
        <v>17500</v>
      </c>
      <c r="E737" s="181"/>
      <c r="F737" s="181"/>
      <c r="G737" s="181"/>
      <c r="H737" s="181">
        <f>D737</f>
        <v>17500</v>
      </c>
      <c r="I737" s="181"/>
      <c r="J737" s="181"/>
      <c r="K737" s="181"/>
      <c r="L737" s="181"/>
      <c r="M737" s="181"/>
      <c r="N737" s="181"/>
      <c r="O737" s="181"/>
      <c r="P737" s="181"/>
      <c r="Q737" s="181"/>
      <c r="R737" s="181">
        <v>0</v>
      </c>
      <c r="S737" s="181"/>
      <c r="T737" s="181"/>
      <c r="U737" s="181"/>
      <c r="V737" s="181"/>
      <c r="W737" s="181"/>
      <c r="X737" s="181"/>
      <c r="Y737" s="181">
        <f>+H737+R737</f>
        <v>17500</v>
      </c>
      <c r="Z737" s="181">
        <f t="shared" si="129"/>
        <v>0</v>
      </c>
      <c r="AA737" s="181"/>
      <c r="AB737" s="181"/>
      <c r="AC737" s="181"/>
      <c r="AD737" s="181"/>
      <c r="AE737" s="186"/>
      <c r="AF737" s="195"/>
      <c r="AG737" s="195"/>
      <c r="AH737" s="195"/>
      <c r="AI737" s="195"/>
      <c r="AJ737" s="195"/>
      <c r="AK737" s="195"/>
      <c r="AL737" s="195"/>
      <c r="AM737" s="195"/>
      <c r="AN737" s="195"/>
      <c r="AO737" s="195"/>
      <c r="AP737" s="195"/>
      <c r="AQ737" s="195"/>
      <c r="AR737" s="195"/>
      <c r="AS737" s="195"/>
    </row>
    <row r="738" spans="1:45" x14ac:dyDescent="0.2">
      <c r="A738" s="180"/>
      <c r="C738" s="168" t="s">
        <v>36</v>
      </c>
      <c r="D738" s="181">
        <f>2147487/1000</f>
        <v>2147.4870000000001</v>
      </c>
      <c r="E738" s="181">
        <f>TOBEPAID!E560/1000</f>
        <v>2147.4875000000002</v>
      </c>
      <c r="F738" s="181">
        <f>TOBEPAID!F560/1000</f>
        <v>0</v>
      </c>
      <c r="G738" s="181">
        <f>TOBEPAID!G560/1000</f>
        <v>0</v>
      </c>
      <c r="H738" s="181">
        <f>2147487/1000</f>
        <v>2147.4870000000001</v>
      </c>
      <c r="I738" s="181">
        <f>TOBEPAID!I560/1000</f>
        <v>0</v>
      </c>
      <c r="J738" s="181">
        <f>TOBEPAID!J560/1000</f>
        <v>0</v>
      </c>
      <c r="K738" s="181">
        <f>TOBEPAID!K560/1000</f>
        <v>0</v>
      </c>
      <c r="L738" s="181">
        <f>TOBEPAID!L560/1000</f>
        <v>0</v>
      </c>
      <c r="M738" s="181">
        <f>TOBEPAID!M560/1000</f>
        <v>0</v>
      </c>
      <c r="N738" s="181">
        <f>TOBEPAID!N560/1000</f>
        <v>2147.4875000000002</v>
      </c>
      <c r="O738" s="181">
        <f>TOBEPAID!O560/1000</f>
        <v>0</v>
      </c>
      <c r="P738" s="181">
        <f>TOBEPAID!P560/1000</f>
        <v>0</v>
      </c>
      <c r="Q738" s="181">
        <f>TOBEPAID!Q560/1000</f>
        <v>0</v>
      </c>
      <c r="R738" s="181">
        <v>0</v>
      </c>
      <c r="S738" s="181">
        <f>TOBEPAID!S560/1000</f>
        <v>0</v>
      </c>
      <c r="T738" s="181">
        <f>TOBEPAID!T560/1000</f>
        <v>0</v>
      </c>
      <c r="U738" s="181">
        <f>TOBEPAID!U560/1000</f>
        <v>0</v>
      </c>
      <c r="V738" s="181">
        <f>TOBEPAID!V560/1000</f>
        <v>0</v>
      </c>
      <c r="W738" s="181">
        <f>TOBEPAID!W560/1000</f>
        <v>0</v>
      </c>
      <c r="X738" s="181">
        <f>TOBEPAID!X560/1000</f>
        <v>0</v>
      </c>
      <c r="Y738" s="181">
        <f t="shared" si="130"/>
        <v>2147.4870000000001</v>
      </c>
      <c r="Z738" s="181">
        <f t="shared" si="129"/>
        <v>0</v>
      </c>
      <c r="AA738" s="181">
        <f>TOBEPAID!AA560/1000</f>
        <v>2147.4875000000002</v>
      </c>
      <c r="AB738" s="181">
        <f>TOBEPAID!AB560/1000</f>
        <v>0</v>
      </c>
      <c r="AC738" s="181"/>
      <c r="AD738" s="181"/>
      <c r="AE738" s="186" t="s">
        <v>317</v>
      </c>
      <c r="AF738" s="195">
        <f>+D739+D694</f>
        <v>7642</v>
      </c>
      <c r="AG738" s="195">
        <f>+E739+E694</f>
        <v>7642</v>
      </c>
      <c r="AH738" s="195">
        <f>+F739+F694</f>
        <v>0</v>
      </c>
      <c r="AI738" s="195">
        <f>+AG738+AH738</f>
        <v>7642</v>
      </c>
      <c r="AJ738" s="195">
        <f>+L739+L694</f>
        <v>0</v>
      </c>
      <c r="AK738" s="195">
        <f>+AI738+AJ738</f>
        <v>7642</v>
      </c>
      <c r="AL738" s="195">
        <f>+O739+O694</f>
        <v>0</v>
      </c>
      <c r="AM738" s="195">
        <f>+P739+P694</f>
        <v>0</v>
      </c>
      <c r="AN738" s="195">
        <f>+AL738+AM738</f>
        <v>0</v>
      </c>
      <c r="AO738" s="195">
        <f>+V739+V694</f>
        <v>0</v>
      </c>
      <c r="AP738" s="195">
        <f>+AN738+AO738</f>
        <v>0</v>
      </c>
      <c r="AQ738" s="195">
        <f>+AI738+AI690</f>
        <v>7642</v>
      </c>
      <c r="AR738" s="195">
        <f t="shared" ref="AR738:AR749" si="131">+AF738-AQ738</f>
        <v>0</v>
      </c>
      <c r="AS738" s="195" t="e">
        <f t="shared" si="128"/>
        <v>#REF!</v>
      </c>
    </row>
    <row r="739" spans="1:45" x14ac:dyDescent="0.2">
      <c r="C739" s="165" t="s">
        <v>298</v>
      </c>
      <c r="D739" s="181">
        <f>2842000/1000</f>
        <v>2842</v>
      </c>
      <c r="E739" s="181">
        <f>TOBEPAID!E561/1000</f>
        <v>2842</v>
      </c>
      <c r="F739" s="181">
        <f>TOBEPAID!F561/1000</f>
        <v>0</v>
      </c>
      <c r="G739" s="181">
        <f>TOBEPAID!G561/1000</f>
        <v>0</v>
      </c>
      <c r="H739" s="181">
        <f>2842000/1000</f>
        <v>2842</v>
      </c>
      <c r="I739" s="181">
        <f>TOBEPAID!I561/1000</f>
        <v>0</v>
      </c>
      <c r="J739" s="181">
        <f>TOBEPAID!J561/1000</f>
        <v>0</v>
      </c>
      <c r="K739" s="181">
        <f>TOBEPAID!K561/1000</f>
        <v>0</v>
      </c>
      <c r="L739" s="181">
        <f>TOBEPAID!L561/1000</f>
        <v>0</v>
      </c>
      <c r="M739" s="181">
        <f>TOBEPAID!M561/1000</f>
        <v>0</v>
      </c>
      <c r="N739" s="181">
        <f>TOBEPAID!N561/1000</f>
        <v>2842</v>
      </c>
      <c r="O739" s="181">
        <f>TOBEPAID!O561/1000</f>
        <v>0</v>
      </c>
      <c r="P739" s="181">
        <f>TOBEPAID!P561/1000</f>
        <v>0</v>
      </c>
      <c r="Q739" s="181">
        <f>TOBEPAID!Q561/1000</f>
        <v>0</v>
      </c>
      <c r="R739" s="181">
        <v>0</v>
      </c>
      <c r="S739" s="181">
        <f>TOBEPAID!S561/1000</f>
        <v>0</v>
      </c>
      <c r="T739" s="181">
        <f>TOBEPAID!T561/1000</f>
        <v>0</v>
      </c>
      <c r="U739" s="181">
        <f>TOBEPAID!U561/1000</f>
        <v>0</v>
      </c>
      <c r="V739" s="181">
        <f>TOBEPAID!V561/1000</f>
        <v>0</v>
      </c>
      <c r="W739" s="181">
        <f>TOBEPAID!W561/1000</f>
        <v>0</v>
      </c>
      <c r="X739" s="181">
        <f>TOBEPAID!X561/1000</f>
        <v>0</v>
      </c>
      <c r="Y739" s="181">
        <f t="shared" si="130"/>
        <v>2842</v>
      </c>
      <c r="Z739" s="181">
        <f t="shared" si="129"/>
        <v>0</v>
      </c>
      <c r="AA739" s="181">
        <f>TOBEPAID!AA561/1000</f>
        <v>2842</v>
      </c>
      <c r="AB739" s="181">
        <f>TOBEPAID!AB561/1000</f>
        <v>0</v>
      </c>
      <c r="AC739" s="181"/>
      <c r="AD739" s="181"/>
      <c r="AE739" s="186" t="s">
        <v>298</v>
      </c>
      <c r="AF739" s="195" t="e">
        <f>D625+#REF!+#REF!+D636+D651+D663+D676+D689+D702+D711+D723+D733+D750</f>
        <v>#REF!</v>
      </c>
      <c r="AG739" s="195" t="e">
        <f>E625+#REF!+#REF!+E636+E651+E663+E676+E689+E702+E711+E723+E733+E750</f>
        <v>#REF!</v>
      </c>
      <c r="AH739" s="195" t="e">
        <f>F625+#REF!+#REF!+F636+F651+F663+F676+F689+F702+F711+F723+F733+F750</f>
        <v>#REF!</v>
      </c>
      <c r="AI739" s="195" t="e">
        <f>+AG739+AH739</f>
        <v>#REF!</v>
      </c>
      <c r="AJ739" s="165" t="e">
        <f>L625+#REF!+#REF!+L636+L651+L663+L676+L689+L702+L711+L723+L733+L750</f>
        <v>#REF!</v>
      </c>
      <c r="AK739" s="195" t="e">
        <f>+AI739+AJ739</f>
        <v>#REF!</v>
      </c>
      <c r="AL739" s="195" t="e">
        <f>O625+#REF!+#REF!+O636+O651+O663+O676+O689+O702+O711+O723+O733+O750</f>
        <v>#REF!</v>
      </c>
      <c r="AM739" s="165" t="e">
        <f>P625+#REF!+#REF!+P636+P651+P663+P676+P689+P702+P711+P723+P733+P750</f>
        <v>#REF!</v>
      </c>
      <c r="AN739" s="195" t="e">
        <f>+AL739+AM739</f>
        <v>#REF!</v>
      </c>
      <c r="AO739" s="195" t="e">
        <f>V625+#REF!+#REF!+V636+V651+V663+V676+V689+V702+V711+V723+V733+V750</f>
        <v>#REF!</v>
      </c>
      <c r="AP739" s="195" t="e">
        <f>+AN739+AO739</f>
        <v>#REF!</v>
      </c>
      <c r="AQ739" s="195" t="e">
        <f>+AI739+AN739</f>
        <v>#REF!</v>
      </c>
      <c r="AR739" s="195" t="e">
        <f t="shared" si="131"/>
        <v>#REF!</v>
      </c>
      <c r="AS739" s="195">
        <f>+AF741-AK741-AP741</f>
        <v>-3.8899999963177834E-3</v>
      </c>
    </row>
    <row r="740" spans="1:45" x14ac:dyDescent="0.2">
      <c r="C740" s="165" t="s">
        <v>399</v>
      </c>
      <c r="D740" s="181">
        <f>1895366.15/1000</f>
        <v>1895.3661499999998</v>
      </c>
      <c r="E740" s="181"/>
      <c r="F740" s="181"/>
      <c r="G740" s="181"/>
      <c r="H740" s="181">
        <f>1895366.15/1000</f>
        <v>1895.3661499999998</v>
      </c>
      <c r="I740" s="181"/>
      <c r="J740" s="181"/>
      <c r="K740" s="181"/>
      <c r="L740" s="181"/>
      <c r="M740" s="181"/>
      <c r="N740" s="181"/>
      <c r="O740" s="181"/>
      <c r="P740" s="181"/>
      <c r="Q740" s="181"/>
      <c r="R740" s="181">
        <v>0</v>
      </c>
      <c r="S740" s="181"/>
      <c r="T740" s="181"/>
      <c r="U740" s="181"/>
      <c r="V740" s="181"/>
      <c r="W740" s="181"/>
      <c r="X740" s="181"/>
      <c r="Y740" s="181">
        <f t="shared" si="130"/>
        <v>1895.3661499999998</v>
      </c>
      <c r="Z740" s="181">
        <f t="shared" si="129"/>
        <v>0</v>
      </c>
      <c r="AA740" s="181"/>
      <c r="AB740" s="181"/>
      <c r="AC740" s="181"/>
      <c r="AD740" s="181"/>
      <c r="AE740" s="186"/>
      <c r="AF740" s="195"/>
      <c r="AG740" s="195"/>
      <c r="AH740" s="195"/>
      <c r="AI740" s="195"/>
      <c r="AK740" s="195"/>
      <c r="AL740" s="195"/>
      <c r="AN740" s="195"/>
      <c r="AO740" s="195"/>
      <c r="AP740" s="195"/>
      <c r="AQ740" s="195"/>
      <c r="AR740" s="195"/>
      <c r="AS740" s="195"/>
    </row>
    <row r="741" spans="1:45" x14ac:dyDescent="0.2">
      <c r="A741" s="180"/>
      <c r="C741" s="166" t="s">
        <v>92</v>
      </c>
      <c r="D741" s="181">
        <f>8127029/1000</f>
        <v>8127.0290000000005</v>
      </c>
      <c r="E741" s="181">
        <f>TOBEPAID!E562/1000</f>
        <v>0</v>
      </c>
      <c r="F741" s="181">
        <f>TOBEPAID!F562/1000</f>
        <v>0</v>
      </c>
      <c r="G741" s="181">
        <f>TOBEPAID!G562/1000</f>
        <v>0</v>
      </c>
      <c r="H741" s="181">
        <v>0</v>
      </c>
      <c r="I741" s="181">
        <f>TOBEPAID!I562/1000</f>
        <v>0</v>
      </c>
      <c r="J741" s="181">
        <f>TOBEPAID!J562/1000</f>
        <v>0</v>
      </c>
      <c r="K741" s="181">
        <f>TOBEPAID!K562/1000</f>
        <v>0</v>
      </c>
      <c r="L741" s="181">
        <f>TOBEPAID!L562/1000</f>
        <v>0</v>
      </c>
      <c r="M741" s="181">
        <f>TOBEPAID!M562/1000</f>
        <v>0</v>
      </c>
      <c r="N741" s="181">
        <f>TOBEPAID!N562/1000</f>
        <v>0</v>
      </c>
      <c r="O741" s="181">
        <f>TOBEPAID!O562/1000</f>
        <v>8127.0294300000005</v>
      </c>
      <c r="P741" s="181">
        <f>TOBEPAID!P562/1000</f>
        <v>0</v>
      </c>
      <c r="Q741" s="181">
        <f>TOBEPAID!Q562/1000</f>
        <v>0</v>
      </c>
      <c r="R741" s="181">
        <f>8127029/1000</f>
        <v>8127.0290000000005</v>
      </c>
      <c r="S741" s="181">
        <f>TOBEPAID!S562/1000</f>
        <v>0</v>
      </c>
      <c r="T741" s="181">
        <f>TOBEPAID!T562/1000</f>
        <v>0</v>
      </c>
      <c r="U741" s="181">
        <f>TOBEPAID!U562/1000</f>
        <v>0</v>
      </c>
      <c r="V741" s="181">
        <f>TOBEPAID!V562/1000</f>
        <v>0</v>
      </c>
      <c r="W741" s="181">
        <f>TOBEPAID!W562/1000</f>
        <v>0</v>
      </c>
      <c r="X741" s="181">
        <f>TOBEPAID!X562/1000</f>
        <v>8127.0294300000005</v>
      </c>
      <c r="Y741" s="181">
        <f t="shared" si="130"/>
        <v>8127.0290000000005</v>
      </c>
      <c r="Z741" s="181">
        <f t="shared" si="129"/>
        <v>0</v>
      </c>
      <c r="AA741" s="181">
        <f>TOBEPAID!AA562/1000</f>
        <v>8127.0294300000005</v>
      </c>
      <c r="AB741" s="181">
        <f>TOBEPAID!AB562/1000</f>
        <v>0</v>
      </c>
      <c r="AC741" s="181"/>
      <c r="AD741" s="181"/>
      <c r="AE741" s="186" t="s">
        <v>47</v>
      </c>
      <c r="AF741" s="195">
        <f>D626+D637+D652+D664+D677+D690+D703+D712+D738+D752</f>
        <v>20514.712100000001</v>
      </c>
      <c r="AG741" s="195">
        <f>E626+E637+E652+E664+E677+E690+E703+E712+E738+E752</f>
        <v>20514.715989999997</v>
      </c>
      <c r="AH741" s="195">
        <f>F626+F637+F652+F664+F677+F690+F703+F712+F738+F752</f>
        <v>0</v>
      </c>
      <c r="AI741" s="195">
        <f t="shared" ref="AI741:AI749" si="132">+AG741+AH741</f>
        <v>20514.715989999997</v>
      </c>
      <c r="AJ741" s="165">
        <f>L626+L637+L652+L664+L677+L690+L703+L712+L738+L752</f>
        <v>0</v>
      </c>
      <c r="AK741" s="195">
        <f t="shared" ref="AK741:AK749" si="133">+AI741+AJ741</f>
        <v>20514.715989999997</v>
      </c>
      <c r="AL741" s="195">
        <f>O626+O637+O652+O664+O677+O690+O703+O712+O738+O752</f>
        <v>0</v>
      </c>
      <c r="AM741" s="165">
        <f>P626+P637+P652+P664+P677+P690+P703+P712+P738+P752</f>
        <v>0</v>
      </c>
      <c r="AN741" s="195">
        <f t="shared" ref="AN741:AN749" si="134">+AL741+AM741</f>
        <v>0</v>
      </c>
      <c r="AO741" s="195">
        <f>V626+V637+V652+V664+V677+V690+V703+V712+V738+V752</f>
        <v>0</v>
      </c>
      <c r="AP741" s="195">
        <f t="shared" ref="AP741:AP749" si="135">+AN741+AO741</f>
        <v>0</v>
      </c>
      <c r="AQ741" s="195">
        <f t="shared" ref="AQ741:AQ749" si="136">+AI741+AN741</f>
        <v>20514.715989999997</v>
      </c>
      <c r="AR741" s="195">
        <f t="shared" si="131"/>
        <v>-3.8899999963177834E-3</v>
      </c>
      <c r="AS741" s="195">
        <f t="shared" si="128"/>
        <v>188.56478999999945</v>
      </c>
    </row>
    <row r="742" spans="1:45" x14ac:dyDescent="0.2">
      <c r="A742" s="180"/>
      <c r="C742" s="166" t="s">
        <v>54</v>
      </c>
      <c r="D742" s="181">
        <f>10787951/1000</f>
        <v>10787.950999999999</v>
      </c>
      <c r="E742" s="181">
        <f>TOBEPAID!E563/1000</f>
        <v>0</v>
      </c>
      <c r="F742" s="181">
        <f>TOBEPAID!F563/1000</f>
        <v>0</v>
      </c>
      <c r="G742" s="181">
        <f>TOBEPAID!G563/1000</f>
        <v>0</v>
      </c>
      <c r="H742" s="181">
        <v>0</v>
      </c>
      <c r="I742" s="181">
        <f>TOBEPAID!I563/1000</f>
        <v>0</v>
      </c>
      <c r="J742" s="181">
        <f>TOBEPAID!J563/1000</f>
        <v>0</v>
      </c>
      <c r="K742" s="181">
        <f>TOBEPAID!K563/1000</f>
        <v>0</v>
      </c>
      <c r="L742" s="181">
        <f>TOBEPAID!L563/1000</f>
        <v>0</v>
      </c>
      <c r="M742" s="181">
        <f>TOBEPAID!M563/1000</f>
        <v>0</v>
      </c>
      <c r="N742" s="181">
        <f>TOBEPAID!N563/1000</f>
        <v>0</v>
      </c>
      <c r="O742" s="181">
        <f>TOBEPAID!O563/1000</f>
        <v>10787.951539999998</v>
      </c>
      <c r="P742" s="181">
        <f>TOBEPAID!P563/1000</f>
        <v>0</v>
      </c>
      <c r="Q742" s="181">
        <f>TOBEPAID!Q563/1000</f>
        <v>0</v>
      </c>
      <c r="R742" s="181">
        <f>10931529.45/1000</f>
        <v>10931.52945</v>
      </c>
      <c r="S742" s="181">
        <f>TOBEPAID!S563/1000</f>
        <v>0</v>
      </c>
      <c r="T742" s="181">
        <f>TOBEPAID!T563/1000</f>
        <v>0</v>
      </c>
      <c r="U742" s="181">
        <f>TOBEPAID!U563/1000</f>
        <v>0</v>
      </c>
      <c r="V742" s="181">
        <f>TOBEPAID!V563/1000</f>
        <v>0</v>
      </c>
      <c r="W742" s="181">
        <f>TOBEPAID!W563/1000</f>
        <v>0</v>
      </c>
      <c r="X742" s="181">
        <f>TOBEPAID!X563/1000</f>
        <v>10787.951539999998</v>
      </c>
      <c r="Y742" s="181">
        <f t="shared" si="130"/>
        <v>10931.52945</v>
      </c>
      <c r="Z742" s="181">
        <f t="shared" si="129"/>
        <v>-143.57845000000088</v>
      </c>
      <c r="AA742" s="181">
        <f>TOBEPAID!AA563/1000</f>
        <v>10787.951539999998</v>
      </c>
      <c r="AB742" s="181">
        <f>TOBEPAID!AB563/1000</f>
        <v>0</v>
      </c>
      <c r="AC742" s="181" t="s">
        <v>321</v>
      </c>
      <c r="AD742" s="181"/>
      <c r="AE742" s="186" t="s">
        <v>36</v>
      </c>
      <c r="AF742" s="195">
        <f>D639+D657+D669+D683+D696</f>
        <v>2579.3919999999998</v>
      </c>
      <c r="AG742" s="195">
        <f>E639+E657+E669+E683+E696</f>
        <v>0</v>
      </c>
      <c r="AH742" s="195">
        <f>F639+F657+F669+F683+F696</f>
        <v>0</v>
      </c>
      <c r="AI742" s="195">
        <f t="shared" si="132"/>
        <v>0</v>
      </c>
      <c r="AJ742" s="165">
        <f>L639+L657+L669+L683+L696</f>
        <v>0</v>
      </c>
      <c r="AK742" s="195">
        <f t="shared" si="133"/>
        <v>0</v>
      </c>
      <c r="AL742" s="195">
        <f>O639+O657+O669+O683+O696</f>
        <v>2390.8272100000004</v>
      </c>
      <c r="AM742" s="165">
        <f>P639+P657+P669+P683+P696</f>
        <v>0</v>
      </c>
      <c r="AN742" s="195">
        <f t="shared" si="134"/>
        <v>2390.8272100000004</v>
      </c>
      <c r="AO742" s="195">
        <f>V639+V657+V669+V683+V696</f>
        <v>0</v>
      </c>
      <c r="AP742" s="195">
        <f t="shared" si="135"/>
        <v>2390.8272100000004</v>
      </c>
      <c r="AQ742" s="195">
        <f t="shared" si="136"/>
        <v>2390.8272100000004</v>
      </c>
      <c r="AR742" s="195">
        <f t="shared" si="131"/>
        <v>188.56478999999945</v>
      </c>
      <c r="AS742" s="195">
        <f t="shared" si="128"/>
        <v>3425.8087999999998</v>
      </c>
    </row>
    <row r="743" spans="1:45" x14ac:dyDescent="0.2">
      <c r="A743" s="180"/>
      <c r="D743" s="182" t="s">
        <v>40</v>
      </c>
      <c r="E743" s="182" t="s">
        <v>40</v>
      </c>
      <c r="F743" s="182" t="s">
        <v>40</v>
      </c>
      <c r="G743" s="182"/>
      <c r="H743" s="182" t="s">
        <v>40</v>
      </c>
      <c r="I743" s="182" t="s">
        <v>40</v>
      </c>
      <c r="J743" s="182" t="s">
        <v>40</v>
      </c>
      <c r="K743" s="182" t="s">
        <v>40</v>
      </c>
      <c r="L743" s="182" t="s">
        <v>40</v>
      </c>
      <c r="M743" s="182"/>
      <c r="N743" s="182" t="s">
        <v>40</v>
      </c>
      <c r="O743" s="182" t="s">
        <v>40</v>
      </c>
      <c r="P743" s="182" t="s">
        <v>40</v>
      </c>
      <c r="Q743" s="182"/>
      <c r="R743" s="182" t="s">
        <v>40</v>
      </c>
      <c r="S743" s="182" t="s">
        <v>40</v>
      </c>
      <c r="T743" s="182" t="s">
        <v>40</v>
      </c>
      <c r="U743" s="182" t="s">
        <v>40</v>
      </c>
      <c r="V743" s="182" t="s">
        <v>40</v>
      </c>
      <c r="W743" s="182"/>
      <c r="X743" s="182" t="s">
        <v>40</v>
      </c>
      <c r="Y743" s="182" t="s">
        <v>40</v>
      </c>
      <c r="Z743" s="182" t="s">
        <v>40</v>
      </c>
      <c r="AA743" s="182" t="s">
        <v>40</v>
      </c>
      <c r="AB743" s="182" t="s">
        <v>40</v>
      </c>
      <c r="AC743" s="182"/>
      <c r="AD743" s="182"/>
      <c r="AE743" s="186" t="s">
        <v>183</v>
      </c>
      <c r="AF743" s="195">
        <f>D646+D670+D684+D697</f>
        <v>3714.1689999999999</v>
      </c>
      <c r="AG743" s="195">
        <f>E646+E670+E684+E697</f>
        <v>0</v>
      </c>
      <c r="AH743" s="195">
        <f>F646+F670+F684+F697</f>
        <v>0</v>
      </c>
      <c r="AI743" s="195">
        <f t="shared" si="132"/>
        <v>0</v>
      </c>
      <c r="AJ743" s="165">
        <f>L646+L670+L684+L697</f>
        <v>0</v>
      </c>
      <c r="AK743" s="195">
        <f t="shared" si="133"/>
        <v>0</v>
      </c>
      <c r="AL743" s="195">
        <f>O646+O670+O684+O697</f>
        <v>288.36020000000002</v>
      </c>
      <c r="AM743" s="165">
        <f>P646+P670+P684+P697</f>
        <v>0</v>
      </c>
      <c r="AN743" s="195">
        <f t="shared" si="134"/>
        <v>288.36020000000002</v>
      </c>
      <c r="AO743" s="195">
        <f>V646+V670+V684+V697</f>
        <v>0</v>
      </c>
      <c r="AP743" s="195">
        <f t="shared" si="135"/>
        <v>288.36020000000002</v>
      </c>
      <c r="AQ743" s="195">
        <f t="shared" si="136"/>
        <v>288.36020000000002</v>
      </c>
      <c r="AR743" s="195">
        <f t="shared" si="131"/>
        <v>3425.8087999999998</v>
      </c>
      <c r="AS743" s="195">
        <f t="shared" si="128"/>
        <v>2750.652</v>
      </c>
    </row>
    <row r="744" spans="1:45" x14ac:dyDescent="0.2">
      <c r="A744" s="180"/>
      <c r="B744" s="172"/>
      <c r="D744" s="181">
        <f>SUM(D733:D742)</f>
        <v>276543.01714999997</v>
      </c>
      <c r="E744" s="181">
        <f>SUM(E733:E742)</f>
        <v>10387.764490000001</v>
      </c>
      <c r="F744" s="181">
        <f>SUM(F733:F742)</f>
        <v>0</v>
      </c>
      <c r="G744" s="181"/>
      <c r="H744" s="181">
        <f>SUM(H733:H742)</f>
        <v>67783.129150000008</v>
      </c>
      <c r="I744" s="181">
        <f>SUM(I733:I742)</f>
        <v>0</v>
      </c>
      <c r="J744" s="181">
        <f>SUM(J733:J742)</f>
        <v>0</v>
      </c>
      <c r="K744" s="181">
        <f>SUM(K733:K742)</f>
        <v>0</v>
      </c>
      <c r="L744" s="181">
        <f>SUM(L733:L742)</f>
        <v>0</v>
      </c>
      <c r="M744" s="181"/>
      <c r="N744" s="181">
        <f>SUM(N733:N742)</f>
        <v>10387.764490000001</v>
      </c>
      <c r="O744" s="181">
        <f>SUM(O733:O742)</f>
        <v>20644.925819999997</v>
      </c>
      <c r="P744" s="181">
        <f>SUM(P733:P742)</f>
        <v>0</v>
      </c>
      <c r="Q744" s="181"/>
      <c r="R744" s="181">
        <f>SUM(R733:R742)</f>
        <v>21270.855450000003</v>
      </c>
      <c r="S744" s="181">
        <f>SUM(S733:S742)</f>
        <v>0</v>
      </c>
      <c r="T744" s="181">
        <f>SUM(T733:T742)</f>
        <v>0</v>
      </c>
      <c r="U744" s="181">
        <f>SUM(U733:U742)</f>
        <v>0</v>
      </c>
      <c r="V744" s="181">
        <f>SUM(V733:V742)</f>
        <v>0</v>
      </c>
      <c r="W744" s="181"/>
      <c r="X744" s="181">
        <f>SUM(X733:X742)</f>
        <v>20644.925819999997</v>
      </c>
      <c r="Y744" s="181">
        <f>SUM(Y733:Y742)</f>
        <v>89053.984599999996</v>
      </c>
      <c r="Z744" s="181">
        <f>SUM(Z733:Z742)</f>
        <v>187489.03255</v>
      </c>
      <c r="AA744" s="181">
        <f>SUM(AA733:AA742)</f>
        <v>31032.690310000002</v>
      </c>
      <c r="AB744" s="181">
        <f>SUM(AB733:AB742)</f>
        <v>38114.963399999993</v>
      </c>
      <c r="AC744" s="181"/>
      <c r="AD744" s="181"/>
      <c r="AE744" s="186" t="s">
        <v>184</v>
      </c>
      <c r="AF744" s="195">
        <f>D645+D717+D728</f>
        <v>2766.3020000000001</v>
      </c>
      <c r="AG744" s="195">
        <f>E645+E717+E728</f>
        <v>0</v>
      </c>
      <c r="AH744" s="195">
        <f>F645+F717+F728</f>
        <v>0</v>
      </c>
      <c r="AI744" s="195">
        <f t="shared" si="132"/>
        <v>0</v>
      </c>
      <c r="AJ744" s="165">
        <f>L645+L717+L728</f>
        <v>0</v>
      </c>
      <c r="AK744" s="195">
        <f t="shared" si="133"/>
        <v>0</v>
      </c>
      <c r="AL744" s="195">
        <f>O645+O717+O728</f>
        <v>15.65</v>
      </c>
      <c r="AM744" s="165">
        <f>P645+P717+P728</f>
        <v>0</v>
      </c>
      <c r="AN744" s="195">
        <f t="shared" si="134"/>
        <v>15.65</v>
      </c>
      <c r="AO744" s="195">
        <f>V645+V717+V728</f>
        <v>0</v>
      </c>
      <c r="AP744" s="195">
        <f t="shared" si="135"/>
        <v>15.65</v>
      </c>
      <c r="AQ744" s="195">
        <f t="shared" si="136"/>
        <v>15.65</v>
      </c>
      <c r="AR744" s="195">
        <f t="shared" si="131"/>
        <v>2750.652</v>
      </c>
      <c r="AS744" s="195" t="e">
        <f t="shared" si="128"/>
        <v>#REF!</v>
      </c>
    </row>
    <row r="745" spans="1:45" x14ac:dyDescent="0.2">
      <c r="A745" s="180"/>
      <c r="D745" s="182" t="s">
        <v>40</v>
      </c>
      <c r="E745" s="182" t="s">
        <v>40</v>
      </c>
      <c r="F745" s="182" t="s">
        <v>40</v>
      </c>
      <c r="G745" s="182"/>
      <c r="H745" s="182" t="s">
        <v>40</v>
      </c>
      <c r="I745" s="182" t="s">
        <v>40</v>
      </c>
      <c r="J745" s="182" t="s">
        <v>40</v>
      </c>
      <c r="K745" s="182" t="s">
        <v>40</v>
      </c>
      <c r="L745" s="182" t="s">
        <v>40</v>
      </c>
      <c r="M745" s="182"/>
      <c r="N745" s="182" t="s">
        <v>40</v>
      </c>
      <c r="O745" s="182" t="s">
        <v>40</v>
      </c>
      <c r="P745" s="182" t="s">
        <v>40</v>
      </c>
      <c r="Q745" s="182"/>
      <c r="R745" s="182" t="s">
        <v>40</v>
      </c>
      <c r="S745" s="182" t="s">
        <v>40</v>
      </c>
      <c r="T745" s="182" t="s">
        <v>40</v>
      </c>
      <c r="U745" s="182" t="s">
        <v>40</v>
      </c>
      <c r="V745" s="182" t="s">
        <v>40</v>
      </c>
      <c r="W745" s="182"/>
      <c r="X745" s="182" t="s">
        <v>40</v>
      </c>
      <c r="Y745" s="182" t="s">
        <v>40</v>
      </c>
      <c r="Z745" s="182" t="s">
        <v>40</v>
      </c>
      <c r="AA745" s="182" t="s">
        <v>40</v>
      </c>
      <c r="AB745" s="182" t="s">
        <v>40</v>
      </c>
      <c r="AC745" s="182"/>
      <c r="AD745" s="182"/>
      <c r="AE745" s="186" t="s">
        <v>38</v>
      </c>
      <c r="AF745" s="195" t="e">
        <f>#REF!+D653+D665+D679</f>
        <v>#REF!</v>
      </c>
      <c r="AG745" s="195" t="e">
        <f>#REF!+E653+E665+E679</f>
        <v>#REF!</v>
      </c>
      <c r="AH745" s="195" t="e">
        <f>#REF!+F653+F665+F679</f>
        <v>#REF!</v>
      </c>
      <c r="AI745" s="195" t="e">
        <f t="shared" si="132"/>
        <v>#REF!</v>
      </c>
      <c r="AJ745" s="165" t="e">
        <f>#REF!+L653+L665+L679</f>
        <v>#REF!</v>
      </c>
      <c r="AK745" s="195" t="e">
        <f t="shared" si="133"/>
        <v>#REF!</v>
      </c>
      <c r="AL745" s="195" t="e">
        <f>#REF!+O653+O665+O679</f>
        <v>#REF!</v>
      </c>
      <c r="AM745" s="165" t="e">
        <f>#REF!+P653+P665+P679</f>
        <v>#REF!</v>
      </c>
      <c r="AN745" s="195" t="e">
        <f t="shared" si="134"/>
        <v>#REF!</v>
      </c>
      <c r="AO745" s="195" t="e">
        <f>#REF!+V653+V665+V679</f>
        <v>#REF!</v>
      </c>
      <c r="AP745" s="195" t="e">
        <f t="shared" si="135"/>
        <v>#REF!</v>
      </c>
      <c r="AQ745" s="195" t="e">
        <f t="shared" si="136"/>
        <v>#REF!</v>
      </c>
      <c r="AR745" s="195" t="e">
        <f t="shared" si="131"/>
        <v>#REF!</v>
      </c>
      <c r="AS745" s="195">
        <f>+AF749-AK749-AP749</f>
        <v>0</v>
      </c>
    </row>
    <row r="746" spans="1:45" x14ac:dyDescent="0.2">
      <c r="A746" s="180"/>
      <c r="D746" s="182"/>
      <c r="E746" s="182"/>
      <c r="F746" s="182"/>
      <c r="G746" s="182"/>
      <c r="H746" s="182"/>
      <c r="I746" s="182"/>
      <c r="J746" s="182"/>
      <c r="K746" s="182"/>
      <c r="L746" s="182"/>
      <c r="M746" s="182"/>
      <c r="N746" s="182"/>
      <c r="O746" s="182"/>
      <c r="P746" s="182"/>
      <c r="Q746" s="182"/>
      <c r="R746" s="182"/>
      <c r="S746" s="182"/>
      <c r="T746" s="182"/>
      <c r="U746" s="182"/>
      <c r="V746" s="182"/>
      <c r="W746" s="182"/>
      <c r="X746" s="182"/>
      <c r="Y746" s="165" t="s">
        <v>377</v>
      </c>
      <c r="Z746" s="182"/>
      <c r="AA746" s="182"/>
      <c r="AB746" s="182"/>
      <c r="AC746" s="182"/>
      <c r="AD746" s="182"/>
      <c r="AE746" s="186"/>
      <c r="AF746" s="195"/>
      <c r="AG746" s="195"/>
      <c r="AH746" s="195"/>
      <c r="AI746" s="195"/>
      <c r="AK746" s="195"/>
      <c r="AL746" s="195"/>
      <c r="AN746" s="195"/>
      <c r="AO746" s="195"/>
      <c r="AP746" s="195"/>
      <c r="AQ746" s="195"/>
      <c r="AR746" s="195"/>
      <c r="AS746" s="195"/>
    </row>
    <row r="747" spans="1:45" x14ac:dyDescent="0.2">
      <c r="A747" s="180"/>
      <c r="D747" s="182"/>
      <c r="E747" s="182"/>
      <c r="F747" s="182"/>
      <c r="G747" s="182"/>
      <c r="H747" s="182"/>
      <c r="I747" s="182"/>
      <c r="J747" s="182"/>
      <c r="K747" s="182"/>
      <c r="L747" s="182"/>
      <c r="M747" s="182"/>
      <c r="N747" s="182"/>
      <c r="O747" s="182"/>
      <c r="P747" s="182"/>
      <c r="Q747" s="182"/>
      <c r="R747" s="182"/>
      <c r="S747" s="182"/>
      <c r="T747" s="182"/>
      <c r="U747" s="182"/>
      <c r="V747" s="182"/>
      <c r="W747" s="182"/>
      <c r="X747" s="182"/>
      <c r="Y747" s="165" t="s">
        <v>378</v>
      </c>
      <c r="Z747" s="182"/>
      <c r="AA747" s="182"/>
      <c r="AB747" s="182"/>
      <c r="AC747" s="182"/>
      <c r="AD747" s="182"/>
      <c r="AE747" s="186"/>
      <c r="AF747" s="195"/>
      <c r="AG747" s="195"/>
      <c r="AH747" s="195"/>
      <c r="AI747" s="195"/>
      <c r="AK747" s="195"/>
      <c r="AL747" s="195"/>
      <c r="AN747" s="195"/>
      <c r="AO747" s="195"/>
      <c r="AP747" s="195"/>
      <c r="AQ747" s="195"/>
      <c r="AR747" s="195"/>
      <c r="AS747" s="195"/>
    </row>
    <row r="748" spans="1:45" x14ac:dyDescent="0.2">
      <c r="A748" s="180"/>
      <c r="D748" s="182"/>
      <c r="E748" s="182"/>
      <c r="F748" s="182"/>
      <c r="G748" s="182"/>
      <c r="H748" s="182"/>
      <c r="I748" s="182"/>
      <c r="J748" s="182"/>
      <c r="K748" s="182"/>
      <c r="L748" s="182"/>
      <c r="M748" s="182"/>
      <c r="N748" s="182"/>
      <c r="O748" s="182"/>
      <c r="P748" s="182"/>
      <c r="Q748" s="182"/>
      <c r="R748" s="182"/>
      <c r="S748" s="182"/>
      <c r="T748" s="182"/>
      <c r="U748" s="182"/>
      <c r="V748" s="182"/>
      <c r="W748" s="182"/>
      <c r="X748" s="182"/>
      <c r="Y748" s="182"/>
      <c r="Z748" s="182"/>
      <c r="AA748" s="182"/>
      <c r="AB748" s="182"/>
      <c r="AC748" s="182"/>
      <c r="AD748" s="182"/>
      <c r="AE748" s="186"/>
      <c r="AF748" s="195"/>
      <c r="AG748" s="195"/>
      <c r="AH748" s="195"/>
      <c r="AI748" s="195"/>
      <c r="AK748" s="195"/>
      <c r="AL748" s="195"/>
      <c r="AN748" s="195"/>
      <c r="AO748" s="195"/>
      <c r="AP748" s="195"/>
      <c r="AQ748" s="195"/>
      <c r="AR748" s="195"/>
      <c r="AS748" s="195"/>
    </row>
    <row r="749" spans="1:45" x14ac:dyDescent="0.2">
      <c r="A749" s="180"/>
      <c r="D749" s="182"/>
      <c r="E749" s="182"/>
      <c r="F749" s="182"/>
      <c r="G749" s="182"/>
      <c r="H749" s="182"/>
      <c r="I749" s="182"/>
      <c r="J749" s="182"/>
      <c r="K749" s="182"/>
      <c r="L749" s="182"/>
      <c r="M749" s="182"/>
      <c r="N749" s="182"/>
      <c r="O749" s="182"/>
      <c r="P749" s="182"/>
      <c r="Q749" s="182"/>
      <c r="R749" s="182"/>
      <c r="S749" s="182"/>
      <c r="T749" s="182"/>
      <c r="U749" s="182"/>
      <c r="V749" s="182"/>
      <c r="W749" s="182"/>
      <c r="X749" s="182"/>
      <c r="Y749" s="182"/>
      <c r="Z749" s="182"/>
      <c r="AA749" s="182"/>
      <c r="AB749" s="182"/>
      <c r="AC749" s="182"/>
      <c r="AD749" s="182"/>
      <c r="AE749" s="186" t="s">
        <v>262</v>
      </c>
      <c r="AF749" s="195">
        <f>+D629</f>
        <v>8523</v>
      </c>
      <c r="AG749" s="195">
        <f>+E629</f>
        <v>8523</v>
      </c>
      <c r="AH749" s="195">
        <f>+F629</f>
        <v>0</v>
      </c>
      <c r="AI749" s="195">
        <f t="shared" si="132"/>
        <v>8523</v>
      </c>
      <c r="AJ749" s="165">
        <f>+L629</f>
        <v>0</v>
      </c>
      <c r="AK749" s="195">
        <f t="shared" si="133"/>
        <v>8523</v>
      </c>
      <c r="AL749" s="195">
        <f>+O629</f>
        <v>0</v>
      </c>
      <c r="AM749" s="165">
        <f>+P629</f>
        <v>0</v>
      </c>
      <c r="AN749" s="195">
        <f t="shared" si="134"/>
        <v>0</v>
      </c>
      <c r="AO749" s="195">
        <f>+V629</f>
        <v>0</v>
      </c>
      <c r="AP749" s="195">
        <f t="shared" si="135"/>
        <v>0</v>
      </c>
      <c r="AQ749" s="195">
        <f t="shared" si="136"/>
        <v>8523</v>
      </c>
      <c r="AR749" s="195">
        <f t="shared" si="131"/>
        <v>0</v>
      </c>
    </row>
    <row r="750" spans="1:45" x14ac:dyDescent="0.2">
      <c r="A750" s="180">
        <v>55</v>
      </c>
      <c r="B750" s="166" t="s">
        <v>93</v>
      </c>
      <c r="C750" s="166" t="s">
        <v>35</v>
      </c>
      <c r="D750" s="181">
        <f>TOBEPAID!D568/1000</f>
        <v>1276.3404800000001</v>
      </c>
      <c r="E750" s="181">
        <f>TOBEPAID!E568/1000</f>
        <v>0</v>
      </c>
      <c r="F750" s="181">
        <f>TOBEPAID!F568/1000</f>
        <v>0</v>
      </c>
      <c r="G750" s="181">
        <f>TOBEPAID!G568/1000</f>
        <v>0</v>
      </c>
      <c r="H750" s="181">
        <v>0</v>
      </c>
      <c r="I750" s="181">
        <f>TOBEPAID!I568/1000</f>
        <v>0</v>
      </c>
      <c r="J750" s="181">
        <f>TOBEPAID!J568/1000</f>
        <v>0</v>
      </c>
      <c r="K750" s="181">
        <f>TOBEPAID!K568/1000</f>
        <v>0</v>
      </c>
      <c r="L750" s="181">
        <f>TOBEPAID!L568/1000</f>
        <v>0</v>
      </c>
      <c r="M750" s="181">
        <f>TOBEPAID!M568/1000</f>
        <v>0</v>
      </c>
      <c r="N750" s="181">
        <f>TOBEPAID!N568/1000</f>
        <v>0</v>
      </c>
      <c r="O750" s="181">
        <f>TOBEPAID!O568/1000</f>
        <v>0</v>
      </c>
      <c r="P750" s="181">
        <f>TOBEPAID!P568/1000</f>
        <v>0</v>
      </c>
      <c r="Q750" s="181">
        <f>TOBEPAID!Q568/1000</f>
        <v>0</v>
      </c>
      <c r="R750" s="181">
        <f>165145/1000</f>
        <v>165.14500000000001</v>
      </c>
      <c r="S750" s="181">
        <f>TOBEPAID!S568/1000</f>
        <v>0</v>
      </c>
      <c r="T750" s="181">
        <f>TOBEPAID!T568/1000</f>
        <v>0</v>
      </c>
      <c r="U750" s="181">
        <f>TOBEPAID!U568/1000</f>
        <v>0</v>
      </c>
      <c r="V750" s="181">
        <f>TOBEPAID!V568/1000</f>
        <v>0</v>
      </c>
      <c r="W750" s="181">
        <f>TOBEPAID!W568/1000</f>
        <v>0</v>
      </c>
      <c r="X750" s="181">
        <f>TOBEPAID!X568/1000</f>
        <v>0</v>
      </c>
      <c r="Y750" s="181">
        <f>+H750+R750</f>
        <v>165.14500000000001</v>
      </c>
      <c r="Z750" s="181">
        <f>+D750-Y750</f>
        <v>1111.1954800000001</v>
      </c>
      <c r="AA750" s="181">
        <f>TOBEPAID!AA568/1000</f>
        <v>0</v>
      </c>
      <c r="AB750" s="181">
        <f>TOBEPAID!AB568/1000</f>
        <v>1276.3404800000001</v>
      </c>
      <c r="AC750" s="181"/>
      <c r="AD750" s="181"/>
      <c r="AE750" s="186" t="s">
        <v>263</v>
      </c>
      <c r="AS750" s="195" t="e">
        <f t="shared" ref="AS750:AS755" si="137">+AF751-AK751-AP751</f>
        <v>#REF!</v>
      </c>
    </row>
    <row r="751" spans="1:45" x14ac:dyDescent="0.2">
      <c r="C751" s="165" t="s">
        <v>375</v>
      </c>
      <c r="D751" s="181">
        <f>TOBEPAID!D569/1000</f>
        <v>8000</v>
      </c>
      <c r="E751" s="181">
        <f>TOBEPAID!E569/1000</f>
        <v>8000</v>
      </c>
      <c r="F751" s="181">
        <f>TOBEPAID!F569/1000</f>
        <v>0</v>
      </c>
      <c r="G751" s="181">
        <f>TOBEPAID!G569/1000</f>
        <v>0</v>
      </c>
      <c r="H751" s="181">
        <f>8000000/1000</f>
        <v>8000</v>
      </c>
      <c r="I751" s="181">
        <f>TOBEPAID!I569/1000</f>
        <v>0</v>
      </c>
      <c r="J751" s="181">
        <f>TOBEPAID!J569/1000</f>
        <v>0</v>
      </c>
      <c r="K751" s="181">
        <f>TOBEPAID!K569/1000</f>
        <v>0</v>
      </c>
      <c r="L751" s="181">
        <f>TOBEPAID!L569/1000</f>
        <v>0</v>
      </c>
      <c r="M751" s="181">
        <f>TOBEPAID!M569/1000</f>
        <v>0</v>
      </c>
      <c r="N751" s="181">
        <f>TOBEPAID!N569/1000</f>
        <v>8000</v>
      </c>
      <c r="O751" s="181">
        <f>TOBEPAID!O569/1000</f>
        <v>0</v>
      </c>
      <c r="P751" s="181">
        <f>TOBEPAID!P569/1000</f>
        <v>0</v>
      </c>
      <c r="Q751" s="181">
        <f>TOBEPAID!Q569/1000</f>
        <v>0</v>
      </c>
      <c r="R751" s="181">
        <f>TOBEPAID!R569/1000</f>
        <v>0</v>
      </c>
      <c r="S751" s="181">
        <f>TOBEPAID!S569/1000</f>
        <v>0</v>
      </c>
      <c r="T751" s="181">
        <f>TOBEPAID!T569/1000</f>
        <v>0</v>
      </c>
      <c r="U751" s="181">
        <f>TOBEPAID!U569/1000</f>
        <v>0</v>
      </c>
      <c r="V751" s="181">
        <f>TOBEPAID!V569/1000</f>
        <v>0</v>
      </c>
      <c r="W751" s="181">
        <f>TOBEPAID!W569/1000</f>
        <v>0</v>
      </c>
      <c r="X751" s="181">
        <f>TOBEPAID!X569/1000</f>
        <v>0</v>
      </c>
      <c r="Y751" s="181">
        <f>+H751+R751</f>
        <v>8000</v>
      </c>
      <c r="Z751" s="181">
        <f>+D751-Y751</f>
        <v>0</v>
      </c>
      <c r="AA751" s="181">
        <f>TOBEPAID!AA569/1000</f>
        <v>8000</v>
      </c>
      <c r="AB751" s="181">
        <f>TOBEPAID!AB569/1000</f>
        <v>0</v>
      </c>
      <c r="AC751" s="181"/>
      <c r="AD751" s="181"/>
      <c r="AF751" s="195" t="e">
        <f>#REF!+D681</f>
        <v>#REF!</v>
      </c>
      <c r="AG751" s="195" t="e">
        <f>#REF!+E681</f>
        <v>#REF!</v>
      </c>
      <c r="AH751" s="195" t="e">
        <f>#REF!+F681</f>
        <v>#REF!</v>
      </c>
      <c r="AI751" s="195" t="e">
        <f t="shared" ref="AI751:AI756" si="138">+AG751+AH751</f>
        <v>#REF!</v>
      </c>
      <c r="AJ751" s="165" t="e">
        <f>#REF!+L681</f>
        <v>#REF!</v>
      </c>
      <c r="AK751" s="195" t="e">
        <f t="shared" ref="AK751:AK756" si="139">+AI751+AJ751</f>
        <v>#REF!</v>
      </c>
      <c r="AL751" s="195" t="e">
        <f>#REF!+O681</f>
        <v>#REF!</v>
      </c>
      <c r="AM751" s="165" t="e">
        <f>#REF!+P681</f>
        <v>#REF!</v>
      </c>
      <c r="AN751" s="195" t="e">
        <f t="shared" ref="AN751:AN756" si="140">+AL751+AM751</f>
        <v>#REF!</v>
      </c>
      <c r="AO751" s="195" t="e">
        <f>#REF!+V681</f>
        <v>#REF!</v>
      </c>
      <c r="AP751" s="195" t="e">
        <f t="shared" ref="AP751:AP756" si="141">+AN751+AO751</f>
        <v>#REF!</v>
      </c>
      <c r="AQ751" s="195" t="e">
        <f t="shared" ref="AQ751:AQ756" si="142">+AI751+AN751</f>
        <v>#REF!</v>
      </c>
      <c r="AR751" s="195" t="e">
        <f t="shared" ref="AR751:AR756" si="143">+AF751-AQ751</f>
        <v>#REF!</v>
      </c>
      <c r="AS751" s="195">
        <f t="shared" si="137"/>
        <v>182.40899999999999</v>
      </c>
    </row>
    <row r="752" spans="1:45" x14ac:dyDescent="0.2">
      <c r="A752" s="180"/>
      <c r="C752" s="168" t="s">
        <v>36</v>
      </c>
      <c r="D752" s="181">
        <f>TOBEPAID!D570/1000</f>
        <v>1280.9955199999999</v>
      </c>
      <c r="E752" s="181">
        <f>TOBEPAID!E570/1000</f>
        <v>1280.9955199999999</v>
      </c>
      <c r="F752" s="181">
        <f>TOBEPAID!F570/1000</f>
        <v>0</v>
      </c>
      <c r="G752" s="181">
        <f>TOBEPAID!G570/1000</f>
        <v>0</v>
      </c>
      <c r="H752" s="181">
        <f>1280995/1000</f>
        <v>1280.9949999999999</v>
      </c>
      <c r="I752" s="181">
        <f>TOBEPAID!I570/1000</f>
        <v>0</v>
      </c>
      <c r="J752" s="181">
        <f>TOBEPAID!J570/1000</f>
        <v>0</v>
      </c>
      <c r="K752" s="181">
        <f>TOBEPAID!K570/1000</f>
        <v>0</v>
      </c>
      <c r="L752" s="181">
        <f>TOBEPAID!L570/1000</f>
        <v>0</v>
      </c>
      <c r="M752" s="181">
        <f>TOBEPAID!M570/1000</f>
        <v>0</v>
      </c>
      <c r="N752" s="181">
        <f>TOBEPAID!N570/1000</f>
        <v>1280.9955199999999</v>
      </c>
      <c r="O752" s="181">
        <f>TOBEPAID!O570/1000</f>
        <v>0</v>
      </c>
      <c r="P752" s="181">
        <f>TOBEPAID!P570/1000</f>
        <v>0</v>
      </c>
      <c r="Q752" s="181">
        <f>TOBEPAID!Q570/1000</f>
        <v>0</v>
      </c>
      <c r="R752" s="181">
        <f>TOBEPAID!R570/1000</f>
        <v>0</v>
      </c>
      <c r="S752" s="181">
        <f>TOBEPAID!S570/1000</f>
        <v>0</v>
      </c>
      <c r="T752" s="181">
        <f>TOBEPAID!T570/1000</f>
        <v>0</v>
      </c>
      <c r="U752" s="181">
        <f>TOBEPAID!U570/1000</f>
        <v>0</v>
      </c>
      <c r="V752" s="181">
        <f>TOBEPAID!V570/1000</f>
        <v>0</v>
      </c>
      <c r="W752" s="181">
        <f>TOBEPAID!W570/1000</f>
        <v>0</v>
      </c>
      <c r="X752" s="181">
        <f>TOBEPAID!X570/1000</f>
        <v>0</v>
      </c>
      <c r="Y752" s="181">
        <f>+H752+R752</f>
        <v>1280.9949999999999</v>
      </c>
      <c r="Z752" s="181">
        <f>+D752-Y752</f>
        <v>5.2000000005136826E-4</v>
      </c>
      <c r="AA752" s="181">
        <f>TOBEPAID!AA570/1000</f>
        <v>1280.9955199999999</v>
      </c>
      <c r="AB752" s="181">
        <f>TOBEPAID!AB570/1000</f>
        <v>0</v>
      </c>
      <c r="AC752" s="181"/>
      <c r="AD752" s="181"/>
      <c r="AE752" s="186" t="s">
        <v>65</v>
      </c>
      <c r="AF752" s="195">
        <f>+D726</f>
        <v>182.40899999999999</v>
      </c>
      <c r="AG752" s="195">
        <f>+E726</f>
        <v>0</v>
      </c>
      <c r="AH752" s="195">
        <f>+F726</f>
        <v>0</v>
      </c>
      <c r="AI752" s="195">
        <f t="shared" si="138"/>
        <v>0</v>
      </c>
      <c r="AJ752" s="165">
        <f>+L726</f>
        <v>0</v>
      </c>
      <c r="AK752" s="195">
        <f t="shared" si="139"/>
        <v>0</v>
      </c>
      <c r="AL752" s="195">
        <f>+O726</f>
        <v>0</v>
      </c>
      <c r="AM752" s="165">
        <f>+P726</f>
        <v>0</v>
      </c>
      <c r="AN752" s="195">
        <f t="shared" si="140"/>
        <v>0</v>
      </c>
      <c r="AO752" s="195">
        <f>+V726</f>
        <v>0</v>
      </c>
      <c r="AP752" s="195">
        <f t="shared" si="141"/>
        <v>0</v>
      </c>
      <c r="AQ752" s="195">
        <f t="shared" si="142"/>
        <v>0</v>
      </c>
      <c r="AR752" s="195">
        <f t="shared" si="143"/>
        <v>182.40899999999999</v>
      </c>
      <c r="AS752" s="195">
        <f t="shared" si="137"/>
        <v>3321.0476699999995</v>
      </c>
    </row>
    <row r="753" spans="1:45" x14ac:dyDescent="0.2">
      <c r="A753" s="180"/>
      <c r="C753" s="166" t="s">
        <v>76</v>
      </c>
      <c r="D753" s="181">
        <f>TOBEPAID!D571/1000</f>
        <v>2679.52169</v>
      </c>
      <c r="E753" s="181">
        <f>TOBEPAID!E571/1000</f>
        <v>0</v>
      </c>
      <c r="F753" s="181">
        <f>TOBEPAID!F571/1000</f>
        <v>0</v>
      </c>
      <c r="G753" s="181">
        <f>TOBEPAID!G571/1000</f>
        <v>0</v>
      </c>
      <c r="H753" s="181">
        <v>0</v>
      </c>
      <c r="I753" s="181">
        <f>TOBEPAID!I571/1000</f>
        <v>0</v>
      </c>
      <c r="J753" s="181">
        <f>TOBEPAID!J571/1000</f>
        <v>0</v>
      </c>
      <c r="K753" s="181">
        <f>TOBEPAID!K571/1000</f>
        <v>0</v>
      </c>
      <c r="L753" s="181">
        <f>TOBEPAID!L571/1000</f>
        <v>0</v>
      </c>
      <c r="M753" s="181">
        <f>TOBEPAID!M571/1000</f>
        <v>0</v>
      </c>
      <c r="N753" s="181">
        <f>TOBEPAID!N571/1000</f>
        <v>0</v>
      </c>
      <c r="O753" s="181">
        <f>TOBEPAID!O571/1000</f>
        <v>0</v>
      </c>
      <c r="P753" s="181">
        <f>TOBEPAID!P571/1000</f>
        <v>0</v>
      </c>
      <c r="Q753" s="181">
        <f>TOBEPAID!Q571/1000</f>
        <v>0</v>
      </c>
      <c r="R753" s="181">
        <f>TOBEPAID!R571/1000</f>
        <v>0</v>
      </c>
      <c r="S753" s="181">
        <f>TOBEPAID!S571/1000</f>
        <v>0</v>
      </c>
      <c r="T753" s="181">
        <f>TOBEPAID!T571/1000</f>
        <v>0</v>
      </c>
      <c r="U753" s="181">
        <f>TOBEPAID!U571/1000</f>
        <v>0</v>
      </c>
      <c r="V753" s="181">
        <f>TOBEPAID!V571/1000</f>
        <v>0</v>
      </c>
      <c r="W753" s="181">
        <f>TOBEPAID!W571/1000</f>
        <v>0</v>
      </c>
      <c r="X753" s="181">
        <f>TOBEPAID!X571/1000</f>
        <v>0</v>
      </c>
      <c r="Y753" s="181">
        <f>+H753+R753</f>
        <v>0</v>
      </c>
      <c r="Z753" s="181">
        <f>+D753-Y753</f>
        <v>2679.52169</v>
      </c>
      <c r="AA753" s="181">
        <f>TOBEPAID!AA571/1000</f>
        <v>0</v>
      </c>
      <c r="AB753" s="181">
        <f>TOBEPAID!AB571/1000</f>
        <v>2679.52169</v>
      </c>
      <c r="AC753" s="181"/>
      <c r="AD753" s="181"/>
      <c r="AE753" s="186" t="s">
        <v>268</v>
      </c>
      <c r="AF753" s="195">
        <f>+D658</f>
        <v>10000</v>
      </c>
      <c r="AG753" s="195">
        <f>+E658</f>
        <v>5843.7300300000006</v>
      </c>
      <c r="AH753" s="195">
        <f>+F658</f>
        <v>0</v>
      </c>
      <c r="AI753" s="195">
        <f t="shared" si="138"/>
        <v>5843.7300300000006</v>
      </c>
      <c r="AJ753" s="165">
        <f>+L658</f>
        <v>0</v>
      </c>
      <c r="AK753" s="195">
        <f t="shared" si="139"/>
        <v>5843.7300300000006</v>
      </c>
      <c r="AL753" s="195">
        <f>+O658</f>
        <v>835.22230000000002</v>
      </c>
      <c r="AM753" s="165">
        <f>+P658</f>
        <v>0</v>
      </c>
      <c r="AN753" s="195">
        <f t="shared" si="140"/>
        <v>835.22230000000002</v>
      </c>
      <c r="AO753" s="195">
        <f>+V658</f>
        <v>0</v>
      </c>
      <c r="AP753" s="195">
        <f t="shared" si="141"/>
        <v>835.22230000000002</v>
      </c>
      <c r="AQ753" s="195">
        <f t="shared" si="142"/>
        <v>6678.952330000001</v>
      </c>
      <c r="AR753" s="195">
        <f t="shared" si="143"/>
        <v>3321.047669999999</v>
      </c>
      <c r="AS753" s="195">
        <f t="shared" si="137"/>
        <v>38035.162880000003</v>
      </c>
    </row>
    <row r="754" spans="1:45" x14ac:dyDescent="0.2">
      <c r="A754" s="180"/>
      <c r="D754" s="182" t="s">
        <v>40</v>
      </c>
      <c r="E754" s="182" t="s">
        <v>40</v>
      </c>
      <c r="F754" s="182" t="s">
        <v>40</v>
      </c>
      <c r="G754" s="182"/>
      <c r="H754" s="182" t="s">
        <v>40</v>
      </c>
      <c r="I754" s="182" t="s">
        <v>40</v>
      </c>
      <c r="J754" s="182" t="s">
        <v>40</v>
      </c>
      <c r="K754" s="182" t="s">
        <v>40</v>
      </c>
      <c r="L754" s="182" t="s">
        <v>40</v>
      </c>
      <c r="M754" s="182"/>
      <c r="N754" s="182" t="s">
        <v>40</v>
      </c>
      <c r="O754" s="182" t="s">
        <v>40</v>
      </c>
      <c r="P754" s="182" t="s">
        <v>40</v>
      </c>
      <c r="Q754" s="182"/>
      <c r="R754" s="182" t="s">
        <v>40</v>
      </c>
      <c r="S754" s="182" t="s">
        <v>40</v>
      </c>
      <c r="T754" s="182" t="s">
        <v>40</v>
      </c>
      <c r="U754" s="182" t="s">
        <v>40</v>
      </c>
      <c r="V754" s="182" t="s">
        <v>40</v>
      </c>
      <c r="W754" s="182"/>
      <c r="X754" s="182" t="s">
        <v>40</v>
      </c>
      <c r="Y754" s="182" t="s">
        <v>40</v>
      </c>
      <c r="Z754" s="182" t="s">
        <v>40</v>
      </c>
      <c r="AA754" s="182" t="s">
        <v>40</v>
      </c>
      <c r="AB754" s="182" t="s">
        <v>40</v>
      </c>
      <c r="AC754" s="182"/>
      <c r="AD754" s="182"/>
      <c r="AE754" s="186" t="s">
        <v>267</v>
      </c>
      <c r="AF754" s="195">
        <f>D705+D713+D741</f>
        <v>58362.307590000004</v>
      </c>
      <c r="AG754" s="195">
        <f>E705+E713+E741</f>
        <v>0</v>
      </c>
      <c r="AH754" s="195">
        <f>F705+F713+F741</f>
        <v>0</v>
      </c>
      <c r="AI754" s="195">
        <f t="shared" si="138"/>
        <v>0</v>
      </c>
      <c r="AJ754" s="165">
        <f>L705+L713+L741</f>
        <v>0</v>
      </c>
      <c r="AK754" s="195">
        <f t="shared" si="139"/>
        <v>0</v>
      </c>
      <c r="AL754" s="195">
        <f>O705+O713+O741</f>
        <v>20327.14471</v>
      </c>
      <c r="AM754" s="165">
        <f>P705+P713+P741</f>
        <v>0</v>
      </c>
      <c r="AN754" s="195">
        <f t="shared" si="140"/>
        <v>20327.14471</v>
      </c>
      <c r="AO754" s="195">
        <f>V705+V713+V741</f>
        <v>0</v>
      </c>
      <c r="AP754" s="195">
        <f t="shared" si="141"/>
        <v>20327.14471</v>
      </c>
      <c r="AQ754" s="195">
        <f t="shared" si="142"/>
        <v>20327.14471</v>
      </c>
      <c r="AR754" s="195">
        <f t="shared" si="143"/>
        <v>38035.162880000003</v>
      </c>
      <c r="AS754" s="195">
        <f t="shared" si="137"/>
        <v>-8.2999999722233042E-4</v>
      </c>
    </row>
    <row r="755" spans="1:45" x14ac:dyDescent="0.2">
      <c r="A755" s="180"/>
      <c r="D755" s="181">
        <f>SUM(D750:D753)</f>
        <v>13236.857690000001</v>
      </c>
      <c r="E755" s="181">
        <f>SUM(E750:E753)</f>
        <v>9280.9955200000004</v>
      </c>
      <c r="F755" s="181">
        <f>SUM(F750:F753)</f>
        <v>0</v>
      </c>
      <c r="G755" s="181"/>
      <c r="H755" s="181">
        <f>SUM(H750:H753)</f>
        <v>9280.994999999999</v>
      </c>
      <c r="I755" s="181">
        <f>SUM(I750:I753)</f>
        <v>0</v>
      </c>
      <c r="J755" s="181">
        <f>SUM(J750:J753)</f>
        <v>0</v>
      </c>
      <c r="K755" s="181">
        <f>SUM(K750:K753)</f>
        <v>0</v>
      </c>
      <c r="L755" s="181">
        <f>SUM(L750:L753)</f>
        <v>0</v>
      </c>
      <c r="M755" s="181"/>
      <c r="N755" s="181">
        <f>SUM(N750:N753)</f>
        <v>9280.9955200000004</v>
      </c>
      <c r="O755" s="181">
        <f>SUM(O750:O753)</f>
        <v>0</v>
      </c>
      <c r="P755" s="181">
        <f>SUM(P750:P753)</f>
        <v>0</v>
      </c>
      <c r="Q755" s="181"/>
      <c r="R755" s="181">
        <f>SUM(R750:R753)</f>
        <v>165.14500000000001</v>
      </c>
      <c r="S755" s="181">
        <f>SUM(S750:S753)</f>
        <v>0</v>
      </c>
      <c r="T755" s="181">
        <f>SUM(T750:T753)</f>
        <v>0</v>
      </c>
      <c r="U755" s="181">
        <f>SUM(U750:U753)</f>
        <v>0</v>
      </c>
      <c r="V755" s="181">
        <f>SUM(V750:V753)</f>
        <v>0</v>
      </c>
      <c r="W755" s="181"/>
      <c r="X755" s="181">
        <f>SUM(X750:X753)</f>
        <v>0</v>
      </c>
      <c r="Y755" s="181">
        <f>SUM(Y750:Y753)</f>
        <v>9446.14</v>
      </c>
      <c r="Z755" s="181">
        <f>SUM(Z750:Z753)</f>
        <v>3790.7176900000004</v>
      </c>
      <c r="AA755" s="181">
        <f>SUM(AA750:AA753)</f>
        <v>9280.9955200000004</v>
      </c>
      <c r="AB755" s="181">
        <f>SUM(AB750:AB753)</f>
        <v>3955.8621700000003</v>
      </c>
      <c r="AC755" s="181"/>
      <c r="AD755" s="181"/>
      <c r="AE755" s="186" t="s">
        <v>53</v>
      </c>
      <c r="AF755" s="195">
        <f>D706+D718+D742</f>
        <v>37792.202230000003</v>
      </c>
      <c r="AG755" s="195">
        <f>E706+E718+E742</f>
        <v>0</v>
      </c>
      <c r="AH755" s="195">
        <f>F706+F718+F742</f>
        <v>0</v>
      </c>
      <c r="AI755" s="195">
        <f t="shared" si="138"/>
        <v>0</v>
      </c>
      <c r="AJ755" s="165">
        <f>L706+L718+L742</f>
        <v>0</v>
      </c>
      <c r="AK755" s="195">
        <f t="shared" si="139"/>
        <v>0</v>
      </c>
      <c r="AL755" s="195">
        <f>O706+O718+O742</f>
        <v>37792.20306</v>
      </c>
      <c r="AM755" s="165">
        <f>P706+P718+P742</f>
        <v>0</v>
      </c>
      <c r="AN755" s="195">
        <f t="shared" si="140"/>
        <v>37792.20306</v>
      </c>
      <c r="AO755" s="195">
        <f>V706+V718+V742</f>
        <v>0</v>
      </c>
      <c r="AP755" s="195">
        <f t="shared" si="141"/>
        <v>37792.20306</v>
      </c>
      <c r="AQ755" s="195">
        <f t="shared" si="142"/>
        <v>37792.20306</v>
      </c>
      <c r="AR755" s="195">
        <f t="shared" si="143"/>
        <v>-8.2999999722233042E-4</v>
      </c>
      <c r="AS755" s="195">
        <f t="shared" si="137"/>
        <v>2679.52169</v>
      </c>
    </row>
    <row r="756" spans="1:45" x14ac:dyDescent="0.2">
      <c r="A756" s="180"/>
      <c r="D756" s="182" t="s">
        <v>40</v>
      </c>
      <c r="E756" s="182" t="s">
        <v>40</v>
      </c>
      <c r="F756" s="182" t="s">
        <v>40</v>
      </c>
      <c r="G756" s="182"/>
      <c r="H756" s="182" t="s">
        <v>40</v>
      </c>
      <c r="I756" s="182" t="s">
        <v>40</v>
      </c>
      <c r="J756" s="182" t="s">
        <v>40</v>
      </c>
      <c r="K756" s="182" t="s">
        <v>40</v>
      </c>
      <c r="L756" s="182" t="s">
        <v>40</v>
      </c>
      <c r="M756" s="182"/>
      <c r="N756" s="182" t="s">
        <v>40</v>
      </c>
      <c r="O756" s="182" t="s">
        <v>40</v>
      </c>
      <c r="P756" s="182" t="s">
        <v>40</v>
      </c>
      <c r="Q756" s="182"/>
      <c r="R756" s="182" t="s">
        <v>40</v>
      </c>
      <c r="S756" s="182" t="s">
        <v>40</v>
      </c>
      <c r="T756" s="182" t="s">
        <v>40</v>
      </c>
      <c r="U756" s="182" t="s">
        <v>40</v>
      </c>
      <c r="V756" s="182" t="s">
        <v>40</v>
      </c>
      <c r="W756" s="182"/>
      <c r="X756" s="182" t="s">
        <v>40</v>
      </c>
      <c r="Y756" s="182" t="s">
        <v>40</v>
      </c>
      <c r="Z756" s="182" t="s">
        <v>40</v>
      </c>
      <c r="AA756" s="182" t="s">
        <v>40</v>
      </c>
      <c r="AB756" s="182" t="s">
        <v>40</v>
      </c>
      <c r="AC756" s="182"/>
      <c r="AD756" s="182"/>
      <c r="AE756" s="186" t="s">
        <v>54</v>
      </c>
      <c r="AF756" s="195">
        <f>D638+D753</f>
        <v>2679.52169</v>
      </c>
      <c r="AG756" s="195">
        <f>E638+E753</f>
        <v>0</v>
      </c>
      <c r="AH756" s="195">
        <f>F638+F753</f>
        <v>0</v>
      </c>
      <c r="AI756" s="195">
        <f t="shared" si="138"/>
        <v>0</v>
      </c>
      <c r="AJ756" s="165">
        <f>L638+L753</f>
        <v>0</v>
      </c>
      <c r="AK756" s="195">
        <f t="shared" si="139"/>
        <v>0</v>
      </c>
      <c r="AL756" s="195">
        <f>O638+O753</f>
        <v>0</v>
      </c>
      <c r="AM756" s="165">
        <f>P638+P753</f>
        <v>0</v>
      </c>
      <c r="AN756" s="195">
        <f t="shared" si="140"/>
        <v>0</v>
      </c>
      <c r="AO756" s="195">
        <f>V638+V753</f>
        <v>0</v>
      </c>
      <c r="AP756" s="195">
        <f t="shared" si="141"/>
        <v>0</v>
      </c>
      <c r="AQ756" s="195">
        <f t="shared" si="142"/>
        <v>0</v>
      </c>
      <c r="AR756" s="195">
        <f t="shared" si="143"/>
        <v>2679.52169</v>
      </c>
      <c r="AS756" s="195" t="e">
        <f>SUM(AS731:AS755)</f>
        <v>#REF!</v>
      </c>
    </row>
    <row r="757" spans="1:45" x14ac:dyDescent="0.2">
      <c r="A757" s="180"/>
      <c r="C757" s="186"/>
      <c r="D757" s="182"/>
      <c r="E757" s="182"/>
      <c r="F757" s="182"/>
      <c r="G757" s="182"/>
      <c r="H757" s="182"/>
      <c r="I757" s="182"/>
      <c r="J757" s="182"/>
      <c r="K757" s="182"/>
      <c r="L757" s="182"/>
      <c r="M757" s="182"/>
      <c r="N757" s="182"/>
      <c r="O757" s="182"/>
      <c r="P757" s="182"/>
      <c r="Q757" s="182"/>
      <c r="R757" s="182"/>
      <c r="S757" s="182"/>
      <c r="T757" s="182"/>
      <c r="U757" s="182"/>
      <c r="V757" s="182"/>
      <c r="W757" s="182"/>
      <c r="X757" s="182"/>
      <c r="Y757" s="182"/>
      <c r="Z757" s="182"/>
      <c r="AA757" s="182"/>
      <c r="AB757" s="182"/>
      <c r="AC757" s="182"/>
      <c r="AD757" s="182"/>
      <c r="AE757" s="186" t="s">
        <v>264</v>
      </c>
      <c r="AF757" s="195" t="e">
        <f t="shared" ref="AF757:AR757" si="144">SUM(AF732:AF756)</f>
        <v>#REF!</v>
      </c>
      <c r="AG757" s="195" t="e">
        <f t="shared" si="144"/>
        <v>#REF!</v>
      </c>
      <c r="AH757" s="195" t="e">
        <f t="shared" si="144"/>
        <v>#REF!</v>
      </c>
      <c r="AI757" s="195" t="e">
        <f t="shared" si="144"/>
        <v>#REF!</v>
      </c>
      <c r="AJ757" s="195" t="e">
        <f t="shared" si="144"/>
        <v>#REF!</v>
      </c>
      <c r="AK757" s="195" t="e">
        <f t="shared" si="144"/>
        <v>#REF!</v>
      </c>
      <c r="AL757" s="195" t="e">
        <f t="shared" si="144"/>
        <v>#REF!</v>
      </c>
      <c r="AM757" s="195" t="e">
        <f t="shared" si="144"/>
        <v>#REF!</v>
      </c>
      <c r="AN757" s="195" t="e">
        <f t="shared" si="144"/>
        <v>#REF!</v>
      </c>
      <c r="AO757" s="195" t="e">
        <f t="shared" si="144"/>
        <v>#REF!</v>
      </c>
      <c r="AP757" s="195" t="e">
        <f t="shared" si="144"/>
        <v>#REF!</v>
      </c>
      <c r="AQ757" s="195" t="e">
        <f t="shared" si="144"/>
        <v>#REF!</v>
      </c>
      <c r="AR757" s="195" t="e">
        <f t="shared" si="144"/>
        <v>#REF!</v>
      </c>
    </row>
    <row r="758" spans="1:45" x14ac:dyDescent="0.2">
      <c r="A758" s="180"/>
      <c r="B758" s="171" t="s">
        <v>26</v>
      </c>
      <c r="C758" s="166" t="s">
        <v>77</v>
      </c>
      <c r="D758" s="181">
        <f>D633+D648+D660+D672+D686+D699+D708+D720+D730+D744+D755</f>
        <v>2148892.7019699998</v>
      </c>
      <c r="E758" s="181" t="e">
        <f>E755+E744+E730+E720+E708+E699+E686+E672+E660+E648+#REF!+#REF!+E633</f>
        <v>#REF!</v>
      </c>
      <c r="F758" s="181" t="e">
        <f>F755+F744+F730+F720+F708+F699+F686+F672+F660+F648+#REF!+#REF!+F633</f>
        <v>#REF!</v>
      </c>
      <c r="G758" s="181"/>
      <c r="H758" s="181">
        <f>H633+H648+H660+H672+H686+H699+H708+H720+H730+H744+H755</f>
        <v>1283051.50333</v>
      </c>
      <c r="I758" s="181" t="e">
        <f>I755+I744+I730+I720+I708+I699+I686+I672+I660+I648+#REF!+#REF!+I633</f>
        <v>#REF!</v>
      </c>
      <c r="J758" s="181" t="e">
        <f>J755+J744+J730+J720+J708+J699+J686+J672+J660+J648+#REF!+#REF!+J633</f>
        <v>#REF!</v>
      </c>
      <c r="K758" s="181" t="e">
        <f>K755+K744+K730+K720+K708+K699+K686+K672+K660+K648+#REF!+#REF!+K633</f>
        <v>#REF!</v>
      </c>
      <c r="L758" s="181" t="e">
        <f>L755+L744+L730+L720+L708+L699+L686+L672+L660+L648+#REF!+#REF!+L633</f>
        <v>#REF!</v>
      </c>
      <c r="M758" s="181"/>
      <c r="N758" s="181" t="e">
        <f>N755+N744+N730+N720+N708+N699+N686+N672+N660+N648+#REF!+#REF!+N633</f>
        <v>#REF!</v>
      </c>
      <c r="O758" s="181" t="e">
        <f>O755+O744+O730+O720+O708+O699+O686+O672+O660+O648+#REF!+#REF!+O633</f>
        <v>#REF!</v>
      </c>
      <c r="P758" s="181" t="e">
        <f>P755+P744+P730+P720+P708+P699+P686+P672+P660+P648+#REF!+#REF!+P633</f>
        <v>#REF!</v>
      </c>
      <c r="Q758" s="181"/>
      <c r="R758" s="181">
        <f>R633+R648+R660+R672+R686+R699+R708+R720+R730+R744+R755</f>
        <v>130531.24608</v>
      </c>
      <c r="S758" s="181" t="e">
        <f>S755+S744+S730+S720+S708+S699+S686+S672+S660+S648+#REF!+#REF!+S633</f>
        <v>#REF!</v>
      </c>
      <c r="T758" s="181" t="e">
        <f>T755+T744+T730+T720+T708+T699+T686+T672+T660+T648+#REF!+#REF!+T633</f>
        <v>#REF!</v>
      </c>
      <c r="U758" s="181" t="e">
        <f>U755+U744+U730+U720+U708+U699+U686+U672+U660+U648+#REF!+#REF!+U633</f>
        <v>#REF!</v>
      </c>
      <c r="V758" s="181" t="e">
        <f>V755+V744+V730+V720+V708+V699+V686+V672+V660+V648+#REF!+#REF!+V633</f>
        <v>#REF!</v>
      </c>
      <c r="W758" s="181"/>
      <c r="X758" s="181" t="e">
        <f>X755+X744+X730+X720+X708+X699+X686+X672+X660+X648+#REF!+#REF!+X633</f>
        <v>#REF!</v>
      </c>
      <c r="Y758" s="181">
        <f>Y633+Y648+Y660+Y672+Y686+Y699+Y708+Y720+Y730+Y744+Y755</f>
        <v>1413582.75003</v>
      </c>
      <c r="Z758" s="181">
        <f>Z633+Z648+Z660+Z672+Z686+Z699+Z708+Z720+Z730+Z744+Z755</f>
        <v>735309.95290999999</v>
      </c>
      <c r="AA758" s="181" t="e">
        <f>AA755+AA744+AA730+AA720+AA708+AA699+AA686+AA672+AA660+AA648+#REF!+#REF!+AA633</f>
        <v>#REF!</v>
      </c>
      <c r="AB758" s="181" t="e">
        <f>AB755+AB744+AB730+AB720+AB708+AB699+AB686+AB672+AB660+AB648+#REF!+#REF!+AB633</f>
        <v>#REF!</v>
      </c>
      <c r="AC758" s="181"/>
      <c r="AD758" s="181"/>
      <c r="AS758" s="165" t="e">
        <f>+AB758-AS756</f>
        <v>#REF!</v>
      </c>
    </row>
    <row r="759" spans="1:45" x14ac:dyDescent="0.2">
      <c r="A759" s="180"/>
      <c r="D759" s="182" t="s">
        <v>50</v>
      </c>
      <c r="E759" s="182" t="s">
        <v>50</v>
      </c>
      <c r="F759" s="182" t="s">
        <v>50</v>
      </c>
      <c r="G759" s="182"/>
      <c r="H759" s="182" t="s">
        <v>50</v>
      </c>
      <c r="I759" s="182" t="s">
        <v>50</v>
      </c>
      <c r="J759" s="182" t="s">
        <v>50</v>
      </c>
      <c r="K759" s="182" t="s">
        <v>50</v>
      </c>
      <c r="L759" s="182" t="s">
        <v>50</v>
      </c>
      <c r="M759" s="182"/>
      <c r="N759" s="182" t="s">
        <v>50</v>
      </c>
      <c r="O759" s="182" t="s">
        <v>50</v>
      </c>
      <c r="P759" s="182" t="s">
        <v>50</v>
      </c>
      <c r="Q759" s="182"/>
      <c r="R759" s="182" t="s">
        <v>50</v>
      </c>
      <c r="S759" s="182" t="s">
        <v>50</v>
      </c>
      <c r="T759" s="182" t="s">
        <v>50</v>
      </c>
      <c r="U759" s="182" t="s">
        <v>50</v>
      </c>
      <c r="V759" s="182" t="s">
        <v>50</v>
      </c>
      <c r="W759" s="182"/>
      <c r="X759" s="182" t="s">
        <v>50</v>
      </c>
      <c r="Y759" s="182" t="s">
        <v>50</v>
      </c>
      <c r="Z759" s="182" t="s">
        <v>50</v>
      </c>
      <c r="AA759" s="182" t="s">
        <v>50</v>
      </c>
      <c r="AB759" s="182" t="s">
        <v>50</v>
      </c>
      <c r="AC759" s="182"/>
      <c r="AD759" s="182"/>
    </row>
    <row r="760" spans="1:45" x14ac:dyDescent="0.2">
      <c r="A760" s="180"/>
      <c r="C760" s="186"/>
      <c r="D760" s="191"/>
      <c r="E760" s="191"/>
      <c r="F760" s="191"/>
      <c r="G760" s="191"/>
      <c r="H760" s="191"/>
      <c r="I760" s="191"/>
      <c r="J760" s="191"/>
      <c r="K760" s="191"/>
      <c r="L760" s="191"/>
      <c r="M760" s="191"/>
      <c r="N760" s="191"/>
      <c r="O760" s="191"/>
      <c r="P760" s="191"/>
      <c r="Q760" s="191"/>
      <c r="R760" s="191"/>
      <c r="S760" s="191"/>
      <c r="T760" s="191"/>
      <c r="U760" s="191"/>
      <c r="V760" s="191"/>
      <c r="W760" s="191"/>
      <c r="X760" s="191"/>
      <c r="Y760" s="191"/>
      <c r="Z760" s="191"/>
      <c r="AA760" s="191"/>
      <c r="AB760" s="191"/>
      <c r="AC760" s="191"/>
      <c r="AD760" s="191"/>
    </row>
    <row r="761" spans="1:45" x14ac:dyDescent="0.2">
      <c r="A761" s="180"/>
      <c r="B761" s="165" t="s">
        <v>196</v>
      </c>
      <c r="D761" s="191"/>
      <c r="E761" s="191"/>
      <c r="F761" s="191"/>
      <c r="G761" s="191"/>
      <c r="H761" s="191"/>
      <c r="I761" s="191"/>
      <c r="J761" s="191"/>
      <c r="K761" s="191"/>
      <c r="L761" s="191"/>
      <c r="M761" s="191"/>
      <c r="N761" s="191"/>
      <c r="O761" s="191"/>
      <c r="P761" s="191"/>
      <c r="Q761" s="191"/>
      <c r="R761" s="191"/>
      <c r="S761" s="191"/>
      <c r="T761" s="191"/>
      <c r="U761" s="191"/>
      <c r="V761" s="191"/>
      <c r="W761" s="191"/>
      <c r="X761" s="191"/>
      <c r="Y761" s="191"/>
      <c r="Z761" s="191"/>
      <c r="AA761" s="191"/>
      <c r="AB761" s="191"/>
      <c r="AC761" s="191"/>
      <c r="AD761" s="191"/>
    </row>
    <row r="762" spans="1:45" x14ac:dyDescent="0.2">
      <c r="A762" s="180"/>
      <c r="D762" s="191"/>
      <c r="E762" s="191"/>
      <c r="F762" s="191"/>
      <c r="G762" s="191"/>
      <c r="H762" s="191"/>
      <c r="I762" s="191"/>
      <c r="J762" s="191"/>
      <c r="K762" s="191"/>
      <c r="L762" s="191"/>
      <c r="M762" s="191"/>
      <c r="N762" s="191"/>
      <c r="O762" s="191"/>
      <c r="P762" s="191"/>
      <c r="Q762" s="191"/>
      <c r="R762" s="191"/>
      <c r="S762" s="191"/>
      <c r="T762" s="191"/>
      <c r="U762" s="191"/>
      <c r="V762" s="191"/>
      <c r="W762" s="191"/>
      <c r="X762" s="191"/>
      <c r="Y762" s="191"/>
      <c r="Z762" s="191"/>
      <c r="AA762" s="191"/>
      <c r="AB762" s="191"/>
      <c r="AC762" s="191"/>
      <c r="AD762" s="191"/>
    </row>
    <row r="763" spans="1:45" x14ac:dyDescent="0.2">
      <c r="A763" s="180">
        <v>56</v>
      </c>
      <c r="B763" s="165" t="s">
        <v>197</v>
      </c>
      <c r="C763" s="166" t="s">
        <v>35</v>
      </c>
      <c r="D763" s="181">
        <f>39953505.83/1000</f>
        <v>39953.505829999995</v>
      </c>
      <c r="E763" s="181">
        <f>TOBEPAID!E581/1000</f>
        <v>31075.446</v>
      </c>
      <c r="F763" s="181">
        <f>TOBEPAID!F581/1000</f>
        <v>0</v>
      </c>
      <c r="G763" s="181">
        <f>TOBEPAID!G581/1000</f>
        <v>0</v>
      </c>
      <c r="H763" s="181">
        <f>36749844/1000</f>
        <v>36749.843999999997</v>
      </c>
      <c r="I763" s="181">
        <f>TOBEPAID!I581/1000</f>
        <v>0</v>
      </c>
      <c r="J763" s="181">
        <f>TOBEPAID!J581/1000</f>
        <v>0</v>
      </c>
      <c r="K763" s="181">
        <f>TOBEPAID!K581/1000</f>
        <v>0</v>
      </c>
      <c r="L763" s="181">
        <f>TOBEPAID!L581/1000</f>
        <v>0</v>
      </c>
      <c r="M763" s="181">
        <f>TOBEPAID!M581/1000</f>
        <v>0</v>
      </c>
      <c r="N763" s="181">
        <f>TOBEPAID!N581/1000</f>
        <v>31075.446</v>
      </c>
      <c r="O763" s="181">
        <f>TOBEPAID!O581/1000</f>
        <v>2818.2633600000004</v>
      </c>
      <c r="P763" s="181">
        <f>TOBEPAID!P581/1000</f>
        <v>0</v>
      </c>
      <c r="Q763" s="181">
        <f>TOBEPAID!Q581/1000</f>
        <v>0</v>
      </c>
      <c r="R763" s="181">
        <f>2818263/1000</f>
        <v>2818.2629999999999</v>
      </c>
      <c r="S763" s="181">
        <f>TOBEPAID!S581/1000</f>
        <v>0</v>
      </c>
      <c r="T763" s="181">
        <f>TOBEPAID!T581/1000</f>
        <v>0</v>
      </c>
      <c r="U763" s="181">
        <f>TOBEPAID!U581/1000</f>
        <v>0</v>
      </c>
      <c r="V763" s="181">
        <f>TOBEPAID!V581/1000</f>
        <v>0</v>
      </c>
      <c r="W763" s="181">
        <f>TOBEPAID!W581/1000</f>
        <v>0</v>
      </c>
      <c r="X763" s="181">
        <f>TOBEPAID!X581/1000</f>
        <v>2818.2633600000004</v>
      </c>
      <c r="Y763" s="181">
        <f>+H763+R763</f>
        <v>39568.106999999996</v>
      </c>
      <c r="Z763" s="181">
        <f t="shared" ref="Z763:Z779" si="145">+D763-Y763</f>
        <v>385.39882999999827</v>
      </c>
      <c r="AA763" s="181">
        <f>TOBEPAID!AA581/1000</f>
        <v>33893.709360000001</v>
      </c>
      <c r="AB763" s="181">
        <f>TOBEPAID!AB581/1000</f>
        <v>209.87651000000443</v>
      </c>
      <c r="AC763" s="181"/>
      <c r="AD763" s="181"/>
    </row>
    <row r="764" spans="1:45" x14ac:dyDescent="0.2">
      <c r="A764" s="180"/>
      <c r="C764" s="165" t="s">
        <v>36</v>
      </c>
      <c r="D764" s="181">
        <f>2118204/1000</f>
        <v>2118.2040000000002</v>
      </c>
      <c r="E764" s="181">
        <f>TOBEPAID!E582/1000</f>
        <v>2118.2040000000002</v>
      </c>
      <c r="F764" s="181">
        <f>TOBEPAID!F582/1000</f>
        <v>0</v>
      </c>
      <c r="G764" s="181">
        <f>TOBEPAID!G582/1000</f>
        <v>0</v>
      </c>
      <c r="H764" s="181">
        <f>2118204/1000</f>
        <v>2118.2040000000002</v>
      </c>
      <c r="I764" s="181">
        <f>TOBEPAID!I582/1000</f>
        <v>0</v>
      </c>
      <c r="J764" s="181">
        <f>TOBEPAID!J582/1000</f>
        <v>0</v>
      </c>
      <c r="K764" s="181">
        <f>TOBEPAID!K582/1000</f>
        <v>0</v>
      </c>
      <c r="L764" s="181">
        <f>TOBEPAID!L582/1000</f>
        <v>0</v>
      </c>
      <c r="M764" s="181">
        <f>TOBEPAID!M582/1000</f>
        <v>0</v>
      </c>
      <c r="N764" s="181">
        <f>TOBEPAID!N582/1000</f>
        <v>2118.2040000000002</v>
      </c>
      <c r="O764" s="181">
        <f>TOBEPAID!O582/1000</f>
        <v>0</v>
      </c>
      <c r="P764" s="181">
        <f>TOBEPAID!P582/1000</f>
        <v>0</v>
      </c>
      <c r="Q764" s="181">
        <f>TOBEPAID!Q582/1000</f>
        <v>0</v>
      </c>
      <c r="R764" s="181">
        <v>0</v>
      </c>
      <c r="S764" s="181">
        <f>TOBEPAID!S582/1000</f>
        <v>0</v>
      </c>
      <c r="T764" s="181">
        <f>TOBEPAID!T582/1000</f>
        <v>0</v>
      </c>
      <c r="U764" s="181">
        <f>TOBEPAID!U582/1000</f>
        <v>0</v>
      </c>
      <c r="V764" s="181">
        <f>TOBEPAID!V582/1000</f>
        <v>0</v>
      </c>
      <c r="W764" s="181">
        <f>TOBEPAID!W582/1000</f>
        <v>0</v>
      </c>
      <c r="X764" s="181">
        <f>TOBEPAID!X582/1000</f>
        <v>0</v>
      </c>
      <c r="Y764" s="181">
        <f t="shared" ref="Y764:Y778" si="146">+H764+R764</f>
        <v>2118.2040000000002</v>
      </c>
      <c r="Z764" s="181">
        <f t="shared" si="145"/>
        <v>0</v>
      </c>
      <c r="AA764" s="181">
        <f>TOBEPAID!AA582/1000</f>
        <v>2118.2040000000002</v>
      </c>
      <c r="AB764" s="181">
        <f>TOBEPAID!AB582/1000</f>
        <v>0</v>
      </c>
      <c r="AC764" s="181"/>
      <c r="AD764" s="181"/>
    </row>
    <row r="765" spans="1:45" x14ac:dyDescent="0.2">
      <c r="A765" s="180"/>
      <c r="C765" s="165" t="s">
        <v>460</v>
      </c>
      <c r="D765" s="181">
        <f>18394886/1000</f>
        <v>18394.885999999999</v>
      </c>
      <c r="E765" s="181"/>
      <c r="F765" s="181"/>
      <c r="G765" s="181"/>
      <c r="H765" s="181">
        <f>18394556/1000</f>
        <v>18394.556</v>
      </c>
      <c r="I765" s="181"/>
      <c r="J765" s="181"/>
      <c r="K765" s="181"/>
      <c r="L765" s="181"/>
      <c r="M765" s="181"/>
      <c r="N765" s="181"/>
      <c r="O765" s="181"/>
      <c r="P765" s="181"/>
      <c r="Q765" s="181"/>
      <c r="R765" s="181">
        <v>0</v>
      </c>
      <c r="S765" s="181"/>
      <c r="T765" s="181"/>
      <c r="U765" s="181"/>
      <c r="V765" s="181"/>
      <c r="W765" s="181"/>
      <c r="X765" s="181"/>
      <c r="Y765" s="181">
        <f>+H765+R765</f>
        <v>18394.556</v>
      </c>
      <c r="Z765" s="181">
        <f t="shared" si="145"/>
        <v>0.32999999999810825</v>
      </c>
      <c r="AA765" s="181"/>
      <c r="AB765" s="181"/>
      <c r="AC765" s="181"/>
      <c r="AD765" s="181"/>
    </row>
    <row r="766" spans="1:45" x14ac:dyDescent="0.2">
      <c r="A766" s="180"/>
      <c r="C766" s="165" t="s">
        <v>454</v>
      </c>
      <c r="D766" s="181">
        <f>11605113/1000</f>
        <v>11605.112999999999</v>
      </c>
      <c r="E766" s="181"/>
      <c r="F766" s="181"/>
      <c r="G766" s="181"/>
      <c r="H766" s="181">
        <f>11605113/1000</f>
        <v>11605.112999999999</v>
      </c>
      <c r="I766" s="181"/>
      <c r="J766" s="181"/>
      <c r="K766" s="181"/>
      <c r="L766" s="181"/>
      <c r="M766" s="181"/>
      <c r="N766" s="181"/>
      <c r="O766" s="181"/>
      <c r="P766" s="181"/>
      <c r="Q766" s="181"/>
      <c r="R766" s="181">
        <v>0</v>
      </c>
      <c r="S766" s="181"/>
      <c r="T766" s="181"/>
      <c r="U766" s="181"/>
      <c r="V766" s="181"/>
      <c r="W766" s="181"/>
      <c r="X766" s="181"/>
      <c r="Y766" s="181">
        <f>+H766+R766</f>
        <v>11605.112999999999</v>
      </c>
      <c r="Z766" s="181">
        <f t="shared" si="145"/>
        <v>0</v>
      </c>
      <c r="AA766" s="181"/>
      <c r="AB766" s="181"/>
      <c r="AC766" s="181"/>
      <c r="AD766" s="181"/>
    </row>
    <row r="767" spans="1:45" x14ac:dyDescent="0.2">
      <c r="C767" s="165" t="s">
        <v>305</v>
      </c>
      <c r="D767" s="181">
        <v>0</v>
      </c>
      <c r="E767" s="181">
        <f>TOBEPAID!E583/1000</f>
        <v>34199.417729999994</v>
      </c>
      <c r="F767" s="181">
        <f>TOBEPAID!F583/1000</f>
        <v>0</v>
      </c>
      <c r="G767" s="181">
        <f>TOBEPAID!G583/1000</f>
        <v>0</v>
      </c>
      <c r="H767" s="181">
        <v>0</v>
      </c>
      <c r="I767" s="181">
        <f>TOBEPAID!I583/1000</f>
        <v>0</v>
      </c>
      <c r="J767" s="181">
        <f>TOBEPAID!J583/1000</f>
        <v>0</v>
      </c>
      <c r="K767" s="181">
        <f>TOBEPAID!K583/1000</f>
        <v>0</v>
      </c>
      <c r="L767" s="181">
        <f>TOBEPAID!L583/1000</f>
        <v>0</v>
      </c>
      <c r="M767" s="181">
        <f>TOBEPAID!M583/1000</f>
        <v>0</v>
      </c>
      <c r="N767" s="181">
        <f>TOBEPAID!N583/1000</f>
        <v>34199.417729999994</v>
      </c>
      <c r="O767" s="181">
        <f>TOBEPAID!O583/1000</f>
        <v>0</v>
      </c>
      <c r="P767" s="181">
        <f>TOBEPAID!P583/1000</f>
        <v>0</v>
      </c>
      <c r="Q767" s="181">
        <f>TOBEPAID!Q583/1000</f>
        <v>0</v>
      </c>
      <c r="R767" s="181">
        <v>0</v>
      </c>
      <c r="S767" s="181">
        <f>TOBEPAID!S583/1000</f>
        <v>0</v>
      </c>
      <c r="T767" s="181">
        <f>TOBEPAID!T583/1000</f>
        <v>0</v>
      </c>
      <c r="U767" s="181">
        <f>TOBEPAID!U583/1000</f>
        <v>0</v>
      </c>
      <c r="V767" s="181">
        <f>TOBEPAID!V583/1000</f>
        <v>0</v>
      </c>
      <c r="W767" s="181">
        <f>TOBEPAID!W583/1000</f>
        <v>0</v>
      </c>
      <c r="X767" s="181">
        <f>TOBEPAID!X583/1000</f>
        <v>0</v>
      </c>
      <c r="Y767" s="181">
        <f t="shared" si="146"/>
        <v>0</v>
      </c>
      <c r="Z767" s="181">
        <f t="shared" si="145"/>
        <v>0</v>
      </c>
      <c r="AA767" s="181">
        <f>TOBEPAID!AA583/1000</f>
        <v>34199.417729999994</v>
      </c>
      <c r="AB767" s="181">
        <f>TOBEPAID!AB583/1000</f>
        <v>0</v>
      </c>
      <c r="AC767" s="181"/>
      <c r="AD767" s="181"/>
    </row>
    <row r="768" spans="1:45" x14ac:dyDescent="0.2">
      <c r="C768" s="165" t="s">
        <v>399</v>
      </c>
      <c r="D768" s="165">
        <f>3542454.5/1000</f>
        <v>3542.4544999999998</v>
      </c>
      <c r="H768" s="165">
        <f>3542454.5/1000</f>
        <v>3542.4544999999998</v>
      </c>
      <c r="R768" s="181">
        <v>0</v>
      </c>
      <c r="Y768" s="181">
        <f t="shared" si="146"/>
        <v>3542.4544999999998</v>
      </c>
      <c r="Z768" s="181">
        <f t="shared" si="145"/>
        <v>0</v>
      </c>
    </row>
    <row r="769" spans="1:30" x14ac:dyDescent="0.2">
      <c r="C769" s="165" t="s">
        <v>398</v>
      </c>
      <c r="D769" s="165">
        <f>48258532/1000</f>
        <v>48258.531999999999</v>
      </c>
      <c r="H769" s="165">
        <f>48258532/1000</f>
        <v>48258.531999999999</v>
      </c>
      <c r="R769" s="181">
        <v>0</v>
      </c>
      <c r="Y769" s="181">
        <f t="shared" si="146"/>
        <v>48258.531999999999</v>
      </c>
      <c r="Z769" s="181">
        <f t="shared" si="145"/>
        <v>0</v>
      </c>
    </row>
    <row r="770" spans="1:30" x14ac:dyDescent="0.2">
      <c r="C770" s="165" t="s">
        <v>375</v>
      </c>
      <c r="D770" s="181">
        <f>6732875.33/1000</f>
        <v>6732.8753299999998</v>
      </c>
      <c r="E770" s="181">
        <f>TOBEPAID!E584/1000</f>
        <v>6732.8753299999998</v>
      </c>
      <c r="F770" s="181">
        <f>TOBEPAID!F584/1000</f>
        <v>0</v>
      </c>
      <c r="G770" s="181">
        <f>TOBEPAID!G584/1000</f>
        <v>0</v>
      </c>
      <c r="H770" s="181">
        <f>6732875.33/1000</f>
        <v>6732.8753299999998</v>
      </c>
      <c r="I770" s="181">
        <f>TOBEPAID!I584/1000</f>
        <v>0</v>
      </c>
      <c r="J770" s="181">
        <f>TOBEPAID!J584/1000</f>
        <v>0</v>
      </c>
      <c r="K770" s="181">
        <f>TOBEPAID!K584/1000</f>
        <v>0</v>
      </c>
      <c r="L770" s="181">
        <f>TOBEPAID!L584/1000</f>
        <v>0</v>
      </c>
      <c r="M770" s="181">
        <f>TOBEPAID!M584/1000</f>
        <v>0</v>
      </c>
      <c r="N770" s="181">
        <f>TOBEPAID!N584/1000</f>
        <v>6732.8753299999998</v>
      </c>
      <c r="O770" s="181">
        <f>TOBEPAID!O584/1000</f>
        <v>0</v>
      </c>
      <c r="P770" s="181">
        <f>TOBEPAID!P584/1000</f>
        <v>0</v>
      </c>
      <c r="Q770" s="181">
        <f>TOBEPAID!Q584/1000</f>
        <v>0</v>
      </c>
      <c r="R770" s="181">
        <v>0</v>
      </c>
      <c r="S770" s="181">
        <f>TOBEPAID!S584/1000</f>
        <v>0</v>
      </c>
      <c r="T770" s="181">
        <f>TOBEPAID!T584/1000</f>
        <v>0</v>
      </c>
      <c r="U770" s="181">
        <f>TOBEPAID!U584/1000</f>
        <v>0</v>
      </c>
      <c r="V770" s="181">
        <f>TOBEPAID!V584/1000</f>
        <v>0</v>
      </c>
      <c r="W770" s="181">
        <f>TOBEPAID!W584/1000</f>
        <v>0</v>
      </c>
      <c r="X770" s="181">
        <f>TOBEPAID!X584/1000</f>
        <v>0</v>
      </c>
      <c r="Y770" s="181">
        <f t="shared" si="146"/>
        <v>6732.8753299999998</v>
      </c>
      <c r="Z770" s="181">
        <f t="shared" si="145"/>
        <v>0</v>
      </c>
      <c r="AA770" s="181">
        <f>TOBEPAID!AA584/1000</f>
        <v>6732.8753299999998</v>
      </c>
      <c r="AB770" s="181">
        <f>TOBEPAID!AB584/1000</f>
        <v>0</v>
      </c>
      <c r="AC770" s="181"/>
      <c r="AD770" s="181"/>
    </row>
    <row r="771" spans="1:30" x14ac:dyDescent="0.2">
      <c r="C771" s="165" t="s">
        <v>366</v>
      </c>
      <c r="D771" s="181">
        <f>5455832.77/1000</f>
        <v>5455.83277</v>
      </c>
      <c r="E771" s="181"/>
      <c r="F771" s="181"/>
      <c r="G771" s="181"/>
      <c r="H771" s="181">
        <f>5455832.77/1000</f>
        <v>5455.83277</v>
      </c>
      <c r="I771" s="181"/>
      <c r="J771" s="181"/>
      <c r="K771" s="181"/>
      <c r="L771" s="181"/>
      <c r="M771" s="181"/>
      <c r="N771" s="181"/>
      <c r="O771" s="181"/>
      <c r="P771" s="181"/>
      <c r="Q771" s="181"/>
      <c r="R771" s="181">
        <v>0</v>
      </c>
      <c r="S771" s="181"/>
      <c r="T771" s="181"/>
      <c r="U771" s="181"/>
      <c r="V771" s="181"/>
      <c r="W771" s="181"/>
      <c r="X771" s="181"/>
      <c r="Y771" s="181">
        <f t="shared" si="146"/>
        <v>5455.83277</v>
      </c>
      <c r="Z771" s="181">
        <f t="shared" si="145"/>
        <v>0</v>
      </c>
      <c r="AA771" s="181"/>
      <c r="AB771" s="181"/>
      <c r="AC771" s="181"/>
      <c r="AD771" s="181"/>
    </row>
    <row r="772" spans="1:30" x14ac:dyDescent="0.2">
      <c r="C772" s="165" t="s">
        <v>374</v>
      </c>
      <c r="D772" s="181">
        <f>3940546/1000</f>
        <v>3940.5459999999998</v>
      </c>
      <c r="E772" s="181"/>
      <c r="F772" s="181"/>
      <c r="G772" s="181"/>
      <c r="H772" s="181">
        <f>3940546/1000</f>
        <v>3940.5459999999998</v>
      </c>
      <c r="I772" s="181"/>
      <c r="J772" s="181"/>
      <c r="K772" s="181"/>
      <c r="L772" s="181"/>
      <c r="M772" s="181"/>
      <c r="N772" s="181"/>
      <c r="O772" s="181"/>
      <c r="P772" s="181"/>
      <c r="Q772" s="181"/>
      <c r="R772" s="181">
        <v>0</v>
      </c>
      <c r="S772" s="181"/>
      <c r="T772" s="181"/>
      <c r="U772" s="181"/>
      <c r="V772" s="181"/>
      <c r="W772" s="181"/>
      <c r="X772" s="181"/>
      <c r="Y772" s="181">
        <f t="shared" si="146"/>
        <v>3940.5459999999998</v>
      </c>
      <c r="Z772" s="181">
        <f t="shared" si="145"/>
        <v>0</v>
      </c>
      <c r="AA772" s="181"/>
      <c r="AB772" s="181"/>
      <c r="AC772" s="181"/>
      <c r="AD772" s="181"/>
    </row>
    <row r="773" spans="1:30" x14ac:dyDescent="0.2">
      <c r="C773" s="165" t="s">
        <v>387</v>
      </c>
      <c r="D773" s="181">
        <f>8059304/1000</f>
        <v>8059.3040000000001</v>
      </c>
      <c r="E773" s="181"/>
      <c r="F773" s="181"/>
      <c r="G773" s="181"/>
      <c r="H773" s="181">
        <f>8059304/1000</f>
        <v>8059.3040000000001</v>
      </c>
      <c r="I773" s="181"/>
      <c r="J773" s="181"/>
      <c r="K773" s="181"/>
      <c r="L773" s="181"/>
      <c r="M773" s="181"/>
      <c r="N773" s="181"/>
      <c r="O773" s="181"/>
      <c r="P773" s="181"/>
      <c r="Q773" s="181"/>
      <c r="R773" s="181">
        <v>0</v>
      </c>
      <c r="S773" s="181"/>
      <c r="T773" s="181"/>
      <c r="U773" s="181"/>
      <c r="V773" s="181"/>
      <c r="W773" s="181"/>
      <c r="X773" s="181"/>
      <c r="Y773" s="181">
        <f t="shared" si="146"/>
        <v>8059.3040000000001</v>
      </c>
      <c r="Z773" s="181">
        <f t="shared" si="145"/>
        <v>0</v>
      </c>
      <c r="AA773" s="181"/>
      <c r="AB773" s="181"/>
      <c r="AC773" s="181"/>
      <c r="AD773" s="181"/>
    </row>
    <row r="774" spans="1:30" x14ac:dyDescent="0.2">
      <c r="C774" s="165" t="s">
        <v>437</v>
      </c>
      <c r="D774" s="181">
        <f>12000000/1000</f>
        <v>12000</v>
      </c>
      <c r="E774" s="181"/>
      <c r="F774" s="181"/>
      <c r="G774" s="181"/>
      <c r="H774" s="181">
        <f>12000000/1000</f>
        <v>12000</v>
      </c>
      <c r="I774" s="181"/>
      <c r="J774" s="181"/>
      <c r="K774" s="181"/>
      <c r="L774" s="181"/>
      <c r="M774" s="181"/>
      <c r="N774" s="181"/>
      <c r="O774" s="181"/>
      <c r="P774" s="181"/>
      <c r="Q774" s="181"/>
      <c r="R774" s="181">
        <v>0</v>
      </c>
      <c r="S774" s="181"/>
      <c r="T774" s="181"/>
      <c r="U774" s="181"/>
      <c r="V774" s="181"/>
      <c r="W774" s="181"/>
      <c r="X774" s="181"/>
      <c r="Y774" s="181">
        <f t="shared" si="146"/>
        <v>12000</v>
      </c>
      <c r="Z774" s="181">
        <f t="shared" si="145"/>
        <v>0</v>
      </c>
      <c r="AA774" s="181"/>
      <c r="AB774" s="181"/>
      <c r="AC774" s="181"/>
      <c r="AD774" s="181"/>
    </row>
    <row r="775" spans="1:30" x14ac:dyDescent="0.2">
      <c r="C775" s="165" t="s">
        <v>450</v>
      </c>
      <c r="D775" s="181">
        <f>12000000/1000</f>
        <v>12000</v>
      </c>
      <c r="E775" s="181"/>
      <c r="F775" s="181"/>
      <c r="G775" s="181"/>
      <c r="H775" s="181">
        <f>12000000/1000</f>
        <v>12000</v>
      </c>
      <c r="I775" s="181"/>
      <c r="J775" s="181"/>
      <c r="K775" s="181"/>
      <c r="L775" s="181"/>
      <c r="M775" s="181"/>
      <c r="N775" s="181"/>
      <c r="O775" s="181"/>
      <c r="P775" s="181"/>
      <c r="Q775" s="181"/>
      <c r="R775" s="181">
        <v>0</v>
      </c>
      <c r="S775" s="181"/>
      <c r="T775" s="181"/>
      <c r="U775" s="181"/>
      <c r="V775" s="181"/>
      <c r="W775" s="181"/>
      <c r="X775" s="181"/>
      <c r="Y775" s="181">
        <f t="shared" si="146"/>
        <v>12000</v>
      </c>
      <c r="Z775" s="181">
        <f t="shared" si="145"/>
        <v>0</v>
      </c>
      <c r="AA775" s="181"/>
      <c r="AB775" s="181"/>
      <c r="AC775" s="181"/>
      <c r="AD775" s="181"/>
    </row>
    <row r="776" spans="1:30" x14ac:dyDescent="0.2">
      <c r="C776" s="165" t="s">
        <v>290</v>
      </c>
      <c r="D776" s="181">
        <f>602000000/1000</f>
        <v>602000</v>
      </c>
      <c r="E776" s="181">
        <f>TOBEPAID!E585/1000</f>
        <v>0</v>
      </c>
      <c r="F776" s="181">
        <f>TOBEPAID!F585/1000</f>
        <v>24000</v>
      </c>
      <c r="G776" s="181">
        <f>TOBEPAID!G585/1000</f>
        <v>0</v>
      </c>
      <c r="H776" s="181">
        <f>602000000/1000</f>
        <v>602000</v>
      </c>
      <c r="I776" s="181">
        <f>TOBEPAID!I585/1000</f>
        <v>0</v>
      </c>
      <c r="J776" s="181">
        <f>TOBEPAID!J585/1000</f>
        <v>0</v>
      </c>
      <c r="K776" s="181">
        <f>TOBEPAID!K585/1000</f>
        <v>0</v>
      </c>
      <c r="L776" s="181">
        <f>TOBEPAID!L585/1000</f>
        <v>0</v>
      </c>
      <c r="M776" s="181">
        <f>TOBEPAID!M585/1000</f>
        <v>0</v>
      </c>
      <c r="N776" s="181">
        <f>TOBEPAID!N585/1000</f>
        <v>24000</v>
      </c>
      <c r="O776" s="181">
        <f>TOBEPAID!O585/1000</f>
        <v>0</v>
      </c>
      <c r="P776" s="181">
        <f>TOBEPAID!P585/1000</f>
        <v>0</v>
      </c>
      <c r="Q776" s="181">
        <f>TOBEPAID!Q585/1000</f>
        <v>0</v>
      </c>
      <c r="R776" s="181">
        <v>0</v>
      </c>
      <c r="S776" s="181">
        <f>TOBEPAID!S585/1000</f>
        <v>0</v>
      </c>
      <c r="T776" s="181">
        <f>TOBEPAID!T585/1000</f>
        <v>0</v>
      </c>
      <c r="U776" s="181">
        <f>TOBEPAID!U585/1000</f>
        <v>0</v>
      </c>
      <c r="V776" s="181">
        <f>TOBEPAID!V585/1000</f>
        <v>0</v>
      </c>
      <c r="W776" s="181">
        <f>TOBEPAID!W585/1000</f>
        <v>0</v>
      </c>
      <c r="X776" s="181">
        <f>TOBEPAID!X585/1000</f>
        <v>0</v>
      </c>
      <c r="Y776" s="181">
        <f t="shared" si="146"/>
        <v>602000</v>
      </c>
      <c r="Z776" s="181">
        <f t="shared" si="145"/>
        <v>0</v>
      </c>
      <c r="AA776" s="181">
        <f>TOBEPAID!AA585/1000</f>
        <v>24000</v>
      </c>
      <c r="AB776" s="181">
        <f>TOBEPAID!AB585/1000</f>
        <v>0</v>
      </c>
      <c r="AC776" s="181"/>
      <c r="AD776" s="181"/>
    </row>
    <row r="777" spans="1:30" x14ac:dyDescent="0.2">
      <c r="A777" s="180"/>
      <c r="C777" s="165" t="s">
        <v>198</v>
      </c>
      <c r="D777" s="181">
        <v>0</v>
      </c>
      <c r="E777" s="181">
        <f>TOBEPAID!E586/1000</f>
        <v>0</v>
      </c>
      <c r="F777" s="181">
        <f>TOBEPAID!F586/1000</f>
        <v>0</v>
      </c>
      <c r="G777" s="181">
        <f>TOBEPAID!G586/1000</f>
        <v>0</v>
      </c>
      <c r="H777" s="181">
        <v>0</v>
      </c>
      <c r="I777" s="181">
        <f>TOBEPAID!I586/1000</f>
        <v>0</v>
      </c>
      <c r="J777" s="181">
        <f>TOBEPAID!J586/1000</f>
        <v>0</v>
      </c>
      <c r="K777" s="181">
        <f>TOBEPAID!K586/1000</f>
        <v>0</v>
      </c>
      <c r="L777" s="181">
        <f>TOBEPAID!L586/1000</f>
        <v>0</v>
      </c>
      <c r="M777" s="181">
        <f>TOBEPAID!M586/1000</f>
        <v>0</v>
      </c>
      <c r="N777" s="181">
        <f>TOBEPAID!N586/1000</f>
        <v>0</v>
      </c>
      <c r="O777" s="181">
        <f>TOBEPAID!O586/1000</f>
        <v>0</v>
      </c>
      <c r="P777" s="181">
        <f>TOBEPAID!P586/1000</f>
        <v>0</v>
      </c>
      <c r="Q777" s="181">
        <f>TOBEPAID!Q586/1000</f>
        <v>0</v>
      </c>
      <c r="R777" s="181">
        <v>0</v>
      </c>
      <c r="S777" s="181">
        <f>TOBEPAID!S586/1000</f>
        <v>0</v>
      </c>
      <c r="T777" s="181">
        <f>TOBEPAID!T586/1000</f>
        <v>0</v>
      </c>
      <c r="U777" s="181">
        <f>TOBEPAID!U586/1000</f>
        <v>0</v>
      </c>
      <c r="V777" s="181">
        <f>TOBEPAID!V586/1000</f>
        <v>0</v>
      </c>
      <c r="W777" s="181">
        <f>TOBEPAID!W586/1000</f>
        <v>0</v>
      </c>
      <c r="X777" s="181">
        <f>TOBEPAID!X586/1000</f>
        <v>0</v>
      </c>
      <c r="Y777" s="181">
        <f t="shared" si="146"/>
        <v>0</v>
      </c>
      <c r="Z777" s="181">
        <f t="shared" si="145"/>
        <v>0</v>
      </c>
      <c r="AA777" s="181">
        <f>TOBEPAID!AA586/1000</f>
        <v>0</v>
      </c>
      <c r="AB777" s="181">
        <f>TOBEPAID!AB586/1000</f>
        <v>656.06240000000003</v>
      </c>
      <c r="AC777" s="181"/>
      <c r="AD777" s="181"/>
    </row>
    <row r="778" spans="1:30" x14ac:dyDescent="0.2">
      <c r="C778" s="165" t="s">
        <v>38</v>
      </c>
      <c r="D778" s="165">
        <f>147127.54/1000</f>
        <v>147.12754000000001</v>
      </c>
      <c r="H778" s="181">
        <v>0</v>
      </c>
      <c r="R778" s="165">
        <f>147127.54/1000</f>
        <v>147.12754000000001</v>
      </c>
      <c r="Y778" s="181">
        <f t="shared" si="146"/>
        <v>147.12754000000001</v>
      </c>
      <c r="Z778" s="181">
        <f t="shared" si="145"/>
        <v>0</v>
      </c>
    </row>
    <row r="779" spans="1:30" x14ac:dyDescent="0.2">
      <c r="A779" s="180"/>
      <c r="C779" s="165" t="s">
        <v>183</v>
      </c>
      <c r="D779" s="181">
        <f>4021327/1000</f>
        <v>4021.3270000000002</v>
      </c>
      <c r="E779" s="181">
        <f>TOBEPAID!E587/1000</f>
        <v>0</v>
      </c>
      <c r="F779" s="181">
        <f>TOBEPAID!F587/1000</f>
        <v>0</v>
      </c>
      <c r="G779" s="181">
        <f>TOBEPAID!G587/1000</f>
        <v>0</v>
      </c>
      <c r="H779" s="181">
        <v>0</v>
      </c>
      <c r="I779" s="181">
        <f>TOBEPAID!I587/1000</f>
        <v>0</v>
      </c>
      <c r="J779" s="181">
        <f>TOBEPAID!J587/1000</f>
        <v>0</v>
      </c>
      <c r="K779" s="181">
        <f>TOBEPAID!K587/1000</f>
        <v>0</v>
      </c>
      <c r="L779" s="181">
        <f>TOBEPAID!L587/1000</f>
        <v>0</v>
      </c>
      <c r="M779" s="181">
        <f>TOBEPAID!M587/1000</f>
        <v>0</v>
      </c>
      <c r="N779" s="181">
        <f>TOBEPAID!N587/1000</f>
        <v>0</v>
      </c>
      <c r="O779" s="181">
        <f>TOBEPAID!O587/1000</f>
        <v>4077.4146299999998</v>
      </c>
      <c r="P779" s="181">
        <f>TOBEPAID!P587/1000</f>
        <v>0</v>
      </c>
      <c r="Q779" s="181">
        <f>TOBEPAID!Q587/1000</f>
        <v>0</v>
      </c>
      <c r="R779" s="181">
        <f>3930287.12/1000</f>
        <v>3930.28712</v>
      </c>
      <c r="S779" s="181">
        <f>TOBEPAID!S587/1000</f>
        <v>0</v>
      </c>
      <c r="T779" s="181">
        <f>TOBEPAID!T587/1000</f>
        <v>0</v>
      </c>
      <c r="U779" s="181">
        <f>TOBEPAID!U587/1000</f>
        <v>0</v>
      </c>
      <c r="V779" s="181">
        <f>TOBEPAID!V587/1000</f>
        <v>0</v>
      </c>
      <c r="W779" s="181">
        <f>TOBEPAID!W587/1000</f>
        <v>0</v>
      </c>
      <c r="X779" s="181">
        <f>TOBEPAID!X587/1000</f>
        <v>4077.4146299999998</v>
      </c>
      <c r="Y779" s="181">
        <f>+H779+R779</f>
        <v>3930.28712</v>
      </c>
      <c r="Z779" s="181">
        <f t="shared" si="145"/>
        <v>91.039880000000267</v>
      </c>
      <c r="AA779" s="181">
        <f>TOBEPAID!AA587/1000</f>
        <v>4077.4146299999998</v>
      </c>
      <c r="AB779" s="181">
        <f>TOBEPAID!AB587/1000</f>
        <v>10740.730379999999</v>
      </c>
      <c r="AC779" s="181"/>
      <c r="AD779" s="181"/>
    </row>
    <row r="780" spans="1:30" x14ac:dyDescent="0.2">
      <c r="A780" s="180"/>
      <c r="D780" s="182" t="s">
        <v>40</v>
      </c>
      <c r="E780" s="182" t="s">
        <v>40</v>
      </c>
      <c r="F780" s="182" t="s">
        <v>40</v>
      </c>
      <c r="G780" s="182"/>
      <c r="H780" s="182" t="s">
        <v>40</v>
      </c>
      <c r="I780" s="182" t="s">
        <v>40</v>
      </c>
      <c r="J780" s="182" t="s">
        <v>40</v>
      </c>
      <c r="K780" s="182" t="s">
        <v>40</v>
      </c>
      <c r="L780" s="182" t="s">
        <v>40</v>
      </c>
      <c r="M780" s="182"/>
      <c r="N780" s="182" t="s">
        <v>40</v>
      </c>
      <c r="O780" s="182" t="s">
        <v>40</v>
      </c>
      <c r="P780" s="182" t="s">
        <v>40</v>
      </c>
      <c r="Q780" s="182"/>
      <c r="R780" s="182" t="s">
        <v>40</v>
      </c>
      <c r="S780" s="182" t="s">
        <v>40</v>
      </c>
      <c r="T780" s="182" t="s">
        <v>40</v>
      </c>
      <c r="U780" s="182" t="s">
        <v>40</v>
      </c>
      <c r="V780" s="182" t="s">
        <v>40</v>
      </c>
      <c r="W780" s="182"/>
      <c r="X780" s="182" t="s">
        <v>40</v>
      </c>
      <c r="Y780" s="182" t="s">
        <v>40</v>
      </c>
      <c r="Z780" s="182" t="s">
        <v>40</v>
      </c>
      <c r="AA780" s="182" t="s">
        <v>40</v>
      </c>
      <c r="AB780" s="182" t="s">
        <v>40</v>
      </c>
      <c r="AC780" s="182"/>
      <c r="AD780" s="182"/>
    </row>
    <row r="781" spans="1:30" x14ac:dyDescent="0.2">
      <c r="A781" s="180"/>
      <c r="D781" s="191">
        <f>SUM(D763:D779)</f>
        <v>778229.7079700001</v>
      </c>
      <c r="E781" s="191">
        <f>SUM(E763:E779)</f>
        <v>74125.943059999991</v>
      </c>
      <c r="F781" s="191">
        <f>SUM(F763:F779)</f>
        <v>24000</v>
      </c>
      <c r="G781" s="191"/>
      <c r="H781" s="191">
        <f>SUM(H763:H779)</f>
        <v>770857.26159999997</v>
      </c>
      <c r="I781" s="191">
        <f>SUM(I763:I779)</f>
        <v>0</v>
      </c>
      <c r="J781" s="191">
        <f>SUM(J763:J779)</f>
        <v>0</v>
      </c>
      <c r="K781" s="191">
        <f>SUM(K763:K779)</f>
        <v>0</v>
      </c>
      <c r="L781" s="191">
        <f>SUM(L763:L779)</f>
        <v>0</v>
      </c>
      <c r="M781" s="191"/>
      <c r="N781" s="191">
        <f>SUM(N763:N779)</f>
        <v>98125.943059999991</v>
      </c>
      <c r="O781" s="191">
        <f>SUM(O763:O779)</f>
        <v>6895.6779900000001</v>
      </c>
      <c r="P781" s="191">
        <f>SUM(P763:P779)</f>
        <v>0</v>
      </c>
      <c r="Q781" s="191"/>
      <c r="R781" s="191">
        <f>SUM(R763:R779)</f>
        <v>6895.6776599999994</v>
      </c>
      <c r="S781" s="191">
        <f>SUM(S763:S779)</f>
        <v>0</v>
      </c>
      <c r="T781" s="191">
        <f>SUM(T763:T779)</f>
        <v>0</v>
      </c>
      <c r="U781" s="191">
        <f>SUM(U763:U779)</f>
        <v>0</v>
      </c>
      <c r="V781" s="191">
        <f>SUM(V763:V779)</f>
        <v>0</v>
      </c>
      <c r="W781" s="191"/>
      <c r="X781" s="191">
        <f>SUM(X763:X779)</f>
        <v>6895.6779900000001</v>
      </c>
      <c r="Y781" s="191">
        <f>SUM(Y763:Y779)</f>
        <v>777752.93926000001</v>
      </c>
      <c r="Z781" s="191">
        <f>SUM(Z763:Z779)</f>
        <v>476.76870999999664</v>
      </c>
      <c r="AA781" s="191">
        <f>SUM(AA763:AA779)</f>
        <v>105021.62104999999</v>
      </c>
      <c r="AB781" s="191">
        <f>SUM(AB763:AB779)</f>
        <v>11606.669290000003</v>
      </c>
      <c r="AC781" s="191"/>
      <c r="AD781" s="191"/>
    </row>
    <row r="782" spans="1:30" x14ac:dyDescent="0.2">
      <c r="A782" s="180"/>
      <c r="D782" s="182" t="s">
        <v>40</v>
      </c>
      <c r="E782" s="182" t="s">
        <v>40</v>
      </c>
      <c r="F782" s="182" t="s">
        <v>40</v>
      </c>
      <c r="G782" s="182"/>
      <c r="H782" s="182" t="s">
        <v>40</v>
      </c>
      <c r="I782" s="182" t="s">
        <v>40</v>
      </c>
      <c r="J782" s="182" t="s">
        <v>40</v>
      </c>
      <c r="K782" s="182" t="s">
        <v>40</v>
      </c>
      <c r="L782" s="182" t="s">
        <v>40</v>
      </c>
      <c r="M782" s="182"/>
      <c r="N782" s="182" t="s">
        <v>40</v>
      </c>
      <c r="O782" s="182" t="s">
        <v>40</v>
      </c>
      <c r="P782" s="182" t="s">
        <v>40</v>
      </c>
      <c r="Q782" s="182"/>
      <c r="R782" s="182" t="s">
        <v>40</v>
      </c>
      <c r="S782" s="182" t="s">
        <v>40</v>
      </c>
      <c r="T782" s="182" t="s">
        <v>40</v>
      </c>
      <c r="U782" s="182" t="s">
        <v>40</v>
      </c>
      <c r="V782" s="182" t="s">
        <v>40</v>
      </c>
      <c r="W782" s="182"/>
      <c r="X782" s="182" t="s">
        <v>40</v>
      </c>
      <c r="Y782" s="182" t="s">
        <v>40</v>
      </c>
      <c r="Z782" s="182" t="s">
        <v>40</v>
      </c>
      <c r="AA782" s="182" t="s">
        <v>40</v>
      </c>
      <c r="AB782" s="182" t="s">
        <v>40</v>
      </c>
      <c r="AC782" s="182"/>
      <c r="AD782" s="182"/>
    </row>
    <row r="783" spans="1:30" x14ac:dyDescent="0.2">
      <c r="D783" s="191"/>
      <c r="E783" s="191"/>
      <c r="F783" s="191"/>
      <c r="G783" s="191"/>
      <c r="H783" s="191"/>
      <c r="I783" s="191"/>
      <c r="J783" s="191"/>
      <c r="K783" s="191"/>
      <c r="L783" s="191"/>
      <c r="M783" s="191"/>
      <c r="N783" s="191"/>
      <c r="O783" s="199"/>
      <c r="P783" s="199"/>
      <c r="Q783" s="199"/>
      <c r="R783" s="199"/>
      <c r="S783" s="199"/>
      <c r="T783" s="199"/>
      <c r="U783" s="199"/>
      <c r="V783" s="199"/>
      <c r="W783" s="199"/>
      <c r="X783" s="191"/>
      <c r="Y783" s="191"/>
      <c r="Z783" s="191"/>
      <c r="AA783" s="191"/>
      <c r="AB783" s="191"/>
      <c r="AC783" s="191"/>
      <c r="AD783" s="191"/>
    </row>
    <row r="784" spans="1:30" x14ac:dyDescent="0.2">
      <c r="A784" s="180">
        <v>57</v>
      </c>
      <c r="B784" s="165" t="s">
        <v>199</v>
      </c>
      <c r="C784" s="166" t="s">
        <v>35</v>
      </c>
      <c r="D784" s="181">
        <f>5607425/1000</f>
        <v>5607.4250000000002</v>
      </c>
      <c r="E784" s="181">
        <f>TOBEPAID!E592/1000</f>
        <v>0</v>
      </c>
      <c r="F784" s="181">
        <f>TOBEPAID!F592/1000</f>
        <v>0</v>
      </c>
      <c r="G784" s="181">
        <f>TOBEPAID!G592/1000</f>
        <v>0</v>
      </c>
      <c r="H784" s="181">
        <f>5600000/1000</f>
        <v>5600</v>
      </c>
      <c r="I784" s="181">
        <f>TOBEPAID!I592/1000</f>
        <v>0</v>
      </c>
      <c r="J784" s="181">
        <f>TOBEPAID!J592/1000</f>
        <v>0</v>
      </c>
      <c r="K784" s="181">
        <f>TOBEPAID!K592/1000</f>
        <v>0</v>
      </c>
      <c r="L784" s="181">
        <f>TOBEPAID!L592/1000</f>
        <v>0</v>
      </c>
      <c r="M784" s="181">
        <f>TOBEPAID!M592/1000</f>
        <v>0</v>
      </c>
      <c r="N784" s="181">
        <f>TOBEPAID!N592/1000</f>
        <v>0</v>
      </c>
      <c r="O784" s="181">
        <f>TOBEPAID!O592/1000</f>
        <v>0</v>
      </c>
      <c r="P784" s="181">
        <f>TOBEPAID!P592/1000</f>
        <v>0</v>
      </c>
      <c r="Q784" s="181">
        <f>TOBEPAID!Q592/1000</f>
        <v>0</v>
      </c>
      <c r="R784" s="181">
        <v>0</v>
      </c>
      <c r="S784" s="181">
        <f>TOBEPAID!S592/1000</f>
        <v>0</v>
      </c>
      <c r="T784" s="181">
        <f>TOBEPAID!T592/1000</f>
        <v>0</v>
      </c>
      <c r="U784" s="181">
        <f>TOBEPAID!U592/1000</f>
        <v>0</v>
      </c>
      <c r="V784" s="181">
        <f>TOBEPAID!V592/1000</f>
        <v>0</v>
      </c>
      <c r="W784" s="181">
        <f>TOBEPAID!W592/1000</f>
        <v>0</v>
      </c>
      <c r="X784" s="181">
        <f>TOBEPAID!X592/1000</f>
        <v>0</v>
      </c>
      <c r="Y784" s="181">
        <f>+H784+R784</f>
        <v>5600</v>
      </c>
      <c r="Z784" s="181">
        <f>+D784-Y784</f>
        <v>7.4250000000001819</v>
      </c>
      <c r="AA784" s="181">
        <f>TOBEPAID!AA592/1000</f>
        <v>0</v>
      </c>
      <c r="AB784" s="181">
        <f>TOBEPAID!AB592/1000</f>
        <v>5314.0288</v>
      </c>
      <c r="AC784" s="181"/>
      <c r="AD784" s="181"/>
    </row>
    <row r="785" spans="1:30" x14ac:dyDescent="0.2">
      <c r="A785" s="180"/>
      <c r="C785" s="165" t="s">
        <v>36</v>
      </c>
      <c r="D785" s="181">
        <f>1379685/1000</f>
        <v>1379.6849999999999</v>
      </c>
      <c r="E785" s="181">
        <f>TOBEPAID!E593/1000</f>
        <v>1379.6849999999999</v>
      </c>
      <c r="F785" s="181">
        <f>TOBEPAID!F593/1000</f>
        <v>0</v>
      </c>
      <c r="G785" s="181">
        <f>TOBEPAID!G593/1000</f>
        <v>0</v>
      </c>
      <c r="H785" s="181">
        <f>1379685/1000</f>
        <v>1379.6849999999999</v>
      </c>
      <c r="I785" s="181">
        <f>TOBEPAID!I593/1000</f>
        <v>0</v>
      </c>
      <c r="J785" s="181">
        <f>TOBEPAID!J593/1000</f>
        <v>0</v>
      </c>
      <c r="K785" s="181">
        <f>TOBEPAID!K593/1000</f>
        <v>0</v>
      </c>
      <c r="L785" s="181">
        <f>TOBEPAID!L593/1000</f>
        <v>0</v>
      </c>
      <c r="M785" s="181">
        <f>TOBEPAID!M593/1000</f>
        <v>0</v>
      </c>
      <c r="N785" s="181">
        <f>TOBEPAID!N593/1000</f>
        <v>1379.6849999999999</v>
      </c>
      <c r="O785" s="181">
        <f>TOBEPAID!O593/1000</f>
        <v>0</v>
      </c>
      <c r="P785" s="181">
        <f>TOBEPAID!P593/1000</f>
        <v>0</v>
      </c>
      <c r="Q785" s="181">
        <f>TOBEPAID!Q593/1000</f>
        <v>0</v>
      </c>
      <c r="R785" s="181">
        <v>0</v>
      </c>
      <c r="S785" s="181">
        <f>TOBEPAID!S593/1000</f>
        <v>0</v>
      </c>
      <c r="T785" s="181">
        <f>TOBEPAID!T593/1000</f>
        <v>0</v>
      </c>
      <c r="U785" s="181">
        <f>TOBEPAID!U593/1000</f>
        <v>0</v>
      </c>
      <c r="V785" s="181">
        <f>TOBEPAID!V593/1000</f>
        <v>0</v>
      </c>
      <c r="W785" s="181">
        <f>TOBEPAID!W593/1000</f>
        <v>0</v>
      </c>
      <c r="X785" s="181">
        <f>TOBEPAID!X593/1000</f>
        <v>0</v>
      </c>
      <c r="Y785" s="181">
        <f>+H785+R785</f>
        <v>1379.6849999999999</v>
      </c>
      <c r="Z785" s="181">
        <f>+D785-Y785</f>
        <v>0</v>
      </c>
      <c r="AA785" s="181">
        <f>TOBEPAID!AA593/1000</f>
        <v>1379.6849999999999</v>
      </c>
      <c r="AB785" s="181">
        <f>TOBEPAID!AB593/1000</f>
        <v>0</v>
      </c>
      <c r="AC785" s="181"/>
      <c r="AD785" s="181"/>
    </row>
    <row r="786" spans="1:30" x14ac:dyDescent="0.2">
      <c r="A786" s="180"/>
      <c r="C786" s="165" t="s">
        <v>366</v>
      </c>
      <c r="D786" s="181">
        <f>8000000/1000</f>
        <v>8000</v>
      </c>
      <c r="E786" s="181"/>
      <c r="F786" s="181"/>
      <c r="G786" s="181"/>
      <c r="H786" s="181">
        <f>8000000/1000</f>
        <v>8000</v>
      </c>
      <c r="I786" s="181"/>
      <c r="J786" s="181"/>
      <c r="K786" s="181"/>
      <c r="L786" s="181"/>
      <c r="M786" s="181"/>
      <c r="N786" s="181"/>
      <c r="O786" s="181"/>
      <c r="P786" s="181"/>
      <c r="Q786" s="181"/>
      <c r="R786" s="181">
        <v>0</v>
      </c>
      <c r="S786" s="181"/>
      <c r="T786" s="181"/>
      <c r="U786" s="181"/>
      <c r="V786" s="181"/>
      <c r="W786" s="181"/>
      <c r="X786" s="181"/>
      <c r="Y786" s="181">
        <f>+H786+R786</f>
        <v>8000</v>
      </c>
      <c r="Z786" s="181">
        <f>+D786-Y786</f>
        <v>0</v>
      </c>
      <c r="AA786" s="181"/>
      <c r="AB786" s="181"/>
      <c r="AC786" s="181"/>
      <c r="AD786" s="181"/>
    </row>
    <row r="787" spans="1:30" x14ac:dyDescent="0.2">
      <c r="A787" s="180"/>
      <c r="C787" s="165" t="s">
        <v>413</v>
      </c>
      <c r="D787" s="181">
        <f>12000000/1000</f>
        <v>12000</v>
      </c>
      <c r="E787" s="181"/>
      <c r="F787" s="181"/>
      <c r="G787" s="181"/>
      <c r="H787" s="181">
        <f>12000000/1000</f>
        <v>12000</v>
      </c>
      <c r="I787" s="181"/>
      <c r="J787" s="181"/>
      <c r="K787" s="181"/>
      <c r="L787" s="181"/>
      <c r="M787" s="181"/>
      <c r="N787" s="181"/>
      <c r="O787" s="181"/>
      <c r="P787" s="181"/>
      <c r="Q787" s="181"/>
      <c r="R787" s="181">
        <v>0</v>
      </c>
      <c r="S787" s="181"/>
      <c r="T787" s="181"/>
      <c r="U787" s="181"/>
      <c r="V787" s="181"/>
      <c r="W787" s="181"/>
      <c r="X787" s="181"/>
      <c r="Y787" s="181">
        <f>+H787+R787</f>
        <v>12000</v>
      </c>
      <c r="Z787" s="181">
        <f>+D787-Y787</f>
        <v>0</v>
      </c>
      <c r="AA787" s="181"/>
      <c r="AB787" s="181"/>
      <c r="AC787" s="181"/>
      <c r="AD787" s="181"/>
    </row>
    <row r="788" spans="1:30" x14ac:dyDescent="0.2">
      <c r="A788" s="180"/>
      <c r="C788" s="165" t="s">
        <v>53</v>
      </c>
      <c r="D788" s="181">
        <v>0</v>
      </c>
      <c r="E788" s="181">
        <f>TOBEPAID!E594/1000</f>
        <v>0</v>
      </c>
      <c r="F788" s="181">
        <f>TOBEPAID!F594/1000</f>
        <v>0</v>
      </c>
      <c r="G788" s="181">
        <f>TOBEPAID!G594/1000</f>
        <v>0</v>
      </c>
      <c r="H788" s="181">
        <v>0</v>
      </c>
      <c r="I788" s="181">
        <f>TOBEPAID!I594/1000</f>
        <v>0</v>
      </c>
      <c r="J788" s="181">
        <f>TOBEPAID!J594/1000</f>
        <v>0</v>
      </c>
      <c r="K788" s="181">
        <f>TOBEPAID!K594/1000</f>
        <v>0</v>
      </c>
      <c r="L788" s="181">
        <f>TOBEPAID!L594/1000</f>
        <v>0</v>
      </c>
      <c r="M788" s="181">
        <f>TOBEPAID!M594/1000</f>
        <v>0</v>
      </c>
      <c r="N788" s="181">
        <f>TOBEPAID!N594/1000</f>
        <v>0</v>
      </c>
      <c r="O788" s="181">
        <f>TOBEPAID!O594/1000</f>
        <v>0</v>
      </c>
      <c r="P788" s="181">
        <f>TOBEPAID!P594/1000</f>
        <v>0</v>
      </c>
      <c r="Q788" s="181">
        <f>TOBEPAID!Q594/1000</f>
        <v>0</v>
      </c>
      <c r="R788" s="181">
        <v>0</v>
      </c>
      <c r="S788" s="181">
        <f>TOBEPAID!S594/1000</f>
        <v>0</v>
      </c>
      <c r="T788" s="181">
        <f>TOBEPAID!T594/1000</f>
        <v>0</v>
      </c>
      <c r="U788" s="181">
        <f>TOBEPAID!U594/1000</f>
        <v>0</v>
      </c>
      <c r="V788" s="181">
        <f>TOBEPAID!V594/1000</f>
        <v>0</v>
      </c>
      <c r="W788" s="181">
        <f>TOBEPAID!W594/1000</f>
        <v>0</v>
      </c>
      <c r="X788" s="181">
        <f>TOBEPAID!X594/1000</f>
        <v>0</v>
      </c>
      <c r="Y788" s="181">
        <f>+H788+R788</f>
        <v>0</v>
      </c>
      <c r="Z788" s="181">
        <f>+D788-Y788</f>
        <v>0</v>
      </c>
      <c r="AA788" s="181">
        <f>TOBEPAID!AA594/1000</f>
        <v>0</v>
      </c>
      <c r="AB788" s="181">
        <f>TOBEPAID!AB594/1000</f>
        <v>293.39620000000002</v>
      </c>
      <c r="AC788" s="181"/>
      <c r="AD788" s="181"/>
    </row>
    <row r="789" spans="1:30" x14ac:dyDescent="0.2">
      <c r="A789" s="180"/>
      <c r="D789" s="182" t="s">
        <v>40</v>
      </c>
      <c r="E789" s="182" t="s">
        <v>40</v>
      </c>
      <c r="F789" s="182" t="s">
        <v>40</v>
      </c>
      <c r="G789" s="182"/>
      <c r="H789" s="182" t="s">
        <v>40</v>
      </c>
      <c r="I789" s="182" t="s">
        <v>40</v>
      </c>
      <c r="J789" s="182" t="s">
        <v>40</v>
      </c>
      <c r="K789" s="182" t="s">
        <v>40</v>
      </c>
      <c r="L789" s="182" t="s">
        <v>40</v>
      </c>
      <c r="M789" s="182"/>
      <c r="N789" s="182" t="s">
        <v>40</v>
      </c>
      <c r="O789" s="182" t="s">
        <v>40</v>
      </c>
      <c r="P789" s="182" t="s">
        <v>40</v>
      </c>
      <c r="Q789" s="182"/>
      <c r="R789" s="182" t="s">
        <v>40</v>
      </c>
      <c r="S789" s="182" t="s">
        <v>40</v>
      </c>
      <c r="T789" s="182" t="s">
        <v>40</v>
      </c>
      <c r="U789" s="182" t="s">
        <v>40</v>
      </c>
      <c r="V789" s="182" t="s">
        <v>40</v>
      </c>
      <c r="W789" s="182"/>
      <c r="X789" s="182" t="s">
        <v>40</v>
      </c>
      <c r="Y789" s="182" t="s">
        <v>40</v>
      </c>
      <c r="Z789" s="182" t="s">
        <v>40</v>
      </c>
      <c r="AA789" s="182" t="s">
        <v>40</v>
      </c>
      <c r="AB789" s="182" t="s">
        <v>40</v>
      </c>
      <c r="AC789" s="182"/>
      <c r="AD789" s="182"/>
    </row>
    <row r="790" spans="1:30" x14ac:dyDescent="0.2">
      <c r="A790" s="180"/>
      <c r="D790" s="191">
        <f>SUM(D784:D788)</f>
        <v>26987.11</v>
      </c>
      <c r="E790" s="191">
        <f>SUM(E784:E788)</f>
        <v>1379.6849999999999</v>
      </c>
      <c r="F790" s="191">
        <f>SUM(F784:F788)</f>
        <v>0</v>
      </c>
      <c r="G790" s="191"/>
      <c r="H790" s="191">
        <f>SUM(H784:H788)</f>
        <v>26979.684999999998</v>
      </c>
      <c r="I790" s="191">
        <f>SUM(I784:I788)</f>
        <v>0</v>
      </c>
      <c r="J790" s="191">
        <f>SUM(J784:J788)</f>
        <v>0</v>
      </c>
      <c r="K790" s="191">
        <f>SUM(K784:K788)</f>
        <v>0</v>
      </c>
      <c r="L790" s="191">
        <f>SUM(L784:L788)</f>
        <v>0</v>
      </c>
      <c r="M790" s="191"/>
      <c r="N790" s="191">
        <f>SUM(N784:N788)</f>
        <v>1379.6849999999999</v>
      </c>
      <c r="O790" s="191">
        <f>SUM(O784:O788)</f>
        <v>0</v>
      </c>
      <c r="P790" s="191">
        <f>SUM(P784:P788)</f>
        <v>0</v>
      </c>
      <c r="Q790" s="191"/>
      <c r="R790" s="191">
        <f>SUM(R784:R788)</f>
        <v>0</v>
      </c>
      <c r="S790" s="191">
        <f>SUM(S784:S788)</f>
        <v>0</v>
      </c>
      <c r="T790" s="191">
        <f>SUM(T784:T788)</f>
        <v>0</v>
      </c>
      <c r="U790" s="191">
        <f>SUM(U784:U788)</f>
        <v>0</v>
      </c>
      <c r="V790" s="191">
        <f>SUM(V784:V788)</f>
        <v>0</v>
      </c>
      <c r="W790" s="191"/>
      <c r="X790" s="191">
        <f>SUM(X784:X788)</f>
        <v>0</v>
      </c>
      <c r="Y790" s="191">
        <f>SUM(Y784:Y788)</f>
        <v>26979.684999999998</v>
      </c>
      <c r="Z790" s="191">
        <f>SUM(Z784:Z788)</f>
        <v>7.4250000000001819</v>
      </c>
      <c r="AA790" s="191">
        <f>SUM(AA784:AA788)</f>
        <v>1379.6849999999999</v>
      </c>
      <c r="AB790" s="191">
        <f>SUM(AB784:AB788)</f>
        <v>5607.4250000000002</v>
      </c>
      <c r="AC790" s="191"/>
      <c r="AD790" s="191"/>
    </row>
    <row r="791" spans="1:30" x14ac:dyDescent="0.2">
      <c r="A791" s="180"/>
      <c r="D791" s="182" t="s">
        <v>40</v>
      </c>
      <c r="E791" s="182" t="s">
        <v>40</v>
      </c>
      <c r="F791" s="182" t="s">
        <v>40</v>
      </c>
      <c r="G791" s="182"/>
      <c r="H791" s="182" t="s">
        <v>40</v>
      </c>
      <c r="I791" s="182" t="s">
        <v>40</v>
      </c>
      <c r="J791" s="182" t="s">
        <v>40</v>
      </c>
      <c r="K791" s="182" t="s">
        <v>40</v>
      </c>
      <c r="L791" s="182" t="s">
        <v>40</v>
      </c>
      <c r="M791" s="182"/>
      <c r="N791" s="182" t="s">
        <v>40</v>
      </c>
      <c r="O791" s="182" t="s">
        <v>40</v>
      </c>
      <c r="P791" s="182" t="s">
        <v>40</v>
      </c>
      <c r="Q791" s="182"/>
      <c r="R791" s="182" t="s">
        <v>40</v>
      </c>
      <c r="S791" s="182" t="s">
        <v>40</v>
      </c>
      <c r="T791" s="182" t="s">
        <v>40</v>
      </c>
      <c r="U791" s="182" t="s">
        <v>40</v>
      </c>
      <c r="V791" s="182" t="s">
        <v>40</v>
      </c>
      <c r="W791" s="182"/>
      <c r="X791" s="182" t="s">
        <v>40</v>
      </c>
      <c r="Y791" s="182" t="s">
        <v>40</v>
      </c>
      <c r="Z791" s="182" t="s">
        <v>40</v>
      </c>
      <c r="AA791" s="182" t="s">
        <v>40</v>
      </c>
      <c r="AB791" s="182" t="s">
        <v>40</v>
      </c>
      <c r="AC791" s="182"/>
      <c r="AD791" s="182"/>
    </row>
    <row r="792" spans="1:30" x14ac:dyDescent="0.2">
      <c r="A792" s="180"/>
      <c r="D792" s="182"/>
      <c r="E792" s="182"/>
      <c r="F792" s="182"/>
      <c r="G792" s="182"/>
      <c r="H792" s="182"/>
      <c r="I792" s="182"/>
      <c r="J792" s="182"/>
      <c r="K792" s="182"/>
      <c r="L792" s="182"/>
      <c r="M792" s="182"/>
      <c r="N792" s="182"/>
      <c r="O792" s="182"/>
      <c r="P792" s="182"/>
      <c r="Q792" s="182"/>
      <c r="R792" s="182"/>
      <c r="S792" s="182"/>
      <c r="T792" s="182"/>
      <c r="U792" s="182"/>
      <c r="V792" s="182"/>
      <c r="W792" s="182"/>
      <c r="X792" s="182"/>
      <c r="Y792" s="182"/>
      <c r="Z792" s="182"/>
      <c r="AA792" s="182"/>
      <c r="AB792" s="182"/>
      <c r="AC792" s="182"/>
      <c r="AD792" s="182"/>
    </row>
    <row r="793" spans="1:30" x14ac:dyDescent="0.2">
      <c r="A793" s="180">
        <v>58</v>
      </c>
      <c r="B793" s="165" t="s">
        <v>200</v>
      </c>
      <c r="C793" s="166" t="s">
        <v>35</v>
      </c>
      <c r="D793" s="181">
        <f>51788945/1000</f>
        <v>51788.945</v>
      </c>
      <c r="E793" s="181">
        <f>TOBEPAID!E598/1000</f>
        <v>0</v>
      </c>
      <c r="F793" s="181">
        <f>TOBEPAID!F598/1000</f>
        <v>0</v>
      </c>
      <c r="G793" s="181">
        <f>TOBEPAID!G598/1000</f>
        <v>0</v>
      </c>
      <c r="H793" s="181">
        <f>51788945/1000</f>
        <v>51788.945</v>
      </c>
      <c r="I793" s="181">
        <f>TOBEPAID!I598/1000</f>
        <v>0</v>
      </c>
      <c r="J793" s="181">
        <f>TOBEPAID!J598/1000</f>
        <v>0</v>
      </c>
      <c r="K793" s="181">
        <f>TOBEPAID!K598/1000</f>
        <v>0</v>
      </c>
      <c r="L793" s="181">
        <f>TOBEPAID!L598/1000</f>
        <v>0</v>
      </c>
      <c r="M793" s="181">
        <f>TOBEPAID!M598/1000</f>
        <v>0</v>
      </c>
      <c r="N793" s="181">
        <f>TOBEPAID!N598/1000</f>
        <v>0</v>
      </c>
      <c r="O793" s="181">
        <f>TOBEPAID!O598/1000</f>
        <v>0</v>
      </c>
      <c r="P793" s="181">
        <f>TOBEPAID!P598/1000</f>
        <v>0</v>
      </c>
      <c r="Q793" s="181">
        <f>TOBEPAID!Q598/1000</f>
        <v>0</v>
      </c>
      <c r="R793" s="181">
        <v>0</v>
      </c>
      <c r="S793" s="181">
        <f>TOBEPAID!S598/1000</f>
        <v>0</v>
      </c>
      <c r="T793" s="181">
        <f>TOBEPAID!T598/1000</f>
        <v>0</v>
      </c>
      <c r="U793" s="181">
        <f>TOBEPAID!U598/1000</f>
        <v>0</v>
      </c>
      <c r="V793" s="181">
        <f>TOBEPAID!V598/1000</f>
        <v>0</v>
      </c>
      <c r="W793" s="181">
        <f>TOBEPAID!W598/1000</f>
        <v>0</v>
      </c>
      <c r="X793" s="181">
        <f>TOBEPAID!X598/1000</f>
        <v>0</v>
      </c>
      <c r="Y793" s="181">
        <f>+H793+R793</f>
        <v>51788.945</v>
      </c>
      <c r="Z793" s="181">
        <f t="shared" ref="Z793:Z802" si="147">+D793-Y793</f>
        <v>0</v>
      </c>
      <c r="AA793" s="181">
        <f>TOBEPAID!AA598/1000</f>
        <v>0</v>
      </c>
      <c r="AB793" s="181">
        <f>TOBEPAID!AB598/1000</f>
        <v>28784.041860000001</v>
      </c>
      <c r="AC793" s="181"/>
      <c r="AD793" s="181"/>
    </row>
    <row r="794" spans="1:30" x14ac:dyDescent="0.2">
      <c r="A794" s="180"/>
      <c r="C794" s="165" t="s">
        <v>36</v>
      </c>
      <c r="D794" s="181">
        <f>2099141/1000</f>
        <v>2099.1410000000001</v>
      </c>
      <c r="E794" s="181">
        <f>TOBEPAID!E599/1000</f>
        <v>2099.1410000000001</v>
      </c>
      <c r="F794" s="181">
        <f>TOBEPAID!F599/1000</f>
        <v>0</v>
      </c>
      <c r="G794" s="181">
        <f>TOBEPAID!G599/1000</f>
        <v>0</v>
      </c>
      <c r="H794" s="181">
        <f>2099141/1000</f>
        <v>2099.1410000000001</v>
      </c>
      <c r="I794" s="181">
        <f>TOBEPAID!I599/1000</f>
        <v>0</v>
      </c>
      <c r="J794" s="181">
        <f>TOBEPAID!J599/1000</f>
        <v>0</v>
      </c>
      <c r="K794" s="181">
        <f>TOBEPAID!K599/1000</f>
        <v>0</v>
      </c>
      <c r="L794" s="181">
        <f>TOBEPAID!L599/1000</f>
        <v>0</v>
      </c>
      <c r="M794" s="181">
        <f>TOBEPAID!M599/1000</f>
        <v>0</v>
      </c>
      <c r="N794" s="181">
        <f>TOBEPAID!N599/1000</f>
        <v>2099.1410000000001</v>
      </c>
      <c r="O794" s="181">
        <f>TOBEPAID!O599/1000</f>
        <v>0</v>
      </c>
      <c r="P794" s="181">
        <f>TOBEPAID!P599/1000</f>
        <v>0</v>
      </c>
      <c r="Q794" s="181">
        <f>TOBEPAID!Q599/1000</f>
        <v>0</v>
      </c>
      <c r="R794" s="181">
        <v>0</v>
      </c>
      <c r="S794" s="181">
        <f>TOBEPAID!S599/1000</f>
        <v>0</v>
      </c>
      <c r="T794" s="181">
        <f>TOBEPAID!T599/1000</f>
        <v>0</v>
      </c>
      <c r="U794" s="181">
        <f>TOBEPAID!U599/1000</f>
        <v>0</v>
      </c>
      <c r="V794" s="181">
        <f>TOBEPAID!V599/1000</f>
        <v>0</v>
      </c>
      <c r="W794" s="181">
        <f>TOBEPAID!W599/1000</f>
        <v>0</v>
      </c>
      <c r="X794" s="181">
        <f>TOBEPAID!X599/1000</f>
        <v>0</v>
      </c>
      <c r="Y794" s="181">
        <f t="shared" ref="Y794:Y802" si="148">+H794+R794</f>
        <v>2099.1410000000001</v>
      </c>
      <c r="Z794" s="181">
        <f t="shared" si="147"/>
        <v>0</v>
      </c>
      <c r="AA794" s="181">
        <f>TOBEPAID!AA599/1000</f>
        <v>2099.1410000000001</v>
      </c>
      <c r="AB794" s="181">
        <f>TOBEPAID!AB599/1000</f>
        <v>0</v>
      </c>
      <c r="AC794" s="181"/>
      <c r="AD794" s="181"/>
    </row>
    <row r="795" spans="1:30" x14ac:dyDescent="0.2">
      <c r="A795" s="180"/>
      <c r="C795" s="165" t="s">
        <v>468</v>
      </c>
      <c r="D795" s="181">
        <f>30000000/1000</f>
        <v>30000</v>
      </c>
      <c r="E795" s="181"/>
      <c r="F795" s="181"/>
      <c r="G795" s="181"/>
      <c r="H795" s="181">
        <f>30000000/1000</f>
        <v>30000</v>
      </c>
      <c r="I795" s="181"/>
      <c r="J795" s="181"/>
      <c r="K795" s="181"/>
      <c r="L795" s="181"/>
      <c r="M795" s="181"/>
      <c r="N795" s="181"/>
      <c r="O795" s="181"/>
      <c r="P795" s="181"/>
      <c r="Q795" s="181"/>
      <c r="R795" s="181">
        <v>0</v>
      </c>
      <c r="S795" s="181"/>
      <c r="T795" s="181"/>
      <c r="U795" s="181"/>
      <c r="V795" s="181"/>
      <c r="W795" s="181"/>
      <c r="X795" s="181"/>
      <c r="Y795" s="181">
        <f>+H795-R795</f>
        <v>30000</v>
      </c>
      <c r="Z795" s="181">
        <f>+D795-Y795</f>
        <v>0</v>
      </c>
      <c r="AA795" s="181"/>
      <c r="AB795" s="181"/>
      <c r="AC795" s="181"/>
      <c r="AD795" s="181"/>
    </row>
    <row r="796" spans="1:30" x14ac:dyDescent="0.2">
      <c r="C796" s="165" t="s">
        <v>306</v>
      </c>
      <c r="D796" s="181">
        <v>0</v>
      </c>
      <c r="E796" s="181">
        <f>TOBEPAID!E600/1000</f>
        <v>28245.625</v>
      </c>
      <c r="F796" s="181">
        <f>TOBEPAID!F600/1000</f>
        <v>0</v>
      </c>
      <c r="G796" s="181">
        <f>TOBEPAID!G600/1000</f>
        <v>0</v>
      </c>
      <c r="H796" s="181">
        <v>0</v>
      </c>
      <c r="I796" s="181">
        <f>TOBEPAID!I600/1000</f>
        <v>0</v>
      </c>
      <c r="J796" s="181">
        <f>TOBEPAID!J600/1000</f>
        <v>0</v>
      </c>
      <c r="K796" s="181">
        <f>TOBEPAID!K600/1000</f>
        <v>0</v>
      </c>
      <c r="L796" s="181">
        <f>TOBEPAID!L600/1000</f>
        <v>0</v>
      </c>
      <c r="M796" s="181">
        <f>TOBEPAID!M600/1000</f>
        <v>0</v>
      </c>
      <c r="N796" s="181">
        <f>TOBEPAID!N600/1000</f>
        <v>28245.625</v>
      </c>
      <c r="O796" s="181">
        <f>TOBEPAID!O600/1000</f>
        <v>0</v>
      </c>
      <c r="P796" s="181">
        <f>TOBEPAID!P600/1000</f>
        <v>0</v>
      </c>
      <c r="Q796" s="181">
        <f>TOBEPAID!Q600/1000</f>
        <v>0</v>
      </c>
      <c r="R796" s="181">
        <v>0</v>
      </c>
      <c r="S796" s="181">
        <f>TOBEPAID!S600/1000</f>
        <v>0</v>
      </c>
      <c r="T796" s="181">
        <f>TOBEPAID!T600/1000</f>
        <v>0</v>
      </c>
      <c r="U796" s="181">
        <f>TOBEPAID!U600/1000</f>
        <v>0</v>
      </c>
      <c r="V796" s="181">
        <f>TOBEPAID!V600/1000</f>
        <v>0</v>
      </c>
      <c r="W796" s="181">
        <f>TOBEPAID!W600/1000</f>
        <v>0</v>
      </c>
      <c r="X796" s="181">
        <f>TOBEPAID!X600/1000</f>
        <v>0</v>
      </c>
      <c r="Y796" s="181">
        <f t="shared" si="148"/>
        <v>0</v>
      </c>
      <c r="Z796" s="181">
        <f t="shared" si="147"/>
        <v>0</v>
      </c>
      <c r="AA796" s="181">
        <f>TOBEPAID!AA600/1000</f>
        <v>28245.625</v>
      </c>
      <c r="AB796" s="181">
        <f>TOBEPAID!AB600/1000</f>
        <v>0</v>
      </c>
      <c r="AC796" s="181"/>
      <c r="AD796" s="181"/>
    </row>
    <row r="797" spans="1:30" x14ac:dyDescent="0.2">
      <c r="A797" s="180"/>
      <c r="C797" s="165" t="s">
        <v>183</v>
      </c>
      <c r="D797" s="181">
        <f>9336932/1000</f>
        <v>9336.9320000000007</v>
      </c>
      <c r="E797" s="181">
        <f>TOBEPAID!E601/1000</f>
        <v>0</v>
      </c>
      <c r="F797" s="181">
        <f>TOBEPAID!F601/1000</f>
        <v>0</v>
      </c>
      <c r="G797" s="181">
        <f>TOBEPAID!G601/1000</f>
        <v>0</v>
      </c>
      <c r="H797" s="181">
        <v>0</v>
      </c>
      <c r="I797" s="181">
        <f>TOBEPAID!I601/1000</f>
        <v>0</v>
      </c>
      <c r="J797" s="181">
        <f>TOBEPAID!J601/1000</f>
        <v>0</v>
      </c>
      <c r="K797" s="181">
        <f>TOBEPAID!K601/1000</f>
        <v>0</v>
      </c>
      <c r="L797" s="181">
        <f>TOBEPAID!L601/1000</f>
        <v>0</v>
      </c>
      <c r="M797" s="181">
        <f>TOBEPAID!M601/1000</f>
        <v>0</v>
      </c>
      <c r="N797" s="181">
        <f>TOBEPAID!N601/1000</f>
        <v>0</v>
      </c>
      <c r="O797" s="181">
        <f>TOBEPAID!O601/1000</f>
        <v>8484.7322499999991</v>
      </c>
      <c r="P797" s="181">
        <f>TOBEPAID!P601/1000</f>
        <v>0</v>
      </c>
      <c r="Q797" s="181">
        <f>TOBEPAID!Q601/1000</f>
        <v>0</v>
      </c>
      <c r="R797" s="181">
        <f>9336932/1000</f>
        <v>9336.9320000000007</v>
      </c>
      <c r="S797" s="181">
        <f>TOBEPAID!S601/1000</f>
        <v>0</v>
      </c>
      <c r="T797" s="181">
        <f>TOBEPAID!T601/1000</f>
        <v>0</v>
      </c>
      <c r="U797" s="181">
        <f>TOBEPAID!U601/1000</f>
        <v>0</v>
      </c>
      <c r="V797" s="181">
        <f>TOBEPAID!V601/1000</f>
        <v>0</v>
      </c>
      <c r="W797" s="181">
        <f>TOBEPAID!W601/1000</f>
        <v>0</v>
      </c>
      <c r="X797" s="181">
        <f>TOBEPAID!X601/1000</f>
        <v>8484.7322499999991</v>
      </c>
      <c r="Y797" s="181">
        <f t="shared" si="148"/>
        <v>9336.9320000000007</v>
      </c>
      <c r="Z797" s="181">
        <f t="shared" si="147"/>
        <v>0</v>
      </c>
      <c r="AA797" s="181">
        <f>TOBEPAID!AA601/1000</f>
        <v>8484.7322499999991</v>
      </c>
      <c r="AB797" s="181">
        <f>TOBEPAID!AB601/1000</f>
        <v>22505.887909999998</v>
      </c>
      <c r="AC797" s="181"/>
      <c r="AD797" s="181"/>
    </row>
    <row r="798" spans="1:30" x14ac:dyDescent="0.2">
      <c r="C798" s="165" t="s">
        <v>380</v>
      </c>
      <c r="D798" s="181">
        <f>7800000/1000</f>
        <v>7800</v>
      </c>
      <c r="E798" s="181">
        <f>TOBEPAID!E602/1000</f>
        <v>7800</v>
      </c>
      <c r="F798" s="181">
        <f>TOBEPAID!F602/1000</f>
        <v>0</v>
      </c>
      <c r="G798" s="181">
        <f>TOBEPAID!G602/1000</f>
        <v>0</v>
      </c>
      <c r="H798" s="181">
        <f>7800000/1000</f>
        <v>7800</v>
      </c>
      <c r="I798" s="181">
        <f>TOBEPAID!I602/1000</f>
        <v>0</v>
      </c>
      <c r="J798" s="181">
        <f>TOBEPAID!J602/1000</f>
        <v>0</v>
      </c>
      <c r="K798" s="181">
        <f>TOBEPAID!K602/1000</f>
        <v>0</v>
      </c>
      <c r="L798" s="181">
        <f>TOBEPAID!L602/1000</f>
        <v>0</v>
      </c>
      <c r="M798" s="181">
        <f>TOBEPAID!M602/1000</f>
        <v>0</v>
      </c>
      <c r="N798" s="181">
        <f>TOBEPAID!N602/1000</f>
        <v>7800</v>
      </c>
      <c r="O798" s="181">
        <f>TOBEPAID!O602/1000</f>
        <v>0</v>
      </c>
      <c r="P798" s="181">
        <f>TOBEPAID!P602/1000</f>
        <v>0</v>
      </c>
      <c r="Q798" s="181">
        <f>TOBEPAID!Q602/1000</f>
        <v>0</v>
      </c>
      <c r="R798" s="181">
        <f>TOBEPAID!R602/1000</f>
        <v>0</v>
      </c>
      <c r="S798" s="181">
        <f>TOBEPAID!S602/1000</f>
        <v>0</v>
      </c>
      <c r="T798" s="181">
        <f>TOBEPAID!T602/1000</f>
        <v>0</v>
      </c>
      <c r="U798" s="181">
        <f>TOBEPAID!U602/1000</f>
        <v>0</v>
      </c>
      <c r="V798" s="181">
        <f>TOBEPAID!V602/1000</f>
        <v>0</v>
      </c>
      <c r="W798" s="181">
        <f>TOBEPAID!W602/1000</f>
        <v>0</v>
      </c>
      <c r="X798" s="181">
        <f>TOBEPAID!X602/1000</f>
        <v>0</v>
      </c>
      <c r="Y798" s="181">
        <f t="shared" si="148"/>
        <v>7800</v>
      </c>
      <c r="Z798" s="181">
        <f t="shared" si="147"/>
        <v>0</v>
      </c>
      <c r="AA798" s="181">
        <f>TOBEPAID!AA602/1000</f>
        <v>7800</v>
      </c>
      <c r="AB798" s="181">
        <f>TOBEPAID!AB602/1000</f>
        <v>0</v>
      </c>
      <c r="AC798" s="181"/>
      <c r="AD798" s="181"/>
    </row>
    <row r="799" spans="1:30" x14ac:dyDescent="0.2">
      <c r="C799" s="165" t="s">
        <v>448</v>
      </c>
      <c r="D799" s="181">
        <f>5025306/1000</f>
        <v>5025.3059999999996</v>
      </c>
      <c r="E799" s="181"/>
      <c r="F799" s="181"/>
      <c r="G799" s="181"/>
      <c r="H799" s="181">
        <f>5025306/1000</f>
        <v>5025.3059999999996</v>
      </c>
      <c r="I799" s="181"/>
      <c r="J799" s="181"/>
      <c r="K799" s="181"/>
      <c r="L799" s="181"/>
      <c r="M799" s="181"/>
      <c r="N799" s="181"/>
      <c r="O799" s="181"/>
      <c r="P799" s="181"/>
      <c r="Q799" s="181"/>
      <c r="R799" s="181">
        <v>0</v>
      </c>
      <c r="S799" s="181"/>
      <c r="T799" s="181"/>
      <c r="U799" s="181"/>
      <c r="V799" s="181"/>
      <c r="W799" s="181"/>
      <c r="X799" s="181"/>
      <c r="Y799" s="181">
        <f>+H799+R799</f>
        <v>5025.3059999999996</v>
      </c>
      <c r="Z799" s="181">
        <f t="shared" si="147"/>
        <v>0</v>
      </c>
      <c r="AA799" s="181"/>
      <c r="AB799" s="181"/>
      <c r="AC799" s="181"/>
      <c r="AD799" s="181"/>
    </row>
    <row r="800" spans="1:30" x14ac:dyDescent="0.2">
      <c r="C800" s="165" t="s">
        <v>398</v>
      </c>
      <c r="D800" s="181">
        <f>17760153/1000</f>
        <v>17760.152999999998</v>
      </c>
      <c r="E800" s="181"/>
      <c r="F800" s="181"/>
      <c r="G800" s="181"/>
      <c r="H800" s="181">
        <f>17760153/1000</f>
        <v>17760.152999999998</v>
      </c>
      <c r="I800" s="181"/>
      <c r="J800" s="181"/>
      <c r="K800" s="181"/>
      <c r="L800" s="181"/>
      <c r="M800" s="181"/>
      <c r="N800" s="181"/>
      <c r="O800" s="181"/>
      <c r="P800" s="181"/>
      <c r="Q800" s="181"/>
      <c r="R800" s="181">
        <v>0</v>
      </c>
      <c r="S800" s="181"/>
      <c r="T800" s="181"/>
      <c r="U800" s="181"/>
      <c r="V800" s="181"/>
      <c r="W800" s="181"/>
      <c r="X800" s="181"/>
      <c r="Y800" s="181">
        <f t="shared" si="148"/>
        <v>17760.152999999998</v>
      </c>
      <c r="Z800" s="181">
        <f t="shared" si="147"/>
        <v>0</v>
      </c>
      <c r="AA800" s="181"/>
      <c r="AB800" s="181"/>
      <c r="AC800" s="181"/>
      <c r="AD800" s="181"/>
    </row>
    <row r="801" spans="1:30" x14ac:dyDescent="0.2">
      <c r="C801" s="165" t="s">
        <v>290</v>
      </c>
      <c r="D801" s="181">
        <f>970045398/1000</f>
        <v>970045.39800000004</v>
      </c>
      <c r="E801" s="181">
        <f>TOBEPAID!E603/1000</f>
        <v>261045.3983</v>
      </c>
      <c r="F801" s="181">
        <f>TOBEPAID!F603/1000</f>
        <v>23000</v>
      </c>
      <c r="G801" s="181">
        <f>TOBEPAID!G603/1000</f>
        <v>0</v>
      </c>
      <c r="H801" s="181">
        <f>970045398/1000</f>
        <v>970045.39800000004</v>
      </c>
      <c r="I801" s="181">
        <f>TOBEPAID!I603/1000</f>
        <v>0</v>
      </c>
      <c r="J801" s="181">
        <f>TOBEPAID!J603/1000</f>
        <v>0</v>
      </c>
      <c r="K801" s="181">
        <f>TOBEPAID!K603/1000</f>
        <v>0</v>
      </c>
      <c r="L801" s="181">
        <f>TOBEPAID!L603/1000</f>
        <v>0</v>
      </c>
      <c r="M801" s="181">
        <f>TOBEPAID!M603/1000</f>
        <v>0</v>
      </c>
      <c r="N801" s="181">
        <f>TOBEPAID!N603/1000</f>
        <v>284045.3983</v>
      </c>
      <c r="O801" s="181">
        <f>TOBEPAID!O603/1000</f>
        <v>0</v>
      </c>
      <c r="P801" s="181">
        <f>TOBEPAID!P603/1000</f>
        <v>0</v>
      </c>
      <c r="Q801" s="181">
        <f>TOBEPAID!Q603/1000</f>
        <v>0</v>
      </c>
      <c r="R801" s="181">
        <f>TOBEPAID!R603/1000</f>
        <v>0</v>
      </c>
      <c r="S801" s="181">
        <f>TOBEPAID!S603/1000</f>
        <v>0</v>
      </c>
      <c r="T801" s="181">
        <f>TOBEPAID!T603/1000</f>
        <v>0</v>
      </c>
      <c r="U801" s="181">
        <f>TOBEPAID!U603/1000</f>
        <v>0</v>
      </c>
      <c r="V801" s="181">
        <f>TOBEPAID!V603/1000</f>
        <v>0</v>
      </c>
      <c r="W801" s="181">
        <f>TOBEPAID!W603/1000</f>
        <v>0</v>
      </c>
      <c r="X801" s="181">
        <f>TOBEPAID!X603/1000</f>
        <v>0</v>
      </c>
      <c r="Y801" s="181">
        <f t="shared" si="148"/>
        <v>970045.39800000004</v>
      </c>
      <c r="Z801" s="181">
        <f t="shared" si="147"/>
        <v>0</v>
      </c>
      <c r="AA801" s="181">
        <f>TOBEPAID!AA603/1000</f>
        <v>284045.3983</v>
      </c>
      <c r="AB801" s="181">
        <f>TOBEPAID!AB603/1000</f>
        <v>0</v>
      </c>
      <c r="AC801" s="181"/>
      <c r="AD801" s="181"/>
    </row>
    <row r="802" spans="1:30" x14ac:dyDescent="0.2">
      <c r="A802" s="180"/>
      <c r="C802" s="165" t="s">
        <v>38</v>
      </c>
      <c r="D802" s="181">
        <v>0.36699999999999999</v>
      </c>
      <c r="E802" s="181">
        <f>TOBEPAID!E604/1000</f>
        <v>0</v>
      </c>
      <c r="F802" s="181">
        <f>TOBEPAID!F604/1000</f>
        <v>0</v>
      </c>
      <c r="G802" s="181">
        <f>TOBEPAID!G604/1000</f>
        <v>0</v>
      </c>
      <c r="H802" s="181">
        <v>0</v>
      </c>
      <c r="I802" s="181">
        <f>TOBEPAID!I604/1000</f>
        <v>0</v>
      </c>
      <c r="J802" s="181">
        <f>TOBEPAID!J604/1000</f>
        <v>0</v>
      </c>
      <c r="K802" s="181">
        <f>TOBEPAID!K604/1000</f>
        <v>0</v>
      </c>
      <c r="L802" s="181">
        <f>TOBEPAID!L604/1000</f>
        <v>0</v>
      </c>
      <c r="M802" s="181">
        <f>TOBEPAID!M604/1000</f>
        <v>0</v>
      </c>
      <c r="N802" s="181">
        <f>TOBEPAID!N604/1000</f>
        <v>0</v>
      </c>
      <c r="O802" s="181">
        <f>TOBEPAID!O604/1000</f>
        <v>0</v>
      </c>
      <c r="P802" s="181">
        <f>TOBEPAID!P604/1000</f>
        <v>0</v>
      </c>
      <c r="Q802" s="181">
        <f>TOBEPAID!Q604/1000</f>
        <v>0</v>
      </c>
      <c r="R802" s="181">
        <f>TOBEPAID!R604/1000</f>
        <v>0</v>
      </c>
      <c r="S802" s="181">
        <f>TOBEPAID!S604/1000</f>
        <v>0</v>
      </c>
      <c r="T802" s="181">
        <f>TOBEPAID!T604/1000</f>
        <v>0</v>
      </c>
      <c r="U802" s="181">
        <f>TOBEPAID!U604/1000</f>
        <v>0</v>
      </c>
      <c r="V802" s="181">
        <f>TOBEPAID!V604/1000</f>
        <v>0</v>
      </c>
      <c r="W802" s="181">
        <f>TOBEPAID!W604/1000</f>
        <v>0</v>
      </c>
      <c r="X802" s="181">
        <f>TOBEPAID!X604/1000</f>
        <v>0</v>
      </c>
      <c r="Y802" s="181">
        <f t="shared" si="148"/>
        <v>0</v>
      </c>
      <c r="Z802" s="181">
        <f t="shared" si="147"/>
        <v>0.36699999999999999</v>
      </c>
      <c r="AA802" s="181">
        <f>TOBEPAID!AA604/1000</f>
        <v>0</v>
      </c>
      <c r="AB802" s="181">
        <f>TOBEPAID!AB604/1000</f>
        <v>1351.5829899999999</v>
      </c>
      <c r="AC802" s="181"/>
      <c r="AD802" s="181"/>
    </row>
    <row r="803" spans="1:30" x14ac:dyDescent="0.2">
      <c r="A803" s="180"/>
      <c r="D803" s="182" t="s">
        <v>40</v>
      </c>
      <c r="E803" s="182" t="s">
        <v>40</v>
      </c>
      <c r="F803" s="182" t="s">
        <v>40</v>
      </c>
      <c r="G803" s="182"/>
      <c r="H803" s="182" t="s">
        <v>40</v>
      </c>
      <c r="I803" s="182" t="s">
        <v>40</v>
      </c>
      <c r="J803" s="182" t="s">
        <v>40</v>
      </c>
      <c r="K803" s="182" t="s">
        <v>40</v>
      </c>
      <c r="L803" s="182" t="s">
        <v>40</v>
      </c>
      <c r="M803" s="182"/>
      <c r="N803" s="182" t="s">
        <v>40</v>
      </c>
      <c r="O803" s="182" t="s">
        <v>40</v>
      </c>
      <c r="P803" s="182" t="s">
        <v>40</v>
      </c>
      <c r="Q803" s="182"/>
      <c r="R803" s="182" t="s">
        <v>40</v>
      </c>
      <c r="S803" s="182" t="s">
        <v>40</v>
      </c>
      <c r="T803" s="182" t="s">
        <v>40</v>
      </c>
      <c r="U803" s="182" t="s">
        <v>40</v>
      </c>
      <c r="V803" s="182" t="s">
        <v>40</v>
      </c>
      <c r="W803" s="182"/>
      <c r="X803" s="182" t="s">
        <v>40</v>
      </c>
      <c r="Y803" s="182" t="s">
        <v>40</v>
      </c>
      <c r="Z803" s="182" t="s">
        <v>40</v>
      </c>
      <c r="AA803" s="182" t="s">
        <v>40</v>
      </c>
      <c r="AB803" s="182" t="s">
        <v>40</v>
      </c>
      <c r="AC803" s="182"/>
      <c r="AD803" s="182"/>
    </row>
    <row r="804" spans="1:30" x14ac:dyDescent="0.2">
      <c r="A804" s="180"/>
      <c r="D804" s="191">
        <f>SUM(D793:D802)</f>
        <v>1093856.2420000001</v>
      </c>
      <c r="E804" s="191">
        <f>SUM(E794:E802)</f>
        <v>299190.1643</v>
      </c>
      <c r="F804" s="191">
        <f>SUM(F794:F802)</f>
        <v>23000</v>
      </c>
      <c r="G804" s="191"/>
      <c r="H804" s="191">
        <f>SUM(H793:H802)</f>
        <v>1084518.943</v>
      </c>
      <c r="I804" s="191">
        <f>SUM(I794:I802)</f>
        <v>0</v>
      </c>
      <c r="J804" s="191">
        <f>SUM(J794:J802)</f>
        <v>0</v>
      </c>
      <c r="K804" s="191">
        <f>SUM(K794:K802)</f>
        <v>0</v>
      </c>
      <c r="L804" s="191">
        <f>SUM(L794:L802)</f>
        <v>0</v>
      </c>
      <c r="M804" s="191"/>
      <c r="N804" s="191">
        <f>SUM(N794:N802)</f>
        <v>322190.1643</v>
      </c>
      <c r="O804" s="191">
        <f>SUM(O794:O802)</f>
        <v>8484.7322499999991</v>
      </c>
      <c r="P804" s="191">
        <f>SUM(P794:P802)</f>
        <v>0</v>
      </c>
      <c r="Q804" s="191"/>
      <c r="R804" s="191">
        <f>SUM(R794:R802)</f>
        <v>9336.9320000000007</v>
      </c>
      <c r="S804" s="191">
        <f>SUM(S794:S802)</f>
        <v>0</v>
      </c>
      <c r="T804" s="191">
        <f>SUM(T794:T802)</f>
        <v>0</v>
      </c>
      <c r="U804" s="191">
        <f>SUM(U794:U802)</f>
        <v>0</v>
      </c>
      <c r="V804" s="191">
        <f>SUM(V794:V802)</f>
        <v>0</v>
      </c>
      <c r="W804" s="191"/>
      <c r="X804" s="191">
        <f>SUM(X794:X802)</f>
        <v>8484.7322499999991</v>
      </c>
      <c r="Y804" s="191">
        <f>SUM(Y793:Y802)</f>
        <v>1093855.875</v>
      </c>
      <c r="Z804" s="191">
        <f>SUM(Z793:Z802)</f>
        <v>0.36699999999999999</v>
      </c>
      <c r="AA804" s="191">
        <f>SUM(AA794:AA802)</f>
        <v>330674.89655</v>
      </c>
      <c r="AB804" s="191">
        <f>SUM(AB793:AB802)</f>
        <v>52641.512760000005</v>
      </c>
      <c r="AC804" s="191"/>
      <c r="AD804" s="191"/>
    </row>
    <row r="805" spans="1:30" x14ac:dyDescent="0.2">
      <c r="A805" s="180"/>
      <c r="D805" s="182" t="s">
        <v>40</v>
      </c>
      <c r="E805" s="182" t="s">
        <v>40</v>
      </c>
      <c r="F805" s="182" t="s">
        <v>40</v>
      </c>
      <c r="G805" s="182"/>
      <c r="H805" s="182" t="s">
        <v>40</v>
      </c>
      <c r="I805" s="182" t="s">
        <v>40</v>
      </c>
      <c r="J805" s="182" t="s">
        <v>40</v>
      </c>
      <c r="K805" s="182" t="s">
        <v>40</v>
      </c>
      <c r="L805" s="182" t="s">
        <v>40</v>
      </c>
      <c r="M805" s="182"/>
      <c r="N805" s="182" t="s">
        <v>40</v>
      </c>
      <c r="O805" s="182" t="s">
        <v>40</v>
      </c>
      <c r="P805" s="182" t="s">
        <v>40</v>
      </c>
      <c r="Q805" s="182"/>
      <c r="R805" s="182" t="s">
        <v>40</v>
      </c>
      <c r="S805" s="182" t="s">
        <v>40</v>
      </c>
      <c r="T805" s="182" t="s">
        <v>40</v>
      </c>
      <c r="U805" s="182" t="s">
        <v>40</v>
      </c>
      <c r="V805" s="182" t="s">
        <v>40</v>
      </c>
      <c r="W805" s="182"/>
      <c r="X805" s="182" t="s">
        <v>40</v>
      </c>
      <c r="Y805" s="182" t="s">
        <v>40</v>
      </c>
      <c r="Z805" s="182" t="s">
        <v>40</v>
      </c>
      <c r="AA805" s="182" t="s">
        <v>40</v>
      </c>
      <c r="AB805" s="182" t="s">
        <v>40</v>
      </c>
      <c r="AC805" s="182"/>
      <c r="AD805" s="182"/>
    </row>
    <row r="806" spans="1:30" x14ac:dyDescent="0.2">
      <c r="A806" s="180"/>
      <c r="D806" s="182"/>
      <c r="E806" s="182"/>
      <c r="F806" s="182"/>
      <c r="G806" s="182"/>
      <c r="H806" s="182"/>
      <c r="I806" s="182"/>
      <c r="J806" s="182"/>
      <c r="K806" s="182"/>
      <c r="L806" s="182"/>
      <c r="M806" s="182"/>
      <c r="N806" s="182"/>
      <c r="O806" s="182"/>
      <c r="P806" s="182"/>
      <c r="Q806" s="182"/>
      <c r="R806" s="182"/>
      <c r="S806" s="182"/>
      <c r="T806" s="182"/>
      <c r="U806" s="182"/>
      <c r="V806" s="182"/>
      <c r="W806" s="182"/>
      <c r="X806" s="182"/>
      <c r="Y806" s="182"/>
      <c r="Z806" s="182"/>
      <c r="AA806" s="182"/>
      <c r="AB806" s="182"/>
      <c r="AC806" s="182"/>
      <c r="AD806" s="182"/>
    </row>
    <row r="807" spans="1:30" x14ac:dyDescent="0.2">
      <c r="A807" s="180">
        <v>59</v>
      </c>
      <c r="B807" s="165" t="s">
        <v>201</v>
      </c>
      <c r="C807" s="166" t="s">
        <v>35</v>
      </c>
      <c r="D807" s="181">
        <f>12258201/1000</f>
        <v>12258.200999999999</v>
      </c>
      <c r="E807" s="181">
        <f>TOBEPAID!E608/1000</f>
        <v>0</v>
      </c>
      <c r="F807" s="181">
        <f>TOBEPAID!F608/1000</f>
        <v>0</v>
      </c>
      <c r="G807" s="181">
        <f>TOBEPAID!G608/1000</f>
        <v>0</v>
      </c>
      <c r="H807" s="181">
        <v>0</v>
      </c>
      <c r="I807" s="181">
        <f>TOBEPAID!I608/1000</f>
        <v>0</v>
      </c>
      <c r="J807" s="181">
        <f>TOBEPAID!J608/1000</f>
        <v>0</v>
      </c>
      <c r="K807" s="181">
        <f>TOBEPAID!K608/1000</f>
        <v>0</v>
      </c>
      <c r="L807" s="181">
        <f>TOBEPAID!L608/1000</f>
        <v>0</v>
      </c>
      <c r="M807" s="181">
        <f>TOBEPAID!M608/1000</f>
        <v>0</v>
      </c>
      <c r="N807" s="181">
        <f>TOBEPAID!N608/1000</f>
        <v>0</v>
      </c>
      <c r="O807" s="181">
        <f>TOBEPAID!O608/1000</f>
        <v>8805.2316900000005</v>
      </c>
      <c r="P807" s="181">
        <f>TOBEPAID!P608/1000</f>
        <v>0</v>
      </c>
      <c r="Q807" s="181">
        <f>TOBEPAID!Q608/1000</f>
        <v>0</v>
      </c>
      <c r="R807" s="181">
        <f>8804479.65/1000</f>
        <v>8804.4796500000011</v>
      </c>
      <c r="S807" s="181">
        <f>TOBEPAID!S608/1000</f>
        <v>0</v>
      </c>
      <c r="T807" s="181">
        <f>TOBEPAID!T608/1000</f>
        <v>0</v>
      </c>
      <c r="U807" s="181">
        <f>TOBEPAID!U608/1000</f>
        <v>0</v>
      </c>
      <c r="V807" s="181">
        <f>TOBEPAID!V608/1000</f>
        <v>0</v>
      </c>
      <c r="W807" s="181">
        <f>TOBEPAID!W608/1000</f>
        <v>0</v>
      </c>
      <c r="X807" s="181">
        <f>TOBEPAID!X608/1000</f>
        <v>8805.2316900000005</v>
      </c>
      <c r="Y807" s="181">
        <f t="shared" ref="Y807:Y813" si="149">+H807+R807</f>
        <v>8804.4796500000011</v>
      </c>
      <c r="Z807" s="181">
        <f t="shared" ref="Z807:Z813" si="150">+D807-Y807</f>
        <v>3453.721349999998</v>
      </c>
      <c r="AA807" s="181">
        <f>TOBEPAID!AA608/1000</f>
        <v>8805.2316900000005</v>
      </c>
      <c r="AB807" s="181">
        <f>TOBEPAID!AB608/1000</f>
        <v>-106.5719600000009</v>
      </c>
      <c r="AC807" s="181"/>
      <c r="AD807" s="181"/>
    </row>
    <row r="808" spans="1:30" x14ac:dyDescent="0.2">
      <c r="A808" s="180"/>
      <c r="C808" s="165" t="s">
        <v>36</v>
      </c>
      <c r="D808" s="181">
        <f>2191296/1000</f>
        <v>2191.2959999999998</v>
      </c>
      <c r="E808" s="181">
        <f>TOBEPAID!E609/1000</f>
        <v>2191.2959999999998</v>
      </c>
      <c r="F808" s="181">
        <f>TOBEPAID!F609/1000</f>
        <v>0</v>
      </c>
      <c r="G808" s="181">
        <f>TOBEPAID!G609/1000</f>
        <v>0</v>
      </c>
      <c r="H808" s="181">
        <f>2191296/1000</f>
        <v>2191.2959999999998</v>
      </c>
      <c r="I808" s="181">
        <f>TOBEPAID!I609/1000</f>
        <v>0</v>
      </c>
      <c r="J808" s="181">
        <f>TOBEPAID!J609/1000</f>
        <v>0</v>
      </c>
      <c r="K808" s="181">
        <f>TOBEPAID!K609/1000</f>
        <v>0</v>
      </c>
      <c r="L808" s="181">
        <f>TOBEPAID!L609/1000</f>
        <v>0</v>
      </c>
      <c r="M808" s="181">
        <f>TOBEPAID!M609/1000</f>
        <v>0</v>
      </c>
      <c r="N808" s="181">
        <f>TOBEPAID!N609/1000</f>
        <v>2191.2959999999998</v>
      </c>
      <c r="O808" s="181">
        <f>TOBEPAID!O609/1000</f>
        <v>0</v>
      </c>
      <c r="P808" s="181">
        <f>TOBEPAID!P609/1000</f>
        <v>0</v>
      </c>
      <c r="Q808" s="181">
        <f>TOBEPAID!Q609/1000</f>
        <v>0</v>
      </c>
      <c r="R808" s="181">
        <v>0</v>
      </c>
      <c r="S808" s="181">
        <f>TOBEPAID!S609/1000</f>
        <v>0</v>
      </c>
      <c r="T808" s="181">
        <f>TOBEPAID!T609/1000</f>
        <v>0</v>
      </c>
      <c r="U808" s="181">
        <f>TOBEPAID!U609/1000</f>
        <v>0</v>
      </c>
      <c r="V808" s="181">
        <f>TOBEPAID!V609/1000</f>
        <v>0</v>
      </c>
      <c r="W808" s="181">
        <f>TOBEPAID!W609/1000</f>
        <v>0</v>
      </c>
      <c r="X808" s="181">
        <f>TOBEPAID!X609/1000</f>
        <v>0</v>
      </c>
      <c r="Y808" s="181">
        <f t="shared" si="149"/>
        <v>2191.2959999999998</v>
      </c>
      <c r="Z808" s="181">
        <f t="shared" si="150"/>
        <v>0</v>
      </c>
      <c r="AA808" s="181">
        <f>TOBEPAID!AA609/1000</f>
        <v>2191.2959999999998</v>
      </c>
      <c r="AB808" s="181">
        <f>TOBEPAID!AB609/1000</f>
        <v>0</v>
      </c>
      <c r="AC808" s="181"/>
      <c r="AD808" s="181"/>
    </row>
    <row r="809" spans="1:30" x14ac:dyDescent="0.2">
      <c r="A809" s="180"/>
      <c r="C809" s="165" t="s">
        <v>478</v>
      </c>
      <c r="D809" s="181">
        <f>220000000/1000</f>
        <v>220000</v>
      </c>
      <c r="E809" s="181"/>
      <c r="F809" s="181"/>
      <c r="G809" s="181"/>
      <c r="H809" s="181">
        <f>55000000/1000</f>
        <v>55000</v>
      </c>
      <c r="I809" s="181"/>
      <c r="J809" s="181"/>
      <c r="K809" s="181"/>
      <c r="L809" s="181"/>
      <c r="M809" s="181"/>
      <c r="N809" s="181"/>
      <c r="O809" s="181"/>
      <c r="P809" s="181"/>
      <c r="Q809" s="181"/>
      <c r="R809" s="181">
        <v>0</v>
      </c>
      <c r="S809" s="181"/>
      <c r="T809" s="181"/>
      <c r="U809" s="181"/>
      <c r="V809" s="181"/>
      <c r="W809" s="181"/>
      <c r="X809" s="181"/>
      <c r="Y809" s="181">
        <f>+H809+R809</f>
        <v>55000</v>
      </c>
      <c r="Z809" s="181">
        <f>+D809-Y809</f>
        <v>165000</v>
      </c>
      <c r="AA809" s="181"/>
      <c r="AB809" s="181"/>
      <c r="AC809" s="181"/>
      <c r="AD809" s="181"/>
    </row>
    <row r="810" spans="1:30" x14ac:dyDescent="0.2">
      <c r="A810" s="180"/>
      <c r="C810" s="165" t="s">
        <v>183</v>
      </c>
      <c r="D810" s="181">
        <f>10468432/1000</f>
        <v>10468.432000000001</v>
      </c>
      <c r="E810" s="181">
        <f>TOBEPAID!E610/1000</f>
        <v>0</v>
      </c>
      <c r="F810" s="181">
        <f>TOBEPAID!F610/1000</f>
        <v>0</v>
      </c>
      <c r="G810" s="181">
        <f>TOBEPAID!G610/1000</f>
        <v>0</v>
      </c>
      <c r="H810" s="181">
        <v>0</v>
      </c>
      <c r="I810" s="181">
        <f>TOBEPAID!I610/1000</f>
        <v>0</v>
      </c>
      <c r="J810" s="181">
        <f>TOBEPAID!J610/1000</f>
        <v>0</v>
      </c>
      <c r="K810" s="181">
        <f>TOBEPAID!K610/1000</f>
        <v>0</v>
      </c>
      <c r="L810" s="181">
        <f>TOBEPAID!L610/1000</f>
        <v>0</v>
      </c>
      <c r="M810" s="181">
        <f>TOBEPAID!M610/1000</f>
        <v>0</v>
      </c>
      <c r="N810" s="181">
        <f>TOBEPAID!N610/1000</f>
        <v>0</v>
      </c>
      <c r="O810" s="181">
        <f>TOBEPAID!O610/1000</f>
        <v>10468.432160000002</v>
      </c>
      <c r="P810" s="181">
        <f>TOBEPAID!P610/1000</f>
        <v>0</v>
      </c>
      <c r="Q810" s="181">
        <f>TOBEPAID!Q610/1000</f>
        <v>0</v>
      </c>
      <c r="R810" s="181">
        <f>10468432/1000</f>
        <v>10468.432000000001</v>
      </c>
      <c r="S810" s="181">
        <f>TOBEPAID!S610/1000</f>
        <v>0</v>
      </c>
      <c r="T810" s="181">
        <f>TOBEPAID!T610/1000</f>
        <v>0</v>
      </c>
      <c r="U810" s="181">
        <f>TOBEPAID!U610/1000</f>
        <v>0</v>
      </c>
      <c r="V810" s="181">
        <f>TOBEPAID!V610/1000</f>
        <v>0</v>
      </c>
      <c r="W810" s="181">
        <f>TOBEPAID!W610/1000</f>
        <v>0</v>
      </c>
      <c r="X810" s="181">
        <f>TOBEPAID!X610/1000</f>
        <v>10468.432160000002</v>
      </c>
      <c r="Y810" s="181">
        <f t="shared" si="149"/>
        <v>10468.432000000001</v>
      </c>
      <c r="Z810" s="181">
        <f t="shared" si="150"/>
        <v>0</v>
      </c>
      <c r="AA810" s="181">
        <f>TOBEPAID!AA610/1000</f>
        <v>10468.432160000002</v>
      </c>
      <c r="AB810" s="181">
        <f>TOBEPAID!AB610/1000</f>
        <v>0</v>
      </c>
      <c r="AC810" s="181"/>
      <c r="AD810" s="181"/>
    </row>
    <row r="811" spans="1:30" x14ac:dyDescent="0.2">
      <c r="A811" s="180"/>
      <c r="C811" s="165" t="s">
        <v>38</v>
      </c>
      <c r="D811" s="181">
        <v>0</v>
      </c>
      <c r="E811" s="181">
        <f>TOBEPAID!E611/1000</f>
        <v>0</v>
      </c>
      <c r="F811" s="181">
        <f>TOBEPAID!F611/1000</f>
        <v>0</v>
      </c>
      <c r="G811" s="181">
        <f>TOBEPAID!G611/1000</f>
        <v>0</v>
      </c>
      <c r="H811" s="181">
        <v>0</v>
      </c>
      <c r="I811" s="181">
        <f>TOBEPAID!I611/1000</f>
        <v>0</v>
      </c>
      <c r="J811" s="181">
        <f>TOBEPAID!J611/1000</f>
        <v>0</v>
      </c>
      <c r="K811" s="181">
        <f>TOBEPAID!K611/1000</f>
        <v>0</v>
      </c>
      <c r="L811" s="181">
        <f>TOBEPAID!L611/1000</f>
        <v>0</v>
      </c>
      <c r="M811" s="181">
        <f>TOBEPAID!M611/1000</f>
        <v>0</v>
      </c>
      <c r="N811" s="181">
        <f>TOBEPAID!N611/1000</f>
        <v>0</v>
      </c>
      <c r="O811" s="181">
        <f>TOBEPAID!O611/1000</f>
        <v>0</v>
      </c>
      <c r="P811" s="181">
        <f>TOBEPAID!P611/1000</f>
        <v>0</v>
      </c>
      <c r="Q811" s="181">
        <f>TOBEPAID!Q611/1000</f>
        <v>0</v>
      </c>
      <c r="R811" s="181">
        <v>0</v>
      </c>
      <c r="S811" s="181">
        <f>TOBEPAID!S611/1000</f>
        <v>0</v>
      </c>
      <c r="T811" s="181">
        <f>TOBEPAID!T611/1000</f>
        <v>0</v>
      </c>
      <c r="U811" s="181">
        <f>TOBEPAID!U611/1000</f>
        <v>0</v>
      </c>
      <c r="V811" s="181">
        <f>TOBEPAID!V611/1000</f>
        <v>0</v>
      </c>
      <c r="W811" s="181">
        <f>TOBEPAID!W611/1000</f>
        <v>0</v>
      </c>
      <c r="X811" s="181">
        <f>TOBEPAID!X611/1000</f>
        <v>0</v>
      </c>
      <c r="Y811" s="181">
        <f t="shared" si="149"/>
        <v>0</v>
      </c>
      <c r="Z811" s="181">
        <f t="shared" si="150"/>
        <v>0</v>
      </c>
      <c r="AA811" s="181">
        <f>TOBEPAID!AA611/1000</f>
        <v>0</v>
      </c>
      <c r="AB811" s="181">
        <f>TOBEPAID!AB611/1000</f>
        <v>350.83046000000002</v>
      </c>
      <c r="AC811" s="181"/>
      <c r="AD811" s="181"/>
    </row>
    <row r="812" spans="1:30" x14ac:dyDescent="0.2">
      <c r="A812" s="180"/>
      <c r="C812" s="165" t="s">
        <v>184</v>
      </c>
      <c r="D812" s="181">
        <v>0</v>
      </c>
      <c r="E812" s="181">
        <f>TOBEPAID!E612/1000</f>
        <v>0</v>
      </c>
      <c r="F812" s="181">
        <f>TOBEPAID!F612/1000</f>
        <v>0</v>
      </c>
      <c r="G812" s="181">
        <f>TOBEPAID!G612/1000</f>
        <v>0</v>
      </c>
      <c r="H812" s="181">
        <v>0</v>
      </c>
      <c r="I812" s="181">
        <f>TOBEPAID!I612/1000</f>
        <v>0</v>
      </c>
      <c r="J812" s="181">
        <f>TOBEPAID!J612/1000</f>
        <v>0</v>
      </c>
      <c r="K812" s="181">
        <f>TOBEPAID!K612/1000</f>
        <v>0</v>
      </c>
      <c r="L812" s="181">
        <f>TOBEPAID!L612/1000</f>
        <v>0</v>
      </c>
      <c r="M812" s="181">
        <f>TOBEPAID!M612/1000</f>
        <v>0</v>
      </c>
      <c r="N812" s="181">
        <f>TOBEPAID!N612/1000</f>
        <v>0</v>
      </c>
      <c r="O812" s="181">
        <f>TOBEPAID!O612/1000</f>
        <v>0</v>
      </c>
      <c r="P812" s="181">
        <f>TOBEPAID!P612/1000</f>
        <v>0</v>
      </c>
      <c r="Q812" s="181">
        <f>TOBEPAID!Q612/1000</f>
        <v>0</v>
      </c>
      <c r="R812" s="181">
        <v>0</v>
      </c>
      <c r="S812" s="181">
        <f>TOBEPAID!S612/1000</f>
        <v>0</v>
      </c>
      <c r="T812" s="181">
        <f>TOBEPAID!T612/1000</f>
        <v>0</v>
      </c>
      <c r="U812" s="181">
        <f>TOBEPAID!U612/1000</f>
        <v>0</v>
      </c>
      <c r="V812" s="181">
        <f>TOBEPAID!V612/1000</f>
        <v>0</v>
      </c>
      <c r="W812" s="181">
        <f>TOBEPAID!W612/1000</f>
        <v>0</v>
      </c>
      <c r="X812" s="181">
        <f>TOBEPAID!X612/1000</f>
        <v>0</v>
      </c>
      <c r="Y812" s="181">
        <f t="shared" si="149"/>
        <v>0</v>
      </c>
      <c r="Z812" s="181">
        <f t="shared" si="150"/>
        <v>0</v>
      </c>
      <c r="AA812" s="181">
        <f>TOBEPAID!AA612/1000</f>
        <v>0</v>
      </c>
      <c r="AB812" s="181">
        <f>TOBEPAID!AB612/1000</f>
        <v>0</v>
      </c>
      <c r="AC812" s="181"/>
      <c r="AD812" s="181"/>
    </row>
    <row r="813" spans="1:30" x14ac:dyDescent="0.2">
      <c r="A813" s="180"/>
      <c r="C813" s="165" t="s">
        <v>266</v>
      </c>
      <c r="D813" s="181">
        <f>6791289/1000</f>
        <v>6791.2889999999998</v>
      </c>
      <c r="E813" s="181">
        <f>TOBEPAID!E613/1000</f>
        <v>6791.2891600000003</v>
      </c>
      <c r="F813" s="181">
        <f>TOBEPAID!F613/1000</f>
        <v>0</v>
      </c>
      <c r="G813" s="181">
        <f>TOBEPAID!G613/1000</f>
        <v>0</v>
      </c>
      <c r="H813" s="181">
        <f>6791289/1000</f>
        <v>6791.2889999999998</v>
      </c>
      <c r="I813" s="181">
        <f>TOBEPAID!I613/1000</f>
        <v>0</v>
      </c>
      <c r="J813" s="181">
        <f>TOBEPAID!J613/1000</f>
        <v>0</v>
      </c>
      <c r="K813" s="181">
        <f>TOBEPAID!K613/1000</f>
        <v>0</v>
      </c>
      <c r="L813" s="181">
        <f>TOBEPAID!L613/1000</f>
        <v>0</v>
      </c>
      <c r="M813" s="181">
        <f>TOBEPAID!M613/1000</f>
        <v>0</v>
      </c>
      <c r="N813" s="181">
        <f>TOBEPAID!N613/1000</f>
        <v>6791.2891600000003</v>
      </c>
      <c r="O813" s="181">
        <f>TOBEPAID!O613/1000</f>
        <v>0</v>
      </c>
      <c r="P813" s="181">
        <f>TOBEPAID!P613/1000</f>
        <v>0</v>
      </c>
      <c r="Q813" s="181">
        <f>TOBEPAID!Q613/1000</f>
        <v>0</v>
      </c>
      <c r="R813" s="181">
        <v>0</v>
      </c>
      <c r="S813" s="181">
        <f>TOBEPAID!S613/1000</f>
        <v>0</v>
      </c>
      <c r="T813" s="181">
        <f>TOBEPAID!T613/1000</f>
        <v>0</v>
      </c>
      <c r="U813" s="181">
        <f>TOBEPAID!U613/1000</f>
        <v>0</v>
      </c>
      <c r="V813" s="181">
        <f>TOBEPAID!V613/1000</f>
        <v>0</v>
      </c>
      <c r="W813" s="181">
        <f>TOBEPAID!W613/1000</f>
        <v>0</v>
      </c>
      <c r="X813" s="181">
        <f>TOBEPAID!X613/1000</f>
        <v>0</v>
      </c>
      <c r="Y813" s="181">
        <f t="shared" si="149"/>
        <v>6791.2889999999998</v>
      </c>
      <c r="Z813" s="181">
        <f t="shared" si="150"/>
        <v>0</v>
      </c>
      <c r="AA813" s="181">
        <f>TOBEPAID!AA613/1000</f>
        <v>6791.2891600000003</v>
      </c>
      <c r="AB813" s="181">
        <f>TOBEPAID!AB613/1000</f>
        <v>3208.7108399999997</v>
      </c>
      <c r="AC813" s="181"/>
      <c r="AD813" s="181"/>
    </row>
    <row r="814" spans="1:30" x14ac:dyDescent="0.2">
      <c r="A814" s="180"/>
      <c r="D814" s="182" t="s">
        <v>40</v>
      </c>
      <c r="E814" s="182" t="s">
        <v>40</v>
      </c>
      <c r="F814" s="182" t="s">
        <v>40</v>
      </c>
      <c r="G814" s="182"/>
      <c r="H814" s="182" t="s">
        <v>40</v>
      </c>
      <c r="I814" s="182" t="s">
        <v>40</v>
      </c>
      <c r="J814" s="182" t="s">
        <v>40</v>
      </c>
      <c r="K814" s="182" t="s">
        <v>40</v>
      </c>
      <c r="L814" s="182" t="s">
        <v>40</v>
      </c>
      <c r="M814" s="182"/>
      <c r="N814" s="182" t="s">
        <v>40</v>
      </c>
      <c r="O814" s="182" t="s">
        <v>40</v>
      </c>
      <c r="P814" s="182" t="s">
        <v>40</v>
      </c>
      <c r="Q814" s="182"/>
      <c r="R814" s="182" t="s">
        <v>40</v>
      </c>
      <c r="S814" s="182" t="s">
        <v>40</v>
      </c>
      <c r="T814" s="182" t="s">
        <v>40</v>
      </c>
      <c r="U814" s="182" t="s">
        <v>40</v>
      </c>
      <c r="V814" s="182" t="s">
        <v>40</v>
      </c>
      <c r="W814" s="182"/>
      <c r="X814" s="182" t="s">
        <v>40</v>
      </c>
      <c r="Y814" s="182" t="s">
        <v>40</v>
      </c>
      <c r="Z814" s="182" t="s">
        <v>40</v>
      </c>
      <c r="AA814" s="182" t="s">
        <v>40</v>
      </c>
      <c r="AB814" s="182" t="s">
        <v>40</v>
      </c>
      <c r="AC814" s="182"/>
      <c r="AD814" s="182"/>
    </row>
    <row r="815" spans="1:30" x14ac:dyDescent="0.2">
      <c r="A815" s="180"/>
      <c r="D815" s="191">
        <f>SUM(D807:D813)</f>
        <v>251709.21799999999</v>
      </c>
      <c r="E815" s="191">
        <f t="shared" ref="E815:V815" si="151">SUM(E807:E813)</f>
        <v>8982.5851600000005</v>
      </c>
      <c r="F815" s="191">
        <f t="shared" si="151"/>
        <v>0</v>
      </c>
      <c r="G815" s="191"/>
      <c r="H815" s="181">
        <f>SUM(H807:H813)</f>
        <v>63982.584999999999</v>
      </c>
      <c r="I815" s="191">
        <f t="shared" si="151"/>
        <v>0</v>
      </c>
      <c r="J815" s="191">
        <f t="shared" si="151"/>
        <v>0</v>
      </c>
      <c r="K815" s="191">
        <f t="shared" si="151"/>
        <v>0</v>
      </c>
      <c r="L815" s="191">
        <f t="shared" si="151"/>
        <v>0</v>
      </c>
      <c r="M815" s="191"/>
      <c r="N815" s="181">
        <f>H815+L815</f>
        <v>63982.584999999999</v>
      </c>
      <c r="O815" s="191">
        <f>SUM(O807:O813)</f>
        <v>19273.663850000004</v>
      </c>
      <c r="P815" s="191">
        <f t="shared" si="151"/>
        <v>0</v>
      </c>
      <c r="Q815" s="191"/>
      <c r="R815" s="181">
        <f>+R807+R808+R810+R811+R812+R813</f>
        <v>19272.911650000002</v>
      </c>
      <c r="S815" s="191">
        <f t="shared" si="151"/>
        <v>0</v>
      </c>
      <c r="T815" s="191">
        <f t="shared" si="151"/>
        <v>0</v>
      </c>
      <c r="U815" s="191">
        <f t="shared" si="151"/>
        <v>0</v>
      </c>
      <c r="V815" s="191">
        <f t="shared" si="151"/>
        <v>0</v>
      </c>
      <c r="W815" s="191"/>
      <c r="X815" s="181">
        <f>+R815+V815</f>
        <v>19272.911650000002</v>
      </c>
      <c r="Y815" s="181">
        <f>R815+H815</f>
        <v>83255.496650000001</v>
      </c>
      <c r="Z815" s="181">
        <f>D815-Y815</f>
        <v>168453.72135000001</v>
      </c>
      <c r="AA815" s="181">
        <f>N815+X815</f>
        <v>83255.496650000001</v>
      </c>
      <c r="AB815" s="181">
        <f>D815-AA815</f>
        <v>168453.72135000001</v>
      </c>
      <c r="AC815" s="181"/>
      <c r="AD815" s="181"/>
    </row>
    <row r="816" spans="1:30" x14ac:dyDescent="0.2">
      <c r="A816" s="180"/>
      <c r="D816" s="182" t="s">
        <v>40</v>
      </c>
      <c r="E816" s="182" t="s">
        <v>40</v>
      </c>
      <c r="F816" s="182" t="s">
        <v>40</v>
      </c>
      <c r="G816" s="182"/>
      <c r="H816" s="182" t="s">
        <v>40</v>
      </c>
      <c r="I816" s="182" t="s">
        <v>40</v>
      </c>
      <c r="J816" s="182" t="s">
        <v>40</v>
      </c>
      <c r="K816" s="182" t="s">
        <v>40</v>
      </c>
      <c r="L816" s="182" t="s">
        <v>40</v>
      </c>
      <c r="M816" s="182"/>
      <c r="N816" s="182" t="s">
        <v>40</v>
      </c>
      <c r="O816" s="182" t="s">
        <v>40</v>
      </c>
      <c r="P816" s="182" t="s">
        <v>40</v>
      </c>
      <c r="Q816" s="182"/>
      <c r="R816" s="182" t="s">
        <v>40</v>
      </c>
      <c r="S816" s="182" t="s">
        <v>40</v>
      </c>
      <c r="T816" s="182" t="s">
        <v>40</v>
      </c>
      <c r="U816" s="182" t="s">
        <v>40</v>
      </c>
      <c r="V816" s="182" t="s">
        <v>40</v>
      </c>
      <c r="W816" s="182"/>
      <c r="X816" s="182"/>
      <c r="Y816" s="182" t="s">
        <v>40</v>
      </c>
      <c r="Z816" s="182" t="s">
        <v>40</v>
      </c>
      <c r="AA816" s="182" t="s">
        <v>40</v>
      </c>
      <c r="AB816" s="182" t="s">
        <v>40</v>
      </c>
      <c r="AC816" s="182"/>
      <c r="AD816" s="182"/>
    </row>
    <row r="817" spans="1:30" x14ac:dyDescent="0.2">
      <c r="A817" s="180"/>
      <c r="B817" s="183"/>
      <c r="D817" s="203"/>
      <c r="E817" s="182"/>
      <c r="F817" s="182"/>
      <c r="G817" s="182"/>
      <c r="H817" s="182"/>
      <c r="I817" s="182"/>
      <c r="J817" s="182"/>
      <c r="K817" s="182"/>
      <c r="L817" s="182"/>
      <c r="M817" s="182"/>
      <c r="N817" s="182"/>
      <c r="O817" s="222"/>
      <c r="P817" s="199"/>
      <c r="Q817" s="220"/>
      <c r="R817" s="203"/>
      <c r="S817" s="182"/>
      <c r="T817" s="182"/>
      <c r="U817" s="182"/>
      <c r="V817" s="223"/>
      <c r="W817" s="182"/>
      <c r="X817" s="182"/>
      <c r="Y817" s="196"/>
      <c r="Z817" s="182"/>
      <c r="AA817" s="182"/>
      <c r="AB817" s="182"/>
      <c r="AC817" s="182"/>
      <c r="AD817" s="182"/>
    </row>
    <row r="818" spans="1:30" x14ac:dyDescent="0.2">
      <c r="A818" s="180"/>
      <c r="D818" s="189"/>
      <c r="E818" s="182"/>
      <c r="F818" s="182"/>
      <c r="G818" s="182"/>
      <c r="H818" s="182"/>
      <c r="I818" s="182"/>
      <c r="J818" s="182"/>
      <c r="K818" s="182"/>
      <c r="L818" s="182"/>
      <c r="M818" s="182"/>
      <c r="N818" s="182"/>
      <c r="O818" s="182"/>
      <c r="P818" s="182"/>
      <c r="Q818" s="182"/>
      <c r="R818" s="182"/>
      <c r="S818" s="182"/>
      <c r="T818" s="182"/>
      <c r="U818" s="182"/>
      <c r="V818" s="182"/>
      <c r="W818" s="182"/>
      <c r="X818" s="182"/>
      <c r="Y818" s="182"/>
      <c r="Z818" s="182"/>
      <c r="AA818" s="182"/>
      <c r="AB818" s="182"/>
      <c r="AC818" s="182"/>
      <c r="AD818" s="182"/>
    </row>
    <row r="819" spans="1:30" x14ac:dyDescent="0.2">
      <c r="A819" s="180">
        <v>60</v>
      </c>
      <c r="B819" s="165" t="s">
        <v>202</v>
      </c>
      <c r="C819" s="166" t="s">
        <v>35</v>
      </c>
      <c r="D819" s="181">
        <f>17806588/1000</f>
        <v>17806.588</v>
      </c>
      <c r="E819" s="181">
        <f>TOBEPAID!E619/1000</f>
        <v>0</v>
      </c>
      <c r="F819" s="181">
        <f>TOBEPAID!F619/1000</f>
        <v>0</v>
      </c>
      <c r="G819" s="181">
        <f>TOBEPAID!G619/1000</f>
        <v>0</v>
      </c>
      <c r="H819" s="181">
        <f>16000000/1000</f>
        <v>16000</v>
      </c>
      <c r="I819" s="181">
        <f>TOBEPAID!I619/1000</f>
        <v>0</v>
      </c>
      <c r="J819" s="181">
        <f>TOBEPAID!J619/1000</f>
        <v>0</v>
      </c>
      <c r="K819" s="181">
        <f>TOBEPAID!K619/1000</f>
        <v>0</v>
      </c>
      <c r="L819" s="181">
        <f>TOBEPAID!L619/1000</f>
        <v>0</v>
      </c>
      <c r="M819" s="181">
        <f>TOBEPAID!M619/1000</f>
        <v>0</v>
      </c>
      <c r="N819" s="181">
        <f>TOBEPAID!N619/1000</f>
        <v>0</v>
      </c>
      <c r="O819" s="181">
        <f>TOBEPAID!O619/1000</f>
        <v>0.73399999999999999</v>
      </c>
      <c r="P819" s="181">
        <f>TOBEPAID!P619/1000</f>
        <v>0</v>
      </c>
      <c r="Q819" s="181">
        <f>TOBEPAID!Q619/1000</f>
        <v>0</v>
      </c>
      <c r="R819" s="181">
        <v>0.73399999999999999</v>
      </c>
      <c r="S819" s="181">
        <f>TOBEPAID!S619/1000</f>
        <v>0</v>
      </c>
      <c r="T819" s="181">
        <f>TOBEPAID!T619/1000</f>
        <v>0</v>
      </c>
      <c r="U819" s="181">
        <f>TOBEPAID!U619/1000</f>
        <v>0</v>
      </c>
      <c r="V819" s="181">
        <f>TOBEPAID!V619/1000</f>
        <v>0</v>
      </c>
      <c r="W819" s="181">
        <f>TOBEPAID!W619/1000</f>
        <v>0</v>
      </c>
      <c r="X819" s="181">
        <f>TOBEPAID!X619/1000</f>
        <v>0.73399999999999999</v>
      </c>
      <c r="Y819" s="181">
        <f t="shared" ref="Y819:Y824" si="152">+H819+R819</f>
        <v>16000.734</v>
      </c>
      <c r="Z819" s="181">
        <f t="shared" ref="Z819:Z824" si="153">+D819-Y819</f>
        <v>1805.8539999999994</v>
      </c>
      <c r="AA819" s="181">
        <f>TOBEPAID!AA619/1000</f>
        <v>0.73399999999999999</v>
      </c>
      <c r="AB819" s="181">
        <f>TOBEPAID!AB619/1000</f>
        <v>17805.854469999998</v>
      </c>
      <c r="AC819" s="181"/>
      <c r="AD819" s="181"/>
    </row>
    <row r="820" spans="1:30" x14ac:dyDescent="0.2">
      <c r="A820" s="180"/>
      <c r="C820" s="165" t="s">
        <v>36</v>
      </c>
      <c r="D820" s="181">
        <f>2107710/1000</f>
        <v>2107.71</v>
      </c>
      <c r="E820" s="181">
        <f>TOBEPAID!E620/1000</f>
        <v>2107.71</v>
      </c>
      <c r="F820" s="181">
        <f>TOBEPAID!F620/1000</f>
        <v>0</v>
      </c>
      <c r="G820" s="181">
        <f>TOBEPAID!G620/1000</f>
        <v>0</v>
      </c>
      <c r="H820" s="181">
        <f>2107710/1000</f>
        <v>2107.71</v>
      </c>
      <c r="I820" s="181">
        <f>TOBEPAID!I620/1000</f>
        <v>0</v>
      </c>
      <c r="J820" s="181">
        <f>TOBEPAID!J620/1000</f>
        <v>0</v>
      </c>
      <c r="K820" s="181">
        <f>TOBEPAID!K620/1000</f>
        <v>0</v>
      </c>
      <c r="L820" s="181">
        <f>TOBEPAID!L620/1000</f>
        <v>0</v>
      </c>
      <c r="M820" s="181">
        <f>TOBEPAID!M620/1000</f>
        <v>0</v>
      </c>
      <c r="N820" s="181">
        <f>TOBEPAID!N620/1000</f>
        <v>2107.71</v>
      </c>
      <c r="O820" s="181">
        <f>TOBEPAID!O620/1000</f>
        <v>0</v>
      </c>
      <c r="P820" s="181">
        <f>TOBEPAID!P620/1000</f>
        <v>0</v>
      </c>
      <c r="Q820" s="181">
        <f>TOBEPAID!Q620/1000</f>
        <v>0</v>
      </c>
      <c r="R820" s="181">
        <v>0</v>
      </c>
      <c r="S820" s="181">
        <f>TOBEPAID!S620/1000</f>
        <v>0</v>
      </c>
      <c r="T820" s="181">
        <f>TOBEPAID!T620/1000</f>
        <v>0</v>
      </c>
      <c r="U820" s="181">
        <f>TOBEPAID!U620/1000</f>
        <v>0</v>
      </c>
      <c r="V820" s="181">
        <f>TOBEPAID!V620/1000</f>
        <v>0</v>
      </c>
      <c r="W820" s="181">
        <f>TOBEPAID!W620/1000</f>
        <v>0</v>
      </c>
      <c r="X820" s="181">
        <f>TOBEPAID!X620/1000</f>
        <v>0</v>
      </c>
      <c r="Y820" s="181">
        <f t="shared" si="152"/>
        <v>2107.71</v>
      </c>
      <c r="Z820" s="181">
        <f t="shared" si="153"/>
        <v>0</v>
      </c>
      <c r="AA820" s="181">
        <f>TOBEPAID!AA620/1000</f>
        <v>2107.71</v>
      </c>
      <c r="AB820" s="181">
        <f>TOBEPAID!AB620/1000</f>
        <v>0</v>
      </c>
      <c r="AC820" s="181"/>
      <c r="AD820" s="181"/>
    </row>
    <row r="821" spans="1:30" x14ac:dyDescent="0.2">
      <c r="A821" s="180"/>
      <c r="C821" s="165" t="s">
        <v>382</v>
      </c>
      <c r="D821" s="181">
        <f>12000000/1000</f>
        <v>12000</v>
      </c>
      <c r="E821" s="181"/>
      <c r="F821" s="181"/>
      <c r="G821" s="181"/>
      <c r="H821" s="181">
        <f>12000000/1000</f>
        <v>12000</v>
      </c>
      <c r="I821" s="181"/>
      <c r="J821" s="181"/>
      <c r="K821" s="181"/>
      <c r="L821" s="181"/>
      <c r="M821" s="181"/>
      <c r="N821" s="181"/>
      <c r="O821" s="181"/>
      <c r="P821" s="181"/>
      <c r="Q821" s="181"/>
      <c r="R821" s="181">
        <v>0</v>
      </c>
      <c r="S821" s="181"/>
      <c r="T821" s="181"/>
      <c r="U821" s="181"/>
      <c r="V821" s="181"/>
      <c r="W821" s="181"/>
      <c r="X821" s="181"/>
      <c r="Y821" s="181">
        <f t="shared" si="152"/>
        <v>12000</v>
      </c>
      <c r="Z821" s="181">
        <f t="shared" si="153"/>
        <v>0</v>
      </c>
      <c r="AA821" s="181"/>
      <c r="AB821" s="181"/>
      <c r="AC821" s="181"/>
      <c r="AD821" s="181"/>
    </row>
    <row r="822" spans="1:30" x14ac:dyDescent="0.2">
      <c r="A822" s="180"/>
      <c r="C822" s="165" t="s">
        <v>443</v>
      </c>
      <c r="D822" s="181">
        <f>10388000/1000</f>
        <v>10388</v>
      </c>
      <c r="E822" s="181"/>
      <c r="F822" s="181"/>
      <c r="G822" s="181"/>
      <c r="H822" s="181">
        <f>10388000/1000</f>
        <v>10388</v>
      </c>
      <c r="I822" s="181"/>
      <c r="J822" s="181"/>
      <c r="K822" s="181"/>
      <c r="L822" s="181"/>
      <c r="M822" s="181"/>
      <c r="N822" s="181"/>
      <c r="O822" s="181"/>
      <c r="P822" s="181"/>
      <c r="Q822" s="181"/>
      <c r="R822" s="181">
        <v>0</v>
      </c>
      <c r="S822" s="181"/>
      <c r="T822" s="181"/>
      <c r="U822" s="181"/>
      <c r="V822" s="181"/>
      <c r="W822" s="181"/>
      <c r="X822" s="181"/>
      <c r="Y822" s="181">
        <f t="shared" si="152"/>
        <v>10388</v>
      </c>
      <c r="Z822" s="181">
        <f t="shared" si="153"/>
        <v>0</v>
      </c>
      <c r="AA822" s="181"/>
      <c r="AB822" s="181"/>
      <c r="AC822" s="181"/>
      <c r="AD822" s="181"/>
    </row>
    <row r="823" spans="1:30" x14ac:dyDescent="0.2">
      <c r="A823" s="180"/>
      <c r="C823" s="165" t="s">
        <v>398</v>
      </c>
      <c r="D823" s="181">
        <f>5000000/1000</f>
        <v>5000</v>
      </c>
      <c r="E823" s="181"/>
      <c r="F823" s="181"/>
      <c r="G823" s="181"/>
      <c r="H823" s="181">
        <f>5000000/1000</f>
        <v>5000</v>
      </c>
      <c r="I823" s="181"/>
      <c r="J823" s="181"/>
      <c r="K823" s="181"/>
      <c r="L823" s="181"/>
      <c r="M823" s="181"/>
      <c r="N823" s="181"/>
      <c r="O823" s="181"/>
      <c r="P823" s="181"/>
      <c r="Q823" s="181"/>
      <c r="R823" s="181">
        <v>0</v>
      </c>
      <c r="S823" s="181"/>
      <c r="T823" s="181"/>
      <c r="U823" s="181"/>
      <c r="V823" s="181"/>
      <c r="W823" s="181"/>
      <c r="X823" s="181"/>
      <c r="Y823" s="181">
        <f t="shared" si="152"/>
        <v>5000</v>
      </c>
      <c r="Z823" s="181">
        <f t="shared" si="153"/>
        <v>0</v>
      </c>
      <c r="AA823" s="181"/>
      <c r="AB823" s="181"/>
      <c r="AC823" s="181"/>
      <c r="AD823" s="181"/>
    </row>
    <row r="824" spans="1:30" x14ac:dyDescent="0.2">
      <c r="A824" s="180"/>
      <c r="C824" s="165" t="s">
        <v>183</v>
      </c>
      <c r="D824" s="181">
        <f>758429/1000</f>
        <v>758.42899999999997</v>
      </c>
      <c r="E824" s="181">
        <f>TOBEPAID!E621/1000</f>
        <v>0</v>
      </c>
      <c r="F824" s="181">
        <f>TOBEPAID!F621/1000</f>
        <v>0</v>
      </c>
      <c r="G824" s="181">
        <f>TOBEPAID!G621/1000</f>
        <v>0</v>
      </c>
      <c r="H824" s="181">
        <v>0</v>
      </c>
      <c r="I824" s="181">
        <f>TOBEPAID!I621/1000</f>
        <v>0</v>
      </c>
      <c r="J824" s="181">
        <f>TOBEPAID!J621/1000</f>
        <v>0</v>
      </c>
      <c r="K824" s="181">
        <f>TOBEPAID!K621/1000</f>
        <v>0</v>
      </c>
      <c r="L824" s="181">
        <f>TOBEPAID!L621/1000</f>
        <v>0</v>
      </c>
      <c r="M824" s="181">
        <f>TOBEPAID!M621/1000</f>
        <v>0</v>
      </c>
      <c r="N824" s="181">
        <f>TOBEPAID!N621/1000</f>
        <v>0</v>
      </c>
      <c r="O824" s="181">
        <f>TOBEPAID!O621/1000</f>
        <v>0</v>
      </c>
      <c r="P824" s="181">
        <f>TOBEPAID!P621/1000</f>
        <v>0</v>
      </c>
      <c r="Q824" s="181">
        <f>TOBEPAID!Q621/1000</f>
        <v>0</v>
      </c>
      <c r="R824" s="181">
        <f>31791.12/1000</f>
        <v>31.791119999999999</v>
      </c>
      <c r="S824" s="181">
        <f>TOBEPAID!S621/1000</f>
        <v>0</v>
      </c>
      <c r="T824" s="181">
        <f>TOBEPAID!T621/1000</f>
        <v>0</v>
      </c>
      <c r="U824" s="181">
        <f>TOBEPAID!U621/1000</f>
        <v>0</v>
      </c>
      <c r="V824" s="181">
        <f>TOBEPAID!V621/1000</f>
        <v>0</v>
      </c>
      <c r="W824" s="181">
        <f>TOBEPAID!W621/1000</f>
        <v>0</v>
      </c>
      <c r="X824" s="181">
        <f>TOBEPAID!X621/1000</f>
        <v>0</v>
      </c>
      <c r="Y824" s="181">
        <f t="shared" si="152"/>
        <v>31.791119999999999</v>
      </c>
      <c r="Z824" s="181">
        <f t="shared" si="153"/>
        <v>726.63788</v>
      </c>
      <c r="AA824" s="181">
        <f>TOBEPAID!AA621/1000</f>
        <v>0</v>
      </c>
      <c r="AB824" s="181">
        <f>TOBEPAID!AB621/1000</f>
        <v>758.42939000000001</v>
      </c>
      <c r="AC824" s="181"/>
      <c r="AD824" s="181"/>
    </row>
    <row r="825" spans="1:30" x14ac:dyDescent="0.2">
      <c r="A825" s="180"/>
      <c r="D825" s="182" t="s">
        <v>40</v>
      </c>
      <c r="E825" s="182" t="s">
        <v>40</v>
      </c>
      <c r="F825" s="182" t="s">
        <v>40</v>
      </c>
      <c r="G825" s="182"/>
      <c r="H825" s="182" t="s">
        <v>40</v>
      </c>
      <c r="I825" s="182" t="s">
        <v>40</v>
      </c>
      <c r="J825" s="182" t="s">
        <v>40</v>
      </c>
      <c r="K825" s="182" t="s">
        <v>40</v>
      </c>
      <c r="L825" s="182" t="s">
        <v>40</v>
      </c>
      <c r="M825" s="182"/>
      <c r="N825" s="182" t="s">
        <v>40</v>
      </c>
      <c r="O825" s="182" t="s">
        <v>40</v>
      </c>
      <c r="P825" s="182" t="s">
        <v>40</v>
      </c>
      <c r="Q825" s="182"/>
      <c r="R825" s="182" t="s">
        <v>40</v>
      </c>
      <c r="S825" s="182" t="s">
        <v>40</v>
      </c>
      <c r="T825" s="182" t="s">
        <v>40</v>
      </c>
      <c r="U825" s="182" t="s">
        <v>40</v>
      </c>
      <c r="V825" s="182" t="s">
        <v>40</v>
      </c>
      <c r="W825" s="182"/>
      <c r="X825" s="182" t="s">
        <v>40</v>
      </c>
      <c r="Y825" s="182" t="s">
        <v>40</v>
      </c>
      <c r="Z825" s="182" t="s">
        <v>40</v>
      </c>
      <c r="AA825" s="182" t="s">
        <v>40</v>
      </c>
      <c r="AB825" s="182" t="s">
        <v>40</v>
      </c>
      <c r="AC825" s="182"/>
      <c r="AD825" s="182"/>
    </row>
    <row r="826" spans="1:30" x14ac:dyDescent="0.2">
      <c r="A826" s="180"/>
      <c r="D826" s="191">
        <f>SUM(D819:D824)</f>
        <v>48060.726999999992</v>
      </c>
      <c r="E826" s="191">
        <f>SUM(E819:E824)</f>
        <v>2107.71</v>
      </c>
      <c r="F826" s="191">
        <f>SUM(F819:F824)</f>
        <v>0</v>
      </c>
      <c r="G826" s="191"/>
      <c r="H826" s="191">
        <f>SUM(H819:H824)</f>
        <v>45495.71</v>
      </c>
      <c r="I826" s="191">
        <f>SUM(I819:I824)</f>
        <v>0</v>
      </c>
      <c r="J826" s="191">
        <f>SUM(J819:J824)</f>
        <v>0</v>
      </c>
      <c r="K826" s="191">
        <f>SUM(K819:K824)</f>
        <v>0</v>
      </c>
      <c r="L826" s="191">
        <f>SUM(L819:L824)</f>
        <v>0</v>
      </c>
      <c r="M826" s="191"/>
      <c r="N826" s="191">
        <f>SUM(N819:N824)</f>
        <v>2107.71</v>
      </c>
      <c r="O826" s="191">
        <f>SUM(O819:O824)</f>
        <v>0.73399999999999999</v>
      </c>
      <c r="P826" s="191">
        <f>SUM(P819:P824)</f>
        <v>0</v>
      </c>
      <c r="Q826" s="191"/>
      <c r="R826" s="191">
        <f>SUM(R819:R824)</f>
        <v>32.525120000000001</v>
      </c>
      <c r="S826" s="191">
        <f>SUM(S819:S824)</f>
        <v>0</v>
      </c>
      <c r="T826" s="191">
        <f>SUM(T819:T824)</f>
        <v>0</v>
      </c>
      <c r="U826" s="191">
        <f>SUM(U819:U824)</f>
        <v>0</v>
      </c>
      <c r="V826" s="191">
        <f>SUM(V819:V824)</f>
        <v>0</v>
      </c>
      <c r="W826" s="191"/>
      <c r="X826" s="191">
        <f>SUM(X819:X824)</f>
        <v>0.73399999999999999</v>
      </c>
      <c r="Y826" s="191">
        <f>SUM(Y819:Y824)</f>
        <v>45528.235120000005</v>
      </c>
      <c r="Z826" s="191">
        <f>SUM(Z819:Z824)</f>
        <v>2532.4918799999996</v>
      </c>
      <c r="AA826" s="191">
        <f>SUM(AA819:AA824)</f>
        <v>2108.444</v>
      </c>
      <c r="AB826" s="191">
        <f>SUM(AB819:AB824)</f>
        <v>18564.28386</v>
      </c>
      <c r="AC826" s="191"/>
      <c r="AD826" s="191"/>
    </row>
    <row r="827" spans="1:30" x14ac:dyDescent="0.2">
      <c r="A827" s="180"/>
      <c r="D827" s="182" t="s">
        <v>40</v>
      </c>
      <c r="E827" s="182" t="s">
        <v>40</v>
      </c>
      <c r="F827" s="182" t="s">
        <v>40</v>
      </c>
      <c r="G827" s="182"/>
      <c r="H827" s="182" t="s">
        <v>40</v>
      </c>
      <c r="I827" s="182" t="s">
        <v>40</v>
      </c>
      <c r="J827" s="182" t="s">
        <v>40</v>
      </c>
      <c r="K827" s="182" t="s">
        <v>40</v>
      </c>
      <c r="L827" s="182" t="s">
        <v>40</v>
      </c>
      <c r="M827" s="182"/>
      <c r="N827" s="182" t="s">
        <v>40</v>
      </c>
      <c r="O827" s="182" t="s">
        <v>40</v>
      </c>
      <c r="P827" s="182" t="s">
        <v>40</v>
      </c>
      <c r="Q827" s="182"/>
      <c r="R827" s="182" t="s">
        <v>40</v>
      </c>
      <c r="S827" s="182" t="s">
        <v>40</v>
      </c>
      <c r="T827" s="182" t="s">
        <v>40</v>
      </c>
      <c r="U827" s="182" t="s">
        <v>40</v>
      </c>
      <c r="V827" s="182" t="s">
        <v>40</v>
      </c>
      <c r="W827" s="182"/>
      <c r="X827" s="182" t="s">
        <v>40</v>
      </c>
      <c r="Y827" s="182" t="s">
        <v>40</v>
      </c>
      <c r="Z827" s="182" t="s">
        <v>40</v>
      </c>
      <c r="AA827" s="182" t="s">
        <v>40</v>
      </c>
      <c r="AB827" s="182" t="s">
        <v>40</v>
      </c>
      <c r="AC827" s="182"/>
      <c r="AD827" s="182"/>
    </row>
    <row r="828" spans="1:30" x14ac:dyDescent="0.2">
      <c r="A828" s="180"/>
      <c r="D828" s="182"/>
      <c r="E828" s="182"/>
      <c r="F828" s="182"/>
      <c r="G828" s="182"/>
      <c r="H828" s="182"/>
      <c r="I828" s="182"/>
      <c r="J828" s="182"/>
      <c r="K828" s="182"/>
      <c r="L828" s="182"/>
      <c r="M828" s="182"/>
      <c r="N828" s="182"/>
      <c r="O828" s="182"/>
      <c r="P828" s="182"/>
      <c r="Q828" s="182"/>
      <c r="R828" s="182"/>
      <c r="S828" s="182"/>
      <c r="T828" s="182"/>
      <c r="U828" s="182"/>
      <c r="V828" s="182"/>
      <c r="W828" s="182"/>
      <c r="X828" s="182"/>
      <c r="Y828" s="182"/>
      <c r="Z828" s="182"/>
      <c r="AA828" s="182"/>
      <c r="AB828" s="182"/>
      <c r="AC828" s="182"/>
      <c r="AD828" s="182"/>
    </row>
    <row r="829" spans="1:30" x14ac:dyDescent="0.2">
      <c r="A829" s="180"/>
      <c r="D829" s="182"/>
      <c r="E829" s="182"/>
      <c r="F829" s="182"/>
      <c r="G829" s="182"/>
      <c r="H829" s="182"/>
      <c r="I829" s="182"/>
      <c r="J829" s="182"/>
      <c r="K829" s="182"/>
      <c r="L829" s="182"/>
      <c r="M829" s="182"/>
      <c r="N829" s="182"/>
      <c r="O829" s="182"/>
      <c r="P829" s="182"/>
      <c r="Q829" s="182"/>
      <c r="R829" s="182"/>
      <c r="S829" s="182"/>
      <c r="T829" s="182"/>
      <c r="U829" s="182"/>
      <c r="V829" s="182"/>
      <c r="W829" s="182"/>
      <c r="X829" s="182"/>
      <c r="Y829" s="182"/>
      <c r="Z829" s="182"/>
      <c r="AA829" s="182"/>
      <c r="AB829" s="182"/>
      <c r="AC829" s="182"/>
      <c r="AD829" s="182"/>
    </row>
    <row r="830" spans="1:30" x14ac:dyDescent="0.2">
      <c r="A830" s="180">
        <v>61</v>
      </c>
      <c r="B830" s="165" t="s">
        <v>203</v>
      </c>
      <c r="C830" s="166" t="s">
        <v>35</v>
      </c>
      <c r="D830" s="181">
        <f>6942706.26/1000</f>
        <v>6942.7062599999999</v>
      </c>
      <c r="E830" s="181">
        <f>TOBEPAID!E625/1000</f>
        <v>0</v>
      </c>
      <c r="F830" s="181">
        <f>TOBEPAID!F625/1000</f>
        <v>0</v>
      </c>
      <c r="G830" s="181">
        <f>TOBEPAID!G625/1000</f>
        <v>0</v>
      </c>
      <c r="H830" s="181">
        <f>6942435/1000</f>
        <v>6942.4350000000004</v>
      </c>
      <c r="I830" s="181">
        <f>TOBEPAID!I625/1000</f>
        <v>0</v>
      </c>
      <c r="J830" s="181">
        <f>TOBEPAID!J625/1000</f>
        <v>0</v>
      </c>
      <c r="K830" s="181">
        <f>TOBEPAID!K625/1000</f>
        <v>0</v>
      </c>
      <c r="L830" s="181">
        <f>TOBEPAID!L625/1000</f>
        <v>0</v>
      </c>
      <c r="M830" s="181">
        <f>TOBEPAID!M625/1000</f>
        <v>0</v>
      </c>
      <c r="N830" s="181">
        <f>TOBEPAID!N625/1000</f>
        <v>0</v>
      </c>
      <c r="O830" s="181">
        <f>TOBEPAID!O625/1000</f>
        <v>117.1632</v>
      </c>
      <c r="P830" s="181">
        <f>TOBEPAID!P625/1000</f>
        <v>0</v>
      </c>
      <c r="Q830" s="181">
        <f>TOBEPAID!Q625/1000</f>
        <v>0</v>
      </c>
      <c r="R830" s="181">
        <v>0</v>
      </c>
      <c r="S830" s="181">
        <f>TOBEPAID!S625/1000</f>
        <v>0</v>
      </c>
      <c r="T830" s="181">
        <f>TOBEPAID!T625/1000</f>
        <v>0</v>
      </c>
      <c r="U830" s="181">
        <f>TOBEPAID!U625/1000</f>
        <v>0</v>
      </c>
      <c r="V830" s="181">
        <f>TOBEPAID!V625/1000</f>
        <v>0</v>
      </c>
      <c r="W830" s="181">
        <f>TOBEPAID!W625/1000</f>
        <v>0</v>
      </c>
      <c r="X830" s="181">
        <f>TOBEPAID!X625/1000</f>
        <v>117.1632</v>
      </c>
      <c r="Y830" s="181">
        <f t="shared" ref="Y830:Y837" si="154">+H830+R830</f>
        <v>6942.4350000000004</v>
      </c>
      <c r="Z830" s="181">
        <f>+D830-Y830</f>
        <v>0.2712599999995291</v>
      </c>
      <c r="AA830" s="181">
        <f>TOBEPAID!AA625/1000</f>
        <v>117.1632</v>
      </c>
      <c r="AB830" s="181">
        <f>TOBEPAID!AB625/1000</f>
        <v>6942.7062600000008</v>
      </c>
      <c r="AC830" s="181"/>
      <c r="AD830" s="181"/>
    </row>
    <row r="831" spans="1:30" x14ac:dyDescent="0.2">
      <c r="A831" s="180"/>
      <c r="C831" s="166" t="s">
        <v>459</v>
      </c>
      <c r="D831" s="181">
        <f>26691988/1000</f>
        <v>26691.988000000001</v>
      </c>
      <c r="E831" s="181"/>
      <c r="F831" s="181"/>
      <c r="G831" s="181"/>
      <c r="H831" s="181">
        <f>26691988/1000</f>
        <v>26691.988000000001</v>
      </c>
      <c r="I831" s="181"/>
      <c r="J831" s="181"/>
      <c r="K831" s="181"/>
      <c r="L831" s="181"/>
      <c r="M831" s="181"/>
      <c r="N831" s="181"/>
      <c r="O831" s="181"/>
      <c r="P831" s="181"/>
      <c r="Q831" s="181"/>
      <c r="R831" s="181">
        <v>0</v>
      </c>
      <c r="S831" s="181"/>
      <c r="T831" s="181"/>
      <c r="U831" s="181"/>
      <c r="V831" s="181"/>
      <c r="W831" s="181"/>
      <c r="X831" s="181"/>
      <c r="Y831" s="181">
        <f>+H831+R831</f>
        <v>26691.988000000001</v>
      </c>
      <c r="Z831" s="181">
        <f>+D831-Y831</f>
        <v>0</v>
      </c>
      <c r="AA831" s="181"/>
      <c r="AB831" s="181"/>
      <c r="AC831" s="181"/>
      <c r="AD831" s="181"/>
    </row>
    <row r="832" spans="1:30" x14ac:dyDescent="0.2">
      <c r="A832" s="180"/>
      <c r="C832" s="165" t="s">
        <v>36</v>
      </c>
      <c r="D832" s="181">
        <f>2879638/1000</f>
        <v>2879.6379999999999</v>
      </c>
      <c r="E832" s="181">
        <f>TOBEPAID!E626/1000</f>
        <v>2879.6379999999999</v>
      </c>
      <c r="F832" s="181">
        <f>TOBEPAID!F626/1000</f>
        <v>0</v>
      </c>
      <c r="G832" s="181">
        <f>TOBEPAID!G626/1000</f>
        <v>0</v>
      </c>
      <c r="H832" s="181">
        <f>TOBEPAID!H626/1000</f>
        <v>2879.6379999999999</v>
      </c>
      <c r="I832" s="181">
        <f>TOBEPAID!I626/1000</f>
        <v>0</v>
      </c>
      <c r="J832" s="181">
        <f>TOBEPAID!J626/1000</f>
        <v>0</v>
      </c>
      <c r="K832" s="181">
        <f>TOBEPAID!K626/1000</f>
        <v>0</v>
      </c>
      <c r="L832" s="181">
        <f>TOBEPAID!L626/1000</f>
        <v>0</v>
      </c>
      <c r="M832" s="181">
        <f>TOBEPAID!M626/1000</f>
        <v>0</v>
      </c>
      <c r="N832" s="181">
        <f>TOBEPAID!N626/1000</f>
        <v>2879.6379999999999</v>
      </c>
      <c r="O832" s="181">
        <f>TOBEPAID!O626/1000</f>
        <v>0</v>
      </c>
      <c r="P832" s="181">
        <f>TOBEPAID!P626/1000</f>
        <v>0</v>
      </c>
      <c r="Q832" s="181">
        <f>TOBEPAID!Q626/1000</f>
        <v>0</v>
      </c>
      <c r="R832" s="181">
        <f>TOBEPAID!R626/1000</f>
        <v>0</v>
      </c>
      <c r="S832" s="181">
        <f>TOBEPAID!S626/1000</f>
        <v>0</v>
      </c>
      <c r="T832" s="181">
        <f>TOBEPAID!T626/1000</f>
        <v>0</v>
      </c>
      <c r="U832" s="181">
        <f>TOBEPAID!U626/1000</f>
        <v>0</v>
      </c>
      <c r="V832" s="181">
        <f>TOBEPAID!V626/1000</f>
        <v>0</v>
      </c>
      <c r="W832" s="181">
        <f>TOBEPAID!W626/1000</f>
        <v>0</v>
      </c>
      <c r="X832" s="181">
        <f>TOBEPAID!X626/1000</f>
        <v>0</v>
      </c>
      <c r="Y832" s="181">
        <f t="shared" si="154"/>
        <v>2879.6379999999999</v>
      </c>
      <c r="Z832" s="181">
        <f>+D832-Y832</f>
        <v>0</v>
      </c>
      <c r="AA832" s="181">
        <f>TOBEPAID!AA626/1000</f>
        <v>2879.6379999999999</v>
      </c>
      <c r="AB832" s="181">
        <f>TOBEPAID!AB626/1000</f>
        <v>0</v>
      </c>
      <c r="AC832" s="181"/>
      <c r="AD832" s="181"/>
    </row>
    <row r="833" spans="1:30" x14ac:dyDescent="0.2">
      <c r="A833" s="180"/>
      <c r="C833" s="165" t="s">
        <v>413</v>
      </c>
      <c r="D833" s="181">
        <f>12000000/1000</f>
        <v>12000</v>
      </c>
      <c r="E833" s="181"/>
      <c r="F833" s="181"/>
      <c r="G833" s="181"/>
      <c r="H833" s="181">
        <f>12000000/1000</f>
        <v>12000</v>
      </c>
      <c r="I833" s="181"/>
      <c r="J833" s="181"/>
      <c r="K833" s="181"/>
      <c r="L833" s="181"/>
      <c r="M833" s="181"/>
      <c r="N833" s="181"/>
      <c r="O833" s="181"/>
      <c r="P833" s="181"/>
      <c r="Q833" s="181"/>
      <c r="R833" s="181">
        <v>0</v>
      </c>
      <c r="S833" s="181"/>
      <c r="T833" s="181"/>
      <c r="U833" s="181"/>
      <c r="V833" s="181"/>
      <c r="W833" s="181"/>
      <c r="X833" s="181"/>
      <c r="Y833" s="181">
        <f>+H833+R833</f>
        <v>12000</v>
      </c>
      <c r="Z833" s="181">
        <f>+D833-Y833</f>
        <v>0</v>
      </c>
      <c r="AA833" s="181"/>
      <c r="AB833" s="181"/>
      <c r="AC833" s="181"/>
      <c r="AD833" s="181"/>
    </row>
    <row r="834" spans="1:30" x14ac:dyDescent="0.2">
      <c r="A834" s="180"/>
      <c r="C834" s="165" t="s">
        <v>398</v>
      </c>
      <c r="D834" s="181">
        <f>5000000/1000</f>
        <v>5000</v>
      </c>
      <c r="E834" s="181"/>
      <c r="F834" s="181"/>
      <c r="G834" s="181"/>
      <c r="H834" s="181">
        <f>5000000/1000</f>
        <v>5000</v>
      </c>
      <c r="I834" s="181"/>
      <c r="J834" s="181"/>
      <c r="K834" s="181"/>
      <c r="L834" s="181"/>
      <c r="M834" s="181"/>
      <c r="N834" s="181"/>
      <c r="O834" s="181"/>
      <c r="P834" s="181"/>
      <c r="Q834" s="181"/>
      <c r="R834" s="181">
        <v>0</v>
      </c>
      <c r="S834" s="181"/>
      <c r="T834" s="181"/>
      <c r="U834" s="181"/>
      <c r="V834" s="181"/>
      <c r="W834" s="181"/>
      <c r="X834" s="181"/>
      <c r="Y834" s="181">
        <f t="shared" si="154"/>
        <v>5000</v>
      </c>
      <c r="Z834" s="181">
        <f>+D834-Y834</f>
        <v>0</v>
      </c>
      <c r="AA834" s="181"/>
      <c r="AB834" s="181"/>
      <c r="AC834" s="181"/>
      <c r="AD834" s="181"/>
    </row>
    <row r="835" spans="1:30" x14ac:dyDescent="0.2">
      <c r="A835" s="180"/>
      <c r="C835" s="165" t="s">
        <v>53</v>
      </c>
      <c r="D835" s="181">
        <f>9903123/1000</f>
        <v>9903.1229999999996</v>
      </c>
      <c r="E835" s="181">
        <f>TOBEPAID!E627/1000</f>
        <v>0</v>
      </c>
      <c r="F835" s="181">
        <f>TOBEPAID!F627/1000</f>
        <v>0</v>
      </c>
      <c r="G835" s="181">
        <f>TOBEPAID!G627/1000</f>
        <v>0</v>
      </c>
      <c r="H835" s="181">
        <f>TOBEPAID!H627/1000</f>
        <v>0</v>
      </c>
      <c r="I835" s="181">
        <f>TOBEPAID!I627/1000</f>
        <v>0</v>
      </c>
      <c r="J835" s="181">
        <f>TOBEPAID!J627/1000</f>
        <v>0</v>
      </c>
      <c r="K835" s="181">
        <f>TOBEPAID!K627/1000</f>
        <v>0</v>
      </c>
      <c r="L835" s="181">
        <f>TOBEPAID!L627/1000</f>
        <v>0</v>
      </c>
      <c r="M835" s="181">
        <f>TOBEPAID!M627/1000</f>
        <v>0</v>
      </c>
      <c r="N835" s="181">
        <f>TOBEPAID!N627/1000</f>
        <v>0</v>
      </c>
      <c r="O835" s="181">
        <f>TOBEPAID!O627/1000</f>
        <v>9903.1231399999997</v>
      </c>
      <c r="P835" s="181">
        <f>TOBEPAID!P627/1000</f>
        <v>0</v>
      </c>
      <c r="Q835" s="181">
        <f>TOBEPAID!Q627/1000</f>
        <v>0</v>
      </c>
      <c r="R835" s="181">
        <f>TOBEPAID!R627/1000</f>
        <v>9903.1231399999997</v>
      </c>
      <c r="S835" s="181">
        <f>TOBEPAID!S627/1000</f>
        <v>0</v>
      </c>
      <c r="T835" s="181">
        <f>TOBEPAID!T627/1000</f>
        <v>0</v>
      </c>
      <c r="U835" s="181">
        <f>TOBEPAID!U627/1000</f>
        <v>0</v>
      </c>
      <c r="V835" s="181">
        <f>TOBEPAID!V627/1000</f>
        <v>0</v>
      </c>
      <c r="W835" s="181">
        <f>TOBEPAID!W627/1000</f>
        <v>0</v>
      </c>
      <c r="X835" s="181">
        <f>TOBEPAID!X627/1000</f>
        <v>9903.1231399999997</v>
      </c>
      <c r="Y835" s="181">
        <f t="shared" si="154"/>
        <v>9903.1231399999997</v>
      </c>
      <c r="Z835" s="181">
        <f>+Y835-D835</f>
        <v>1.4000000010128133E-4</v>
      </c>
      <c r="AA835" s="181">
        <f>TOBEPAID!AA627/1000</f>
        <v>9903.1231399999997</v>
      </c>
      <c r="AB835" s="181">
        <f>TOBEPAID!AB627/1000</f>
        <v>0</v>
      </c>
      <c r="AC835" s="181"/>
      <c r="AD835" s="181"/>
    </row>
    <row r="836" spans="1:30" x14ac:dyDescent="0.2">
      <c r="A836" s="180"/>
      <c r="C836" s="165" t="s">
        <v>38</v>
      </c>
      <c r="D836" s="181">
        <f>117163/1000</f>
        <v>117.163</v>
      </c>
      <c r="E836" s="181">
        <f>TOBEPAID!E628/1000</f>
        <v>0</v>
      </c>
      <c r="F836" s="181">
        <f>TOBEPAID!F628/1000</f>
        <v>0</v>
      </c>
      <c r="G836" s="181">
        <f>TOBEPAID!G628/1000</f>
        <v>0</v>
      </c>
      <c r="H836" s="181">
        <f>TOBEPAID!H628/1000</f>
        <v>0</v>
      </c>
      <c r="I836" s="181">
        <f>TOBEPAID!I628/1000</f>
        <v>0</v>
      </c>
      <c r="J836" s="181">
        <f>TOBEPAID!J628/1000</f>
        <v>0</v>
      </c>
      <c r="K836" s="181">
        <f>TOBEPAID!K628/1000</f>
        <v>0</v>
      </c>
      <c r="L836" s="181">
        <f>TOBEPAID!L628/1000</f>
        <v>0</v>
      </c>
      <c r="M836" s="181">
        <f>TOBEPAID!M628/1000</f>
        <v>0</v>
      </c>
      <c r="N836" s="181">
        <f>TOBEPAID!N628/1000</f>
        <v>0</v>
      </c>
      <c r="O836" s="181">
        <f>TOBEPAID!O628/1000</f>
        <v>0</v>
      </c>
      <c r="P836" s="181">
        <f>TOBEPAID!P628/1000</f>
        <v>0</v>
      </c>
      <c r="Q836" s="181">
        <f>TOBEPAID!Q628/1000</f>
        <v>0</v>
      </c>
      <c r="R836" s="181">
        <f>117163/1000</f>
        <v>117.163</v>
      </c>
      <c r="S836" s="181">
        <f>TOBEPAID!S628/1000</f>
        <v>0</v>
      </c>
      <c r="T836" s="181">
        <f>TOBEPAID!T628/1000</f>
        <v>0</v>
      </c>
      <c r="U836" s="181">
        <f>TOBEPAID!U628/1000</f>
        <v>0</v>
      </c>
      <c r="V836" s="181">
        <f>TOBEPAID!V628/1000</f>
        <v>0</v>
      </c>
      <c r="W836" s="181">
        <f>TOBEPAID!W628/1000</f>
        <v>0</v>
      </c>
      <c r="X836" s="181">
        <f>TOBEPAID!X628/1000</f>
        <v>0</v>
      </c>
      <c r="Y836" s="181">
        <f t="shared" si="154"/>
        <v>117.163</v>
      </c>
      <c r="Z836" s="181">
        <f>+D836-Y836</f>
        <v>0</v>
      </c>
      <c r="AA836" s="181">
        <f>TOBEPAID!AA628/1000</f>
        <v>0</v>
      </c>
      <c r="AB836" s="181">
        <f>TOBEPAID!AB628/1000</f>
        <v>0</v>
      </c>
      <c r="AC836" s="181"/>
      <c r="AD836" s="181"/>
    </row>
    <row r="837" spans="1:30" x14ac:dyDescent="0.2">
      <c r="A837" s="180"/>
      <c r="C837" s="165" t="s">
        <v>54</v>
      </c>
      <c r="D837" s="181">
        <f>5096366/1000</f>
        <v>5096.366</v>
      </c>
      <c r="E837" s="181">
        <f>TOBEPAID!E629/1000</f>
        <v>0</v>
      </c>
      <c r="F837" s="181">
        <f>TOBEPAID!F629/1000</f>
        <v>0</v>
      </c>
      <c r="G837" s="181">
        <f>TOBEPAID!G629/1000</f>
        <v>0</v>
      </c>
      <c r="H837" s="181">
        <f>TOBEPAID!H629/1000</f>
        <v>0</v>
      </c>
      <c r="I837" s="181">
        <f>TOBEPAID!I629/1000</f>
        <v>0</v>
      </c>
      <c r="J837" s="181">
        <f>TOBEPAID!J629/1000</f>
        <v>0</v>
      </c>
      <c r="K837" s="181">
        <f>TOBEPAID!K629/1000</f>
        <v>0</v>
      </c>
      <c r="L837" s="181">
        <f>TOBEPAID!L629/1000</f>
        <v>0</v>
      </c>
      <c r="M837" s="181">
        <f>TOBEPAID!M629/1000</f>
        <v>0</v>
      </c>
      <c r="N837" s="181">
        <f>TOBEPAID!N629/1000</f>
        <v>0</v>
      </c>
      <c r="O837" s="181">
        <f>TOBEPAID!O629/1000</f>
        <v>5096.3667699999996</v>
      </c>
      <c r="P837" s="181">
        <f>TOBEPAID!P629/1000</f>
        <v>0</v>
      </c>
      <c r="Q837" s="181">
        <f>TOBEPAID!Q629/1000</f>
        <v>0</v>
      </c>
      <c r="R837" s="181">
        <f>TOBEPAID!R629/1000</f>
        <v>5096.3667699999996</v>
      </c>
      <c r="S837" s="181">
        <f>TOBEPAID!S629/1000</f>
        <v>0</v>
      </c>
      <c r="T837" s="181">
        <f>TOBEPAID!T629/1000</f>
        <v>0</v>
      </c>
      <c r="U837" s="181">
        <f>TOBEPAID!U629/1000</f>
        <v>0</v>
      </c>
      <c r="V837" s="181">
        <f>TOBEPAID!V629/1000</f>
        <v>0</v>
      </c>
      <c r="W837" s="181">
        <f>TOBEPAID!W629/1000</f>
        <v>0</v>
      </c>
      <c r="X837" s="181">
        <f>TOBEPAID!X629/1000</f>
        <v>5096.3667699999996</v>
      </c>
      <c r="Y837" s="181">
        <f t="shared" si="154"/>
        <v>5096.3667699999996</v>
      </c>
      <c r="Z837" s="181">
        <f>+Y837-D837</f>
        <v>7.6999999964755261E-4</v>
      </c>
      <c r="AA837" s="181">
        <f>TOBEPAID!AA629/1000</f>
        <v>5096.3667699999996</v>
      </c>
      <c r="AB837" s="181">
        <f>TOBEPAID!AB629/1000</f>
        <v>0</v>
      </c>
      <c r="AC837" s="181"/>
      <c r="AD837" s="181"/>
    </row>
    <row r="838" spans="1:30" x14ac:dyDescent="0.2">
      <c r="A838" s="180"/>
      <c r="D838" s="182" t="s">
        <v>40</v>
      </c>
      <c r="E838" s="182" t="s">
        <v>40</v>
      </c>
      <c r="F838" s="182" t="s">
        <v>40</v>
      </c>
      <c r="G838" s="182"/>
      <c r="H838" s="182" t="s">
        <v>40</v>
      </c>
      <c r="I838" s="182" t="s">
        <v>40</v>
      </c>
      <c r="J838" s="182" t="s">
        <v>40</v>
      </c>
      <c r="K838" s="182" t="s">
        <v>40</v>
      </c>
      <c r="L838" s="182" t="s">
        <v>40</v>
      </c>
      <c r="M838" s="182"/>
      <c r="N838" s="182" t="s">
        <v>40</v>
      </c>
      <c r="O838" s="182" t="s">
        <v>40</v>
      </c>
      <c r="P838" s="182" t="s">
        <v>40</v>
      </c>
      <c r="Q838" s="182"/>
      <c r="R838" s="182" t="s">
        <v>40</v>
      </c>
      <c r="S838" s="182" t="s">
        <v>40</v>
      </c>
      <c r="T838" s="182" t="s">
        <v>40</v>
      </c>
      <c r="U838" s="182" t="s">
        <v>40</v>
      </c>
      <c r="V838" s="182" t="s">
        <v>40</v>
      </c>
      <c r="W838" s="182"/>
      <c r="X838" s="182" t="s">
        <v>40</v>
      </c>
      <c r="Y838" s="182" t="s">
        <v>40</v>
      </c>
      <c r="Z838" s="182" t="s">
        <v>40</v>
      </c>
      <c r="AA838" s="182" t="s">
        <v>40</v>
      </c>
      <c r="AB838" s="182" t="s">
        <v>40</v>
      </c>
      <c r="AC838" s="182"/>
      <c r="AD838" s="182"/>
    </row>
    <row r="839" spans="1:30" x14ac:dyDescent="0.2">
      <c r="A839" s="180"/>
      <c r="D839" s="191">
        <f>SUM(D830:D837)</f>
        <v>68630.984259999997</v>
      </c>
      <c r="E839" s="191">
        <f>SUM(E830:E837)</f>
        <v>2879.6379999999999</v>
      </c>
      <c r="F839" s="191">
        <f>SUM(F830:F837)</f>
        <v>0</v>
      </c>
      <c r="G839" s="191"/>
      <c r="H839" s="191">
        <f>SUM(H830:H837)</f>
        <v>53514.061000000002</v>
      </c>
      <c r="I839" s="191">
        <f>SUM(I830:I837)</f>
        <v>0</v>
      </c>
      <c r="J839" s="191">
        <f>SUM(J830:J837)</f>
        <v>0</v>
      </c>
      <c r="K839" s="191">
        <f>SUM(K830:K837)</f>
        <v>0</v>
      </c>
      <c r="L839" s="191">
        <f>SUM(L830:L837)</f>
        <v>0</v>
      </c>
      <c r="M839" s="191"/>
      <c r="N839" s="191">
        <f>SUM(N830:N837)</f>
        <v>2879.6379999999999</v>
      </c>
      <c r="O839" s="191">
        <f>SUM(O830:O837)</f>
        <v>15116.653109999999</v>
      </c>
      <c r="P839" s="191">
        <f>SUM(P830:P837)</f>
        <v>0</v>
      </c>
      <c r="Q839" s="191"/>
      <c r="R839" s="191">
        <f>SUM(R830:R837)</f>
        <v>15116.652910000001</v>
      </c>
      <c r="S839" s="191">
        <f>SUM(S830:S837)</f>
        <v>0</v>
      </c>
      <c r="T839" s="191">
        <f>SUM(T830:T837)</f>
        <v>0</v>
      </c>
      <c r="U839" s="191">
        <f>SUM(U830:U837)</f>
        <v>0</v>
      </c>
      <c r="V839" s="191">
        <f>SUM(V830:V837)</f>
        <v>0</v>
      </c>
      <c r="W839" s="191"/>
      <c r="X839" s="191">
        <f>SUM(X830:X837)</f>
        <v>15116.653109999999</v>
      </c>
      <c r="Y839" s="191">
        <f>SUM(Y830:Y837)</f>
        <v>68630.713909999991</v>
      </c>
      <c r="Z839" s="191">
        <f>SUM(Z830:Z837)</f>
        <v>0.27216999999927793</v>
      </c>
      <c r="AA839" s="191">
        <f>SUM(AA830:AA837)</f>
        <v>17996.291109999998</v>
      </c>
      <c r="AB839" s="191">
        <f>SUM(AB830:AB837)</f>
        <v>6942.7062600000008</v>
      </c>
      <c r="AC839" s="191"/>
      <c r="AD839" s="191"/>
    </row>
    <row r="840" spans="1:30" x14ac:dyDescent="0.2">
      <c r="A840" s="180"/>
      <c r="D840" s="182" t="s">
        <v>40</v>
      </c>
      <c r="E840" s="182" t="s">
        <v>40</v>
      </c>
      <c r="F840" s="182" t="s">
        <v>40</v>
      </c>
      <c r="G840" s="182"/>
      <c r="H840" s="182" t="s">
        <v>40</v>
      </c>
      <c r="I840" s="182" t="s">
        <v>40</v>
      </c>
      <c r="J840" s="182" t="s">
        <v>40</v>
      </c>
      <c r="K840" s="182" t="s">
        <v>40</v>
      </c>
      <c r="L840" s="182" t="s">
        <v>40</v>
      </c>
      <c r="M840" s="182"/>
      <c r="N840" s="182" t="s">
        <v>40</v>
      </c>
      <c r="O840" s="182" t="s">
        <v>40</v>
      </c>
      <c r="P840" s="182" t="s">
        <v>40</v>
      </c>
      <c r="Q840" s="182"/>
      <c r="R840" s="182" t="s">
        <v>40</v>
      </c>
      <c r="S840" s="182" t="s">
        <v>40</v>
      </c>
      <c r="T840" s="182" t="s">
        <v>40</v>
      </c>
      <c r="U840" s="182" t="s">
        <v>40</v>
      </c>
      <c r="V840" s="182" t="s">
        <v>40</v>
      </c>
      <c r="W840" s="182"/>
      <c r="X840" s="182" t="s">
        <v>40</v>
      </c>
      <c r="Y840" s="182" t="s">
        <v>40</v>
      </c>
      <c r="Z840" s="182" t="s">
        <v>40</v>
      </c>
      <c r="AA840" s="182" t="s">
        <v>40</v>
      </c>
      <c r="AB840" s="182" t="s">
        <v>40</v>
      </c>
      <c r="AC840" s="182"/>
      <c r="AD840" s="182"/>
    </row>
    <row r="841" spans="1:30" x14ac:dyDescent="0.2">
      <c r="D841" s="191"/>
      <c r="E841" s="191"/>
      <c r="F841" s="191"/>
      <c r="G841" s="191"/>
      <c r="H841" s="191"/>
      <c r="I841" s="191"/>
      <c r="J841" s="191"/>
      <c r="K841" s="191"/>
      <c r="L841" s="191"/>
      <c r="M841" s="191"/>
      <c r="N841" s="191"/>
      <c r="O841" s="199"/>
      <c r="P841" s="199"/>
      <c r="Q841" s="199"/>
      <c r="R841" s="199"/>
      <c r="S841" s="199"/>
      <c r="T841" s="199"/>
      <c r="U841" s="199"/>
      <c r="V841" s="199"/>
      <c r="W841" s="199"/>
      <c r="X841" s="199"/>
      <c r="Y841" s="191"/>
      <c r="Z841" s="191"/>
      <c r="AA841" s="191"/>
      <c r="AB841" s="191"/>
      <c r="AC841" s="191"/>
      <c r="AD841" s="191"/>
    </row>
    <row r="842" spans="1:30" x14ac:dyDescent="0.2">
      <c r="D842" s="191"/>
      <c r="E842" s="191"/>
      <c r="F842" s="191"/>
      <c r="G842" s="191"/>
      <c r="H842" s="191"/>
      <c r="I842" s="191"/>
      <c r="J842" s="191"/>
      <c r="K842" s="191"/>
      <c r="L842" s="191"/>
      <c r="M842" s="191"/>
      <c r="N842" s="191"/>
      <c r="O842" s="191"/>
      <c r="P842" s="191"/>
      <c r="Q842" s="191"/>
      <c r="R842" s="191"/>
      <c r="S842" s="191"/>
      <c r="T842" s="191"/>
      <c r="U842" s="191"/>
      <c r="V842" s="191"/>
      <c r="W842" s="191"/>
      <c r="X842" s="191"/>
      <c r="Y842" s="191"/>
      <c r="Z842" s="191"/>
      <c r="AA842" s="191"/>
      <c r="AB842" s="191"/>
      <c r="AC842" s="191"/>
      <c r="AD842" s="191"/>
    </row>
    <row r="843" spans="1:30" x14ac:dyDescent="0.2">
      <c r="A843" s="180">
        <v>62</v>
      </c>
      <c r="B843" s="165" t="s">
        <v>204</v>
      </c>
      <c r="C843" s="166" t="s">
        <v>35</v>
      </c>
      <c r="D843" s="181">
        <f>9390183/1000</f>
        <v>9390.1830000000009</v>
      </c>
      <c r="E843" s="181">
        <f>TOBEPAID!E635/1000</f>
        <v>0</v>
      </c>
      <c r="F843" s="181">
        <f>TOBEPAID!F635/1000</f>
        <v>0</v>
      </c>
      <c r="G843" s="181">
        <f>TOBEPAID!G635/1000</f>
        <v>0</v>
      </c>
      <c r="H843" s="181">
        <f>5870680/1000</f>
        <v>5870.68</v>
      </c>
      <c r="I843" s="181">
        <f>TOBEPAID!I635/1000</f>
        <v>0</v>
      </c>
      <c r="J843" s="181">
        <f>TOBEPAID!J635/1000</f>
        <v>0</v>
      </c>
      <c r="K843" s="181">
        <f>TOBEPAID!K635/1000</f>
        <v>0</v>
      </c>
      <c r="L843" s="181">
        <f>TOBEPAID!L635/1000</f>
        <v>0</v>
      </c>
      <c r="M843" s="181">
        <f>TOBEPAID!M635/1000</f>
        <v>0</v>
      </c>
      <c r="N843" s="181">
        <f>TOBEPAID!N635/1000</f>
        <v>0</v>
      </c>
      <c r="O843" s="181">
        <f>TOBEPAID!O635/1000</f>
        <v>137.28860999999998</v>
      </c>
      <c r="P843" s="181">
        <f>TOBEPAID!P635/1000</f>
        <v>0</v>
      </c>
      <c r="Q843" s="181">
        <f>TOBEPAID!Q635/1000</f>
        <v>0</v>
      </c>
      <c r="R843" s="181">
        <f>137288/1000</f>
        <v>137.28800000000001</v>
      </c>
      <c r="S843" s="181">
        <f>TOBEPAID!S635/1000</f>
        <v>0</v>
      </c>
      <c r="T843" s="181">
        <f>TOBEPAID!T635/1000</f>
        <v>0</v>
      </c>
      <c r="U843" s="181">
        <f>TOBEPAID!U635/1000</f>
        <v>0</v>
      </c>
      <c r="V843" s="181">
        <f>TOBEPAID!V635/1000</f>
        <v>0</v>
      </c>
      <c r="W843" s="181">
        <f>TOBEPAID!W635/1000</f>
        <v>0</v>
      </c>
      <c r="X843" s="181">
        <f>TOBEPAID!X635/1000</f>
        <v>137.28860999999998</v>
      </c>
      <c r="Y843" s="181">
        <f>+H843+R843</f>
        <v>6007.9680000000008</v>
      </c>
      <c r="Z843" s="181">
        <f>+D843-Y843</f>
        <v>3382.2150000000001</v>
      </c>
      <c r="AA843" s="181">
        <f>TOBEPAID!AA635/1000</f>
        <v>137.28860999999998</v>
      </c>
      <c r="AB843" s="181">
        <f>TOBEPAID!AB635/1000</f>
        <v>253.54126000000002</v>
      </c>
      <c r="AC843" s="181"/>
      <c r="AD843" s="181"/>
    </row>
    <row r="844" spans="1:30" x14ac:dyDescent="0.2">
      <c r="A844" s="180"/>
      <c r="C844" s="165" t="s">
        <v>36</v>
      </c>
      <c r="D844" s="181">
        <f>1048781/1000</f>
        <v>1048.7809999999999</v>
      </c>
      <c r="E844" s="181">
        <f>TOBEPAID!E636/1000</f>
        <v>1048.7809999999999</v>
      </c>
      <c r="F844" s="181">
        <f>TOBEPAID!F636/1000</f>
        <v>0</v>
      </c>
      <c r="G844" s="181">
        <f>TOBEPAID!G636/1000</f>
        <v>0</v>
      </c>
      <c r="H844" s="181">
        <f>1048781/1000</f>
        <v>1048.7809999999999</v>
      </c>
      <c r="I844" s="181">
        <f>TOBEPAID!I636/1000</f>
        <v>0</v>
      </c>
      <c r="J844" s="181">
        <f>TOBEPAID!J636/1000</f>
        <v>0</v>
      </c>
      <c r="K844" s="181">
        <f>TOBEPAID!K636/1000</f>
        <v>0</v>
      </c>
      <c r="L844" s="181">
        <f>TOBEPAID!L636/1000</f>
        <v>0</v>
      </c>
      <c r="M844" s="181">
        <f>TOBEPAID!M636/1000</f>
        <v>0</v>
      </c>
      <c r="N844" s="181">
        <f>TOBEPAID!N636/1000</f>
        <v>1048.7809999999999</v>
      </c>
      <c r="O844" s="181">
        <f>TOBEPAID!O636/1000</f>
        <v>0</v>
      </c>
      <c r="P844" s="181">
        <f>TOBEPAID!P636/1000</f>
        <v>0</v>
      </c>
      <c r="Q844" s="181">
        <f>TOBEPAID!Q636/1000</f>
        <v>0</v>
      </c>
      <c r="R844" s="181">
        <v>0</v>
      </c>
      <c r="S844" s="181">
        <f>TOBEPAID!S636/1000</f>
        <v>0</v>
      </c>
      <c r="T844" s="181">
        <f>TOBEPAID!T636/1000</f>
        <v>0</v>
      </c>
      <c r="U844" s="181">
        <f>TOBEPAID!U636/1000</f>
        <v>0</v>
      </c>
      <c r="V844" s="181">
        <f>TOBEPAID!V636/1000</f>
        <v>0</v>
      </c>
      <c r="W844" s="181">
        <f>TOBEPAID!W636/1000</f>
        <v>0</v>
      </c>
      <c r="X844" s="181">
        <f>TOBEPAID!X636/1000</f>
        <v>0</v>
      </c>
      <c r="Y844" s="181">
        <f>TOBEPAID!Y636/1000</f>
        <v>1048.7809999999999</v>
      </c>
      <c r="Z844" s="181">
        <f>TOBEPAID!Z636/1000</f>
        <v>0</v>
      </c>
      <c r="AA844" s="181">
        <f>TOBEPAID!AA636/1000</f>
        <v>1048.7809999999999</v>
      </c>
      <c r="AB844" s="181">
        <f>TOBEPAID!AB636/1000</f>
        <v>0</v>
      </c>
      <c r="AC844" s="181"/>
      <c r="AD844" s="181"/>
    </row>
    <row r="845" spans="1:30" x14ac:dyDescent="0.2">
      <c r="C845" s="165" t="s">
        <v>290</v>
      </c>
      <c r="D845" s="181">
        <f>1020000000/1000</f>
        <v>1020000</v>
      </c>
      <c r="E845" s="181">
        <f>TOBEPAID!E637/1000</f>
        <v>60000</v>
      </c>
      <c r="F845" s="181">
        <f>TOBEPAID!F637/1000</f>
        <v>30000</v>
      </c>
      <c r="G845" s="181">
        <f>TOBEPAID!G637/1000</f>
        <v>0</v>
      </c>
      <c r="H845" s="181">
        <f>1020000000/1000</f>
        <v>1020000</v>
      </c>
      <c r="I845" s="181">
        <f>TOBEPAID!I637/1000</f>
        <v>0</v>
      </c>
      <c r="J845" s="181">
        <f>TOBEPAID!J637/1000</f>
        <v>0</v>
      </c>
      <c r="K845" s="181">
        <f>TOBEPAID!K637/1000</f>
        <v>0</v>
      </c>
      <c r="L845" s="181">
        <f>TOBEPAID!L637/1000</f>
        <v>0</v>
      </c>
      <c r="M845" s="181">
        <f>TOBEPAID!M637/1000</f>
        <v>0</v>
      </c>
      <c r="N845" s="181">
        <f>TOBEPAID!N637/1000</f>
        <v>90000</v>
      </c>
      <c r="O845" s="181">
        <f>TOBEPAID!O637/1000</f>
        <v>0</v>
      </c>
      <c r="P845" s="181">
        <f>TOBEPAID!P637/1000</f>
        <v>0</v>
      </c>
      <c r="Q845" s="181">
        <f>TOBEPAID!Q637/1000</f>
        <v>0</v>
      </c>
      <c r="R845" s="181">
        <v>0</v>
      </c>
      <c r="S845" s="181">
        <f>TOBEPAID!S637/1000</f>
        <v>0</v>
      </c>
      <c r="T845" s="181">
        <f>TOBEPAID!T637/1000</f>
        <v>0</v>
      </c>
      <c r="U845" s="181">
        <f>TOBEPAID!U637/1000</f>
        <v>0</v>
      </c>
      <c r="V845" s="181">
        <f>TOBEPAID!V637/1000</f>
        <v>0</v>
      </c>
      <c r="W845" s="181">
        <f>TOBEPAID!W637/1000</f>
        <v>0</v>
      </c>
      <c r="X845" s="181">
        <f>TOBEPAID!X637/1000</f>
        <v>0</v>
      </c>
      <c r="Y845" s="181">
        <f>+H845+R845</f>
        <v>1020000</v>
      </c>
      <c r="Z845" s="181">
        <f>TOBEPAID!Z637/1000</f>
        <v>0</v>
      </c>
      <c r="AA845" s="181">
        <f>TOBEPAID!AA637/1000</f>
        <v>90000</v>
      </c>
      <c r="AB845" s="181">
        <f>TOBEPAID!AB637/1000</f>
        <v>0</v>
      </c>
      <c r="AC845" s="181"/>
      <c r="AD845" s="181"/>
    </row>
    <row r="846" spans="1:30" x14ac:dyDescent="0.2">
      <c r="C846" s="165" t="s">
        <v>387</v>
      </c>
      <c r="D846" s="181">
        <f>12000000/1000</f>
        <v>12000</v>
      </c>
      <c r="E846" s="181"/>
      <c r="F846" s="181"/>
      <c r="G846" s="181"/>
      <c r="H846" s="181">
        <f>12000000/1000</f>
        <v>12000</v>
      </c>
      <c r="I846" s="181"/>
      <c r="J846" s="181"/>
      <c r="K846" s="181"/>
      <c r="L846" s="181"/>
      <c r="M846" s="181"/>
      <c r="N846" s="181"/>
      <c r="O846" s="181"/>
      <c r="P846" s="181"/>
      <c r="Q846" s="181"/>
      <c r="R846" s="181">
        <v>0</v>
      </c>
      <c r="S846" s="181"/>
      <c r="T846" s="181"/>
      <c r="U846" s="181"/>
      <c r="V846" s="181"/>
      <c r="W846" s="181"/>
      <c r="X846" s="181"/>
      <c r="Y846" s="181">
        <f>+H846+R849</f>
        <v>12000</v>
      </c>
      <c r="Z846" s="181">
        <f>+D846-Y846</f>
        <v>0</v>
      </c>
      <c r="AA846" s="181"/>
      <c r="AB846" s="181"/>
      <c r="AC846" s="181"/>
      <c r="AD846" s="181"/>
    </row>
    <row r="847" spans="1:30" x14ac:dyDescent="0.2">
      <c r="C847" s="165" t="s">
        <v>463</v>
      </c>
      <c r="D847" s="181">
        <f>39553000/1000</f>
        <v>39553</v>
      </c>
      <c r="E847" s="181"/>
      <c r="F847" s="181"/>
      <c r="G847" s="181"/>
      <c r="H847" s="181">
        <f>39553000/1000</f>
        <v>39553</v>
      </c>
      <c r="I847" s="181"/>
      <c r="J847" s="181"/>
      <c r="K847" s="181"/>
      <c r="L847" s="181"/>
      <c r="M847" s="181"/>
      <c r="N847" s="181"/>
      <c r="O847" s="181"/>
      <c r="P847" s="181"/>
      <c r="Q847" s="181"/>
      <c r="R847" s="181">
        <v>0</v>
      </c>
      <c r="S847" s="181"/>
      <c r="T847" s="181"/>
      <c r="U847" s="181"/>
      <c r="V847" s="181"/>
      <c r="W847" s="181"/>
      <c r="X847" s="181"/>
      <c r="Y847" s="181">
        <f>+H847+R847</f>
        <v>39553</v>
      </c>
      <c r="Z847" s="181">
        <f>+D847-Y847</f>
        <v>0</v>
      </c>
      <c r="AA847" s="181"/>
      <c r="AB847" s="181"/>
      <c r="AC847" s="181"/>
      <c r="AD847" s="181"/>
    </row>
    <row r="848" spans="1:30" x14ac:dyDescent="0.2">
      <c r="C848" s="165" t="s">
        <v>389</v>
      </c>
      <c r="D848" s="181">
        <f>5922947/1000</f>
        <v>5922.9470000000001</v>
      </c>
      <c r="E848" s="181"/>
      <c r="F848" s="181"/>
      <c r="G848" s="181"/>
      <c r="H848" s="181">
        <f>5922947/1000</f>
        <v>5922.9470000000001</v>
      </c>
      <c r="I848" s="181"/>
      <c r="J848" s="181"/>
      <c r="K848" s="181"/>
      <c r="L848" s="181"/>
      <c r="M848" s="181"/>
      <c r="N848" s="181"/>
      <c r="O848" s="181"/>
      <c r="P848" s="181"/>
      <c r="Q848" s="181"/>
      <c r="R848" s="181">
        <v>0</v>
      </c>
      <c r="S848" s="181"/>
      <c r="T848" s="181"/>
      <c r="U848" s="181"/>
      <c r="V848" s="181"/>
      <c r="W848" s="181"/>
      <c r="X848" s="181"/>
      <c r="Y848" s="181">
        <f>+H848+R848</f>
        <v>5922.9470000000001</v>
      </c>
      <c r="Z848" s="181">
        <f>+D848-Y848</f>
        <v>0</v>
      </c>
      <c r="AA848" s="181"/>
      <c r="AB848" s="181"/>
      <c r="AC848" s="181"/>
      <c r="AD848" s="181"/>
    </row>
    <row r="849" spans="1:45" x14ac:dyDescent="0.2">
      <c r="C849" s="165" t="s">
        <v>305</v>
      </c>
      <c r="D849" s="181">
        <v>0</v>
      </c>
      <c r="E849" s="181">
        <f>TOBEPAID!E638/1000</f>
        <v>48814.406009999999</v>
      </c>
      <c r="F849" s="181">
        <f>TOBEPAID!F638/1000</f>
        <v>0</v>
      </c>
      <c r="G849" s="181">
        <f>TOBEPAID!G638/1000</f>
        <v>0</v>
      </c>
      <c r="H849" s="181">
        <v>0</v>
      </c>
      <c r="I849" s="181">
        <f>TOBEPAID!I638/1000</f>
        <v>0</v>
      </c>
      <c r="J849" s="181">
        <f>TOBEPAID!J638/1000</f>
        <v>0</v>
      </c>
      <c r="K849" s="181">
        <f>TOBEPAID!K638/1000</f>
        <v>0</v>
      </c>
      <c r="L849" s="181">
        <f>TOBEPAID!L638/1000</f>
        <v>0</v>
      </c>
      <c r="M849" s="181">
        <f>TOBEPAID!M638/1000</f>
        <v>0</v>
      </c>
      <c r="N849" s="181">
        <f>TOBEPAID!N638/1000</f>
        <v>48814.406009999999</v>
      </c>
      <c r="O849" s="181">
        <f>TOBEPAID!O638/1000</f>
        <v>0</v>
      </c>
      <c r="P849" s="181">
        <f>TOBEPAID!P638/1000</f>
        <v>0</v>
      </c>
      <c r="Q849" s="181">
        <f>TOBEPAID!Q638/1000</f>
        <v>0</v>
      </c>
      <c r="R849" s="181">
        <v>0</v>
      </c>
      <c r="S849" s="181">
        <f>TOBEPAID!S638/1000</f>
        <v>0</v>
      </c>
      <c r="T849" s="181">
        <f>TOBEPAID!T638/1000</f>
        <v>0</v>
      </c>
      <c r="U849" s="181">
        <f>TOBEPAID!U638/1000</f>
        <v>0</v>
      </c>
      <c r="V849" s="181">
        <f>TOBEPAID!V638/1000</f>
        <v>0</v>
      </c>
      <c r="W849" s="181">
        <f>TOBEPAID!W638/1000</f>
        <v>0</v>
      </c>
      <c r="X849" s="181">
        <f>TOBEPAID!X638/1000</f>
        <v>0</v>
      </c>
      <c r="Y849" s="181">
        <f>+H849+R849</f>
        <v>0</v>
      </c>
      <c r="Z849" s="181">
        <f>TOBEPAID!Z638/1000</f>
        <v>0</v>
      </c>
      <c r="AA849" s="181">
        <f>TOBEPAID!AA638/1000</f>
        <v>48814.406009999999</v>
      </c>
      <c r="AB849" s="181">
        <f>TOBEPAID!AB638/1000</f>
        <v>0</v>
      </c>
      <c r="AC849" s="181"/>
      <c r="AD849" s="181"/>
    </row>
    <row r="850" spans="1:45" x14ac:dyDescent="0.2">
      <c r="A850" s="180"/>
      <c r="C850" s="165" t="s">
        <v>183</v>
      </c>
      <c r="D850" s="181">
        <v>0</v>
      </c>
      <c r="E850" s="181">
        <f>TOBEPAID!E639/1000</f>
        <v>0</v>
      </c>
      <c r="F850" s="181">
        <f>TOBEPAID!F639/1000</f>
        <v>0</v>
      </c>
      <c r="G850" s="181">
        <f>TOBEPAID!G639/1000</f>
        <v>0</v>
      </c>
      <c r="H850" s="181">
        <v>0</v>
      </c>
      <c r="I850" s="181">
        <f>TOBEPAID!I639/1000</f>
        <v>0</v>
      </c>
      <c r="J850" s="181">
        <f>TOBEPAID!J639/1000</f>
        <v>0</v>
      </c>
      <c r="K850" s="181">
        <f>TOBEPAID!K639/1000</f>
        <v>0</v>
      </c>
      <c r="L850" s="181">
        <f>TOBEPAID!L639/1000</f>
        <v>0</v>
      </c>
      <c r="M850" s="181">
        <f>TOBEPAID!M639/1000</f>
        <v>0</v>
      </c>
      <c r="N850" s="181">
        <f>TOBEPAID!N639/1000</f>
        <v>0</v>
      </c>
      <c r="O850" s="181">
        <f>TOBEPAID!O639/1000</f>
        <v>0</v>
      </c>
      <c r="P850" s="181">
        <f>TOBEPAID!P639/1000</f>
        <v>0</v>
      </c>
      <c r="Q850" s="181">
        <f>TOBEPAID!Q639/1000</f>
        <v>0</v>
      </c>
      <c r="R850" s="181">
        <v>0</v>
      </c>
      <c r="S850" s="181">
        <f>TOBEPAID!S639/1000</f>
        <v>0</v>
      </c>
      <c r="T850" s="181">
        <f>TOBEPAID!T639/1000</f>
        <v>0</v>
      </c>
      <c r="U850" s="181">
        <f>TOBEPAID!U639/1000</f>
        <v>0</v>
      </c>
      <c r="V850" s="181">
        <f>TOBEPAID!V639/1000</f>
        <v>0</v>
      </c>
      <c r="W850" s="181">
        <f>TOBEPAID!W639/1000</f>
        <v>0</v>
      </c>
      <c r="X850" s="181">
        <f>TOBEPAID!X639/1000</f>
        <v>0</v>
      </c>
      <c r="Y850" s="181">
        <f>+H850+R850</f>
        <v>0</v>
      </c>
      <c r="Z850" s="181">
        <f>+D850-Y850</f>
        <v>0</v>
      </c>
      <c r="AA850" s="181">
        <f>TOBEPAID!AA639/1000</f>
        <v>0</v>
      </c>
      <c r="AB850" s="181">
        <f>TOBEPAID!AB639/1000</f>
        <v>8999.353720000001</v>
      </c>
      <c r="AC850" s="181"/>
      <c r="AD850" s="181"/>
    </row>
    <row r="851" spans="1:45" x14ac:dyDescent="0.2">
      <c r="A851" s="180"/>
      <c r="C851" s="165" t="s">
        <v>184</v>
      </c>
      <c r="D851" s="181">
        <v>0</v>
      </c>
      <c r="E851" s="181">
        <f>TOBEPAID!E640/1000</f>
        <v>0</v>
      </c>
      <c r="F851" s="181">
        <f>TOBEPAID!F640/1000</f>
        <v>0</v>
      </c>
      <c r="G851" s="181">
        <f>TOBEPAID!G640/1000</f>
        <v>0</v>
      </c>
      <c r="H851" s="181">
        <v>0</v>
      </c>
      <c r="I851" s="181">
        <f>TOBEPAID!I640/1000</f>
        <v>0</v>
      </c>
      <c r="J851" s="181">
        <f>TOBEPAID!J640/1000</f>
        <v>0</v>
      </c>
      <c r="K851" s="181">
        <f>TOBEPAID!K640/1000</f>
        <v>0</v>
      </c>
      <c r="L851" s="181">
        <f>TOBEPAID!L640/1000</f>
        <v>0</v>
      </c>
      <c r="M851" s="181">
        <f>TOBEPAID!M640/1000</f>
        <v>0</v>
      </c>
      <c r="N851" s="181">
        <f>TOBEPAID!N640/1000</f>
        <v>0</v>
      </c>
      <c r="O851" s="181">
        <f>TOBEPAID!O640/1000</f>
        <v>0</v>
      </c>
      <c r="P851" s="181">
        <f>TOBEPAID!P640/1000</f>
        <v>0</v>
      </c>
      <c r="Q851" s="181">
        <f>TOBEPAID!Q640/1000</f>
        <v>0</v>
      </c>
      <c r="R851" s="181">
        <v>0</v>
      </c>
      <c r="S851" s="181">
        <f>TOBEPAID!S640/1000</f>
        <v>0</v>
      </c>
      <c r="T851" s="181">
        <f>TOBEPAID!T640/1000</f>
        <v>0</v>
      </c>
      <c r="U851" s="181">
        <f>TOBEPAID!U640/1000</f>
        <v>0</v>
      </c>
      <c r="V851" s="181">
        <f>TOBEPAID!V640/1000</f>
        <v>0</v>
      </c>
      <c r="W851" s="181">
        <f>TOBEPAID!W640/1000</f>
        <v>0</v>
      </c>
      <c r="X851" s="181">
        <f>TOBEPAID!X640/1000</f>
        <v>0</v>
      </c>
      <c r="Y851" s="181">
        <f>TOBEPAID!Y640/1000</f>
        <v>0</v>
      </c>
      <c r="Z851" s="181">
        <f>TOBEPAID!Z640/1000</f>
        <v>0</v>
      </c>
      <c r="AA851" s="181">
        <f>TOBEPAID!AA640/1000</f>
        <v>0</v>
      </c>
      <c r="AB851" s="181">
        <f>TOBEPAID!AB640/1000</f>
        <v>0</v>
      </c>
      <c r="AC851" s="181"/>
      <c r="AD851" s="181"/>
    </row>
    <row r="852" spans="1:45" x14ac:dyDescent="0.2">
      <c r="A852" s="180"/>
      <c r="D852" s="182" t="s">
        <v>40</v>
      </c>
      <c r="E852" s="182" t="s">
        <v>40</v>
      </c>
      <c r="F852" s="182" t="s">
        <v>40</v>
      </c>
      <c r="G852" s="182"/>
      <c r="H852" s="182" t="s">
        <v>40</v>
      </c>
      <c r="I852" s="182" t="s">
        <v>40</v>
      </c>
      <c r="J852" s="182" t="s">
        <v>40</v>
      </c>
      <c r="K852" s="182" t="s">
        <v>40</v>
      </c>
      <c r="L852" s="182" t="s">
        <v>40</v>
      </c>
      <c r="M852" s="182"/>
      <c r="N852" s="182" t="s">
        <v>40</v>
      </c>
      <c r="O852" s="182" t="s">
        <v>40</v>
      </c>
      <c r="P852" s="182" t="s">
        <v>40</v>
      </c>
      <c r="Q852" s="182"/>
      <c r="R852" s="182" t="s">
        <v>40</v>
      </c>
      <c r="S852" s="182" t="s">
        <v>40</v>
      </c>
      <c r="T852" s="182" t="s">
        <v>40</v>
      </c>
      <c r="U852" s="182" t="s">
        <v>40</v>
      </c>
      <c r="V852" s="182" t="s">
        <v>40</v>
      </c>
      <c r="W852" s="182"/>
      <c r="X852" s="182" t="s">
        <v>40</v>
      </c>
      <c r="Y852" s="182" t="s">
        <v>40</v>
      </c>
      <c r="Z852" s="182" t="s">
        <v>40</v>
      </c>
      <c r="AA852" s="182" t="s">
        <v>40</v>
      </c>
      <c r="AB852" s="182" t="s">
        <v>40</v>
      </c>
      <c r="AC852" s="182"/>
      <c r="AD852" s="182"/>
    </row>
    <row r="853" spans="1:45" x14ac:dyDescent="0.2">
      <c r="A853" s="180"/>
      <c r="D853" s="191">
        <f>SUM(D843:D851)</f>
        <v>1087914.9110000001</v>
      </c>
      <c r="E853" s="191">
        <f>SUM(E843:E851)</f>
        <v>109863.18700999999</v>
      </c>
      <c r="F853" s="191">
        <f>SUM(F843:F851)</f>
        <v>30000</v>
      </c>
      <c r="G853" s="191"/>
      <c r="H853" s="191">
        <f>SUM(H843:H851)</f>
        <v>1084395.4080000001</v>
      </c>
      <c r="I853" s="191">
        <f>SUM(I843:I851)</f>
        <v>0</v>
      </c>
      <c r="J853" s="191">
        <f>SUM(J843:J851)</f>
        <v>0</v>
      </c>
      <c r="K853" s="191">
        <f>SUM(K843:K851)</f>
        <v>0</v>
      </c>
      <c r="L853" s="191">
        <f>SUM(L843:L851)</f>
        <v>0</v>
      </c>
      <c r="M853" s="191"/>
      <c r="N853" s="191">
        <f>SUM(N843:N851)</f>
        <v>139863.18700999999</v>
      </c>
      <c r="O853" s="191">
        <f>SUM(O843:O851)</f>
        <v>137.28860999999998</v>
      </c>
      <c r="P853" s="191">
        <f>SUM(P843:P851)</f>
        <v>0</v>
      </c>
      <c r="Q853" s="191"/>
      <c r="R853" s="191">
        <f>SUM(R843:R851)</f>
        <v>137.28800000000001</v>
      </c>
      <c r="S853" s="191">
        <f>SUM(S843:S851)</f>
        <v>0</v>
      </c>
      <c r="T853" s="191">
        <f>SUM(T843:T851)</f>
        <v>0</v>
      </c>
      <c r="U853" s="191">
        <f>SUM(U843:U851)</f>
        <v>0</v>
      </c>
      <c r="V853" s="191">
        <f>SUM(V843:V851)</f>
        <v>0</v>
      </c>
      <c r="W853" s="191"/>
      <c r="X853" s="191">
        <f>SUM(X843:X851)</f>
        <v>137.28860999999998</v>
      </c>
      <c r="Y853" s="191">
        <f>SUM(Y843:Y851)</f>
        <v>1084532.6959999998</v>
      </c>
      <c r="Z853" s="191">
        <f>SUM(Z843:Z851)</f>
        <v>3382.2150000000001</v>
      </c>
      <c r="AA853" s="191">
        <f>SUM(AA843:AA851)</f>
        <v>140000.47562000001</v>
      </c>
      <c r="AB853" s="191">
        <f>SUM(AB843:AB851)</f>
        <v>9252.8949800000009</v>
      </c>
      <c r="AC853" s="191"/>
      <c r="AD853" s="191"/>
    </row>
    <row r="854" spans="1:45" x14ac:dyDescent="0.2">
      <c r="A854" s="180"/>
      <c r="D854" s="182" t="s">
        <v>40</v>
      </c>
      <c r="E854" s="182" t="s">
        <v>40</v>
      </c>
      <c r="F854" s="182" t="s">
        <v>40</v>
      </c>
      <c r="G854" s="182"/>
      <c r="H854" s="182" t="s">
        <v>40</v>
      </c>
      <c r="I854" s="182" t="s">
        <v>40</v>
      </c>
      <c r="J854" s="182" t="s">
        <v>40</v>
      </c>
      <c r="K854" s="182" t="s">
        <v>40</v>
      </c>
      <c r="L854" s="182" t="s">
        <v>40</v>
      </c>
      <c r="M854" s="182"/>
      <c r="N854" s="182" t="s">
        <v>40</v>
      </c>
      <c r="O854" s="182" t="s">
        <v>40</v>
      </c>
      <c r="P854" s="182" t="s">
        <v>40</v>
      </c>
      <c r="Q854" s="182"/>
      <c r="R854" s="182" t="s">
        <v>40</v>
      </c>
      <c r="S854" s="182" t="s">
        <v>40</v>
      </c>
      <c r="T854" s="182" t="s">
        <v>40</v>
      </c>
      <c r="U854" s="182" t="s">
        <v>40</v>
      </c>
      <c r="V854" s="182" t="s">
        <v>40</v>
      </c>
      <c r="W854" s="182"/>
      <c r="X854" s="182" t="s">
        <v>40</v>
      </c>
      <c r="Y854" s="182" t="s">
        <v>40</v>
      </c>
      <c r="Z854" s="182" t="s">
        <v>40</v>
      </c>
      <c r="AA854" s="182" t="s">
        <v>40</v>
      </c>
      <c r="AB854" s="182" t="s">
        <v>40</v>
      </c>
      <c r="AC854" s="182"/>
      <c r="AD854" s="182"/>
    </row>
    <row r="855" spans="1:45" x14ac:dyDescent="0.2">
      <c r="A855" s="180"/>
      <c r="D855" s="182"/>
      <c r="E855" s="182"/>
      <c r="F855" s="182"/>
      <c r="G855" s="182"/>
      <c r="H855" s="182"/>
      <c r="I855" s="182"/>
      <c r="J855" s="182"/>
      <c r="K855" s="182"/>
      <c r="L855" s="182"/>
      <c r="M855" s="182"/>
      <c r="N855" s="182"/>
      <c r="O855" s="182"/>
      <c r="P855" s="182"/>
      <c r="Q855" s="182"/>
      <c r="R855" s="182"/>
      <c r="S855" s="182"/>
      <c r="T855" s="182"/>
      <c r="U855" s="182"/>
      <c r="V855" s="182"/>
      <c r="W855" s="182"/>
      <c r="X855" s="182"/>
      <c r="Y855" s="182"/>
      <c r="Z855" s="182"/>
      <c r="AA855" s="182"/>
      <c r="AB855" s="182"/>
      <c r="AC855" s="182"/>
      <c r="AD855" s="182"/>
    </row>
    <row r="856" spans="1:45" x14ac:dyDescent="0.2">
      <c r="A856" s="180"/>
      <c r="D856" s="182"/>
      <c r="E856" s="182"/>
      <c r="F856" s="182"/>
      <c r="G856" s="182"/>
      <c r="H856" s="182"/>
      <c r="I856" s="182"/>
      <c r="J856" s="182"/>
      <c r="K856" s="182"/>
      <c r="L856" s="182"/>
      <c r="M856" s="182"/>
      <c r="N856" s="182"/>
      <c r="O856" s="182"/>
      <c r="P856" s="182"/>
      <c r="Q856" s="182"/>
      <c r="R856" s="182"/>
      <c r="S856" s="182"/>
      <c r="T856" s="182"/>
      <c r="U856" s="182"/>
      <c r="V856" s="182"/>
      <c r="W856" s="182"/>
      <c r="X856" s="182"/>
      <c r="Y856" s="182"/>
      <c r="Z856" s="182"/>
      <c r="AA856" s="182"/>
      <c r="AB856" s="182"/>
      <c r="AC856" s="182"/>
      <c r="AD856" s="182"/>
    </row>
    <row r="857" spans="1:45" x14ac:dyDescent="0.2">
      <c r="A857" s="180">
        <v>63</v>
      </c>
      <c r="B857" s="165" t="s">
        <v>205</v>
      </c>
      <c r="C857" s="166" t="s">
        <v>35</v>
      </c>
      <c r="D857" s="181">
        <v>0</v>
      </c>
      <c r="E857" s="181">
        <f>TOBEPAID!E644/1000</f>
        <v>0</v>
      </c>
      <c r="F857" s="181">
        <f>TOBEPAID!F644/1000</f>
        <v>0</v>
      </c>
      <c r="G857" s="181">
        <f>TOBEPAID!G644/1000</f>
        <v>0</v>
      </c>
      <c r="H857" s="181">
        <v>0</v>
      </c>
      <c r="I857" s="181">
        <f>TOBEPAID!I644/1000</f>
        <v>0</v>
      </c>
      <c r="J857" s="181">
        <f>TOBEPAID!J644/1000</f>
        <v>0</v>
      </c>
      <c r="K857" s="181">
        <f>TOBEPAID!K644/1000</f>
        <v>0</v>
      </c>
      <c r="L857" s="181">
        <f>TOBEPAID!L644/1000</f>
        <v>0</v>
      </c>
      <c r="M857" s="181">
        <f>TOBEPAID!M644/1000</f>
        <v>0</v>
      </c>
      <c r="N857" s="181">
        <f>TOBEPAID!N644/1000</f>
        <v>0</v>
      </c>
      <c r="O857" s="181">
        <f>TOBEPAID!O644/1000</f>
        <v>0</v>
      </c>
      <c r="P857" s="181">
        <f>TOBEPAID!P644/1000</f>
        <v>0</v>
      </c>
      <c r="Q857" s="181">
        <f>TOBEPAID!Q644/1000</f>
        <v>0</v>
      </c>
      <c r="R857" s="181">
        <v>0</v>
      </c>
      <c r="S857" s="181">
        <f>TOBEPAID!S644/1000</f>
        <v>0</v>
      </c>
      <c r="T857" s="181">
        <f>TOBEPAID!T644/1000</f>
        <v>0</v>
      </c>
      <c r="U857" s="181">
        <f>TOBEPAID!U644/1000</f>
        <v>0</v>
      </c>
      <c r="V857" s="181">
        <f>TOBEPAID!V644/1000</f>
        <v>0</v>
      </c>
      <c r="W857" s="181">
        <f>TOBEPAID!W644/1000</f>
        <v>0</v>
      </c>
      <c r="X857" s="181">
        <f>TOBEPAID!X644/1000</f>
        <v>0</v>
      </c>
      <c r="Y857" s="181">
        <f>+H857+R857</f>
        <v>0</v>
      </c>
      <c r="Z857" s="181">
        <f>+D857-Y857</f>
        <v>0</v>
      </c>
      <c r="AA857" s="181">
        <f>TOBEPAID!AA644/1000</f>
        <v>0</v>
      </c>
      <c r="AB857" s="181">
        <f>TOBEPAID!AB644/1000</f>
        <v>0</v>
      </c>
      <c r="AC857" s="181"/>
      <c r="AD857" s="181"/>
    </row>
    <row r="858" spans="1:45" x14ac:dyDescent="0.2">
      <c r="A858" s="180"/>
      <c r="C858" s="165" t="s">
        <v>36</v>
      </c>
      <c r="D858" s="181">
        <f>1175671/1000</f>
        <v>1175.671</v>
      </c>
      <c r="E858" s="181">
        <f>TOBEPAID!E645/1000</f>
        <v>1175.671</v>
      </c>
      <c r="F858" s="181">
        <f>TOBEPAID!F645/1000</f>
        <v>0</v>
      </c>
      <c r="G858" s="181">
        <f>TOBEPAID!G645/1000</f>
        <v>0</v>
      </c>
      <c r="H858" s="181">
        <f>1175671/1000</f>
        <v>1175.671</v>
      </c>
      <c r="I858" s="181">
        <f>TOBEPAID!I645/1000</f>
        <v>0</v>
      </c>
      <c r="J858" s="181">
        <f>TOBEPAID!J645/1000</f>
        <v>0</v>
      </c>
      <c r="K858" s="181">
        <f>TOBEPAID!K645/1000</f>
        <v>0</v>
      </c>
      <c r="L858" s="181">
        <f>TOBEPAID!L645/1000</f>
        <v>0</v>
      </c>
      <c r="M858" s="181">
        <f>TOBEPAID!M645/1000</f>
        <v>0</v>
      </c>
      <c r="N858" s="181">
        <f>TOBEPAID!N645/1000</f>
        <v>1175.671</v>
      </c>
      <c r="O858" s="181">
        <f>TOBEPAID!O645/1000</f>
        <v>0</v>
      </c>
      <c r="P858" s="181">
        <f>TOBEPAID!P645/1000</f>
        <v>0</v>
      </c>
      <c r="Q858" s="181">
        <f>TOBEPAID!Q645/1000</f>
        <v>0</v>
      </c>
      <c r="R858" s="181">
        <v>0</v>
      </c>
      <c r="S858" s="181">
        <f>TOBEPAID!S645/1000</f>
        <v>0</v>
      </c>
      <c r="T858" s="181">
        <f>TOBEPAID!T645/1000</f>
        <v>0</v>
      </c>
      <c r="U858" s="181">
        <f>TOBEPAID!U645/1000</f>
        <v>0</v>
      </c>
      <c r="V858" s="181">
        <f>TOBEPAID!V645/1000</f>
        <v>0</v>
      </c>
      <c r="W858" s="181">
        <f>TOBEPAID!W645/1000</f>
        <v>0</v>
      </c>
      <c r="X858" s="181">
        <f>TOBEPAID!X645/1000</f>
        <v>0</v>
      </c>
      <c r="Y858" s="181">
        <f>+H858+R858</f>
        <v>1175.671</v>
      </c>
      <c r="Z858" s="181">
        <f>+D858-Y858</f>
        <v>0</v>
      </c>
      <c r="AA858" s="181">
        <f>TOBEPAID!AA645/1000</f>
        <v>1175.671</v>
      </c>
      <c r="AB858" s="181">
        <f>TOBEPAID!AB645/1000</f>
        <v>0</v>
      </c>
      <c r="AC858" s="181"/>
      <c r="AD858" s="181"/>
    </row>
    <row r="859" spans="1:45" x14ac:dyDescent="0.2">
      <c r="C859" s="165" t="s">
        <v>365</v>
      </c>
      <c r="D859" s="181">
        <f>7200537/1000</f>
        <v>7200.5370000000003</v>
      </c>
      <c r="E859" s="181">
        <f>TOBEPAID!E646/1000</f>
        <v>7200.5375000000004</v>
      </c>
      <c r="F859" s="181">
        <f>TOBEPAID!F646/1000</f>
        <v>0</v>
      </c>
      <c r="G859" s="181">
        <f>TOBEPAID!G646/1000</f>
        <v>0</v>
      </c>
      <c r="H859" s="181">
        <f>7200537/1000</f>
        <v>7200.5370000000003</v>
      </c>
      <c r="I859" s="181">
        <f>TOBEPAID!I646/1000</f>
        <v>0</v>
      </c>
      <c r="J859" s="181">
        <f>TOBEPAID!J646/1000</f>
        <v>0</v>
      </c>
      <c r="K859" s="181">
        <f>TOBEPAID!K646/1000</f>
        <v>0</v>
      </c>
      <c r="L859" s="181">
        <f>TOBEPAID!L646/1000</f>
        <v>0</v>
      </c>
      <c r="M859" s="181">
        <f>TOBEPAID!M646/1000</f>
        <v>0</v>
      </c>
      <c r="N859" s="181">
        <f>TOBEPAID!N646/1000</f>
        <v>7200.5375000000004</v>
      </c>
      <c r="O859" s="181">
        <f>TOBEPAID!O646/1000</f>
        <v>0</v>
      </c>
      <c r="P859" s="181">
        <f>TOBEPAID!P646/1000</f>
        <v>0</v>
      </c>
      <c r="Q859" s="181">
        <f>TOBEPAID!Q646/1000</f>
        <v>0</v>
      </c>
      <c r="R859" s="181">
        <v>0</v>
      </c>
      <c r="S859" s="181">
        <f>TOBEPAID!S646/1000</f>
        <v>0</v>
      </c>
      <c r="T859" s="181">
        <f>TOBEPAID!T646/1000</f>
        <v>0</v>
      </c>
      <c r="U859" s="181">
        <f>TOBEPAID!U646/1000</f>
        <v>0</v>
      </c>
      <c r="V859" s="181">
        <f>TOBEPAID!V646/1000</f>
        <v>0</v>
      </c>
      <c r="W859" s="181">
        <f>TOBEPAID!W646/1000</f>
        <v>0</v>
      </c>
      <c r="X859" s="181">
        <f>TOBEPAID!X646/1000</f>
        <v>0</v>
      </c>
      <c r="Y859" s="181">
        <f>+H859+R859</f>
        <v>7200.5370000000003</v>
      </c>
      <c r="Z859" s="181">
        <f>+D859-Y859</f>
        <v>0</v>
      </c>
      <c r="AA859" s="181">
        <f>TOBEPAID!AA646/1000</f>
        <v>7200.5375000000004</v>
      </c>
      <c r="AB859" s="181">
        <f>TOBEPAID!AB646/1000</f>
        <v>0</v>
      </c>
      <c r="AC859" s="181"/>
      <c r="AD859" s="181"/>
    </row>
    <row r="860" spans="1:45" x14ac:dyDescent="0.2">
      <c r="A860" s="180"/>
      <c r="C860" s="165" t="s">
        <v>183</v>
      </c>
      <c r="D860" s="181">
        <f>23584845/1000</f>
        <v>23584.845000000001</v>
      </c>
      <c r="E860" s="181">
        <f>TOBEPAID!E647/1000</f>
        <v>0</v>
      </c>
      <c r="F860" s="181">
        <f>TOBEPAID!F647/1000</f>
        <v>0</v>
      </c>
      <c r="G860" s="181">
        <f>TOBEPAID!G647/1000</f>
        <v>0</v>
      </c>
      <c r="H860" s="181">
        <v>0</v>
      </c>
      <c r="I860" s="181">
        <f>TOBEPAID!I647/1000</f>
        <v>0</v>
      </c>
      <c r="J860" s="181">
        <f>TOBEPAID!J647/1000</f>
        <v>0</v>
      </c>
      <c r="K860" s="181">
        <f>TOBEPAID!K647/1000</f>
        <v>0</v>
      </c>
      <c r="L860" s="181">
        <f>TOBEPAID!L647/1000</f>
        <v>0</v>
      </c>
      <c r="M860" s="181">
        <f>TOBEPAID!M647/1000</f>
        <v>0</v>
      </c>
      <c r="N860" s="181">
        <f>TOBEPAID!N647/1000</f>
        <v>0</v>
      </c>
      <c r="O860" s="181">
        <f>TOBEPAID!O647/1000</f>
        <v>0</v>
      </c>
      <c r="P860" s="181">
        <f>TOBEPAID!P647/1000</f>
        <v>0</v>
      </c>
      <c r="Q860" s="181">
        <f>TOBEPAID!Q647/1000</f>
        <v>0</v>
      </c>
      <c r="R860" s="181">
        <f>928498.4/1000</f>
        <v>928.49840000000006</v>
      </c>
      <c r="S860" s="181">
        <f>TOBEPAID!S647/1000</f>
        <v>0</v>
      </c>
      <c r="T860" s="181">
        <f>TOBEPAID!T647/1000</f>
        <v>0</v>
      </c>
      <c r="U860" s="181">
        <f>TOBEPAID!U647/1000</f>
        <v>0</v>
      </c>
      <c r="V860" s="181">
        <f>TOBEPAID!V647/1000</f>
        <v>0</v>
      </c>
      <c r="W860" s="181">
        <f>TOBEPAID!W647/1000</f>
        <v>0</v>
      </c>
      <c r="X860" s="181">
        <f>TOBEPAID!X647/1000</f>
        <v>0</v>
      </c>
      <c r="Y860" s="181">
        <f>+H860+R860</f>
        <v>928.49840000000006</v>
      </c>
      <c r="Z860" s="181">
        <f>+D860-Y860</f>
        <v>22656.346600000001</v>
      </c>
      <c r="AA860" s="181">
        <f>TOBEPAID!AA647/1000</f>
        <v>0</v>
      </c>
      <c r="AB860" s="181">
        <f>TOBEPAID!AB647/1000</f>
        <v>23584.845269999998</v>
      </c>
      <c r="AC860" s="181"/>
      <c r="AD860" s="181"/>
    </row>
    <row r="861" spans="1:45" x14ac:dyDescent="0.2">
      <c r="A861" s="180"/>
      <c r="D861" s="182" t="s">
        <v>40</v>
      </c>
      <c r="E861" s="182" t="s">
        <v>40</v>
      </c>
      <c r="F861" s="182" t="s">
        <v>40</v>
      </c>
      <c r="G861" s="182"/>
      <c r="H861" s="182" t="s">
        <v>40</v>
      </c>
      <c r="I861" s="182" t="s">
        <v>40</v>
      </c>
      <c r="J861" s="182" t="s">
        <v>40</v>
      </c>
      <c r="K861" s="182" t="s">
        <v>40</v>
      </c>
      <c r="L861" s="182" t="s">
        <v>40</v>
      </c>
      <c r="M861" s="182"/>
      <c r="N861" s="182" t="s">
        <v>40</v>
      </c>
      <c r="O861" s="182" t="s">
        <v>40</v>
      </c>
      <c r="P861" s="182" t="s">
        <v>40</v>
      </c>
      <c r="Q861" s="182"/>
      <c r="R861" s="182" t="s">
        <v>40</v>
      </c>
      <c r="S861" s="182" t="s">
        <v>40</v>
      </c>
      <c r="T861" s="182" t="s">
        <v>40</v>
      </c>
      <c r="U861" s="182" t="s">
        <v>40</v>
      </c>
      <c r="V861" s="182" t="s">
        <v>40</v>
      </c>
      <c r="W861" s="182"/>
      <c r="X861" s="182" t="s">
        <v>40</v>
      </c>
      <c r="Y861" s="182" t="s">
        <v>40</v>
      </c>
      <c r="Z861" s="182" t="s">
        <v>40</v>
      </c>
      <c r="AA861" s="182" t="s">
        <v>40</v>
      </c>
      <c r="AB861" s="182" t="s">
        <v>40</v>
      </c>
      <c r="AC861" s="182"/>
      <c r="AD861" s="182"/>
    </row>
    <row r="862" spans="1:45" x14ac:dyDescent="0.2">
      <c r="A862" s="180"/>
      <c r="D862" s="191">
        <f>SUM(D857:D860)</f>
        <v>31961.053</v>
      </c>
      <c r="E862" s="191">
        <f>SUM(E857:E860)</f>
        <v>8376.2085000000006</v>
      </c>
      <c r="F862" s="191">
        <f>SUM(F857:F860)</f>
        <v>0</v>
      </c>
      <c r="G862" s="191"/>
      <c r="H862" s="191">
        <f>SUM(H857:H860)</f>
        <v>8376.2080000000005</v>
      </c>
      <c r="I862" s="191">
        <f>SUM(I857:I860)</f>
        <v>0</v>
      </c>
      <c r="J862" s="191">
        <f>SUM(J857:J860)</f>
        <v>0</v>
      </c>
      <c r="K862" s="191">
        <f>SUM(K857:K860)</f>
        <v>0</v>
      </c>
      <c r="L862" s="191">
        <f>SUM(L857:L860)</f>
        <v>0</v>
      </c>
      <c r="M862" s="191"/>
      <c r="N862" s="191">
        <f>SUM(N857:N860)</f>
        <v>8376.2085000000006</v>
      </c>
      <c r="O862" s="191">
        <f>SUM(O857:O860)</f>
        <v>0</v>
      </c>
      <c r="P862" s="191">
        <f>SUM(P857:P860)</f>
        <v>0</v>
      </c>
      <c r="Q862" s="191"/>
      <c r="R862" s="191">
        <f>SUM(R857:R860)</f>
        <v>928.49840000000006</v>
      </c>
      <c r="S862" s="191">
        <f>SUM(S857:S860)</f>
        <v>0</v>
      </c>
      <c r="T862" s="191">
        <f>SUM(T857:T860)</f>
        <v>0</v>
      </c>
      <c r="U862" s="191">
        <f>SUM(U857:U860)</f>
        <v>0</v>
      </c>
      <c r="V862" s="191">
        <f>SUM(V857:V860)</f>
        <v>0</v>
      </c>
      <c r="W862" s="191"/>
      <c r="X862" s="191">
        <f>SUM(X857:X860)</f>
        <v>0</v>
      </c>
      <c r="Y862" s="191">
        <f>SUM(Y857:Y860)</f>
        <v>9304.7064000000009</v>
      </c>
      <c r="Z862" s="191">
        <f>SUM(Z857:Z860)</f>
        <v>22656.346600000001</v>
      </c>
      <c r="AA862" s="191">
        <f>SUM(AA857:AA860)</f>
        <v>8376.2085000000006</v>
      </c>
      <c r="AB862" s="191">
        <f>SUM(AB857:AB860)</f>
        <v>23584.845269999998</v>
      </c>
      <c r="AC862" s="191"/>
      <c r="AD862" s="191"/>
    </row>
    <row r="863" spans="1:45" x14ac:dyDescent="0.2">
      <c r="A863" s="180"/>
      <c r="D863" s="182" t="s">
        <v>40</v>
      </c>
      <c r="E863" s="182" t="s">
        <v>40</v>
      </c>
      <c r="F863" s="182" t="s">
        <v>40</v>
      </c>
      <c r="G863" s="182"/>
      <c r="H863" s="182" t="s">
        <v>40</v>
      </c>
      <c r="I863" s="182" t="s">
        <v>40</v>
      </c>
      <c r="J863" s="182" t="s">
        <v>40</v>
      </c>
      <c r="K863" s="182" t="s">
        <v>40</v>
      </c>
      <c r="L863" s="182" t="s">
        <v>40</v>
      </c>
      <c r="M863" s="182"/>
      <c r="N863" s="182" t="s">
        <v>40</v>
      </c>
      <c r="O863" s="182" t="s">
        <v>40</v>
      </c>
      <c r="P863" s="182" t="s">
        <v>40</v>
      </c>
      <c r="Q863" s="182"/>
      <c r="R863" s="182" t="s">
        <v>40</v>
      </c>
      <c r="S863" s="182" t="s">
        <v>40</v>
      </c>
      <c r="T863" s="182" t="s">
        <v>40</v>
      </c>
      <c r="U863" s="182" t="s">
        <v>40</v>
      </c>
      <c r="V863" s="182" t="s">
        <v>40</v>
      </c>
      <c r="W863" s="182"/>
      <c r="X863" s="182" t="s">
        <v>40</v>
      </c>
      <c r="Y863" s="182" t="s">
        <v>40</v>
      </c>
      <c r="Z863" s="182" t="s">
        <v>40</v>
      </c>
      <c r="AA863" s="182" t="s">
        <v>40</v>
      </c>
      <c r="AB863" s="182" t="s">
        <v>40</v>
      </c>
      <c r="AC863" s="182"/>
      <c r="AD863" s="182"/>
      <c r="AS863" s="195">
        <f>+AF866-AK866-AP866</f>
        <v>0</v>
      </c>
    </row>
    <row r="864" spans="1:45" x14ac:dyDescent="0.2">
      <c r="A864" s="180"/>
      <c r="D864" s="182"/>
      <c r="E864" s="182"/>
      <c r="F864" s="182"/>
      <c r="G864" s="182"/>
      <c r="H864" s="182"/>
      <c r="I864" s="182"/>
      <c r="J864" s="182"/>
      <c r="K864" s="182"/>
      <c r="L864" s="182"/>
      <c r="M864" s="182"/>
      <c r="N864" s="182"/>
      <c r="O864" s="182"/>
      <c r="P864" s="182"/>
      <c r="Q864" s="182"/>
      <c r="R864" s="182"/>
      <c r="S864" s="182"/>
      <c r="T864" s="182"/>
      <c r="U864" s="182"/>
      <c r="V864" s="182"/>
      <c r="W864" s="182"/>
      <c r="X864" s="182"/>
      <c r="Y864" s="182"/>
      <c r="Z864" s="182"/>
      <c r="AA864" s="182"/>
      <c r="AB864" s="182"/>
      <c r="AC864" s="182"/>
      <c r="AD864" s="182"/>
      <c r="AS864" s="195"/>
    </row>
    <row r="865" spans="1:45" x14ac:dyDescent="0.2">
      <c r="A865" s="180"/>
      <c r="D865" s="182"/>
      <c r="E865" s="182"/>
      <c r="F865" s="182"/>
      <c r="G865" s="182"/>
      <c r="H865" s="182"/>
      <c r="I865" s="182"/>
      <c r="J865" s="182"/>
      <c r="K865" s="182"/>
      <c r="L865" s="182"/>
      <c r="M865" s="182"/>
      <c r="N865" s="182"/>
      <c r="O865" s="182"/>
      <c r="P865" s="182"/>
      <c r="Q865" s="182"/>
      <c r="R865" s="182"/>
      <c r="S865" s="182"/>
      <c r="T865" s="182"/>
      <c r="U865" s="182"/>
      <c r="V865" s="182"/>
      <c r="W865" s="182"/>
      <c r="X865" s="182"/>
      <c r="Y865" s="182"/>
      <c r="Z865" s="182"/>
      <c r="AA865" s="182"/>
      <c r="AB865" s="182"/>
      <c r="AC865" s="182"/>
      <c r="AD865" s="182"/>
      <c r="AS865" s="195"/>
    </row>
    <row r="866" spans="1:45" x14ac:dyDescent="0.2">
      <c r="A866" s="180">
        <v>64</v>
      </c>
      <c r="B866" s="165" t="s">
        <v>206</v>
      </c>
      <c r="C866" s="166" t="s">
        <v>35</v>
      </c>
      <c r="D866" s="181">
        <f>95297742/1000</f>
        <v>95297.741999999998</v>
      </c>
      <c r="E866" s="181">
        <f>TOBEPAID!E651/1000</f>
        <v>0</v>
      </c>
      <c r="F866" s="181">
        <f>TOBEPAID!F651/1000</f>
        <v>0</v>
      </c>
      <c r="G866" s="181">
        <f>TOBEPAID!G651/1000</f>
        <v>0</v>
      </c>
      <c r="H866" s="181">
        <f>95234653/1000</f>
        <v>95234.653000000006</v>
      </c>
      <c r="I866" s="181">
        <f>TOBEPAID!I651/1000</f>
        <v>0</v>
      </c>
      <c r="J866" s="181">
        <f>TOBEPAID!J651/1000</f>
        <v>0</v>
      </c>
      <c r="K866" s="181">
        <f>TOBEPAID!K651/1000</f>
        <v>0</v>
      </c>
      <c r="L866" s="181">
        <f>TOBEPAID!L651/1000</f>
        <v>0</v>
      </c>
      <c r="M866" s="181">
        <f>TOBEPAID!M651/1000</f>
        <v>0</v>
      </c>
      <c r="N866" s="181">
        <f>TOBEPAID!N651/1000</f>
        <v>0</v>
      </c>
      <c r="O866" s="181">
        <f>TOBEPAID!O651/1000</f>
        <v>0</v>
      </c>
      <c r="P866" s="181">
        <f>TOBEPAID!P651/1000</f>
        <v>0</v>
      </c>
      <c r="Q866" s="181">
        <f>TOBEPAID!Q651/1000</f>
        <v>0</v>
      </c>
      <c r="R866" s="181">
        <v>0</v>
      </c>
      <c r="S866" s="181">
        <f>TOBEPAID!S651/1000</f>
        <v>0</v>
      </c>
      <c r="T866" s="181">
        <f>TOBEPAID!T651/1000</f>
        <v>0</v>
      </c>
      <c r="U866" s="181">
        <f>TOBEPAID!U651/1000</f>
        <v>0</v>
      </c>
      <c r="V866" s="181">
        <f>TOBEPAID!V651/1000</f>
        <v>0</v>
      </c>
      <c r="W866" s="181">
        <f>TOBEPAID!W651/1000</f>
        <v>0</v>
      </c>
      <c r="X866" s="181">
        <f>TOBEPAID!X651/1000</f>
        <v>0</v>
      </c>
      <c r="Y866" s="181">
        <f>+H866+R866</f>
        <v>95234.653000000006</v>
      </c>
      <c r="Z866" s="181">
        <f t="shared" ref="Z866:Z875" si="155">+D866-Y866</f>
        <v>63.088999999992666</v>
      </c>
      <c r="AA866" s="181">
        <f>TOBEPAID!AA651/1000</f>
        <v>0</v>
      </c>
      <c r="AB866" s="181">
        <f>TOBEPAID!AB651/1000</f>
        <v>17329.61447</v>
      </c>
      <c r="AC866" s="181"/>
      <c r="AD866" s="181"/>
      <c r="AF866" s="195">
        <f>+D867</f>
        <v>3000</v>
      </c>
      <c r="AG866" s="195">
        <f>+E867</f>
        <v>3000</v>
      </c>
      <c r="AH866" s="195">
        <f>+F867</f>
        <v>0</v>
      </c>
      <c r="AI866" s="195">
        <f>+AG866+AH866</f>
        <v>3000</v>
      </c>
      <c r="AJ866" s="195">
        <f>+L867</f>
        <v>0</v>
      </c>
      <c r="AK866" s="195">
        <f>+AI866+AJ866</f>
        <v>3000</v>
      </c>
      <c r="AL866" s="195">
        <f>+O867</f>
        <v>0</v>
      </c>
      <c r="AM866" s="195">
        <f>+P867</f>
        <v>0</v>
      </c>
      <c r="AN866" s="195">
        <f>+AL866+AM866</f>
        <v>0</v>
      </c>
      <c r="AO866" s="195">
        <f>+V867</f>
        <v>0</v>
      </c>
      <c r="AP866" s="195">
        <f>+AN866+AO866</f>
        <v>0</v>
      </c>
      <c r="AQ866" s="195">
        <f>+AI866+AN866</f>
        <v>3000</v>
      </c>
      <c r="AR866" s="195">
        <f>+AF866-AQ866</f>
        <v>0</v>
      </c>
      <c r="AS866" s="195">
        <f>+AF867-AK867-AP867</f>
        <v>-5.0000000192085281E-4</v>
      </c>
    </row>
    <row r="867" spans="1:45" x14ac:dyDescent="0.2">
      <c r="C867" s="165" t="s">
        <v>298</v>
      </c>
      <c r="D867" s="181">
        <f>3000000/1000</f>
        <v>3000</v>
      </c>
      <c r="E867" s="181">
        <f>TOBEPAID!E652/1000</f>
        <v>3000</v>
      </c>
      <c r="F867" s="181">
        <f>TOBEPAID!F652/1000</f>
        <v>0</v>
      </c>
      <c r="G867" s="181">
        <f>TOBEPAID!G652/1000</f>
        <v>0</v>
      </c>
      <c r="H867" s="181">
        <f>3000000/1000</f>
        <v>3000</v>
      </c>
      <c r="I867" s="181">
        <f>TOBEPAID!I652/1000</f>
        <v>0</v>
      </c>
      <c r="J867" s="181">
        <f>TOBEPAID!J652/1000</f>
        <v>0</v>
      </c>
      <c r="K867" s="181">
        <f>TOBEPAID!K652/1000</f>
        <v>0</v>
      </c>
      <c r="L867" s="181">
        <f>TOBEPAID!L652/1000</f>
        <v>0</v>
      </c>
      <c r="M867" s="181">
        <f>TOBEPAID!M652/1000</f>
        <v>0</v>
      </c>
      <c r="N867" s="181">
        <f>TOBEPAID!N652/1000</f>
        <v>3000</v>
      </c>
      <c r="O867" s="181">
        <f>TOBEPAID!O652/1000</f>
        <v>0</v>
      </c>
      <c r="P867" s="181">
        <f>TOBEPAID!P652/1000</f>
        <v>0</v>
      </c>
      <c r="Q867" s="181">
        <f>TOBEPAID!Q652/1000</f>
        <v>0</v>
      </c>
      <c r="R867" s="181">
        <v>0</v>
      </c>
      <c r="S867" s="181">
        <f>TOBEPAID!S652/1000</f>
        <v>0</v>
      </c>
      <c r="T867" s="181">
        <f>TOBEPAID!T652/1000</f>
        <v>0</v>
      </c>
      <c r="U867" s="181">
        <f>TOBEPAID!U652/1000</f>
        <v>0</v>
      </c>
      <c r="V867" s="181">
        <f>TOBEPAID!V652/1000</f>
        <v>0</v>
      </c>
      <c r="W867" s="181">
        <f>TOBEPAID!W652/1000</f>
        <v>0</v>
      </c>
      <c r="X867" s="181">
        <f>TOBEPAID!X652/1000</f>
        <v>0</v>
      </c>
      <c r="Y867" s="181">
        <f t="shared" ref="Y867:Y875" si="156">+H867+R867</f>
        <v>3000</v>
      </c>
      <c r="Z867" s="181">
        <f t="shared" si="155"/>
        <v>0</v>
      </c>
      <c r="AA867" s="181">
        <f>TOBEPAID!AA652/1000</f>
        <v>3000</v>
      </c>
      <c r="AB867" s="181">
        <f>TOBEPAID!AB652/1000</f>
        <v>0</v>
      </c>
      <c r="AC867" s="181"/>
      <c r="AD867" s="181"/>
      <c r="AE867" s="186" t="s">
        <v>298</v>
      </c>
      <c r="AF867" s="195">
        <f>+D859+D798+D770</f>
        <v>21733.412329999999</v>
      </c>
      <c r="AG867" s="195">
        <f>+E859+E798+E770</f>
        <v>21733.412830000001</v>
      </c>
      <c r="AH867" s="195">
        <f>+F859+F798+F770</f>
        <v>0</v>
      </c>
      <c r="AI867" s="195">
        <f>+AG867+AH867</f>
        <v>21733.412830000001</v>
      </c>
      <c r="AJ867" s="195">
        <f>+L770</f>
        <v>0</v>
      </c>
      <c r="AK867" s="195">
        <f>+AI867+AJ867</f>
        <v>21733.412830000001</v>
      </c>
      <c r="AL867" s="195">
        <f>+O859+O798+O770</f>
        <v>0</v>
      </c>
      <c r="AM867" s="195">
        <f>+P859+P798+P770</f>
        <v>0</v>
      </c>
      <c r="AN867" s="195">
        <f>+AL867+AM867</f>
        <v>0</v>
      </c>
      <c r="AO867" s="195">
        <f>+V770</f>
        <v>0</v>
      </c>
      <c r="AP867" s="195">
        <f>+AN867+AO867</f>
        <v>0</v>
      </c>
      <c r="AQ867" s="195">
        <f>+AI867+AN867</f>
        <v>21733.412830000001</v>
      </c>
      <c r="AR867" s="195">
        <f>+AF867-AQ867</f>
        <v>-5.0000000192085281E-4</v>
      </c>
      <c r="AS867" s="195">
        <f>+AF868-AK868-AP868</f>
        <v>-111259.44873999999</v>
      </c>
    </row>
    <row r="868" spans="1:45" x14ac:dyDescent="0.2">
      <c r="A868" s="180"/>
      <c r="C868" s="165" t="s">
        <v>36</v>
      </c>
      <c r="D868" s="181">
        <f>2119977/1000</f>
        <v>2119.9769999999999</v>
      </c>
      <c r="E868" s="181">
        <f>TOBEPAID!E653/1000</f>
        <v>2119.9769999999999</v>
      </c>
      <c r="F868" s="181">
        <f>TOBEPAID!F653/1000</f>
        <v>0</v>
      </c>
      <c r="G868" s="181">
        <f>TOBEPAID!G653/1000</f>
        <v>0</v>
      </c>
      <c r="H868" s="181">
        <f>2119977/1000</f>
        <v>2119.9769999999999</v>
      </c>
      <c r="I868" s="181">
        <f>TOBEPAID!I653/1000</f>
        <v>0</v>
      </c>
      <c r="J868" s="181">
        <f>TOBEPAID!J653/1000</f>
        <v>0</v>
      </c>
      <c r="K868" s="181">
        <f>TOBEPAID!K653/1000</f>
        <v>0</v>
      </c>
      <c r="L868" s="181">
        <f>TOBEPAID!L653/1000</f>
        <v>0</v>
      </c>
      <c r="M868" s="181">
        <f>TOBEPAID!M653/1000</f>
        <v>0</v>
      </c>
      <c r="N868" s="181">
        <f>TOBEPAID!N653/1000</f>
        <v>2119.9769999999999</v>
      </c>
      <c r="O868" s="181">
        <f>TOBEPAID!O653/1000</f>
        <v>0</v>
      </c>
      <c r="P868" s="181">
        <f>TOBEPAID!P653/1000</f>
        <v>0</v>
      </c>
      <c r="Q868" s="181">
        <f>TOBEPAID!Q653/1000</f>
        <v>0</v>
      </c>
      <c r="R868" s="181">
        <v>0</v>
      </c>
      <c r="S868" s="181">
        <f>TOBEPAID!S653/1000</f>
        <v>0</v>
      </c>
      <c r="T868" s="181">
        <f>TOBEPAID!T653/1000</f>
        <v>0</v>
      </c>
      <c r="U868" s="181">
        <f>TOBEPAID!U653/1000</f>
        <v>0</v>
      </c>
      <c r="V868" s="181">
        <f>TOBEPAID!V653/1000</f>
        <v>0</v>
      </c>
      <c r="W868" s="181">
        <f>TOBEPAID!W653/1000</f>
        <v>0</v>
      </c>
      <c r="X868" s="181">
        <f>TOBEPAID!X653/1000</f>
        <v>0</v>
      </c>
      <c r="Y868" s="181">
        <f t="shared" si="156"/>
        <v>2119.9769999999999</v>
      </c>
      <c r="Z868" s="181">
        <f t="shared" si="155"/>
        <v>0</v>
      </c>
      <c r="AA868" s="181">
        <f>TOBEPAID!AA653/1000</f>
        <v>2119.9769999999999</v>
      </c>
      <c r="AB868" s="181">
        <f>TOBEPAID!AB653/1000</f>
        <v>0</v>
      </c>
      <c r="AC868" s="181"/>
      <c r="AD868" s="181"/>
      <c r="AE868" s="186" t="s">
        <v>317</v>
      </c>
      <c r="AF868" s="195">
        <f>+D796+D767+D849</f>
        <v>0</v>
      </c>
      <c r="AG868" s="195">
        <f>+E796+E767+E849</f>
        <v>111259.44873999999</v>
      </c>
      <c r="AH868" s="195">
        <f>+F767+F849</f>
        <v>0</v>
      </c>
      <c r="AI868" s="195">
        <f>+AG868+AH868</f>
        <v>111259.44873999999</v>
      </c>
      <c r="AJ868" s="195">
        <f>+L767</f>
        <v>0</v>
      </c>
      <c r="AK868" s="195">
        <f>+AI868+AJ868</f>
        <v>111259.44873999999</v>
      </c>
      <c r="AL868" s="195">
        <f>+O767+O849</f>
        <v>0</v>
      </c>
      <c r="AM868" s="195">
        <f>+P767+P849</f>
        <v>0</v>
      </c>
      <c r="AN868" s="195">
        <f>+AL868+AM868</f>
        <v>0</v>
      </c>
      <c r="AO868" s="195">
        <f>+V767+V849</f>
        <v>0</v>
      </c>
      <c r="AP868" s="195">
        <f>+AN868+AO868</f>
        <v>0</v>
      </c>
      <c r="AQ868" s="195">
        <f>+AI868+AN868</f>
        <v>111259.44873999999</v>
      </c>
      <c r="AR868" s="195">
        <f>+AF868-AQ868</f>
        <v>-111259.44873999999</v>
      </c>
    </row>
    <row r="869" spans="1:45" x14ac:dyDescent="0.2">
      <c r="A869" s="180"/>
      <c r="C869" s="165" t="s">
        <v>207</v>
      </c>
      <c r="D869" s="181">
        <f>9500000/1000</f>
        <v>9500</v>
      </c>
      <c r="E869" s="181">
        <f>TOBEPAID!E654/1000</f>
        <v>9500</v>
      </c>
      <c r="F869" s="181">
        <f>TOBEPAID!F654/1000</f>
        <v>0</v>
      </c>
      <c r="G869" s="181">
        <f>TOBEPAID!G654/1000</f>
        <v>0</v>
      </c>
      <c r="H869" s="181">
        <f>9500000/1000</f>
        <v>9500</v>
      </c>
      <c r="I869" s="181">
        <f>TOBEPAID!I654/1000</f>
        <v>0</v>
      </c>
      <c r="J869" s="181">
        <f>TOBEPAID!J654/1000</f>
        <v>0</v>
      </c>
      <c r="K869" s="181">
        <f>TOBEPAID!K654/1000</f>
        <v>0</v>
      </c>
      <c r="L869" s="181">
        <f>TOBEPAID!L654/1000</f>
        <v>0</v>
      </c>
      <c r="M869" s="181">
        <f>TOBEPAID!M654/1000</f>
        <v>0</v>
      </c>
      <c r="N869" s="181">
        <f>TOBEPAID!N654/1000</f>
        <v>9500</v>
      </c>
      <c r="O869" s="181">
        <f>TOBEPAID!O654/1000</f>
        <v>0</v>
      </c>
      <c r="P869" s="181">
        <f>TOBEPAID!P654/1000</f>
        <v>0</v>
      </c>
      <c r="Q869" s="181">
        <f>TOBEPAID!Q654/1000</f>
        <v>0</v>
      </c>
      <c r="R869" s="181">
        <v>0</v>
      </c>
      <c r="S869" s="181">
        <f>TOBEPAID!S654/1000</f>
        <v>0</v>
      </c>
      <c r="T869" s="181">
        <f>TOBEPAID!T654/1000</f>
        <v>0</v>
      </c>
      <c r="U869" s="181">
        <f>TOBEPAID!U654/1000</f>
        <v>0</v>
      </c>
      <c r="V869" s="181">
        <f>TOBEPAID!V654/1000</f>
        <v>0</v>
      </c>
      <c r="W869" s="181">
        <f>TOBEPAID!W654/1000</f>
        <v>0</v>
      </c>
      <c r="X869" s="181">
        <f>TOBEPAID!X654/1000</f>
        <v>0</v>
      </c>
      <c r="Y869" s="181">
        <f t="shared" si="156"/>
        <v>9500</v>
      </c>
      <c r="Z869" s="181">
        <f t="shared" si="155"/>
        <v>0</v>
      </c>
      <c r="AA869" s="181">
        <f>TOBEPAID!AA654/1000</f>
        <v>9500</v>
      </c>
      <c r="AB869" s="181">
        <f>TOBEPAID!AB654/1000</f>
        <v>0</v>
      </c>
      <c r="AC869" s="181"/>
      <c r="AD869" s="181"/>
      <c r="AE869" s="186" t="s">
        <v>305</v>
      </c>
      <c r="AS869" s="195">
        <f>+AF871-AK871-AP871</f>
        <v>3955958.2977000005</v>
      </c>
    </row>
    <row r="870" spans="1:45" x14ac:dyDescent="0.2">
      <c r="A870" s="180"/>
      <c r="C870" s="165" t="s">
        <v>454</v>
      </c>
      <c r="D870" s="181">
        <f>49712000/1000</f>
        <v>49712</v>
      </c>
      <c r="E870" s="181"/>
      <c r="F870" s="181"/>
      <c r="G870" s="181"/>
      <c r="H870" s="181">
        <f>49712000/1000</f>
        <v>49712</v>
      </c>
      <c r="I870" s="181"/>
      <c r="J870" s="181"/>
      <c r="K870" s="181"/>
      <c r="L870" s="181"/>
      <c r="M870" s="181"/>
      <c r="N870" s="181"/>
      <c r="O870" s="181"/>
      <c r="P870" s="181"/>
      <c r="Q870" s="181"/>
      <c r="R870" s="181">
        <v>0</v>
      </c>
      <c r="S870" s="181"/>
      <c r="T870" s="181"/>
      <c r="U870" s="181"/>
      <c r="V870" s="181"/>
      <c r="W870" s="181"/>
      <c r="X870" s="181"/>
      <c r="Y870" s="181">
        <f t="shared" si="156"/>
        <v>49712</v>
      </c>
      <c r="Z870" s="181">
        <f t="shared" si="155"/>
        <v>0</v>
      </c>
      <c r="AA870" s="181"/>
      <c r="AB870" s="181"/>
      <c r="AC870" s="181"/>
      <c r="AD870" s="181"/>
      <c r="AE870" s="186"/>
      <c r="AS870" s="195"/>
    </row>
    <row r="871" spans="1:45" x14ac:dyDescent="0.2">
      <c r="C871" s="165" t="s">
        <v>290</v>
      </c>
      <c r="D871" s="181">
        <f>1886958298/1000</f>
        <v>1886958.298</v>
      </c>
      <c r="E871" s="181">
        <f>TOBEPAID!E655/1000</f>
        <v>100000</v>
      </c>
      <c r="F871" s="181">
        <f>TOBEPAID!F655/1000</f>
        <v>25000</v>
      </c>
      <c r="G871" s="181">
        <f>TOBEPAID!G655/1000</f>
        <v>0</v>
      </c>
      <c r="H871" s="181">
        <f>1886958298/1000</f>
        <v>1886958.298</v>
      </c>
      <c r="I871" s="181">
        <f>TOBEPAID!I655/1000</f>
        <v>0</v>
      </c>
      <c r="J871" s="181">
        <f>TOBEPAID!J655/1000</f>
        <v>0</v>
      </c>
      <c r="K871" s="181">
        <f>TOBEPAID!K655/1000</f>
        <v>0</v>
      </c>
      <c r="L871" s="181">
        <f>TOBEPAID!L655/1000</f>
        <v>0</v>
      </c>
      <c r="M871" s="181">
        <f>TOBEPAID!M655/1000</f>
        <v>0</v>
      </c>
      <c r="N871" s="181">
        <f>TOBEPAID!N655/1000</f>
        <v>125000</v>
      </c>
      <c r="O871" s="181">
        <f>TOBEPAID!O655/1000</f>
        <v>0</v>
      </c>
      <c r="P871" s="181">
        <f>TOBEPAID!P655/1000</f>
        <v>0</v>
      </c>
      <c r="Q871" s="181">
        <f>TOBEPAID!Q655/1000</f>
        <v>0</v>
      </c>
      <c r="R871" s="181">
        <v>0</v>
      </c>
      <c r="S871" s="181">
        <f>TOBEPAID!S655/1000</f>
        <v>0</v>
      </c>
      <c r="T871" s="181">
        <f>TOBEPAID!T655/1000</f>
        <v>0</v>
      </c>
      <c r="U871" s="181">
        <f>TOBEPAID!U655/1000</f>
        <v>0</v>
      </c>
      <c r="V871" s="181">
        <f>TOBEPAID!V655/1000</f>
        <v>0</v>
      </c>
      <c r="W871" s="181">
        <f>TOBEPAID!W655/1000</f>
        <v>0</v>
      </c>
      <c r="X871" s="181">
        <f>TOBEPAID!X655/1000</f>
        <v>0</v>
      </c>
      <c r="Y871" s="181">
        <f t="shared" si="156"/>
        <v>1886958.298</v>
      </c>
      <c r="Z871" s="181">
        <f t="shared" si="155"/>
        <v>0</v>
      </c>
      <c r="AA871" s="181">
        <f>TOBEPAID!AA655/1000</f>
        <v>125000</v>
      </c>
      <c r="AB871" s="181">
        <f>TOBEPAID!AB655/1000</f>
        <v>0</v>
      </c>
      <c r="AC871" s="181"/>
      <c r="AD871" s="181"/>
      <c r="AF871" s="195">
        <f>+D801+D871+D845+D776</f>
        <v>4479003.6960000005</v>
      </c>
      <c r="AG871" s="195">
        <f>+E801+E871+E845+E776</f>
        <v>421045.3983</v>
      </c>
      <c r="AH871" s="195">
        <f>+F871+F801+F845+F776</f>
        <v>102000</v>
      </c>
      <c r="AI871" s="195">
        <f>+AG871+AH871</f>
        <v>523045.3983</v>
      </c>
      <c r="AJ871" s="195">
        <f>+L801+L871+L845+L776</f>
        <v>0</v>
      </c>
      <c r="AK871" s="195">
        <f>+AI871+AJ871</f>
        <v>523045.3983</v>
      </c>
      <c r="AL871" s="195">
        <f>+O801+O871+O845+O776</f>
        <v>0</v>
      </c>
      <c r="AM871" s="195">
        <f>+P801+P871+P845+P776</f>
        <v>0</v>
      </c>
      <c r="AN871" s="195">
        <f>+AL871+AM871</f>
        <v>0</v>
      </c>
      <c r="AO871" s="195">
        <f>+V801+V871+V845+V776</f>
        <v>0</v>
      </c>
      <c r="AP871" s="195">
        <f>+AN871+AO871</f>
        <v>0</v>
      </c>
      <c r="AQ871" s="195">
        <f>+AI871+AN871</f>
        <v>523045.3983</v>
      </c>
      <c r="AR871" s="195">
        <f>+AF871-AQ871</f>
        <v>3955958.2977000005</v>
      </c>
      <c r="AS871" s="195">
        <f>+AF873-AK873-AP873</f>
        <v>255443.16922999997</v>
      </c>
    </row>
    <row r="872" spans="1:45" x14ac:dyDescent="0.2">
      <c r="C872" s="165" t="s">
        <v>388</v>
      </c>
      <c r="D872" s="181">
        <f>4153259/1000</f>
        <v>4153.259</v>
      </c>
      <c r="E872" s="181"/>
      <c r="F872" s="181"/>
      <c r="G872" s="181"/>
      <c r="H872" s="181">
        <f>4153259/1000</f>
        <v>4153.259</v>
      </c>
      <c r="I872" s="181"/>
      <c r="J872" s="181"/>
      <c r="K872" s="181"/>
      <c r="L872" s="181"/>
      <c r="M872" s="181"/>
      <c r="N872" s="181"/>
      <c r="O872" s="181"/>
      <c r="P872" s="181"/>
      <c r="Q872" s="181"/>
      <c r="R872" s="181">
        <v>0</v>
      </c>
      <c r="S872" s="181"/>
      <c r="T872" s="181"/>
      <c r="U872" s="181"/>
      <c r="V872" s="181"/>
      <c r="W872" s="181"/>
      <c r="X872" s="181"/>
      <c r="Y872" s="181">
        <f t="shared" si="156"/>
        <v>4153.259</v>
      </c>
      <c r="Z872" s="181">
        <f t="shared" si="155"/>
        <v>0</v>
      </c>
      <c r="AA872" s="181"/>
      <c r="AB872" s="181"/>
      <c r="AC872" s="181"/>
      <c r="AD872" s="181"/>
      <c r="AF872" s="195"/>
      <c r="AG872" s="195"/>
      <c r="AH872" s="195"/>
      <c r="AI872" s="195"/>
      <c r="AJ872" s="195"/>
      <c r="AK872" s="195"/>
      <c r="AL872" s="195"/>
      <c r="AM872" s="195"/>
      <c r="AN872" s="195"/>
      <c r="AO872" s="195"/>
      <c r="AP872" s="195"/>
      <c r="AQ872" s="195"/>
      <c r="AR872" s="195"/>
      <c r="AS872" s="195"/>
    </row>
    <row r="873" spans="1:45" x14ac:dyDescent="0.2">
      <c r="A873" s="180"/>
      <c r="C873" s="165" t="s">
        <v>208</v>
      </c>
      <c r="D873" s="181">
        <v>0</v>
      </c>
      <c r="E873" s="181">
        <f>TOBEPAID!E656/1000</f>
        <v>0</v>
      </c>
      <c r="F873" s="181">
        <f>TOBEPAID!F656/1000</f>
        <v>0</v>
      </c>
      <c r="G873" s="181">
        <f>TOBEPAID!G656/1000</f>
        <v>0</v>
      </c>
      <c r="H873" s="181">
        <v>0</v>
      </c>
      <c r="I873" s="181">
        <f>TOBEPAID!I656/1000</f>
        <v>0</v>
      </c>
      <c r="J873" s="181">
        <f>TOBEPAID!J656/1000</f>
        <v>0</v>
      </c>
      <c r="K873" s="181">
        <f>TOBEPAID!K656/1000</f>
        <v>0</v>
      </c>
      <c r="L873" s="181">
        <f>TOBEPAID!L656/1000</f>
        <v>0</v>
      </c>
      <c r="M873" s="181">
        <f>TOBEPAID!M656/1000</f>
        <v>0</v>
      </c>
      <c r="N873" s="181">
        <f>TOBEPAID!N656/1000</f>
        <v>0</v>
      </c>
      <c r="O873" s="181">
        <f>TOBEPAID!O656/1000</f>
        <v>0</v>
      </c>
      <c r="P873" s="181">
        <f>TOBEPAID!P656/1000</f>
        <v>0</v>
      </c>
      <c r="Q873" s="181">
        <f>TOBEPAID!Q656/1000</f>
        <v>0</v>
      </c>
      <c r="R873" s="181">
        <v>0</v>
      </c>
      <c r="S873" s="181">
        <f>TOBEPAID!S656/1000</f>
        <v>0</v>
      </c>
      <c r="T873" s="181">
        <f>TOBEPAID!T656/1000</f>
        <v>0</v>
      </c>
      <c r="U873" s="181">
        <f>TOBEPAID!U656/1000</f>
        <v>0</v>
      </c>
      <c r="V873" s="181">
        <f>TOBEPAID!V656/1000</f>
        <v>0</v>
      </c>
      <c r="W873" s="181">
        <f>TOBEPAID!W656/1000</f>
        <v>0</v>
      </c>
      <c r="X873" s="181">
        <f>TOBEPAID!X656/1000</f>
        <v>0</v>
      </c>
      <c r="Y873" s="181">
        <f t="shared" si="156"/>
        <v>0</v>
      </c>
      <c r="Z873" s="181">
        <f t="shared" si="155"/>
        <v>0</v>
      </c>
      <c r="AA873" s="181">
        <f>TOBEPAID!AA656/1000</f>
        <v>0</v>
      </c>
      <c r="AB873" s="181">
        <f>TOBEPAID!AB656/1000</f>
        <v>815.03935999999999</v>
      </c>
      <c r="AC873" s="181"/>
      <c r="AD873" s="181"/>
      <c r="AE873" s="186" t="s">
        <v>303</v>
      </c>
      <c r="AF873" s="195">
        <f>D763+D784+D793+D807+D819+D830+D843+D857+D866+D881</f>
        <v>298397.29608999996</v>
      </c>
      <c r="AG873" s="195">
        <f>E763+E784+E793+E807+E819+E830+E843+E857+E866+E881</f>
        <v>31075.446</v>
      </c>
      <c r="AH873" s="195">
        <f>F763+F784+F793+F807+F819+F830+F843+F857+F866+F881</f>
        <v>0</v>
      </c>
      <c r="AI873" s="195">
        <f>+AG873+AH873</f>
        <v>31075.446</v>
      </c>
      <c r="AJ873" s="195">
        <f>L763+L784+L793+L807+L819+L830+L843+L857+L866+L881</f>
        <v>0</v>
      </c>
      <c r="AK873" s="195">
        <f>+AI873+AJ873</f>
        <v>31075.446</v>
      </c>
      <c r="AL873" s="195">
        <f>O763+O784+O793+O807+O819+O830+O843+O857+O866+O881</f>
        <v>11878.680860000002</v>
      </c>
      <c r="AM873" s="195">
        <f>P763+P784+P793+P807+P819+P830+P843+P857+P866+P881</f>
        <v>0</v>
      </c>
      <c r="AN873" s="195">
        <f>+AL873+AM873</f>
        <v>11878.680860000002</v>
      </c>
      <c r="AO873" s="195">
        <f>V763+V784+V793+V807+V819+V830+V843+V857+V866+V881</f>
        <v>0</v>
      </c>
      <c r="AP873" s="195">
        <f>+AN873+AO873</f>
        <v>11878.680860000002</v>
      </c>
      <c r="AQ873" s="195">
        <f>+AI873+AN873</f>
        <v>42954.126860000004</v>
      </c>
      <c r="AR873" s="195">
        <f>+AF873-AQ873</f>
        <v>255443.16922999994</v>
      </c>
      <c r="AS873" s="195">
        <f t="shared" ref="AS873:AS886" si="157">+AF874-AK874-AP874</f>
        <v>0</v>
      </c>
    </row>
    <row r="874" spans="1:45" x14ac:dyDescent="0.2">
      <c r="A874" s="180"/>
      <c r="C874" s="165" t="s">
        <v>183</v>
      </c>
      <c r="D874" s="181">
        <f>1138553/1000</f>
        <v>1138.5530000000001</v>
      </c>
      <c r="E874" s="181">
        <f>TOBEPAID!E657/1000</f>
        <v>0</v>
      </c>
      <c r="F874" s="181">
        <f>TOBEPAID!F657/1000</f>
        <v>0</v>
      </c>
      <c r="G874" s="181">
        <f>TOBEPAID!G657/1000</f>
        <v>0</v>
      </c>
      <c r="H874" s="181">
        <v>0</v>
      </c>
      <c r="I874" s="181">
        <f>TOBEPAID!I657/1000</f>
        <v>0</v>
      </c>
      <c r="J874" s="181">
        <f>TOBEPAID!J657/1000</f>
        <v>0</v>
      </c>
      <c r="K874" s="181">
        <f>TOBEPAID!K657/1000</f>
        <v>0</v>
      </c>
      <c r="L874" s="181">
        <f>TOBEPAID!L657/1000</f>
        <v>0</v>
      </c>
      <c r="M874" s="181">
        <f>TOBEPAID!M657/1000</f>
        <v>0</v>
      </c>
      <c r="N874" s="181">
        <f>TOBEPAID!N657/1000</f>
        <v>0</v>
      </c>
      <c r="O874" s="181">
        <f>TOBEPAID!O657/1000</f>
        <v>1138.5539099999999</v>
      </c>
      <c r="P874" s="181">
        <f>TOBEPAID!P657/1000</f>
        <v>0</v>
      </c>
      <c r="Q874" s="181">
        <f>TOBEPAID!Q657/1000</f>
        <v>0</v>
      </c>
      <c r="R874" s="181">
        <f>1138553/1000</f>
        <v>1138.5530000000001</v>
      </c>
      <c r="S874" s="181">
        <f>TOBEPAID!S657/1000</f>
        <v>0</v>
      </c>
      <c r="T874" s="181">
        <f>TOBEPAID!T657/1000</f>
        <v>0</v>
      </c>
      <c r="U874" s="181">
        <f>TOBEPAID!U657/1000</f>
        <v>0</v>
      </c>
      <c r="V874" s="181">
        <f>TOBEPAID!V657/1000</f>
        <v>0</v>
      </c>
      <c r="W874" s="181">
        <f>TOBEPAID!W657/1000</f>
        <v>0</v>
      </c>
      <c r="X874" s="181">
        <f>TOBEPAID!X657/1000</f>
        <v>1138.5539099999999</v>
      </c>
      <c r="Y874" s="181">
        <f t="shared" si="156"/>
        <v>1138.5530000000001</v>
      </c>
      <c r="Z874" s="181">
        <f t="shared" si="155"/>
        <v>0</v>
      </c>
      <c r="AA874" s="181">
        <f>TOBEPAID!AA657/1000</f>
        <v>1138.5539099999999</v>
      </c>
      <c r="AB874" s="181">
        <f>TOBEPAID!AB657/1000</f>
        <v>75621.376820000005</v>
      </c>
      <c r="AC874" s="181"/>
      <c r="AD874" s="181"/>
      <c r="AE874" s="186" t="s">
        <v>47</v>
      </c>
      <c r="AF874" s="195">
        <f>D764+D785+D794+D808+D820+D832+D844+D858+D868+D882</f>
        <v>18305.902999999998</v>
      </c>
      <c r="AG874" s="195">
        <f>E764+E785+E794+E808+E820+E832+E844+E858+E868+E882</f>
        <v>18305.902999999998</v>
      </c>
      <c r="AH874" s="195">
        <f>F764+F785+F794+F808+F820+F832+F844+F858+F868+F882</f>
        <v>0</v>
      </c>
      <c r="AI874" s="195">
        <f t="shared" ref="AI874:AI887" si="158">+AG874+AH874</f>
        <v>18305.902999999998</v>
      </c>
      <c r="AJ874" s="195">
        <f>L764+L785+L794+L808+L820+L832+L844+L858+L868+L882</f>
        <v>0</v>
      </c>
      <c r="AK874" s="195">
        <f t="shared" ref="AK874:AK887" si="159">+AI874+AJ874</f>
        <v>18305.902999999998</v>
      </c>
      <c r="AL874" s="195">
        <f>O764+O785+O794+O808+O820+O832+O844+O858+O868+O882</f>
        <v>0</v>
      </c>
      <c r="AM874" s="195">
        <f>P764+P785+P794+P808+P820+P832+P844+P858+P868+P882</f>
        <v>0</v>
      </c>
      <c r="AN874" s="195">
        <f t="shared" ref="AN874:AN887" si="160">+AL874+AM874</f>
        <v>0</v>
      </c>
      <c r="AO874" s="195">
        <f>V764+V785+V794+V808+V820+V832+V844+V858+V868+V882</f>
        <v>0</v>
      </c>
      <c r="AP874" s="195">
        <f t="shared" ref="AP874:AP887" si="161">+AN874+AO874</f>
        <v>0</v>
      </c>
      <c r="AQ874" s="195">
        <f t="shared" ref="AQ874:AQ887" si="162">+AI874+AN874</f>
        <v>18305.902999999998</v>
      </c>
      <c r="AR874" s="195">
        <f t="shared" ref="AR874:AR887" si="163">+AF874-AQ874</f>
        <v>0</v>
      </c>
      <c r="AS874" s="195">
        <f t="shared" si="157"/>
        <v>25139.385050000004</v>
      </c>
    </row>
    <row r="875" spans="1:45" x14ac:dyDescent="0.2">
      <c r="A875" s="180"/>
      <c r="C875" s="165" t="s">
        <v>184</v>
      </c>
      <c r="D875" s="181">
        <v>0</v>
      </c>
      <c r="E875" s="181">
        <f>TOBEPAID!E658/1000</f>
        <v>0</v>
      </c>
      <c r="F875" s="181">
        <f>TOBEPAID!F658/1000</f>
        <v>0</v>
      </c>
      <c r="G875" s="181">
        <f>TOBEPAID!G658/1000</f>
        <v>0</v>
      </c>
      <c r="H875" s="181">
        <v>0</v>
      </c>
      <c r="I875" s="181">
        <f>TOBEPAID!I658/1000</f>
        <v>0</v>
      </c>
      <c r="J875" s="181">
        <f>TOBEPAID!J658/1000</f>
        <v>0</v>
      </c>
      <c r="K875" s="181">
        <f>TOBEPAID!K658/1000</f>
        <v>0</v>
      </c>
      <c r="L875" s="181">
        <f>TOBEPAID!L658/1000</f>
        <v>0</v>
      </c>
      <c r="M875" s="181">
        <f>TOBEPAID!M658/1000</f>
        <v>0</v>
      </c>
      <c r="N875" s="181">
        <f>TOBEPAID!N658/1000</f>
        <v>0</v>
      </c>
      <c r="O875" s="181">
        <f>TOBEPAID!O658/1000</f>
        <v>0</v>
      </c>
      <c r="P875" s="181">
        <f>TOBEPAID!P658/1000</f>
        <v>0</v>
      </c>
      <c r="Q875" s="181">
        <f>TOBEPAID!Q658/1000</f>
        <v>0</v>
      </c>
      <c r="R875" s="181">
        <v>0</v>
      </c>
      <c r="S875" s="181">
        <f>TOBEPAID!S658/1000</f>
        <v>0</v>
      </c>
      <c r="T875" s="181">
        <f>TOBEPAID!T658/1000</f>
        <v>0</v>
      </c>
      <c r="U875" s="181">
        <f>TOBEPAID!U658/1000</f>
        <v>0</v>
      </c>
      <c r="V875" s="181">
        <f>TOBEPAID!V658/1000</f>
        <v>0</v>
      </c>
      <c r="W875" s="181">
        <f>TOBEPAID!W658/1000</f>
        <v>0</v>
      </c>
      <c r="X875" s="181">
        <f>TOBEPAID!X658/1000</f>
        <v>0</v>
      </c>
      <c r="Y875" s="181">
        <f t="shared" si="156"/>
        <v>0</v>
      </c>
      <c r="Z875" s="181">
        <f t="shared" si="155"/>
        <v>0</v>
      </c>
      <c r="AA875" s="181">
        <f>TOBEPAID!AA658/1000</f>
        <v>0</v>
      </c>
      <c r="AB875" s="181">
        <f>TOBEPAID!AB658/1000</f>
        <v>1531.71209</v>
      </c>
      <c r="AC875" s="181"/>
      <c r="AD875" s="181"/>
      <c r="AE875" s="186" t="s">
        <v>36</v>
      </c>
      <c r="AF875" s="195">
        <f>D779+D797+D810+D824+D850+D860+D874</f>
        <v>49308.518000000004</v>
      </c>
      <c r="AG875" s="195">
        <f>E779+E797+E810+E824+E850+E860+E874</f>
        <v>0</v>
      </c>
      <c r="AH875" s="195">
        <f>F779+F797+F810+F824+F850+F860+F874</f>
        <v>0</v>
      </c>
      <c r="AI875" s="195">
        <f t="shared" si="158"/>
        <v>0</v>
      </c>
      <c r="AJ875" s="195">
        <f>L779+L797+L810+L824+L850+L860+L874</f>
        <v>0</v>
      </c>
      <c r="AK875" s="195">
        <f t="shared" si="159"/>
        <v>0</v>
      </c>
      <c r="AL875" s="195">
        <f>O779+O797+O810+O824+O850+O860+O874</f>
        <v>24169.132949999999</v>
      </c>
      <c r="AM875" s="195">
        <f>P779+P797+P810+P824+P850+P860+P874</f>
        <v>0</v>
      </c>
      <c r="AN875" s="195">
        <f t="shared" si="160"/>
        <v>24169.132949999999</v>
      </c>
      <c r="AO875" s="195">
        <f>V779+V797+V810+V824+V850+V860+V874</f>
        <v>0</v>
      </c>
      <c r="AP875" s="195">
        <f t="shared" si="161"/>
        <v>24169.132949999999</v>
      </c>
      <c r="AQ875" s="195">
        <f t="shared" si="162"/>
        <v>24169.132949999999</v>
      </c>
      <c r="AR875" s="195">
        <f t="shared" si="163"/>
        <v>25139.385050000004</v>
      </c>
      <c r="AS875" s="195">
        <f t="shared" si="157"/>
        <v>0</v>
      </c>
    </row>
    <row r="876" spans="1:45" x14ac:dyDescent="0.2">
      <c r="A876" s="180"/>
      <c r="D876" s="182" t="s">
        <v>40</v>
      </c>
      <c r="E876" s="182" t="s">
        <v>40</v>
      </c>
      <c r="F876" s="182" t="s">
        <v>40</v>
      </c>
      <c r="G876" s="182"/>
      <c r="H876" s="182" t="s">
        <v>40</v>
      </c>
      <c r="I876" s="182" t="s">
        <v>40</v>
      </c>
      <c r="J876" s="182" t="s">
        <v>40</v>
      </c>
      <c r="K876" s="182" t="s">
        <v>40</v>
      </c>
      <c r="L876" s="182" t="s">
        <v>40</v>
      </c>
      <c r="M876" s="182"/>
      <c r="N876" s="182" t="s">
        <v>40</v>
      </c>
      <c r="O876" s="182" t="s">
        <v>40</v>
      </c>
      <c r="P876" s="182" t="s">
        <v>40</v>
      </c>
      <c r="Q876" s="182"/>
      <c r="R876" s="182" t="s">
        <v>40</v>
      </c>
      <c r="S876" s="182" t="s">
        <v>40</v>
      </c>
      <c r="T876" s="182" t="s">
        <v>40</v>
      </c>
      <c r="U876" s="182" t="s">
        <v>40</v>
      </c>
      <c r="V876" s="182" t="s">
        <v>40</v>
      </c>
      <c r="W876" s="182"/>
      <c r="X876" s="182" t="s">
        <v>40</v>
      </c>
      <c r="Y876" s="182" t="s">
        <v>40</v>
      </c>
      <c r="Z876" s="182" t="s">
        <v>40</v>
      </c>
      <c r="AA876" s="182" t="s">
        <v>40</v>
      </c>
      <c r="AB876" s="182" t="s">
        <v>40</v>
      </c>
      <c r="AC876" s="182"/>
      <c r="AD876" s="182"/>
      <c r="AE876" s="186" t="s">
        <v>183</v>
      </c>
      <c r="AF876" s="195">
        <f>D812+D851+D875</f>
        <v>0</v>
      </c>
      <c r="AG876" s="195">
        <f>E812+E851+E875</f>
        <v>0</v>
      </c>
      <c r="AH876" s="195">
        <f>F812+F851+F875</f>
        <v>0</v>
      </c>
      <c r="AI876" s="195">
        <f t="shared" si="158"/>
        <v>0</v>
      </c>
      <c r="AJ876" s="195">
        <f>L812+L851+L875</f>
        <v>0</v>
      </c>
      <c r="AK876" s="195">
        <f t="shared" si="159"/>
        <v>0</v>
      </c>
      <c r="AL876" s="195">
        <f>O812+O851+O875</f>
        <v>0</v>
      </c>
      <c r="AM876" s="195">
        <f>P812+P851+P875</f>
        <v>0</v>
      </c>
      <c r="AN876" s="195">
        <f t="shared" si="160"/>
        <v>0</v>
      </c>
      <c r="AO876" s="195">
        <f>V812+V851+V875</f>
        <v>0</v>
      </c>
      <c r="AP876" s="195">
        <f t="shared" si="161"/>
        <v>0</v>
      </c>
      <c r="AQ876" s="195">
        <f t="shared" si="162"/>
        <v>0</v>
      </c>
      <c r="AR876" s="195">
        <f t="shared" si="163"/>
        <v>0</v>
      </c>
      <c r="AS876" s="195">
        <f t="shared" si="157"/>
        <v>117.53</v>
      </c>
    </row>
    <row r="877" spans="1:45" x14ac:dyDescent="0.2">
      <c r="A877" s="180"/>
      <c r="D877" s="191">
        <f>SUM(D866:D875)</f>
        <v>2051879.8290000001</v>
      </c>
      <c r="E877" s="191">
        <f>SUM(E866:E875)</f>
        <v>114619.977</v>
      </c>
      <c r="F877" s="191">
        <f>SUM(F866:F875)</f>
        <v>25000</v>
      </c>
      <c r="G877" s="191"/>
      <c r="H877" s="191">
        <f>SUM(H866:H875)</f>
        <v>2050678.1869999999</v>
      </c>
      <c r="I877" s="191">
        <f>SUM(I866:I875)</f>
        <v>0</v>
      </c>
      <c r="J877" s="191">
        <f>SUM(J866:J875)</f>
        <v>0</v>
      </c>
      <c r="K877" s="191">
        <f>SUM(K866:K875)</f>
        <v>0</v>
      </c>
      <c r="L877" s="191">
        <f>SUM(L866:L875)</f>
        <v>0</v>
      </c>
      <c r="M877" s="191"/>
      <c r="N877" s="191">
        <f>SUM(N866:N875)</f>
        <v>139619.97700000001</v>
      </c>
      <c r="O877" s="191">
        <f>SUM(O866:O875)</f>
        <v>1138.5539099999999</v>
      </c>
      <c r="P877" s="191">
        <f>SUM(P866:P875)</f>
        <v>0</v>
      </c>
      <c r="Q877" s="191"/>
      <c r="R877" s="191">
        <f>SUM(R866:R875)</f>
        <v>1138.5530000000001</v>
      </c>
      <c r="S877" s="191">
        <f>SUM(S866:S875)</f>
        <v>0</v>
      </c>
      <c r="T877" s="191">
        <f>SUM(T866:T875)</f>
        <v>0</v>
      </c>
      <c r="U877" s="191">
        <f>SUM(U866:U875)</f>
        <v>0</v>
      </c>
      <c r="V877" s="191">
        <f>SUM(V866:V875)</f>
        <v>0</v>
      </c>
      <c r="W877" s="191"/>
      <c r="X877" s="191">
        <f>SUM(X866:X875)</f>
        <v>1138.5539099999999</v>
      </c>
      <c r="Y877" s="191">
        <f>SUM(Y866:Y875)</f>
        <v>2051816.74</v>
      </c>
      <c r="Z877" s="191">
        <f>SUM(Z866:Z875)</f>
        <v>63.088999999992666</v>
      </c>
      <c r="AA877" s="191">
        <f>SUM(AA866:AA875)</f>
        <v>140758.53091</v>
      </c>
      <c r="AB877" s="191">
        <f>SUM(AB866:AB875)</f>
        <v>95297.742740000002</v>
      </c>
      <c r="AC877" s="191"/>
      <c r="AD877" s="191"/>
      <c r="AE877" s="186" t="s">
        <v>184</v>
      </c>
      <c r="AF877" s="195">
        <f>D802+D811+D836</f>
        <v>117.53</v>
      </c>
      <c r="AG877" s="195">
        <f>E802+E811+E836</f>
        <v>0</v>
      </c>
      <c r="AH877" s="195">
        <f>F802+F811+F836</f>
        <v>0</v>
      </c>
      <c r="AI877" s="195">
        <f t="shared" si="158"/>
        <v>0</v>
      </c>
      <c r="AJ877" s="195">
        <f>L802+L811+L836</f>
        <v>0</v>
      </c>
      <c r="AK877" s="195">
        <f t="shared" si="159"/>
        <v>0</v>
      </c>
      <c r="AL877" s="195">
        <f>O802+O811+O836</f>
        <v>0</v>
      </c>
      <c r="AM877" s="195">
        <f>P802+P811+P836</f>
        <v>0</v>
      </c>
      <c r="AN877" s="195">
        <f t="shared" si="160"/>
        <v>0</v>
      </c>
      <c r="AO877" s="195">
        <f>V802+V811+V836</f>
        <v>0</v>
      </c>
      <c r="AP877" s="195">
        <f t="shared" si="161"/>
        <v>0</v>
      </c>
      <c r="AQ877" s="195">
        <f t="shared" si="162"/>
        <v>0</v>
      </c>
      <c r="AR877" s="195">
        <f t="shared" si="163"/>
        <v>117.53</v>
      </c>
      <c r="AS877" s="195">
        <f t="shared" si="157"/>
        <v>0</v>
      </c>
    </row>
    <row r="878" spans="1:45" x14ac:dyDescent="0.2">
      <c r="A878" s="180"/>
      <c r="D878" s="182" t="s">
        <v>40</v>
      </c>
      <c r="E878" s="182" t="s">
        <v>40</v>
      </c>
      <c r="F878" s="182" t="s">
        <v>40</v>
      </c>
      <c r="G878" s="182"/>
      <c r="H878" s="182" t="s">
        <v>40</v>
      </c>
      <c r="I878" s="182" t="s">
        <v>40</v>
      </c>
      <c r="J878" s="182" t="s">
        <v>40</v>
      </c>
      <c r="K878" s="182" t="s">
        <v>40</v>
      </c>
      <c r="L878" s="182" t="s">
        <v>40</v>
      </c>
      <c r="M878" s="182"/>
      <c r="N878" s="182" t="s">
        <v>40</v>
      </c>
      <c r="O878" s="182" t="s">
        <v>40</v>
      </c>
      <c r="P878" s="182" t="s">
        <v>40</v>
      </c>
      <c r="Q878" s="182"/>
      <c r="R878" s="182" t="s">
        <v>40</v>
      </c>
      <c r="S878" s="182" t="s">
        <v>40</v>
      </c>
      <c r="T878" s="182" t="s">
        <v>40</v>
      </c>
      <c r="U878" s="182" t="s">
        <v>40</v>
      </c>
      <c r="V878" s="182" t="s">
        <v>40</v>
      </c>
      <c r="W878" s="182"/>
      <c r="X878" s="182" t="s">
        <v>40</v>
      </c>
      <c r="Y878" s="182" t="s">
        <v>40</v>
      </c>
      <c r="Z878" s="182" t="s">
        <v>40</v>
      </c>
      <c r="AA878" s="182" t="s">
        <v>40</v>
      </c>
      <c r="AB878" s="182" t="s">
        <v>40</v>
      </c>
      <c r="AC878" s="182"/>
      <c r="AD878" s="182"/>
      <c r="AE878" s="186" t="s">
        <v>38</v>
      </c>
      <c r="AF878" s="195">
        <f>+D885</f>
        <v>2000</v>
      </c>
      <c r="AG878" s="195">
        <f>+E885</f>
        <v>2000</v>
      </c>
      <c r="AH878" s="195">
        <f>+F885</f>
        <v>0</v>
      </c>
      <c r="AI878" s="195">
        <f t="shared" si="158"/>
        <v>2000</v>
      </c>
      <c r="AJ878" s="195">
        <f>+L885</f>
        <v>0</v>
      </c>
      <c r="AK878" s="195">
        <f t="shared" si="159"/>
        <v>2000</v>
      </c>
      <c r="AL878" s="195">
        <f>+O885</f>
        <v>0</v>
      </c>
      <c r="AM878" s="195">
        <f>+P885</f>
        <v>0</v>
      </c>
      <c r="AN878" s="195">
        <f t="shared" si="160"/>
        <v>0</v>
      </c>
      <c r="AO878" s="195">
        <f>+V885</f>
        <v>0</v>
      </c>
      <c r="AP878" s="195">
        <f t="shared" si="161"/>
        <v>0</v>
      </c>
      <c r="AQ878" s="195">
        <f t="shared" si="162"/>
        <v>2000</v>
      </c>
      <c r="AR878" s="195">
        <f t="shared" si="163"/>
        <v>0</v>
      </c>
      <c r="AS878" s="195">
        <f>+AF881-AK881-AP881</f>
        <v>0</v>
      </c>
    </row>
    <row r="879" spans="1:45" x14ac:dyDescent="0.2">
      <c r="A879" s="180"/>
      <c r="D879" s="182"/>
      <c r="E879" s="182"/>
      <c r="F879" s="182"/>
      <c r="G879" s="182"/>
      <c r="H879" s="182"/>
      <c r="I879" s="182"/>
      <c r="J879" s="182"/>
      <c r="K879" s="182"/>
      <c r="L879" s="182"/>
      <c r="M879" s="182"/>
      <c r="N879" s="182"/>
      <c r="O879" s="182"/>
      <c r="P879" s="182"/>
      <c r="Q879" s="182"/>
      <c r="R879" s="182"/>
      <c r="S879" s="182"/>
      <c r="T879" s="182"/>
      <c r="U879" s="182"/>
      <c r="V879" s="182"/>
      <c r="W879" s="182"/>
      <c r="X879" s="182"/>
      <c r="Y879" s="182"/>
      <c r="Z879" s="182"/>
      <c r="AA879" s="182"/>
      <c r="AB879" s="182"/>
      <c r="AC879" s="182"/>
      <c r="AD879" s="182"/>
      <c r="AE879" s="186"/>
      <c r="AF879" s="195"/>
      <c r="AG879" s="195"/>
      <c r="AH879" s="195"/>
      <c r="AI879" s="195"/>
      <c r="AJ879" s="195"/>
      <c r="AK879" s="195"/>
      <c r="AL879" s="195"/>
      <c r="AM879" s="195"/>
      <c r="AN879" s="195"/>
      <c r="AO879" s="195"/>
      <c r="AP879" s="195"/>
      <c r="AQ879" s="195"/>
      <c r="AR879" s="195"/>
      <c r="AS879" s="195"/>
    </row>
    <row r="880" spans="1:45" x14ac:dyDescent="0.2">
      <c r="A880" s="180"/>
      <c r="D880" s="182"/>
      <c r="E880" s="182"/>
      <c r="F880" s="182"/>
      <c r="G880" s="182"/>
      <c r="H880" s="182"/>
      <c r="I880" s="182"/>
      <c r="J880" s="182"/>
      <c r="K880" s="182"/>
      <c r="L880" s="182"/>
      <c r="M880" s="182"/>
      <c r="N880" s="182"/>
      <c r="O880" s="182"/>
      <c r="P880" s="182"/>
      <c r="Q880" s="182"/>
      <c r="R880" s="182"/>
      <c r="S880" s="182"/>
      <c r="T880" s="182"/>
      <c r="U880" s="182"/>
      <c r="V880" s="182"/>
      <c r="W880" s="182"/>
      <c r="X880" s="182"/>
      <c r="Y880" s="182"/>
      <c r="Z880" s="182"/>
      <c r="AA880" s="182"/>
      <c r="AB880" s="182"/>
      <c r="AC880" s="182"/>
      <c r="AD880" s="182"/>
      <c r="AE880" s="186"/>
      <c r="AF880" s="195"/>
      <c r="AG880" s="195"/>
      <c r="AH880" s="195"/>
      <c r="AI880" s="195"/>
      <c r="AJ880" s="195"/>
      <c r="AK880" s="195"/>
      <c r="AL880" s="195"/>
      <c r="AM880" s="195"/>
      <c r="AN880" s="195"/>
      <c r="AO880" s="195"/>
      <c r="AP880" s="195"/>
      <c r="AQ880" s="195"/>
      <c r="AR880" s="195"/>
      <c r="AS880" s="195"/>
    </row>
    <row r="881" spans="1:45" x14ac:dyDescent="0.2">
      <c r="A881" s="180">
        <v>65</v>
      </c>
      <c r="B881" s="165" t="s">
        <v>209</v>
      </c>
      <c r="C881" s="166" t="s">
        <v>35</v>
      </c>
      <c r="D881" s="181">
        <f>59352000/1000</f>
        <v>59352</v>
      </c>
      <c r="E881" s="181">
        <f>TOBEPAID!E662/1000</f>
        <v>0</v>
      </c>
      <c r="F881" s="181">
        <f>TOBEPAID!F662/1000</f>
        <v>0</v>
      </c>
      <c r="G881" s="181">
        <f>TOBEPAID!G662/1000</f>
        <v>0</v>
      </c>
      <c r="H881" s="181">
        <f>2000000/1000</f>
        <v>2000</v>
      </c>
      <c r="I881" s="181">
        <f>TOBEPAID!I662/1000</f>
        <v>0</v>
      </c>
      <c r="J881" s="181">
        <f>TOBEPAID!J662/1000</f>
        <v>0</v>
      </c>
      <c r="K881" s="181">
        <f>TOBEPAID!K662/1000</f>
        <v>0</v>
      </c>
      <c r="L881" s="181">
        <f>TOBEPAID!L662/1000</f>
        <v>0</v>
      </c>
      <c r="M881" s="181">
        <f>TOBEPAID!M662/1000</f>
        <v>0</v>
      </c>
      <c r="N881" s="181">
        <f>TOBEPAID!N662/1000</f>
        <v>0</v>
      </c>
      <c r="O881" s="181">
        <f>TOBEPAID!O662/1000</f>
        <v>0</v>
      </c>
      <c r="P881" s="181">
        <f>TOBEPAID!P662/1000</f>
        <v>0</v>
      </c>
      <c r="Q881" s="181">
        <f>TOBEPAID!Q662/1000</f>
        <v>0</v>
      </c>
      <c r="R881" s="181">
        <v>0</v>
      </c>
      <c r="S881" s="181">
        <f>TOBEPAID!S662/1000</f>
        <v>0</v>
      </c>
      <c r="T881" s="181">
        <f>TOBEPAID!T662/1000</f>
        <v>0</v>
      </c>
      <c r="U881" s="181">
        <f>TOBEPAID!U662/1000</f>
        <v>0</v>
      </c>
      <c r="V881" s="181">
        <f>TOBEPAID!V662/1000</f>
        <v>0</v>
      </c>
      <c r="W881" s="181">
        <f>TOBEPAID!W662/1000</f>
        <v>0</v>
      </c>
      <c r="X881" s="181">
        <f>TOBEPAID!X662/1000</f>
        <v>0</v>
      </c>
      <c r="Y881" s="181">
        <f>+H881+R881</f>
        <v>2000</v>
      </c>
      <c r="Z881" s="181">
        <f>+D881-Y881</f>
        <v>57352</v>
      </c>
      <c r="AA881" s="181">
        <f>TOBEPAID!AA662/1000</f>
        <v>0</v>
      </c>
      <c r="AB881" s="181">
        <f>TOBEPAID!AB662/1000</f>
        <v>61351.709689999996</v>
      </c>
      <c r="AC881" s="181"/>
      <c r="AD881" s="181"/>
      <c r="AE881" s="186" t="s">
        <v>272</v>
      </c>
      <c r="AF881" s="195">
        <f>+D869</f>
        <v>9500</v>
      </c>
      <c r="AG881" s="195">
        <f>+E869</f>
        <v>9500</v>
      </c>
      <c r="AH881" s="195">
        <f>+F869</f>
        <v>0</v>
      </c>
      <c r="AI881" s="195">
        <f t="shared" si="158"/>
        <v>9500</v>
      </c>
      <c r="AJ881" s="195">
        <f>+L869</f>
        <v>0</v>
      </c>
      <c r="AK881" s="195">
        <f t="shared" si="159"/>
        <v>9500</v>
      </c>
      <c r="AL881" s="195">
        <f>+O869</f>
        <v>0</v>
      </c>
      <c r="AM881" s="195">
        <f>+P869</f>
        <v>0</v>
      </c>
      <c r="AN881" s="195">
        <f t="shared" si="160"/>
        <v>0</v>
      </c>
      <c r="AO881" s="195">
        <f>+V869</f>
        <v>0</v>
      </c>
      <c r="AP881" s="195">
        <f t="shared" si="161"/>
        <v>0</v>
      </c>
      <c r="AQ881" s="195">
        <f t="shared" si="162"/>
        <v>9500</v>
      </c>
      <c r="AR881" s="195">
        <f t="shared" si="163"/>
        <v>0</v>
      </c>
      <c r="AS881" s="195">
        <f t="shared" si="157"/>
        <v>-1.6000000050553354E-4</v>
      </c>
    </row>
    <row r="882" spans="1:45" x14ac:dyDescent="0.2">
      <c r="A882" s="180"/>
      <c r="C882" s="165" t="s">
        <v>36</v>
      </c>
      <c r="D882" s="181">
        <f>1185800/1000</f>
        <v>1185.8</v>
      </c>
      <c r="E882" s="181">
        <f>TOBEPAID!E663/1000</f>
        <v>1185.8</v>
      </c>
      <c r="F882" s="181">
        <f>TOBEPAID!F663/1000</f>
        <v>0</v>
      </c>
      <c r="G882" s="181">
        <f>TOBEPAID!G663/1000</f>
        <v>0</v>
      </c>
      <c r="H882" s="181">
        <f>1185800/1000</f>
        <v>1185.8</v>
      </c>
      <c r="I882" s="181">
        <f>TOBEPAID!I663/1000</f>
        <v>0</v>
      </c>
      <c r="J882" s="181">
        <f>TOBEPAID!J663/1000</f>
        <v>0</v>
      </c>
      <c r="K882" s="181">
        <f>TOBEPAID!K663/1000</f>
        <v>0</v>
      </c>
      <c r="L882" s="181">
        <f>TOBEPAID!L663/1000</f>
        <v>0</v>
      </c>
      <c r="M882" s="181">
        <f>TOBEPAID!M663/1000</f>
        <v>0</v>
      </c>
      <c r="N882" s="181">
        <f>TOBEPAID!N663/1000</f>
        <v>1185.8</v>
      </c>
      <c r="O882" s="181">
        <f>TOBEPAID!O663/1000</f>
        <v>0</v>
      </c>
      <c r="P882" s="181">
        <f>TOBEPAID!P663/1000</f>
        <v>0</v>
      </c>
      <c r="Q882" s="181">
        <f>TOBEPAID!Q663/1000</f>
        <v>0</v>
      </c>
      <c r="R882" s="181">
        <v>0</v>
      </c>
      <c r="S882" s="181">
        <f>TOBEPAID!S663/1000</f>
        <v>0</v>
      </c>
      <c r="T882" s="181">
        <f>TOBEPAID!T663/1000</f>
        <v>0</v>
      </c>
      <c r="U882" s="181">
        <f>TOBEPAID!U663/1000</f>
        <v>0</v>
      </c>
      <c r="V882" s="181">
        <f>TOBEPAID!V663/1000</f>
        <v>0</v>
      </c>
      <c r="W882" s="181">
        <f>TOBEPAID!W663/1000</f>
        <v>0</v>
      </c>
      <c r="X882" s="181">
        <f>TOBEPAID!X663/1000</f>
        <v>0</v>
      </c>
      <c r="Y882" s="181">
        <f>+H882+R882</f>
        <v>1185.8</v>
      </c>
      <c r="Z882" s="181">
        <f>+D882-Y882</f>
        <v>0</v>
      </c>
      <c r="AA882" s="181">
        <f>TOBEPAID!AA663/1000</f>
        <v>1185.8</v>
      </c>
      <c r="AB882" s="181">
        <f>TOBEPAID!AB663/1000</f>
        <v>0</v>
      </c>
      <c r="AC882" s="181"/>
      <c r="AD882" s="181"/>
      <c r="AE882" s="186" t="s">
        <v>270</v>
      </c>
      <c r="AF882" s="195">
        <f>+D813</f>
        <v>6791.2889999999998</v>
      </c>
      <c r="AG882" s="195">
        <f>+E813</f>
        <v>6791.2891600000003</v>
      </c>
      <c r="AH882" s="195">
        <f>+F813</f>
        <v>0</v>
      </c>
      <c r="AI882" s="195">
        <f t="shared" si="158"/>
        <v>6791.2891600000003</v>
      </c>
      <c r="AJ882" s="195">
        <f>+L813</f>
        <v>0</v>
      </c>
      <c r="AK882" s="195">
        <f t="shared" si="159"/>
        <v>6791.2891600000003</v>
      </c>
      <c r="AL882" s="195">
        <f>+O813</f>
        <v>0</v>
      </c>
      <c r="AM882" s="195">
        <f>+P813</f>
        <v>0</v>
      </c>
      <c r="AN882" s="195">
        <f t="shared" si="160"/>
        <v>0</v>
      </c>
      <c r="AO882" s="195">
        <f>+V813</f>
        <v>0</v>
      </c>
      <c r="AP882" s="195">
        <f t="shared" si="161"/>
        <v>0</v>
      </c>
      <c r="AQ882" s="195">
        <f t="shared" si="162"/>
        <v>6791.2891600000003</v>
      </c>
      <c r="AR882" s="195">
        <f t="shared" si="163"/>
        <v>-1.6000000050553354E-4</v>
      </c>
      <c r="AS882" s="195">
        <f>+AF885-AK885-AP885</f>
        <v>-1.4000000010128133E-4</v>
      </c>
    </row>
    <row r="883" spans="1:45" x14ac:dyDescent="0.2">
      <c r="A883" s="180"/>
      <c r="C883" s="165" t="s">
        <v>366</v>
      </c>
      <c r="D883" s="181">
        <f>2000000/1000</f>
        <v>2000</v>
      </c>
      <c r="E883" s="181"/>
      <c r="F883" s="181"/>
      <c r="G883" s="181"/>
      <c r="H883" s="181">
        <f>2000000/1000</f>
        <v>2000</v>
      </c>
      <c r="I883" s="181"/>
      <c r="J883" s="181"/>
      <c r="K883" s="181"/>
      <c r="L883" s="181"/>
      <c r="M883" s="181"/>
      <c r="N883" s="181"/>
      <c r="O883" s="181"/>
      <c r="P883" s="181"/>
      <c r="Q883" s="181"/>
      <c r="R883" s="181">
        <v>0</v>
      </c>
      <c r="S883" s="181"/>
      <c r="T883" s="181"/>
      <c r="U883" s="181"/>
      <c r="V883" s="181"/>
      <c r="W883" s="181"/>
      <c r="X883" s="181"/>
      <c r="Y883" s="181">
        <f>+H883+R883</f>
        <v>2000</v>
      </c>
      <c r="Z883" s="181">
        <f>+D883-Y883</f>
        <v>0</v>
      </c>
      <c r="AA883" s="181"/>
      <c r="AB883" s="181"/>
      <c r="AC883" s="181"/>
      <c r="AD883" s="181"/>
      <c r="AE883" s="186"/>
      <c r="AF883" s="195"/>
      <c r="AG883" s="195"/>
      <c r="AH883" s="195"/>
      <c r="AI883" s="195"/>
      <c r="AJ883" s="195"/>
      <c r="AK883" s="195"/>
      <c r="AL883" s="195"/>
      <c r="AM883" s="195"/>
      <c r="AN883" s="195"/>
      <c r="AO883" s="195"/>
      <c r="AP883" s="195"/>
      <c r="AQ883" s="195"/>
      <c r="AR883" s="195"/>
      <c r="AS883" s="195"/>
    </row>
    <row r="884" spans="1:45" x14ac:dyDescent="0.2">
      <c r="A884" s="180"/>
      <c r="C884" s="165" t="s">
        <v>398</v>
      </c>
      <c r="D884" s="181">
        <f>3000000/1000</f>
        <v>3000</v>
      </c>
      <c r="E884" s="181"/>
      <c r="F884" s="181"/>
      <c r="G884" s="181"/>
      <c r="H884" s="181">
        <f>3000000/1000</f>
        <v>3000</v>
      </c>
      <c r="I884" s="181"/>
      <c r="J884" s="181"/>
      <c r="K884" s="181"/>
      <c r="L884" s="181"/>
      <c r="M884" s="181"/>
      <c r="N884" s="181"/>
      <c r="O884" s="181"/>
      <c r="P884" s="181"/>
      <c r="Q884" s="181"/>
      <c r="R884" s="181">
        <v>0</v>
      </c>
      <c r="S884" s="181"/>
      <c r="T884" s="181"/>
      <c r="U884" s="181"/>
      <c r="V884" s="181"/>
      <c r="W884" s="181"/>
      <c r="X884" s="181"/>
      <c r="Y884" s="181">
        <f>+H884+R884</f>
        <v>3000</v>
      </c>
      <c r="Z884" s="181">
        <f>+D884-Y884</f>
        <v>0</v>
      </c>
      <c r="AA884" s="181"/>
      <c r="AB884" s="181"/>
      <c r="AC884" s="181"/>
      <c r="AD884" s="181"/>
      <c r="AE884" s="186"/>
      <c r="AF884" s="195"/>
      <c r="AG884" s="195"/>
      <c r="AH884" s="195"/>
      <c r="AI884" s="195"/>
      <c r="AJ884" s="195"/>
      <c r="AK884" s="195"/>
      <c r="AL884" s="195"/>
      <c r="AM884" s="195"/>
      <c r="AN884" s="195"/>
      <c r="AO884" s="195"/>
      <c r="AP884" s="195"/>
      <c r="AQ884" s="195"/>
      <c r="AR884" s="195"/>
      <c r="AS884" s="195"/>
    </row>
    <row r="885" spans="1:45" x14ac:dyDescent="0.2">
      <c r="A885" s="180"/>
      <c r="C885" s="165" t="s">
        <v>462</v>
      </c>
      <c r="D885" s="181">
        <f>2000000/1000</f>
        <v>2000</v>
      </c>
      <c r="E885" s="181">
        <f>TOBEPAID!E664/1000</f>
        <v>2000</v>
      </c>
      <c r="F885" s="181">
        <f>TOBEPAID!F664/1000</f>
        <v>0</v>
      </c>
      <c r="G885" s="181">
        <f>TOBEPAID!G664/1000</f>
        <v>0</v>
      </c>
      <c r="H885" s="181">
        <f>2000000/1000</f>
        <v>2000</v>
      </c>
      <c r="I885" s="181">
        <f>TOBEPAID!I664/1000</f>
        <v>0</v>
      </c>
      <c r="J885" s="181">
        <f>TOBEPAID!J664/1000</f>
        <v>0</v>
      </c>
      <c r="K885" s="181">
        <f>TOBEPAID!K664/1000</f>
        <v>0</v>
      </c>
      <c r="L885" s="181">
        <f>TOBEPAID!L664/1000</f>
        <v>0</v>
      </c>
      <c r="M885" s="181">
        <f>TOBEPAID!M664/1000</f>
        <v>0</v>
      </c>
      <c r="N885" s="181">
        <f>TOBEPAID!N664/1000</f>
        <v>2000</v>
      </c>
      <c r="O885" s="181">
        <f>TOBEPAID!O664/1000</f>
        <v>0</v>
      </c>
      <c r="P885" s="181">
        <f>TOBEPAID!P664/1000</f>
        <v>0</v>
      </c>
      <c r="Q885" s="181">
        <f>TOBEPAID!Q664/1000</f>
        <v>0</v>
      </c>
      <c r="R885" s="181">
        <v>0</v>
      </c>
      <c r="S885" s="181">
        <f>TOBEPAID!S664/1000</f>
        <v>0</v>
      </c>
      <c r="T885" s="181">
        <f>TOBEPAID!T664/1000</f>
        <v>0</v>
      </c>
      <c r="U885" s="181">
        <f>TOBEPAID!U664/1000</f>
        <v>0</v>
      </c>
      <c r="V885" s="181">
        <f>TOBEPAID!V664/1000</f>
        <v>0</v>
      </c>
      <c r="W885" s="181">
        <f>TOBEPAID!W664/1000</f>
        <v>0</v>
      </c>
      <c r="X885" s="181">
        <f>TOBEPAID!X664/1000</f>
        <v>0</v>
      </c>
      <c r="Y885" s="181">
        <f>+H885+R885</f>
        <v>2000</v>
      </c>
      <c r="Z885" s="181">
        <f>+D885-Y885</f>
        <v>0</v>
      </c>
      <c r="AA885" s="181">
        <f>TOBEPAID!AA664/1000</f>
        <v>2000</v>
      </c>
      <c r="AB885" s="181">
        <f>TOBEPAID!AB664/1000</f>
        <v>0</v>
      </c>
      <c r="AC885" s="181"/>
      <c r="AD885" s="181"/>
      <c r="AE885" s="186" t="s">
        <v>267</v>
      </c>
      <c r="AF885" s="195">
        <f>+D788+D835</f>
        <v>9903.1229999999996</v>
      </c>
      <c r="AG885" s="195">
        <f>+E788+E835</f>
        <v>0</v>
      </c>
      <c r="AH885" s="195">
        <f>+F788+F835</f>
        <v>0</v>
      </c>
      <c r="AI885" s="195">
        <f t="shared" si="158"/>
        <v>0</v>
      </c>
      <c r="AJ885" s="195">
        <f>+L788+L835</f>
        <v>0</v>
      </c>
      <c r="AK885" s="195">
        <f t="shared" si="159"/>
        <v>0</v>
      </c>
      <c r="AL885" s="195">
        <f>+O788+O835</f>
        <v>9903.1231399999997</v>
      </c>
      <c r="AM885" s="195">
        <f>+P788+P835</f>
        <v>0</v>
      </c>
      <c r="AN885" s="195">
        <f t="shared" si="160"/>
        <v>9903.1231399999997</v>
      </c>
      <c r="AO885" s="195">
        <f>+V788+V835</f>
        <v>0</v>
      </c>
      <c r="AP885" s="195">
        <f t="shared" si="161"/>
        <v>9903.1231399999997</v>
      </c>
      <c r="AQ885" s="195">
        <f t="shared" si="162"/>
        <v>9903.1231399999997</v>
      </c>
      <c r="AR885" s="195">
        <f t="shared" si="163"/>
        <v>-1.4000000010128133E-4</v>
      </c>
      <c r="AS885" s="195">
        <f t="shared" si="157"/>
        <v>-7.6999999964755261E-4</v>
      </c>
    </row>
    <row r="886" spans="1:45" x14ac:dyDescent="0.2">
      <c r="A886" s="180"/>
      <c r="D886" s="182" t="s">
        <v>40</v>
      </c>
      <c r="E886" s="182" t="s">
        <v>40</v>
      </c>
      <c r="F886" s="182" t="s">
        <v>40</v>
      </c>
      <c r="G886" s="182"/>
      <c r="H886" s="182" t="s">
        <v>40</v>
      </c>
      <c r="I886" s="182" t="s">
        <v>40</v>
      </c>
      <c r="J886" s="182" t="s">
        <v>40</v>
      </c>
      <c r="K886" s="182" t="s">
        <v>40</v>
      </c>
      <c r="L886" s="182" t="s">
        <v>40</v>
      </c>
      <c r="M886" s="182"/>
      <c r="N886" s="182" t="s">
        <v>40</v>
      </c>
      <c r="O886" s="182" t="s">
        <v>40</v>
      </c>
      <c r="P886" s="182" t="s">
        <v>40</v>
      </c>
      <c r="Q886" s="182"/>
      <c r="R886" s="182" t="s">
        <v>40</v>
      </c>
      <c r="S886" s="182" t="s">
        <v>40</v>
      </c>
      <c r="T886" s="182" t="s">
        <v>40</v>
      </c>
      <c r="U886" s="182" t="s">
        <v>40</v>
      </c>
      <c r="V886" s="182" t="s">
        <v>40</v>
      </c>
      <c r="W886" s="182"/>
      <c r="X886" s="182" t="s">
        <v>40</v>
      </c>
      <c r="Y886" s="182" t="s">
        <v>40</v>
      </c>
      <c r="Z886" s="182" t="s">
        <v>40</v>
      </c>
      <c r="AA886" s="182" t="s">
        <v>40</v>
      </c>
      <c r="AB886" s="182" t="s">
        <v>40</v>
      </c>
      <c r="AC886" s="182"/>
      <c r="AD886" s="182"/>
      <c r="AE886" s="186" t="s">
        <v>53</v>
      </c>
      <c r="AF886" s="195">
        <f>+D837</f>
        <v>5096.366</v>
      </c>
      <c r="AG886" s="195">
        <f>+E837</f>
        <v>0</v>
      </c>
      <c r="AH886" s="195">
        <f>+F837</f>
        <v>0</v>
      </c>
      <c r="AI886" s="195">
        <f t="shared" si="158"/>
        <v>0</v>
      </c>
      <c r="AJ886" s="195">
        <f>+L837</f>
        <v>0</v>
      </c>
      <c r="AK886" s="195">
        <f t="shared" si="159"/>
        <v>0</v>
      </c>
      <c r="AL886" s="195">
        <f>+O837</f>
        <v>5096.3667699999996</v>
      </c>
      <c r="AM886" s="195">
        <f>+P837</f>
        <v>0</v>
      </c>
      <c r="AN886" s="195">
        <f t="shared" si="160"/>
        <v>5096.3667699999996</v>
      </c>
      <c r="AO886" s="195">
        <f>+V837</f>
        <v>0</v>
      </c>
      <c r="AP886" s="195">
        <f t="shared" si="161"/>
        <v>5096.3667699999996</v>
      </c>
      <c r="AQ886" s="195">
        <f t="shared" si="162"/>
        <v>5096.3667699999996</v>
      </c>
      <c r="AR886" s="195">
        <f t="shared" si="163"/>
        <v>-7.6999999964755261E-4</v>
      </c>
      <c r="AS886" s="195">
        <f t="shared" si="157"/>
        <v>0</v>
      </c>
    </row>
    <row r="887" spans="1:45" x14ac:dyDescent="0.2">
      <c r="A887" s="180"/>
      <c r="D887" s="191">
        <f>SUM(D881:D885)</f>
        <v>67537.8</v>
      </c>
      <c r="E887" s="191">
        <f>SUM(E881:E885)</f>
        <v>3185.8</v>
      </c>
      <c r="F887" s="191">
        <f>SUM(F881:F885)</f>
        <v>0</v>
      </c>
      <c r="G887" s="191"/>
      <c r="H887" s="191">
        <f>SUM(H881:H885)</f>
        <v>10185.799999999999</v>
      </c>
      <c r="I887" s="191">
        <f>SUM(I881:I885)</f>
        <v>0</v>
      </c>
      <c r="J887" s="191">
        <f>SUM(J881:J885)</f>
        <v>0</v>
      </c>
      <c r="K887" s="191">
        <f>SUM(K881:K885)</f>
        <v>0</v>
      </c>
      <c r="L887" s="191">
        <f>SUM(L881:L885)</f>
        <v>0</v>
      </c>
      <c r="M887" s="191"/>
      <c r="N887" s="191">
        <f>SUM(N881:N885)</f>
        <v>3185.8</v>
      </c>
      <c r="O887" s="191">
        <f>SUM(O881:O885)</f>
        <v>0</v>
      </c>
      <c r="P887" s="191">
        <f>SUM(P881:P885)</f>
        <v>0</v>
      </c>
      <c r="Q887" s="191"/>
      <c r="R887" s="191">
        <f>SUM(R881:R885)</f>
        <v>0</v>
      </c>
      <c r="S887" s="191">
        <f>SUM(S881:S885)</f>
        <v>0</v>
      </c>
      <c r="T887" s="191">
        <f>SUM(T881:T885)</f>
        <v>0</v>
      </c>
      <c r="U887" s="191">
        <f>SUM(U881:U885)</f>
        <v>0</v>
      </c>
      <c r="V887" s="191">
        <f>SUM(V881:V885)</f>
        <v>0</v>
      </c>
      <c r="W887" s="191"/>
      <c r="X887" s="191">
        <f>SUM(X881:X885)</f>
        <v>0</v>
      </c>
      <c r="Y887" s="191">
        <f>SUM(Y881:Y885)</f>
        <v>10185.799999999999</v>
      </c>
      <c r="Z887" s="191">
        <f>SUM(Z881:Z885)</f>
        <v>57352</v>
      </c>
      <c r="AA887" s="191">
        <f>SUM(AA881:AA885)</f>
        <v>3185.8</v>
      </c>
      <c r="AB887" s="191">
        <f>SUM(AB881:AB885)</f>
        <v>61351.709689999996</v>
      </c>
      <c r="AC887" s="191"/>
      <c r="AD887" s="191"/>
      <c r="AE887" s="186" t="s">
        <v>54</v>
      </c>
      <c r="AF887" s="195">
        <f>+D777+D873</f>
        <v>0</v>
      </c>
      <c r="AG887" s="195">
        <f>+E777+E873</f>
        <v>0</v>
      </c>
      <c r="AH887" s="195">
        <f>+F777+F873</f>
        <v>0</v>
      </c>
      <c r="AI887" s="195">
        <f t="shared" si="158"/>
        <v>0</v>
      </c>
      <c r="AJ887" s="195">
        <f>+L777+L873</f>
        <v>0</v>
      </c>
      <c r="AK887" s="195">
        <f t="shared" si="159"/>
        <v>0</v>
      </c>
      <c r="AL887" s="195">
        <f>+O777+O873</f>
        <v>0</v>
      </c>
      <c r="AM887" s="195">
        <f>+P777+P873</f>
        <v>0</v>
      </c>
      <c r="AN887" s="195">
        <f t="shared" si="160"/>
        <v>0</v>
      </c>
      <c r="AO887" s="195">
        <f>+V777+V873</f>
        <v>0</v>
      </c>
      <c r="AP887" s="195">
        <f t="shared" si="161"/>
        <v>0</v>
      </c>
      <c r="AQ887" s="195">
        <f t="shared" si="162"/>
        <v>0</v>
      </c>
      <c r="AR887" s="195">
        <f t="shared" si="163"/>
        <v>0</v>
      </c>
      <c r="AS887" s="195">
        <f>SUM(AS863:AS886)</f>
        <v>4125398.9316700008</v>
      </c>
    </row>
    <row r="888" spans="1:45" x14ac:dyDescent="0.2">
      <c r="A888" s="180"/>
      <c r="D888" s="182" t="s">
        <v>40</v>
      </c>
      <c r="E888" s="182" t="s">
        <v>40</v>
      </c>
      <c r="F888" s="182" t="s">
        <v>40</v>
      </c>
      <c r="G888" s="182"/>
      <c r="H888" s="182" t="s">
        <v>40</v>
      </c>
      <c r="I888" s="182" t="s">
        <v>40</v>
      </c>
      <c r="J888" s="182" t="s">
        <v>40</v>
      </c>
      <c r="K888" s="182" t="s">
        <v>40</v>
      </c>
      <c r="L888" s="182" t="s">
        <v>40</v>
      </c>
      <c r="M888" s="182"/>
      <c r="N888" s="182" t="s">
        <v>40</v>
      </c>
      <c r="O888" s="182" t="s">
        <v>40</v>
      </c>
      <c r="P888" s="182" t="s">
        <v>40</v>
      </c>
      <c r="Q888" s="182"/>
      <c r="R888" s="182" t="s">
        <v>40</v>
      </c>
      <c r="S888" s="182" t="s">
        <v>40</v>
      </c>
      <c r="T888" s="182" t="s">
        <v>40</v>
      </c>
      <c r="U888" s="182" t="s">
        <v>40</v>
      </c>
      <c r="V888" s="182" t="s">
        <v>40</v>
      </c>
      <c r="W888" s="182"/>
      <c r="X888" s="182" t="s">
        <v>40</v>
      </c>
      <c r="Y888" s="182" t="s">
        <v>40</v>
      </c>
      <c r="Z888" s="182" t="s">
        <v>40</v>
      </c>
      <c r="AA888" s="182" t="s">
        <v>40</v>
      </c>
      <c r="AB888" s="182" t="s">
        <v>40</v>
      </c>
      <c r="AC888" s="182"/>
      <c r="AD888" s="182"/>
      <c r="AE888" s="186" t="s">
        <v>264</v>
      </c>
      <c r="AF888" s="195">
        <f t="shared" ref="AF888:AR888" si="164">SUM(AF866:AF887)</f>
        <v>4903157.1334200008</v>
      </c>
      <c r="AG888" s="195">
        <f t="shared" si="164"/>
        <v>624710.89803000004</v>
      </c>
      <c r="AH888" s="195">
        <f t="shared" si="164"/>
        <v>102000</v>
      </c>
      <c r="AI888" s="195">
        <f t="shared" si="164"/>
        <v>726710.89803000004</v>
      </c>
      <c r="AJ888" s="195">
        <f t="shared" si="164"/>
        <v>0</v>
      </c>
      <c r="AK888" s="195">
        <f t="shared" si="164"/>
        <v>726710.89803000004</v>
      </c>
      <c r="AL888" s="195">
        <f t="shared" si="164"/>
        <v>51047.303720000004</v>
      </c>
      <c r="AM888" s="195">
        <f t="shared" si="164"/>
        <v>0</v>
      </c>
      <c r="AN888" s="195">
        <f t="shared" si="164"/>
        <v>51047.303720000004</v>
      </c>
      <c r="AO888" s="195">
        <f t="shared" si="164"/>
        <v>0</v>
      </c>
      <c r="AP888" s="195">
        <f t="shared" si="164"/>
        <v>51047.303720000004</v>
      </c>
      <c r="AQ888" s="195">
        <f t="shared" si="164"/>
        <v>777758.20175000001</v>
      </c>
      <c r="AR888" s="195">
        <f t="shared" si="164"/>
        <v>4125398.9316700008</v>
      </c>
    </row>
    <row r="889" spans="1:45" x14ac:dyDescent="0.2">
      <c r="A889" s="180"/>
      <c r="B889" s="202" t="s">
        <v>3</v>
      </c>
      <c r="C889" s="202" t="s">
        <v>196</v>
      </c>
      <c r="D889" s="191">
        <f>D781+D790+D804+D815+D826+D839+D853+D862+D877+D887</f>
        <v>5506767.5822299998</v>
      </c>
      <c r="E889" s="191">
        <f>E781+E790+E804+E815+E826+E839+E853+E862+E877+E887</f>
        <v>624710.89803000004</v>
      </c>
      <c r="F889" s="191">
        <f>F781+F790+F804+F815+F826+F839+F853+F862+F877+F887</f>
        <v>102000</v>
      </c>
      <c r="G889" s="191"/>
      <c r="H889" s="191">
        <f>H781+H790+H804+H815+H826+H839+H853+H862+H877+H887</f>
        <v>5198983.8485999992</v>
      </c>
      <c r="I889" s="191">
        <f>I781+I790+I804+I815+I826+I839+I853+I862+I877+I887</f>
        <v>0</v>
      </c>
      <c r="J889" s="191">
        <f>J781+J790+J804+J815+J826+J839+J853+J862+J877+J887</f>
        <v>0</v>
      </c>
      <c r="K889" s="191">
        <f>K781+K790+K804+K815+K826+K839+K853+K862+K877+K887</f>
        <v>0</v>
      </c>
      <c r="L889" s="191">
        <f>L781+L790+L804+L815+L826+L839+L853+L862+L877+L887</f>
        <v>0</v>
      </c>
      <c r="M889" s="191"/>
      <c r="N889" s="191">
        <f>N781+N790+N804+N815+N826+N839+N853+N862+N877+N887</f>
        <v>781710.89786999999</v>
      </c>
      <c r="O889" s="191">
        <f>O781+O790+O804+O815+O826+O839+O853+O862+O877+O887</f>
        <v>51047.303720000004</v>
      </c>
      <c r="P889" s="191">
        <f>P781+P790+P804+P815+P826+P839+P853+P862+P877+P887</f>
        <v>0</v>
      </c>
      <c r="Q889" s="191"/>
      <c r="R889" s="191">
        <f>R781+R790+R804+R815+R826+R839+R853+R862+R877+R887</f>
        <v>52859.038740000004</v>
      </c>
      <c r="S889" s="191">
        <f>S781+S790+S804+S815+S826+S839+S853+S862+S877+S887</f>
        <v>0</v>
      </c>
      <c r="T889" s="191">
        <f>T781+T790+T804+T815+T826+T839+T853+T862+T877+T887</f>
        <v>0</v>
      </c>
      <c r="U889" s="191">
        <f>U781+U790+U804+U815+U826+U839+U853+U862+U877+U887</f>
        <v>0</v>
      </c>
      <c r="V889" s="191">
        <f>V781+V790+V804+V815+V826+V839+V853+V862+V877+V887</f>
        <v>0</v>
      </c>
      <c r="W889" s="191"/>
      <c r="X889" s="191">
        <f>X781+X790+X804+X815+X826+X839+X853+X862+X877+X887</f>
        <v>51046.551520000001</v>
      </c>
      <c r="Y889" s="191">
        <f>Y781+Y790+Y804+Y815+Y826+Y839+Y853+Y862+Y877+Y887</f>
        <v>5251842.8873399999</v>
      </c>
      <c r="Z889" s="191">
        <f>Z781+Z790+Z804+Z815+Z826+Z839+Z853+Z862+Z877+Z887</f>
        <v>254924.69670999999</v>
      </c>
      <c r="AA889" s="191">
        <f>AA781+AA790+AA804+AA815+AA826+AA839+AA853+AA862+AA877+AA887</f>
        <v>832757.44938999997</v>
      </c>
      <c r="AB889" s="191">
        <f>AB781+AB790+AB804+AB815+AB826+AB839+AB853+AB862+AB877+AB887</f>
        <v>453303.51119999995</v>
      </c>
      <c r="AC889" s="191"/>
      <c r="AD889" s="191"/>
      <c r="AS889" s="195"/>
    </row>
    <row r="890" spans="1:45" x14ac:dyDescent="0.2">
      <c r="A890" s="180"/>
      <c r="D890" s="182" t="s">
        <v>50</v>
      </c>
      <c r="E890" s="182" t="s">
        <v>50</v>
      </c>
      <c r="F890" s="182" t="s">
        <v>50</v>
      </c>
      <c r="G890" s="182"/>
      <c r="H890" s="182" t="s">
        <v>50</v>
      </c>
      <c r="I890" s="182" t="s">
        <v>50</v>
      </c>
      <c r="J890" s="182" t="s">
        <v>50</v>
      </c>
      <c r="K890" s="182" t="s">
        <v>50</v>
      </c>
      <c r="L890" s="182" t="s">
        <v>50</v>
      </c>
      <c r="M890" s="182"/>
      <c r="N890" s="182" t="s">
        <v>50</v>
      </c>
      <c r="O890" s="182" t="s">
        <v>50</v>
      </c>
      <c r="P890" s="182" t="s">
        <v>50</v>
      </c>
      <c r="Q890" s="182"/>
      <c r="R890" s="182" t="s">
        <v>50</v>
      </c>
      <c r="S890" s="182" t="s">
        <v>50</v>
      </c>
      <c r="T890" s="182" t="s">
        <v>50</v>
      </c>
      <c r="U890" s="182" t="s">
        <v>50</v>
      </c>
      <c r="V890" s="182" t="s">
        <v>50</v>
      </c>
      <c r="W890" s="182"/>
      <c r="X890" s="182" t="s">
        <v>50</v>
      </c>
      <c r="Y890" s="182" t="s">
        <v>50</v>
      </c>
      <c r="Z890" s="182" t="s">
        <v>50</v>
      </c>
      <c r="AA890" s="182" t="s">
        <v>50</v>
      </c>
      <c r="AB890" s="182" t="s">
        <v>50</v>
      </c>
      <c r="AC890" s="182"/>
      <c r="AD890" s="182"/>
      <c r="AR890" s="195"/>
    </row>
    <row r="891" spans="1:45" x14ac:dyDescent="0.2">
      <c r="A891" s="180"/>
      <c r="C891" s="186"/>
      <c r="D891" s="191"/>
      <c r="E891" s="191"/>
      <c r="F891" s="191"/>
      <c r="G891" s="191"/>
      <c r="H891" s="191"/>
      <c r="I891" s="191"/>
      <c r="J891" s="191"/>
      <c r="K891" s="191"/>
      <c r="L891" s="191"/>
      <c r="M891" s="191"/>
      <c r="N891" s="191"/>
      <c r="O891" s="191"/>
      <c r="P891" s="191"/>
      <c r="Q891" s="191"/>
      <c r="R891" s="191"/>
      <c r="S891" s="191"/>
      <c r="T891" s="191"/>
      <c r="U891" s="191"/>
      <c r="V891" s="191"/>
      <c r="W891" s="191"/>
      <c r="X891" s="191"/>
      <c r="Y891" s="191"/>
      <c r="Z891" s="191"/>
      <c r="AA891" s="191"/>
      <c r="AB891" s="191"/>
      <c r="AC891" s="191"/>
      <c r="AD891" s="191"/>
    </row>
    <row r="892" spans="1:45" x14ac:dyDescent="0.2">
      <c r="A892" s="180"/>
      <c r="B892" s="166" t="s">
        <v>94</v>
      </c>
      <c r="D892" s="191"/>
      <c r="E892" s="191"/>
      <c r="F892" s="191"/>
      <c r="G892" s="191"/>
      <c r="H892" s="191"/>
      <c r="I892" s="191"/>
      <c r="J892" s="191"/>
      <c r="K892" s="191"/>
      <c r="L892" s="191"/>
      <c r="M892" s="191"/>
      <c r="N892" s="191"/>
      <c r="O892" s="191"/>
      <c r="P892" s="191"/>
      <c r="Q892" s="191"/>
      <c r="R892" s="191"/>
      <c r="S892" s="191"/>
      <c r="T892" s="191"/>
      <c r="U892" s="191"/>
      <c r="V892" s="191"/>
      <c r="W892" s="191"/>
      <c r="X892" s="191"/>
      <c r="Y892" s="191"/>
      <c r="Z892" s="191"/>
      <c r="AA892" s="191"/>
      <c r="AB892" s="191"/>
      <c r="AC892" s="191"/>
      <c r="AD892" s="191"/>
    </row>
    <row r="893" spans="1:45" x14ac:dyDescent="0.2">
      <c r="A893" s="180"/>
      <c r="D893" s="191"/>
      <c r="E893" s="191"/>
      <c r="F893" s="191"/>
      <c r="G893" s="191"/>
      <c r="H893" s="191"/>
      <c r="I893" s="191"/>
      <c r="J893" s="191"/>
      <c r="K893" s="191"/>
      <c r="L893" s="191"/>
      <c r="M893" s="191"/>
      <c r="N893" s="191"/>
      <c r="O893" s="191"/>
      <c r="P893" s="191"/>
      <c r="Q893" s="191"/>
      <c r="R893" s="191"/>
      <c r="S893" s="191"/>
      <c r="T893" s="191"/>
      <c r="U893" s="191"/>
      <c r="V893" s="191"/>
      <c r="W893" s="191"/>
      <c r="X893" s="191"/>
      <c r="Y893" s="191"/>
      <c r="Z893" s="191"/>
      <c r="AA893" s="191"/>
      <c r="AB893" s="191"/>
      <c r="AC893" s="191"/>
      <c r="AD893" s="191"/>
    </row>
    <row r="894" spans="1:45" x14ac:dyDescent="0.2">
      <c r="A894" s="180">
        <v>66</v>
      </c>
      <c r="B894" s="166" t="s">
        <v>95</v>
      </c>
      <c r="C894" s="166" t="s">
        <v>35</v>
      </c>
      <c r="D894" s="181">
        <f>43827504/1000</f>
        <v>43827.504000000001</v>
      </c>
      <c r="E894" s="181">
        <f>TOBEPAID!E673/1000</f>
        <v>0</v>
      </c>
      <c r="F894" s="181">
        <f>TOBEPAID!F673/1000</f>
        <v>0</v>
      </c>
      <c r="G894" s="181">
        <f>TOBEPAID!G673/1000</f>
        <v>0</v>
      </c>
      <c r="H894" s="181">
        <f>43641818/1000</f>
        <v>43641.817999999999</v>
      </c>
      <c r="I894" s="181">
        <f>TOBEPAID!I673/1000</f>
        <v>0</v>
      </c>
      <c r="J894" s="181">
        <f>TOBEPAID!J673/1000</f>
        <v>0</v>
      </c>
      <c r="K894" s="181">
        <f>TOBEPAID!K673/1000</f>
        <v>0</v>
      </c>
      <c r="L894" s="181">
        <f>TOBEPAID!L673/1000</f>
        <v>0</v>
      </c>
      <c r="M894" s="181">
        <f>TOBEPAID!M673/1000</f>
        <v>0</v>
      </c>
      <c r="N894" s="181">
        <f>TOBEPAID!N673/1000</f>
        <v>0</v>
      </c>
      <c r="O894" s="181">
        <f>TOBEPAID!O673/1000</f>
        <v>3633.08284</v>
      </c>
      <c r="P894" s="181">
        <f>TOBEPAID!P673/1000</f>
        <v>0</v>
      </c>
      <c r="Q894" s="181">
        <f>TOBEPAID!Q673/1000</f>
        <v>0</v>
      </c>
      <c r="R894" s="181">
        <v>0</v>
      </c>
      <c r="S894" s="181">
        <f>TOBEPAID!S673/1000</f>
        <v>0</v>
      </c>
      <c r="T894" s="181">
        <f>TOBEPAID!T673/1000</f>
        <v>0</v>
      </c>
      <c r="U894" s="181">
        <f>TOBEPAID!U673/1000</f>
        <v>0</v>
      </c>
      <c r="V894" s="181">
        <f>TOBEPAID!V673/1000</f>
        <v>0</v>
      </c>
      <c r="W894" s="181">
        <f>TOBEPAID!W673/1000</f>
        <v>0</v>
      </c>
      <c r="X894" s="181">
        <f>TOBEPAID!X673/1000</f>
        <v>3633.08284</v>
      </c>
      <c r="Y894" s="181">
        <f>+H894+R894</f>
        <v>43641.817999999999</v>
      </c>
      <c r="Z894" s="181">
        <f>+D894-Y894</f>
        <v>185.68600000000151</v>
      </c>
      <c r="AA894" s="181">
        <f>TOBEPAID!AA673/1000</f>
        <v>3633.08284</v>
      </c>
      <c r="AB894" s="181">
        <f>TOBEPAID!AB673/1000</f>
        <v>20194.421249999999</v>
      </c>
      <c r="AC894" s="181"/>
      <c r="AD894" s="181"/>
    </row>
    <row r="895" spans="1:45" x14ac:dyDescent="0.2">
      <c r="A895" s="180"/>
      <c r="B895" s="166"/>
      <c r="C895" s="166" t="s">
        <v>458</v>
      </c>
      <c r="D895" s="181">
        <f>118270000/1000</f>
        <v>118270</v>
      </c>
      <c r="E895" s="181"/>
      <c r="F895" s="181"/>
      <c r="G895" s="181"/>
      <c r="H895" s="181">
        <f>16997933.56/1000</f>
        <v>16997.933559999998</v>
      </c>
      <c r="I895" s="181"/>
      <c r="J895" s="181"/>
      <c r="K895" s="181"/>
      <c r="L895" s="181"/>
      <c r="M895" s="181"/>
      <c r="N895" s="181"/>
      <c r="O895" s="181"/>
      <c r="P895" s="181"/>
      <c r="Q895" s="181"/>
      <c r="R895" s="181">
        <v>0</v>
      </c>
      <c r="S895" s="181"/>
      <c r="T895" s="181"/>
      <c r="U895" s="181"/>
      <c r="V895" s="181"/>
      <c r="W895" s="181"/>
      <c r="X895" s="181"/>
      <c r="Y895" s="181">
        <f>+H895+R895</f>
        <v>16997.933559999998</v>
      </c>
      <c r="Z895" s="181">
        <f>+D895-Y895</f>
        <v>101272.06644</v>
      </c>
      <c r="AA895" s="181"/>
      <c r="AB895" s="181"/>
      <c r="AC895" s="181"/>
      <c r="AD895" s="181"/>
    </row>
    <row r="896" spans="1:45" x14ac:dyDescent="0.2">
      <c r="A896" s="180"/>
      <c r="B896" s="166"/>
      <c r="C896" s="165" t="s">
        <v>374</v>
      </c>
      <c r="D896" s="181">
        <f>6713000.55/1000</f>
        <v>6713.0005499999997</v>
      </c>
      <c r="E896" s="181"/>
      <c r="F896" s="181"/>
      <c r="G896" s="181"/>
      <c r="H896" s="181">
        <f>6713000/1000</f>
        <v>6713</v>
      </c>
      <c r="I896" s="181"/>
      <c r="J896" s="181"/>
      <c r="K896" s="181"/>
      <c r="L896" s="181"/>
      <c r="M896" s="181"/>
      <c r="N896" s="181"/>
      <c r="O896" s="181"/>
      <c r="P896" s="181"/>
      <c r="Q896" s="181"/>
      <c r="R896" s="181">
        <v>0</v>
      </c>
      <c r="S896" s="181"/>
      <c r="T896" s="181"/>
      <c r="U896" s="181"/>
      <c r="V896" s="181"/>
      <c r="W896" s="181"/>
      <c r="X896" s="181"/>
      <c r="Y896" s="181">
        <f>+H896+R896</f>
        <v>6713</v>
      </c>
      <c r="Z896" s="181">
        <f>+D896-Y896</f>
        <v>5.4999999974825187E-4</v>
      </c>
      <c r="AA896" s="181"/>
      <c r="AB896" s="181"/>
      <c r="AC896" s="181"/>
      <c r="AD896" s="181"/>
    </row>
    <row r="897" spans="1:30" x14ac:dyDescent="0.2">
      <c r="A897" s="180"/>
      <c r="C897" s="166" t="s">
        <v>37</v>
      </c>
      <c r="D897" s="181">
        <f>813905/1000</f>
        <v>813.90499999999997</v>
      </c>
      <c r="E897" s="181">
        <f>TOBEPAID!E674/1000</f>
        <v>0</v>
      </c>
      <c r="F897" s="181">
        <f>TOBEPAID!F674/1000</f>
        <v>0</v>
      </c>
      <c r="G897" s="181">
        <f>TOBEPAID!G674/1000</f>
        <v>0</v>
      </c>
      <c r="H897" s="181">
        <v>0</v>
      </c>
      <c r="I897" s="181">
        <f>TOBEPAID!I674/1000</f>
        <v>0</v>
      </c>
      <c r="J897" s="181">
        <f>TOBEPAID!J674/1000</f>
        <v>0</v>
      </c>
      <c r="K897" s="181">
        <f>TOBEPAID!K674/1000</f>
        <v>0</v>
      </c>
      <c r="L897" s="181">
        <f>TOBEPAID!L674/1000</f>
        <v>0</v>
      </c>
      <c r="M897" s="181">
        <f>TOBEPAID!M674/1000</f>
        <v>0</v>
      </c>
      <c r="N897" s="181">
        <f>TOBEPAID!N674/1000</f>
        <v>0</v>
      </c>
      <c r="O897" s="181">
        <f>TOBEPAID!O674/1000</f>
        <v>0</v>
      </c>
      <c r="P897" s="181">
        <f>TOBEPAID!P674/1000</f>
        <v>0</v>
      </c>
      <c r="Q897" s="181">
        <f>TOBEPAID!Q674/1000</f>
        <v>0</v>
      </c>
      <c r="R897" s="181">
        <v>0</v>
      </c>
      <c r="S897" s="181">
        <f>TOBEPAID!S674/1000</f>
        <v>0</v>
      </c>
      <c r="T897" s="181">
        <f>TOBEPAID!T674/1000</f>
        <v>0</v>
      </c>
      <c r="U897" s="181">
        <f>TOBEPAID!U674/1000</f>
        <v>0</v>
      </c>
      <c r="V897" s="181">
        <f>TOBEPAID!V674/1000</f>
        <v>0</v>
      </c>
      <c r="W897" s="181">
        <f>TOBEPAID!W674/1000</f>
        <v>0</v>
      </c>
      <c r="X897" s="181">
        <f>TOBEPAID!X674/1000</f>
        <v>0</v>
      </c>
      <c r="Y897" s="181">
        <f>+H897+R897</f>
        <v>0</v>
      </c>
      <c r="Z897" s="181">
        <f>+D897-Y897</f>
        <v>813.90499999999997</v>
      </c>
      <c r="AA897" s="181">
        <f>TOBEPAID!AA674/1000</f>
        <v>0</v>
      </c>
      <c r="AB897" s="181">
        <f>TOBEPAID!AB674/1000</f>
        <v>813.90518999999995</v>
      </c>
      <c r="AC897" s="181"/>
      <c r="AD897" s="181"/>
    </row>
    <row r="898" spans="1:30" x14ac:dyDescent="0.2">
      <c r="A898" s="180"/>
      <c r="C898" s="166" t="s">
        <v>38</v>
      </c>
      <c r="D898" s="181">
        <f>3400000/1000</f>
        <v>3400</v>
      </c>
      <c r="E898" s="181">
        <f>TOBEPAID!E675/1000</f>
        <v>0</v>
      </c>
      <c r="F898" s="181">
        <f>TOBEPAID!F675/1000</f>
        <v>0</v>
      </c>
      <c r="G898" s="181">
        <f>TOBEPAID!G675/1000</f>
        <v>0</v>
      </c>
      <c r="H898" s="181">
        <v>0</v>
      </c>
      <c r="I898" s="181">
        <f>TOBEPAID!I675/1000</f>
        <v>0</v>
      </c>
      <c r="J898" s="181">
        <f>TOBEPAID!J675/1000</f>
        <v>0</v>
      </c>
      <c r="K898" s="181">
        <f>TOBEPAID!K675/1000</f>
        <v>0</v>
      </c>
      <c r="L898" s="181">
        <f>TOBEPAID!L675/1000</f>
        <v>0</v>
      </c>
      <c r="M898" s="181">
        <f>TOBEPAID!M675/1000</f>
        <v>0</v>
      </c>
      <c r="N898" s="181">
        <f>TOBEPAID!N675/1000</f>
        <v>0</v>
      </c>
      <c r="O898" s="181">
        <f>TOBEPAID!O675/1000</f>
        <v>0</v>
      </c>
      <c r="P898" s="181">
        <f>TOBEPAID!P675/1000</f>
        <v>0</v>
      </c>
      <c r="Q898" s="181">
        <f>TOBEPAID!Q675/1000</f>
        <v>0</v>
      </c>
      <c r="R898" s="181">
        <v>0</v>
      </c>
      <c r="S898" s="181">
        <f>TOBEPAID!S675/1000</f>
        <v>0</v>
      </c>
      <c r="T898" s="181">
        <f>TOBEPAID!T675/1000</f>
        <v>0</v>
      </c>
      <c r="U898" s="181">
        <f>TOBEPAID!U675/1000</f>
        <v>0</v>
      </c>
      <c r="V898" s="181">
        <f>TOBEPAID!V675/1000</f>
        <v>0</v>
      </c>
      <c r="W898" s="181">
        <f>TOBEPAID!W675/1000</f>
        <v>0</v>
      </c>
      <c r="X898" s="181">
        <f>TOBEPAID!X675/1000</f>
        <v>0</v>
      </c>
      <c r="Y898" s="181">
        <f>+H898+R898</f>
        <v>0</v>
      </c>
      <c r="Z898" s="181">
        <f>+D898-Y898</f>
        <v>3400</v>
      </c>
      <c r="AA898" s="181">
        <f>TOBEPAID!AA675/1000</f>
        <v>0</v>
      </c>
      <c r="AB898" s="181">
        <f>TOBEPAID!AB675/1000</f>
        <v>3400</v>
      </c>
      <c r="AC898" s="181"/>
      <c r="AD898" s="181"/>
    </row>
    <row r="899" spans="1:30" x14ac:dyDescent="0.2">
      <c r="A899" s="180"/>
      <c r="D899" s="182" t="s">
        <v>40</v>
      </c>
      <c r="E899" s="182" t="s">
        <v>40</v>
      </c>
      <c r="F899" s="182" t="s">
        <v>40</v>
      </c>
      <c r="G899" s="182"/>
      <c r="H899" s="182" t="s">
        <v>40</v>
      </c>
      <c r="I899" s="182" t="s">
        <v>40</v>
      </c>
      <c r="J899" s="182" t="s">
        <v>40</v>
      </c>
      <c r="K899" s="182" t="s">
        <v>40</v>
      </c>
      <c r="L899" s="182" t="s">
        <v>40</v>
      </c>
      <c r="M899" s="182"/>
      <c r="N899" s="182" t="s">
        <v>40</v>
      </c>
      <c r="O899" s="182" t="s">
        <v>40</v>
      </c>
      <c r="P899" s="182" t="s">
        <v>40</v>
      </c>
      <c r="Q899" s="182"/>
      <c r="R899" s="182" t="s">
        <v>40</v>
      </c>
      <c r="S899" s="182" t="s">
        <v>40</v>
      </c>
      <c r="T899" s="182" t="s">
        <v>40</v>
      </c>
      <c r="U899" s="182" t="s">
        <v>40</v>
      </c>
      <c r="V899" s="182" t="s">
        <v>40</v>
      </c>
      <c r="W899" s="182"/>
      <c r="X899" s="182" t="s">
        <v>40</v>
      </c>
      <c r="Y899" s="182" t="s">
        <v>40</v>
      </c>
      <c r="Z899" s="182" t="s">
        <v>40</v>
      </c>
      <c r="AA899" s="182" t="s">
        <v>40</v>
      </c>
      <c r="AB899" s="182" t="s">
        <v>40</v>
      </c>
      <c r="AC899" s="182"/>
      <c r="AD899" s="182"/>
    </row>
    <row r="900" spans="1:30" x14ac:dyDescent="0.2">
      <c r="A900" s="180"/>
      <c r="D900" s="181">
        <f>SUM(D894:D898)</f>
        <v>173024.40955000001</v>
      </c>
      <c r="E900" s="181">
        <f>SUM(E894:E898)</f>
        <v>0</v>
      </c>
      <c r="F900" s="181">
        <f>SUM(F894:F898)</f>
        <v>0</v>
      </c>
      <c r="G900" s="181"/>
      <c r="H900" s="181">
        <f>SUM(H894:H898)</f>
        <v>67352.751560000004</v>
      </c>
      <c r="I900" s="181">
        <f>SUM(I894:I898)</f>
        <v>0</v>
      </c>
      <c r="J900" s="181">
        <f>SUM(J894:J898)</f>
        <v>0</v>
      </c>
      <c r="K900" s="181">
        <f>SUM(K894:K898)</f>
        <v>0</v>
      </c>
      <c r="L900" s="181">
        <f>SUM(L894:L898)</f>
        <v>0</v>
      </c>
      <c r="M900" s="181"/>
      <c r="N900" s="181">
        <f>SUM(N894:N898)</f>
        <v>0</v>
      </c>
      <c r="O900" s="181">
        <f>SUM(O894:O898)</f>
        <v>3633.08284</v>
      </c>
      <c r="P900" s="181">
        <f>SUM(P894:P898)</f>
        <v>0</v>
      </c>
      <c r="Q900" s="181"/>
      <c r="R900" s="181">
        <f>SUM(R894:R898)</f>
        <v>0</v>
      </c>
      <c r="S900" s="181">
        <f>SUM(S894:S898)</f>
        <v>0</v>
      </c>
      <c r="T900" s="181">
        <f>SUM(T894:T898)</f>
        <v>0</v>
      </c>
      <c r="U900" s="181">
        <f>SUM(U894:U898)</f>
        <v>0</v>
      </c>
      <c r="V900" s="181">
        <f>SUM(V894:V898)</f>
        <v>0</v>
      </c>
      <c r="W900" s="181"/>
      <c r="X900" s="181">
        <f>SUM(X894:X898)</f>
        <v>3633.08284</v>
      </c>
      <c r="Y900" s="181">
        <f>SUM(Y894:Y898)</f>
        <v>67352.751560000004</v>
      </c>
      <c r="Z900" s="181">
        <f>SUM(Z894:Z898)</f>
        <v>105671.65798999999</v>
      </c>
      <c r="AA900" s="181">
        <f>SUM(AA894:AA898)</f>
        <v>3633.08284</v>
      </c>
      <c r="AB900" s="181">
        <f>SUM(AB894:AB898)</f>
        <v>24408.326440000001</v>
      </c>
      <c r="AC900" s="181"/>
      <c r="AD900" s="181"/>
    </row>
    <row r="901" spans="1:30" x14ac:dyDescent="0.2">
      <c r="A901" s="180"/>
      <c r="D901" s="182" t="s">
        <v>40</v>
      </c>
      <c r="E901" s="182" t="s">
        <v>40</v>
      </c>
      <c r="F901" s="182" t="s">
        <v>40</v>
      </c>
      <c r="G901" s="182"/>
      <c r="H901" s="182" t="s">
        <v>40</v>
      </c>
      <c r="I901" s="182" t="s">
        <v>40</v>
      </c>
      <c r="J901" s="182" t="s">
        <v>40</v>
      </c>
      <c r="K901" s="182" t="s">
        <v>40</v>
      </c>
      <c r="L901" s="182" t="s">
        <v>40</v>
      </c>
      <c r="M901" s="182"/>
      <c r="N901" s="182" t="s">
        <v>40</v>
      </c>
      <c r="O901" s="182" t="s">
        <v>40</v>
      </c>
      <c r="P901" s="182" t="s">
        <v>40</v>
      </c>
      <c r="Q901" s="182"/>
      <c r="R901" s="182" t="s">
        <v>40</v>
      </c>
      <c r="S901" s="182" t="s">
        <v>40</v>
      </c>
      <c r="T901" s="182" t="s">
        <v>40</v>
      </c>
      <c r="U901" s="182" t="s">
        <v>40</v>
      </c>
      <c r="V901" s="182" t="s">
        <v>40</v>
      </c>
      <c r="W901" s="182"/>
      <c r="X901" s="182" t="s">
        <v>40</v>
      </c>
      <c r="Y901" s="182" t="s">
        <v>40</v>
      </c>
      <c r="Z901" s="182" t="s">
        <v>40</v>
      </c>
      <c r="AA901" s="182" t="s">
        <v>40</v>
      </c>
      <c r="AB901" s="182" t="s">
        <v>40</v>
      </c>
      <c r="AC901" s="182"/>
      <c r="AD901" s="182"/>
    </row>
    <row r="902" spans="1:30" x14ac:dyDescent="0.2">
      <c r="A902" s="180"/>
      <c r="D902" s="182"/>
      <c r="E902" s="182"/>
      <c r="F902" s="182"/>
      <c r="G902" s="182"/>
      <c r="H902" s="182"/>
      <c r="I902" s="182"/>
      <c r="J902" s="182"/>
      <c r="K902" s="182"/>
      <c r="L902" s="182"/>
      <c r="M902" s="182"/>
      <c r="N902" s="182"/>
      <c r="O902" s="182"/>
      <c r="P902" s="182"/>
      <c r="Q902" s="182"/>
      <c r="R902" s="182"/>
      <c r="S902" s="182"/>
      <c r="T902" s="182"/>
      <c r="U902" s="182"/>
      <c r="V902" s="182"/>
      <c r="W902" s="182"/>
      <c r="X902" s="182"/>
      <c r="Y902" s="182"/>
      <c r="Z902" s="182"/>
      <c r="AA902" s="182"/>
      <c r="AB902" s="182"/>
      <c r="AC902" s="182"/>
      <c r="AD902" s="182"/>
    </row>
    <row r="903" spans="1:30" x14ac:dyDescent="0.2">
      <c r="A903" s="180">
        <v>67</v>
      </c>
      <c r="B903" s="166" t="s">
        <v>96</v>
      </c>
      <c r="C903" s="166" t="s">
        <v>35</v>
      </c>
      <c r="D903" s="181">
        <f>1631194/1000</f>
        <v>1631.194</v>
      </c>
      <c r="E903" s="181">
        <f>TOBEPAID!E680/1000</f>
        <v>0</v>
      </c>
      <c r="F903" s="181">
        <f>TOBEPAID!F680/1000</f>
        <v>0</v>
      </c>
      <c r="G903" s="181">
        <f>TOBEPAID!G680/1000</f>
        <v>0</v>
      </c>
      <c r="H903" s="181">
        <v>0</v>
      </c>
      <c r="I903" s="181">
        <f>TOBEPAID!I680/1000</f>
        <v>0</v>
      </c>
      <c r="J903" s="181">
        <f>TOBEPAID!J680/1000</f>
        <v>0</v>
      </c>
      <c r="K903" s="181">
        <f>TOBEPAID!K680/1000</f>
        <v>0</v>
      </c>
      <c r="L903" s="181">
        <f>TOBEPAID!L680/1000</f>
        <v>0</v>
      </c>
      <c r="M903" s="181">
        <f>TOBEPAID!M680/1000</f>
        <v>0</v>
      </c>
      <c r="N903" s="181">
        <f>TOBEPAID!N680/1000</f>
        <v>0</v>
      </c>
      <c r="O903" s="181">
        <f>TOBEPAID!O680/1000</f>
        <v>9.7509999999999994</v>
      </c>
      <c r="P903" s="181">
        <f>TOBEPAID!P680/1000</f>
        <v>0</v>
      </c>
      <c r="Q903" s="181">
        <f>TOBEPAID!Q680/1000</f>
        <v>0</v>
      </c>
      <c r="R903" s="181">
        <f>1631194/1000</f>
        <v>1631.194</v>
      </c>
      <c r="S903" s="181">
        <f>TOBEPAID!S680/1000</f>
        <v>0</v>
      </c>
      <c r="T903" s="181">
        <f>TOBEPAID!T680/1000</f>
        <v>0</v>
      </c>
      <c r="U903" s="181">
        <f>TOBEPAID!U680/1000</f>
        <v>0</v>
      </c>
      <c r="V903" s="181">
        <f>TOBEPAID!V680/1000</f>
        <v>0</v>
      </c>
      <c r="W903" s="181">
        <f>TOBEPAID!W680/1000</f>
        <v>0</v>
      </c>
      <c r="X903" s="181">
        <f>TOBEPAID!X680/1000</f>
        <v>9.7509999999999994</v>
      </c>
      <c r="Y903" s="181">
        <f>+H903+R903</f>
        <v>1631.194</v>
      </c>
      <c r="Z903" s="181">
        <f t="shared" ref="Z903:Z909" si="165">+D903-Y903</f>
        <v>0</v>
      </c>
      <c r="AA903" s="181">
        <f>TOBEPAID!AA680/1000</f>
        <v>9.7509999999999994</v>
      </c>
      <c r="AB903" s="181">
        <f>TOBEPAID!AB680/1000</f>
        <v>238.68745999999999</v>
      </c>
      <c r="AC903" s="181"/>
      <c r="AD903" s="181"/>
    </row>
    <row r="904" spans="1:30" x14ac:dyDescent="0.2">
      <c r="A904" s="180"/>
      <c r="B904" s="166"/>
      <c r="C904" s="166" t="s">
        <v>457</v>
      </c>
      <c r="D904" s="181">
        <f>131352000/1000</f>
        <v>131352</v>
      </c>
      <c r="E904" s="181"/>
      <c r="F904" s="181"/>
      <c r="G904" s="181"/>
      <c r="H904" s="181">
        <f>82903265.4/1000</f>
        <v>82903.265400000004</v>
      </c>
      <c r="I904" s="181"/>
      <c r="J904" s="181"/>
      <c r="K904" s="181"/>
      <c r="L904" s="181"/>
      <c r="M904" s="181"/>
      <c r="N904" s="181"/>
      <c r="O904" s="181"/>
      <c r="P904" s="181"/>
      <c r="Q904" s="181"/>
      <c r="R904" s="181">
        <v>0</v>
      </c>
      <c r="S904" s="181"/>
      <c r="T904" s="181"/>
      <c r="U904" s="181"/>
      <c r="V904" s="181"/>
      <c r="W904" s="181"/>
      <c r="X904" s="181"/>
      <c r="Y904" s="181">
        <f t="shared" ref="Y904:Y909" si="166">+H904+R904</f>
        <v>82903.265400000004</v>
      </c>
      <c r="Z904" s="181">
        <f t="shared" si="165"/>
        <v>48448.734599999996</v>
      </c>
      <c r="AA904" s="181"/>
      <c r="AB904" s="181"/>
      <c r="AC904" s="181"/>
      <c r="AD904" s="181"/>
    </row>
    <row r="905" spans="1:30" x14ac:dyDescent="0.2">
      <c r="A905" s="180"/>
      <c r="C905" s="168" t="s">
        <v>36</v>
      </c>
      <c r="D905" s="181">
        <f>36000/1000</f>
        <v>36</v>
      </c>
      <c r="E905" s="181">
        <f>TOBEPAID!E681/1000</f>
        <v>36</v>
      </c>
      <c r="F905" s="181">
        <f>TOBEPAID!F681/1000</f>
        <v>0</v>
      </c>
      <c r="G905" s="181">
        <f>TOBEPAID!G681/1000</f>
        <v>0</v>
      </c>
      <c r="H905" s="181">
        <f>36000/1000</f>
        <v>36</v>
      </c>
      <c r="I905" s="181">
        <f>TOBEPAID!I681/1000</f>
        <v>0</v>
      </c>
      <c r="J905" s="181">
        <f>TOBEPAID!J681/1000</f>
        <v>0</v>
      </c>
      <c r="K905" s="181">
        <f>TOBEPAID!K681/1000</f>
        <v>0</v>
      </c>
      <c r="L905" s="181">
        <f>TOBEPAID!L681/1000</f>
        <v>0</v>
      </c>
      <c r="M905" s="181">
        <f>TOBEPAID!M681/1000</f>
        <v>0</v>
      </c>
      <c r="N905" s="181">
        <f>TOBEPAID!N681/1000</f>
        <v>36</v>
      </c>
      <c r="O905" s="181">
        <f>TOBEPAID!O681/1000</f>
        <v>0</v>
      </c>
      <c r="P905" s="181">
        <f>TOBEPAID!P681/1000</f>
        <v>0</v>
      </c>
      <c r="Q905" s="181">
        <f>TOBEPAID!Q681/1000</f>
        <v>0</v>
      </c>
      <c r="R905" s="181">
        <v>0</v>
      </c>
      <c r="S905" s="181">
        <f>TOBEPAID!S681/1000</f>
        <v>0</v>
      </c>
      <c r="T905" s="181">
        <f>TOBEPAID!T681/1000</f>
        <v>0</v>
      </c>
      <c r="U905" s="181">
        <f>TOBEPAID!U681/1000</f>
        <v>0</v>
      </c>
      <c r="V905" s="181">
        <f>TOBEPAID!V681/1000</f>
        <v>0</v>
      </c>
      <c r="W905" s="181">
        <f>TOBEPAID!W681/1000</f>
        <v>0</v>
      </c>
      <c r="X905" s="181">
        <f>TOBEPAID!X681/1000</f>
        <v>0</v>
      </c>
      <c r="Y905" s="181">
        <f t="shared" si="166"/>
        <v>36</v>
      </c>
      <c r="Z905" s="181">
        <f t="shared" si="165"/>
        <v>0</v>
      </c>
      <c r="AA905" s="181">
        <f>TOBEPAID!AA681/1000</f>
        <v>36</v>
      </c>
      <c r="AB905" s="181">
        <f>TOBEPAID!AB681/1000</f>
        <v>0</v>
      </c>
      <c r="AC905" s="181"/>
      <c r="AD905" s="181"/>
    </row>
    <row r="906" spans="1:30" x14ac:dyDescent="0.2">
      <c r="A906" s="180"/>
      <c r="C906" s="168" t="s">
        <v>387</v>
      </c>
      <c r="D906" s="181">
        <f>12000000/1000</f>
        <v>12000</v>
      </c>
      <c r="E906" s="181"/>
      <c r="F906" s="181"/>
      <c r="G906" s="181"/>
      <c r="H906" s="181">
        <f>12000000/1000</f>
        <v>12000</v>
      </c>
      <c r="I906" s="181"/>
      <c r="J906" s="181"/>
      <c r="K906" s="181"/>
      <c r="L906" s="181"/>
      <c r="M906" s="181"/>
      <c r="N906" s="181"/>
      <c r="O906" s="181"/>
      <c r="P906" s="181"/>
      <c r="Q906" s="181"/>
      <c r="R906" s="181">
        <v>0</v>
      </c>
      <c r="S906" s="181"/>
      <c r="T906" s="181"/>
      <c r="U906" s="181"/>
      <c r="V906" s="181"/>
      <c r="W906" s="181"/>
      <c r="X906" s="181"/>
      <c r="Y906" s="181">
        <f t="shared" si="166"/>
        <v>12000</v>
      </c>
      <c r="Z906" s="181">
        <f t="shared" si="165"/>
        <v>0</v>
      </c>
      <c r="AA906" s="181"/>
      <c r="AB906" s="181"/>
      <c r="AC906" s="181"/>
      <c r="AD906" s="181"/>
    </row>
    <row r="907" spans="1:30" x14ac:dyDescent="0.2">
      <c r="A907" s="180"/>
      <c r="C907" s="166" t="s">
        <v>76</v>
      </c>
      <c r="D907" s="181">
        <f>799083/1000</f>
        <v>799.08299999999997</v>
      </c>
      <c r="E907" s="181">
        <f>TOBEPAID!E682/1000</f>
        <v>0</v>
      </c>
      <c r="F907" s="181">
        <f>TOBEPAID!F682/1000</f>
        <v>0</v>
      </c>
      <c r="G907" s="181">
        <f>TOBEPAID!G682/1000</f>
        <v>0</v>
      </c>
      <c r="H907" s="181">
        <v>0</v>
      </c>
      <c r="I907" s="181">
        <f>TOBEPAID!I682/1000</f>
        <v>0</v>
      </c>
      <c r="J907" s="181">
        <f>TOBEPAID!J682/1000</f>
        <v>0</v>
      </c>
      <c r="K907" s="181">
        <f>TOBEPAID!K682/1000</f>
        <v>0</v>
      </c>
      <c r="L907" s="181">
        <f>TOBEPAID!L682/1000</f>
        <v>0</v>
      </c>
      <c r="M907" s="181">
        <f>TOBEPAID!M682/1000</f>
        <v>0</v>
      </c>
      <c r="N907" s="181">
        <f>TOBEPAID!N682/1000</f>
        <v>0</v>
      </c>
      <c r="O907" s="181">
        <f>TOBEPAID!O682/1000</f>
        <v>0</v>
      </c>
      <c r="P907" s="181">
        <f>TOBEPAID!P682/1000</f>
        <v>0</v>
      </c>
      <c r="Q907" s="181">
        <f>TOBEPAID!Q682/1000</f>
        <v>0</v>
      </c>
      <c r="R907" s="181">
        <v>0</v>
      </c>
      <c r="S907" s="181">
        <f>TOBEPAID!S682/1000</f>
        <v>0</v>
      </c>
      <c r="T907" s="181">
        <f>TOBEPAID!T682/1000</f>
        <v>0</v>
      </c>
      <c r="U907" s="181">
        <f>TOBEPAID!U682/1000</f>
        <v>0</v>
      </c>
      <c r="V907" s="181">
        <f>TOBEPAID!V682/1000</f>
        <v>0</v>
      </c>
      <c r="W907" s="181">
        <f>TOBEPAID!W682/1000</f>
        <v>0</v>
      </c>
      <c r="X907" s="181">
        <f>TOBEPAID!X682/1000</f>
        <v>0</v>
      </c>
      <c r="Y907" s="181">
        <f t="shared" si="166"/>
        <v>0</v>
      </c>
      <c r="Z907" s="181">
        <f t="shared" si="165"/>
        <v>799.08299999999997</v>
      </c>
      <c r="AA907" s="181">
        <f>TOBEPAID!AA682/1000</f>
        <v>0</v>
      </c>
      <c r="AB907" s="181">
        <f>TOBEPAID!AB682/1000</f>
        <v>2181.8394199999998</v>
      </c>
      <c r="AC907" s="181"/>
      <c r="AD907" s="181"/>
    </row>
    <row r="908" spans="1:30" x14ac:dyDescent="0.2">
      <c r="A908" s="180"/>
      <c r="C908" s="166" t="s">
        <v>53</v>
      </c>
      <c r="D908" s="181">
        <f>7022706/1000</f>
        <v>7022.7060000000001</v>
      </c>
      <c r="E908" s="181">
        <f>TOBEPAID!E683/1000</f>
        <v>0</v>
      </c>
      <c r="F908" s="181">
        <f>TOBEPAID!F683/1000</f>
        <v>0</v>
      </c>
      <c r="G908" s="181">
        <f>TOBEPAID!G683/1000</f>
        <v>0</v>
      </c>
      <c r="H908" s="181">
        <v>0</v>
      </c>
      <c r="I908" s="181">
        <f>TOBEPAID!I683/1000</f>
        <v>0</v>
      </c>
      <c r="J908" s="181">
        <f>TOBEPAID!J683/1000</f>
        <v>0</v>
      </c>
      <c r="K908" s="181">
        <f>TOBEPAID!K683/1000</f>
        <v>0</v>
      </c>
      <c r="L908" s="181">
        <f>TOBEPAID!L683/1000</f>
        <v>0</v>
      </c>
      <c r="M908" s="181">
        <f>TOBEPAID!M683/1000</f>
        <v>0</v>
      </c>
      <c r="N908" s="181">
        <f>TOBEPAID!N683/1000</f>
        <v>0</v>
      </c>
      <c r="O908" s="181">
        <f>TOBEPAID!O683/1000</f>
        <v>5011.0665899999995</v>
      </c>
      <c r="P908" s="181">
        <f>TOBEPAID!P683/1000</f>
        <v>0</v>
      </c>
      <c r="Q908" s="181">
        <f>TOBEPAID!Q683/1000</f>
        <v>0</v>
      </c>
      <c r="R908" s="181">
        <f>7022706/1000</f>
        <v>7022.7060000000001</v>
      </c>
      <c r="S908" s="181">
        <f>TOBEPAID!S683/1000</f>
        <v>0</v>
      </c>
      <c r="T908" s="181">
        <f>TOBEPAID!T683/1000</f>
        <v>0</v>
      </c>
      <c r="U908" s="181">
        <f>TOBEPAID!U683/1000</f>
        <v>0</v>
      </c>
      <c r="V908" s="181">
        <f>TOBEPAID!V683/1000</f>
        <v>0</v>
      </c>
      <c r="W908" s="181">
        <f>TOBEPAID!W683/1000</f>
        <v>0</v>
      </c>
      <c r="X908" s="181">
        <f>TOBEPAID!X683/1000</f>
        <v>5011.0665899999995</v>
      </c>
      <c r="Y908" s="181">
        <f t="shared" si="166"/>
        <v>7022.7060000000001</v>
      </c>
      <c r="Z908" s="181">
        <f t="shared" si="165"/>
        <v>0</v>
      </c>
      <c r="AA908" s="181">
        <f>TOBEPAID!AA683/1000</f>
        <v>5011.0665899999995</v>
      </c>
      <c r="AB908" s="181">
        <f>TOBEPAID!AB683/1000</f>
        <v>2011.6397599999998</v>
      </c>
      <c r="AC908" s="181"/>
      <c r="AD908" s="181"/>
    </row>
    <row r="909" spans="1:30" ht="16.5" customHeight="1" x14ac:dyDescent="0.2">
      <c r="A909" s="180"/>
      <c r="C909" s="166" t="s">
        <v>54</v>
      </c>
      <c r="D909" s="181">
        <f>11330000/1000</f>
        <v>11330</v>
      </c>
      <c r="E909" s="181">
        <f>TOBEPAID!E684/1000</f>
        <v>0</v>
      </c>
      <c r="F909" s="181">
        <f>TOBEPAID!F684/1000</f>
        <v>0</v>
      </c>
      <c r="G909" s="181">
        <f>TOBEPAID!G684/1000</f>
        <v>0</v>
      </c>
      <c r="H909" s="181">
        <v>0</v>
      </c>
      <c r="I909" s="181">
        <f>TOBEPAID!I684/1000</f>
        <v>0</v>
      </c>
      <c r="J909" s="181">
        <f>TOBEPAID!J684/1000</f>
        <v>0</v>
      </c>
      <c r="K909" s="181">
        <f>TOBEPAID!K684/1000</f>
        <v>0</v>
      </c>
      <c r="L909" s="181">
        <f>TOBEPAID!L684/1000</f>
        <v>0</v>
      </c>
      <c r="M909" s="181">
        <f>TOBEPAID!M684/1000</f>
        <v>0</v>
      </c>
      <c r="N909" s="181">
        <f>TOBEPAID!N684/1000</f>
        <v>0</v>
      </c>
      <c r="O909" s="181">
        <f>TOBEPAID!O684/1000</f>
        <v>5603.8962599999995</v>
      </c>
      <c r="P909" s="181">
        <f>TOBEPAID!P684/1000</f>
        <v>0</v>
      </c>
      <c r="Q909" s="181">
        <f>TOBEPAID!Q684/1000</f>
        <v>0</v>
      </c>
      <c r="R909" s="181">
        <f>5603896/1000</f>
        <v>5603.8959999999997</v>
      </c>
      <c r="S909" s="181">
        <f>TOBEPAID!S684/1000</f>
        <v>0</v>
      </c>
      <c r="T909" s="181">
        <f>TOBEPAID!T684/1000</f>
        <v>0</v>
      </c>
      <c r="U909" s="181">
        <f>TOBEPAID!U684/1000</f>
        <v>0</v>
      </c>
      <c r="V909" s="181">
        <f>TOBEPAID!V684/1000</f>
        <v>0</v>
      </c>
      <c r="W909" s="181">
        <f>TOBEPAID!W684/1000</f>
        <v>0</v>
      </c>
      <c r="X909" s="181">
        <f>TOBEPAID!X684/1000</f>
        <v>5603.8962599999995</v>
      </c>
      <c r="Y909" s="181">
        <f t="shared" si="166"/>
        <v>5603.8959999999997</v>
      </c>
      <c r="Z909" s="181">
        <f t="shared" si="165"/>
        <v>5726.1040000000003</v>
      </c>
      <c r="AA909" s="181">
        <f>TOBEPAID!AA684/1000</f>
        <v>5603.8962599999995</v>
      </c>
      <c r="AB909" s="181">
        <f>TOBEPAID!AB684/1000</f>
        <v>5726.1037400000005</v>
      </c>
      <c r="AC909" s="181"/>
      <c r="AD909" s="181"/>
    </row>
    <row r="910" spans="1:30" ht="16.5" customHeight="1" x14ac:dyDescent="0.2">
      <c r="A910" s="180"/>
      <c r="D910" s="182" t="s">
        <v>40</v>
      </c>
      <c r="E910" s="182" t="s">
        <v>40</v>
      </c>
      <c r="F910" s="182" t="s">
        <v>40</v>
      </c>
      <c r="G910" s="182"/>
      <c r="H910" s="182" t="s">
        <v>40</v>
      </c>
      <c r="I910" s="182" t="s">
        <v>40</v>
      </c>
      <c r="J910" s="182" t="s">
        <v>40</v>
      </c>
      <c r="K910" s="182" t="s">
        <v>40</v>
      </c>
      <c r="L910" s="182" t="s">
        <v>40</v>
      </c>
      <c r="M910" s="182"/>
      <c r="N910" s="182" t="s">
        <v>40</v>
      </c>
      <c r="O910" s="182" t="s">
        <v>40</v>
      </c>
      <c r="P910" s="182" t="s">
        <v>40</v>
      </c>
      <c r="Q910" s="182"/>
      <c r="R910" s="182" t="s">
        <v>40</v>
      </c>
      <c r="S910" s="182" t="s">
        <v>40</v>
      </c>
      <c r="T910" s="182" t="s">
        <v>40</v>
      </c>
      <c r="U910" s="182" t="s">
        <v>40</v>
      </c>
      <c r="V910" s="182" t="s">
        <v>40</v>
      </c>
      <c r="W910" s="182"/>
      <c r="X910" s="182" t="s">
        <v>40</v>
      </c>
      <c r="Y910" s="182" t="s">
        <v>40</v>
      </c>
      <c r="Z910" s="182" t="s">
        <v>40</v>
      </c>
      <c r="AA910" s="182" t="s">
        <v>40</v>
      </c>
      <c r="AB910" s="182" t="s">
        <v>40</v>
      </c>
      <c r="AC910" s="182"/>
      <c r="AD910" s="182"/>
    </row>
    <row r="911" spans="1:30" ht="16.5" customHeight="1" x14ac:dyDescent="0.2">
      <c r="A911" s="180"/>
      <c r="D911" s="181">
        <f>SUM(D903:D909)</f>
        <v>164170.98300000001</v>
      </c>
      <c r="E911" s="181">
        <f>SUM(E903:E909)</f>
        <v>36</v>
      </c>
      <c r="F911" s="181">
        <f>SUM(F903:F909)</f>
        <v>0</v>
      </c>
      <c r="G911" s="181"/>
      <c r="H911" s="181">
        <f>SUM(H903:H909)</f>
        <v>94939.265400000004</v>
      </c>
      <c r="I911" s="181">
        <f>SUM(I903:I909)</f>
        <v>0</v>
      </c>
      <c r="J911" s="181">
        <f>SUM(J903:J909)</f>
        <v>0</v>
      </c>
      <c r="K911" s="181">
        <f>SUM(K903:K909)</f>
        <v>0</v>
      </c>
      <c r="L911" s="181">
        <f>SUM(L903:L909)</f>
        <v>0</v>
      </c>
      <c r="M911" s="181"/>
      <c r="N911" s="181">
        <f>SUM(N903:N909)</f>
        <v>36</v>
      </c>
      <c r="O911" s="181">
        <f>SUM(O903:O909)</f>
        <v>10624.71385</v>
      </c>
      <c r="P911" s="181">
        <f>SUM(P903:P909)</f>
        <v>0</v>
      </c>
      <c r="Q911" s="181"/>
      <c r="R911" s="181">
        <f>SUM(R903:R909)</f>
        <v>14257.795999999998</v>
      </c>
      <c r="S911" s="181">
        <f>SUM(S903:S909)</f>
        <v>0</v>
      </c>
      <c r="T911" s="181">
        <f>SUM(T903:T909)</f>
        <v>0</v>
      </c>
      <c r="U911" s="181">
        <f>SUM(U903:U909)</f>
        <v>0</v>
      </c>
      <c r="V911" s="181">
        <f>SUM(V903:V909)</f>
        <v>0</v>
      </c>
      <c r="W911" s="181"/>
      <c r="X911" s="181">
        <f>SUM(X903:X909)</f>
        <v>10624.71385</v>
      </c>
      <c r="Y911" s="181">
        <f>SUM(Y903:Y909)</f>
        <v>109197.06140000001</v>
      </c>
      <c r="Z911" s="181">
        <f>SUM(Z903:Z909)</f>
        <v>54973.921599999994</v>
      </c>
      <c r="AA911" s="181">
        <f>SUM(AA903:AA909)</f>
        <v>10660.71385</v>
      </c>
      <c r="AB911" s="181">
        <f>SUM(AB903:AB909)</f>
        <v>10158.27038</v>
      </c>
      <c r="AC911" s="181"/>
      <c r="AD911" s="181"/>
    </row>
    <row r="912" spans="1:30" ht="18" customHeight="1" x14ac:dyDescent="0.2">
      <c r="A912" s="180"/>
      <c r="D912" s="182" t="s">
        <v>40</v>
      </c>
      <c r="E912" s="182" t="s">
        <v>40</v>
      </c>
      <c r="F912" s="182" t="s">
        <v>40</v>
      </c>
      <c r="G912" s="182"/>
      <c r="H912" s="182" t="s">
        <v>40</v>
      </c>
      <c r="I912" s="182" t="s">
        <v>40</v>
      </c>
      <c r="J912" s="182" t="s">
        <v>40</v>
      </c>
      <c r="K912" s="182" t="s">
        <v>40</v>
      </c>
      <c r="L912" s="182" t="s">
        <v>40</v>
      </c>
      <c r="M912" s="182"/>
      <c r="N912" s="182" t="s">
        <v>40</v>
      </c>
      <c r="O912" s="182" t="s">
        <v>40</v>
      </c>
      <c r="P912" s="182" t="s">
        <v>40</v>
      </c>
      <c r="Q912" s="182"/>
      <c r="R912" s="182" t="s">
        <v>40</v>
      </c>
      <c r="S912" s="182" t="s">
        <v>40</v>
      </c>
      <c r="T912" s="182" t="s">
        <v>40</v>
      </c>
      <c r="U912" s="182" t="s">
        <v>40</v>
      </c>
      <c r="V912" s="182" t="s">
        <v>40</v>
      </c>
      <c r="W912" s="182"/>
      <c r="X912" s="182" t="s">
        <v>40</v>
      </c>
      <c r="Y912" s="182" t="s">
        <v>40</v>
      </c>
      <c r="Z912" s="182" t="s">
        <v>40</v>
      </c>
      <c r="AA912" s="182" t="s">
        <v>40</v>
      </c>
      <c r="AB912" s="182" t="s">
        <v>40</v>
      </c>
      <c r="AC912" s="182"/>
      <c r="AD912" s="182"/>
    </row>
    <row r="913" spans="1:30" ht="16.5" customHeight="1" x14ac:dyDescent="0.2">
      <c r="A913" s="180"/>
      <c r="D913" s="182"/>
      <c r="E913" s="182"/>
      <c r="F913" s="182"/>
      <c r="G913" s="182"/>
      <c r="H913" s="182"/>
      <c r="I913" s="182"/>
      <c r="J913" s="182"/>
      <c r="K913" s="182"/>
      <c r="L913" s="182"/>
      <c r="M913" s="182"/>
      <c r="N913" s="182"/>
      <c r="O913" s="182"/>
      <c r="P913" s="182"/>
      <c r="Q913" s="182"/>
      <c r="R913" s="182"/>
      <c r="S913" s="182"/>
      <c r="T913" s="182"/>
      <c r="U913" s="182"/>
      <c r="V913" s="182"/>
      <c r="W913" s="182"/>
      <c r="X913" s="182"/>
      <c r="Y913" s="182"/>
      <c r="Z913" s="182"/>
      <c r="AA913" s="182"/>
      <c r="AB913" s="182"/>
      <c r="AC913" s="182"/>
      <c r="AD913" s="182"/>
    </row>
    <row r="914" spans="1:30" x14ac:dyDescent="0.2">
      <c r="A914" s="180">
        <v>68</v>
      </c>
      <c r="B914" s="168" t="s">
        <v>97</v>
      </c>
      <c r="C914" s="168" t="s">
        <v>35</v>
      </c>
      <c r="D914" s="181">
        <f>33537/1000</f>
        <v>33.536999999999999</v>
      </c>
      <c r="E914" s="181">
        <f>TOBEPAID!E689/1000</f>
        <v>0</v>
      </c>
      <c r="F914" s="181">
        <f>TOBEPAID!F689/1000</f>
        <v>0</v>
      </c>
      <c r="G914" s="181">
        <f>TOBEPAID!G689/1000</f>
        <v>0</v>
      </c>
      <c r="H914" s="181">
        <v>0</v>
      </c>
      <c r="I914" s="181">
        <f>TOBEPAID!I689/1000</f>
        <v>0</v>
      </c>
      <c r="J914" s="181">
        <f>TOBEPAID!J689/1000</f>
        <v>0</v>
      </c>
      <c r="K914" s="181">
        <f>TOBEPAID!K689/1000</f>
        <v>0</v>
      </c>
      <c r="L914" s="181">
        <f>TOBEPAID!L689/1000</f>
        <v>0</v>
      </c>
      <c r="M914" s="181">
        <f>TOBEPAID!M689/1000</f>
        <v>0</v>
      </c>
      <c r="N914" s="181">
        <f>TOBEPAID!N689/1000</f>
        <v>0</v>
      </c>
      <c r="O914" s="181">
        <f>TOBEPAID!O689/1000</f>
        <v>33.53792</v>
      </c>
      <c r="P914" s="181">
        <f>TOBEPAID!P689/1000</f>
        <v>0</v>
      </c>
      <c r="Q914" s="181">
        <f>TOBEPAID!Q689/1000</f>
        <v>0</v>
      </c>
      <c r="R914" s="181">
        <f>33537/1000</f>
        <v>33.536999999999999</v>
      </c>
      <c r="S914" s="181">
        <f>TOBEPAID!S689/1000</f>
        <v>0</v>
      </c>
      <c r="T914" s="181">
        <f>TOBEPAID!T689/1000</f>
        <v>0</v>
      </c>
      <c r="U914" s="181">
        <f>TOBEPAID!U689/1000</f>
        <v>0</v>
      </c>
      <c r="V914" s="181">
        <f>TOBEPAID!V689/1000</f>
        <v>0</v>
      </c>
      <c r="W914" s="181">
        <f>TOBEPAID!W689/1000</f>
        <v>0</v>
      </c>
      <c r="X914" s="181">
        <f>TOBEPAID!X689/1000</f>
        <v>33.53792</v>
      </c>
      <c r="Y914" s="181">
        <f t="shared" ref="Y914:Y919" si="167">+H914+R914</f>
        <v>33.536999999999999</v>
      </c>
      <c r="Z914" s="181">
        <f t="shared" ref="Z914:Z919" si="168">+D914-Y914</f>
        <v>0</v>
      </c>
      <c r="AA914" s="181">
        <f>TOBEPAID!AA689/1000</f>
        <v>33.53792</v>
      </c>
      <c r="AB914" s="181">
        <f>TOBEPAID!AB689/1000</f>
        <v>0</v>
      </c>
      <c r="AC914" s="181"/>
      <c r="AD914" s="181"/>
    </row>
    <row r="915" spans="1:30" x14ac:dyDescent="0.2">
      <c r="A915" s="180"/>
      <c r="C915" s="168" t="s">
        <v>36</v>
      </c>
      <c r="D915" s="181">
        <f>2222894/1000</f>
        <v>2222.8939999999998</v>
      </c>
      <c r="E915" s="181">
        <f>TOBEPAID!E690/1000</f>
        <v>2222.8939999999998</v>
      </c>
      <c r="F915" s="181">
        <f>TOBEPAID!F690/1000</f>
        <v>0</v>
      </c>
      <c r="G915" s="181">
        <f>TOBEPAID!G690/1000</f>
        <v>0</v>
      </c>
      <c r="H915" s="181">
        <f>2222894/1000</f>
        <v>2222.8939999999998</v>
      </c>
      <c r="I915" s="181">
        <f>TOBEPAID!I690/1000</f>
        <v>0</v>
      </c>
      <c r="J915" s="181">
        <f>TOBEPAID!J690/1000</f>
        <v>0</v>
      </c>
      <c r="K915" s="181">
        <f>TOBEPAID!K690/1000</f>
        <v>0</v>
      </c>
      <c r="L915" s="181">
        <f>TOBEPAID!L690/1000</f>
        <v>0</v>
      </c>
      <c r="M915" s="181">
        <f>TOBEPAID!M690/1000</f>
        <v>0</v>
      </c>
      <c r="N915" s="181">
        <f>TOBEPAID!N690/1000</f>
        <v>2222.8939999999998</v>
      </c>
      <c r="O915" s="181">
        <f>TOBEPAID!O690/1000</f>
        <v>0</v>
      </c>
      <c r="P915" s="181">
        <f>TOBEPAID!P690/1000</f>
        <v>0</v>
      </c>
      <c r="Q915" s="181">
        <f>TOBEPAID!Q690/1000</f>
        <v>0</v>
      </c>
      <c r="R915" s="181">
        <v>0</v>
      </c>
      <c r="S915" s="181">
        <f>TOBEPAID!S690/1000</f>
        <v>0</v>
      </c>
      <c r="T915" s="181">
        <f>TOBEPAID!T690/1000</f>
        <v>0</v>
      </c>
      <c r="U915" s="181">
        <f>TOBEPAID!U690/1000</f>
        <v>0</v>
      </c>
      <c r="V915" s="181">
        <f>TOBEPAID!V690/1000</f>
        <v>0</v>
      </c>
      <c r="W915" s="181">
        <f>TOBEPAID!W690/1000</f>
        <v>0</v>
      </c>
      <c r="X915" s="181">
        <f>TOBEPAID!X690/1000</f>
        <v>0</v>
      </c>
      <c r="Y915" s="181">
        <f t="shared" si="167"/>
        <v>2222.8939999999998</v>
      </c>
      <c r="Z915" s="181">
        <f t="shared" si="168"/>
        <v>0</v>
      </c>
      <c r="AA915" s="181">
        <f>TOBEPAID!AA690/1000</f>
        <v>2222.8939999999998</v>
      </c>
      <c r="AB915" s="181">
        <f>TOBEPAID!AB690/1000</f>
        <v>0</v>
      </c>
      <c r="AC915" s="181"/>
      <c r="AD915" s="181"/>
    </row>
    <row r="916" spans="1:30" x14ac:dyDescent="0.2">
      <c r="A916" s="180"/>
      <c r="C916" s="168" t="s">
        <v>374</v>
      </c>
      <c r="D916" s="181">
        <f>9599100/1000</f>
        <v>9599.1</v>
      </c>
      <c r="E916" s="181"/>
      <c r="F916" s="181"/>
      <c r="G916" s="181"/>
      <c r="H916" s="181">
        <f>9599100/1000</f>
        <v>9599.1</v>
      </c>
      <c r="I916" s="181"/>
      <c r="J916" s="181"/>
      <c r="K916" s="181"/>
      <c r="L916" s="181"/>
      <c r="M916" s="181"/>
      <c r="N916" s="181"/>
      <c r="O916" s="181"/>
      <c r="P916" s="181"/>
      <c r="Q916" s="181"/>
      <c r="R916" s="181">
        <v>0</v>
      </c>
      <c r="S916" s="181"/>
      <c r="T916" s="181"/>
      <c r="U916" s="181"/>
      <c r="V916" s="181"/>
      <c r="W916" s="181"/>
      <c r="X916" s="181"/>
      <c r="Y916" s="181">
        <f t="shared" si="167"/>
        <v>9599.1</v>
      </c>
      <c r="Z916" s="181">
        <f t="shared" si="168"/>
        <v>0</v>
      </c>
      <c r="AA916" s="181"/>
      <c r="AB916" s="181"/>
      <c r="AC916" s="181"/>
      <c r="AD916" s="181"/>
    </row>
    <row r="917" spans="1:30" x14ac:dyDescent="0.2">
      <c r="A917" s="180"/>
      <c r="C917" s="166" t="s">
        <v>37</v>
      </c>
      <c r="D917" s="181">
        <v>0</v>
      </c>
      <c r="E917" s="181">
        <f>TOBEPAID!E691/1000</f>
        <v>0</v>
      </c>
      <c r="F917" s="181">
        <f>TOBEPAID!F691/1000</f>
        <v>0</v>
      </c>
      <c r="G917" s="181">
        <f>TOBEPAID!G691/1000</f>
        <v>0</v>
      </c>
      <c r="H917" s="181">
        <v>0</v>
      </c>
      <c r="I917" s="181">
        <f>TOBEPAID!I691/1000</f>
        <v>0</v>
      </c>
      <c r="J917" s="181">
        <f>TOBEPAID!J691/1000</f>
        <v>0</v>
      </c>
      <c r="K917" s="181">
        <f>TOBEPAID!K691/1000</f>
        <v>0</v>
      </c>
      <c r="L917" s="181">
        <f>TOBEPAID!L691/1000</f>
        <v>0</v>
      </c>
      <c r="M917" s="181">
        <f>TOBEPAID!M691/1000</f>
        <v>0</v>
      </c>
      <c r="N917" s="181">
        <f>TOBEPAID!N691/1000</f>
        <v>0</v>
      </c>
      <c r="O917" s="181">
        <f>TOBEPAID!O691/1000</f>
        <v>0</v>
      </c>
      <c r="P917" s="181">
        <f>TOBEPAID!P691/1000</f>
        <v>0</v>
      </c>
      <c r="Q917" s="181">
        <f>TOBEPAID!Q691/1000</f>
        <v>0</v>
      </c>
      <c r="R917" s="181">
        <v>0</v>
      </c>
      <c r="S917" s="181">
        <f>TOBEPAID!S691/1000</f>
        <v>0</v>
      </c>
      <c r="T917" s="181">
        <f>TOBEPAID!T691/1000</f>
        <v>0</v>
      </c>
      <c r="U917" s="181">
        <f>TOBEPAID!U691/1000</f>
        <v>0</v>
      </c>
      <c r="V917" s="181">
        <f>TOBEPAID!V691/1000</f>
        <v>0</v>
      </c>
      <c r="W917" s="181">
        <f>TOBEPAID!W691/1000</f>
        <v>0</v>
      </c>
      <c r="X917" s="181">
        <f>TOBEPAID!X691/1000</f>
        <v>0</v>
      </c>
      <c r="Y917" s="181">
        <f t="shared" si="167"/>
        <v>0</v>
      </c>
      <c r="Z917" s="181">
        <f t="shared" si="168"/>
        <v>0</v>
      </c>
      <c r="AA917" s="181">
        <f>TOBEPAID!AA691/1000</f>
        <v>0</v>
      </c>
      <c r="AB917" s="181">
        <f>TOBEPAID!AB691/1000</f>
        <v>0</v>
      </c>
      <c r="AC917" s="181"/>
      <c r="AD917" s="181"/>
    </row>
    <row r="918" spans="1:30" ht="16.5" customHeight="1" x14ac:dyDescent="0.2">
      <c r="A918" s="180"/>
      <c r="C918" s="192" t="s">
        <v>39</v>
      </c>
      <c r="D918" s="181">
        <v>0</v>
      </c>
      <c r="E918" s="181">
        <f>TOBEPAID!E692/1000</f>
        <v>0</v>
      </c>
      <c r="F918" s="181">
        <f>TOBEPAID!F692/1000</f>
        <v>0</v>
      </c>
      <c r="G918" s="181">
        <f>TOBEPAID!G692/1000</f>
        <v>0</v>
      </c>
      <c r="H918" s="181">
        <v>0</v>
      </c>
      <c r="I918" s="181">
        <f>TOBEPAID!I692/1000</f>
        <v>0</v>
      </c>
      <c r="J918" s="181">
        <f>TOBEPAID!J692/1000</f>
        <v>0</v>
      </c>
      <c r="K918" s="181">
        <f>TOBEPAID!K692/1000</f>
        <v>0</v>
      </c>
      <c r="L918" s="181">
        <f>TOBEPAID!L692/1000</f>
        <v>0</v>
      </c>
      <c r="M918" s="181">
        <f>TOBEPAID!M692/1000</f>
        <v>0</v>
      </c>
      <c r="N918" s="181">
        <f>TOBEPAID!N692/1000</f>
        <v>0</v>
      </c>
      <c r="O918" s="181">
        <f>TOBEPAID!O692/1000</f>
        <v>0</v>
      </c>
      <c r="P918" s="181">
        <f>TOBEPAID!P692/1000</f>
        <v>0</v>
      </c>
      <c r="Q918" s="181">
        <f>TOBEPAID!Q692/1000</f>
        <v>0</v>
      </c>
      <c r="R918" s="181">
        <v>0</v>
      </c>
      <c r="S918" s="181">
        <f>TOBEPAID!S692/1000</f>
        <v>0</v>
      </c>
      <c r="T918" s="181">
        <f>TOBEPAID!T692/1000</f>
        <v>0</v>
      </c>
      <c r="U918" s="181">
        <f>TOBEPAID!U692/1000</f>
        <v>0</v>
      </c>
      <c r="V918" s="181">
        <f>TOBEPAID!V692/1000</f>
        <v>0</v>
      </c>
      <c r="W918" s="181">
        <f>TOBEPAID!W692/1000</f>
        <v>0</v>
      </c>
      <c r="X918" s="181">
        <f>TOBEPAID!X692/1000</f>
        <v>0</v>
      </c>
      <c r="Y918" s="181">
        <f t="shared" si="167"/>
        <v>0</v>
      </c>
      <c r="Z918" s="181">
        <f t="shared" si="168"/>
        <v>0</v>
      </c>
      <c r="AA918" s="181">
        <f>TOBEPAID!AA692/1000</f>
        <v>0</v>
      </c>
      <c r="AB918" s="181">
        <f>TOBEPAID!AB692/1000</f>
        <v>0</v>
      </c>
      <c r="AC918" s="181"/>
      <c r="AD918" s="181"/>
    </row>
    <row r="919" spans="1:30" x14ac:dyDescent="0.2">
      <c r="A919" s="180"/>
      <c r="C919" s="168" t="str">
        <f>+C107</f>
        <v>EL-CONCESSIONAL</v>
      </c>
      <c r="D919" s="181">
        <f>3406124/1000</f>
        <v>3406.1239999999998</v>
      </c>
      <c r="E919" s="181">
        <f>TOBEPAID!E693/1000</f>
        <v>3406.1239999999998</v>
      </c>
      <c r="F919" s="181">
        <f>TOBEPAID!F693/1000</f>
        <v>0</v>
      </c>
      <c r="G919" s="181">
        <f>TOBEPAID!G693/1000</f>
        <v>0</v>
      </c>
      <c r="H919" s="181">
        <f>3406124/1000</f>
        <v>3406.1239999999998</v>
      </c>
      <c r="I919" s="181">
        <f>TOBEPAID!I693/1000</f>
        <v>0</v>
      </c>
      <c r="J919" s="181">
        <f>TOBEPAID!J693/1000</f>
        <v>0</v>
      </c>
      <c r="K919" s="181">
        <f>TOBEPAID!K693/1000</f>
        <v>0</v>
      </c>
      <c r="L919" s="181">
        <f>TOBEPAID!L693/1000</f>
        <v>0</v>
      </c>
      <c r="M919" s="181">
        <f>TOBEPAID!M693/1000</f>
        <v>0</v>
      </c>
      <c r="N919" s="181">
        <f>TOBEPAID!N693/1000</f>
        <v>3406.1239999999998</v>
      </c>
      <c r="O919" s="181">
        <f>TOBEPAID!O693/1000</f>
        <v>0</v>
      </c>
      <c r="P919" s="181">
        <f>TOBEPAID!P693/1000</f>
        <v>0</v>
      </c>
      <c r="Q919" s="181">
        <f>TOBEPAID!Q693/1000</f>
        <v>0</v>
      </c>
      <c r="R919" s="181">
        <v>0</v>
      </c>
      <c r="S919" s="181">
        <f>TOBEPAID!S693/1000</f>
        <v>0</v>
      </c>
      <c r="T919" s="181">
        <f>TOBEPAID!T693/1000</f>
        <v>0</v>
      </c>
      <c r="U919" s="181">
        <f>TOBEPAID!U693/1000</f>
        <v>0</v>
      </c>
      <c r="V919" s="181">
        <f>TOBEPAID!V693/1000</f>
        <v>0</v>
      </c>
      <c r="W919" s="181">
        <f>TOBEPAID!W693/1000</f>
        <v>0</v>
      </c>
      <c r="X919" s="181">
        <f>TOBEPAID!X693/1000</f>
        <v>0</v>
      </c>
      <c r="Y919" s="181">
        <f t="shared" si="167"/>
        <v>3406.1239999999998</v>
      </c>
      <c r="Z919" s="181">
        <f t="shared" si="168"/>
        <v>0</v>
      </c>
      <c r="AA919" s="181">
        <f>TOBEPAID!AA693/1000</f>
        <v>3406.1239999999998</v>
      </c>
      <c r="AB919" s="181">
        <f>TOBEPAID!AB693/1000</f>
        <v>0</v>
      </c>
      <c r="AC919" s="181"/>
      <c r="AD919" s="181"/>
    </row>
    <row r="920" spans="1:30" x14ac:dyDescent="0.2">
      <c r="A920" s="180"/>
      <c r="D920" s="182" t="s">
        <v>40</v>
      </c>
      <c r="E920" s="182" t="s">
        <v>40</v>
      </c>
      <c r="F920" s="182" t="s">
        <v>40</v>
      </c>
      <c r="G920" s="182"/>
      <c r="H920" s="182" t="s">
        <v>40</v>
      </c>
      <c r="I920" s="182" t="s">
        <v>40</v>
      </c>
      <c r="J920" s="182" t="s">
        <v>40</v>
      </c>
      <c r="K920" s="182" t="s">
        <v>40</v>
      </c>
      <c r="L920" s="182" t="s">
        <v>40</v>
      </c>
      <c r="M920" s="182"/>
      <c r="N920" s="182" t="s">
        <v>40</v>
      </c>
      <c r="O920" s="182" t="s">
        <v>40</v>
      </c>
      <c r="P920" s="182" t="s">
        <v>40</v>
      </c>
      <c r="Q920" s="182"/>
      <c r="R920" s="182" t="s">
        <v>40</v>
      </c>
      <c r="S920" s="182" t="s">
        <v>40</v>
      </c>
      <c r="T920" s="182" t="s">
        <v>40</v>
      </c>
      <c r="U920" s="182" t="s">
        <v>40</v>
      </c>
      <c r="V920" s="182" t="s">
        <v>40</v>
      </c>
      <c r="W920" s="182"/>
      <c r="X920" s="182" t="s">
        <v>40</v>
      </c>
      <c r="Y920" s="182" t="s">
        <v>40</v>
      </c>
      <c r="Z920" s="182" t="s">
        <v>40</v>
      </c>
      <c r="AA920" s="182" t="s">
        <v>40</v>
      </c>
      <c r="AB920" s="182" t="s">
        <v>40</v>
      </c>
      <c r="AC920" s="182"/>
      <c r="AD920" s="182"/>
    </row>
    <row r="921" spans="1:30" ht="16.5" customHeight="1" x14ac:dyDescent="0.2">
      <c r="A921" s="180"/>
      <c r="D921" s="181">
        <f>SUM(D914:D919)</f>
        <v>15261.654999999999</v>
      </c>
      <c r="E921" s="181">
        <f>SUM(E914:E919)</f>
        <v>5629.018</v>
      </c>
      <c r="F921" s="181">
        <f>SUM(F914:F919)</f>
        <v>0</v>
      </c>
      <c r="G921" s="181"/>
      <c r="H921" s="181">
        <f>SUM(H914:H919)</f>
        <v>15228.118</v>
      </c>
      <c r="I921" s="181">
        <f>SUM(I914:I919)</f>
        <v>0</v>
      </c>
      <c r="J921" s="181">
        <f>SUM(J914:J919)</f>
        <v>0</v>
      </c>
      <c r="K921" s="181">
        <f>SUM(K914:K919)</f>
        <v>0</v>
      </c>
      <c r="L921" s="181">
        <f>SUM(L914:L919)</f>
        <v>0</v>
      </c>
      <c r="M921" s="181"/>
      <c r="N921" s="181">
        <f>SUM(N914:N919)</f>
        <v>5629.018</v>
      </c>
      <c r="O921" s="181">
        <f>SUM(O914:O919)</f>
        <v>33.53792</v>
      </c>
      <c r="P921" s="181">
        <f>SUM(P914:P919)</f>
        <v>0</v>
      </c>
      <c r="Q921" s="181"/>
      <c r="R921" s="181">
        <f>SUM(R914:R919)</f>
        <v>33.536999999999999</v>
      </c>
      <c r="S921" s="181">
        <f>SUM(S914:S919)</f>
        <v>0</v>
      </c>
      <c r="T921" s="181">
        <f>SUM(T914:T919)</f>
        <v>0</v>
      </c>
      <c r="U921" s="181">
        <f>SUM(U914:U919)</f>
        <v>0</v>
      </c>
      <c r="V921" s="181">
        <f>SUM(V914:V919)</f>
        <v>0</v>
      </c>
      <c r="W921" s="181"/>
      <c r="X921" s="181">
        <f>SUM(X914:X919)</f>
        <v>33.53792</v>
      </c>
      <c r="Y921" s="181">
        <f>SUM(Y914:Y919)</f>
        <v>15261.654999999999</v>
      </c>
      <c r="Z921" s="181">
        <f>SUM(Z914:Z919)</f>
        <v>0</v>
      </c>
      <c r="AA921" s="181">
        <f>SUM(AA914:AA919)</f>
        <v>5662.5559199999998</v>
      </c>
      <c r="AB921" s="181">
        <f>SUM(AB914:AB919)</f>
        <v>0</v>
      </c>
      <c r="AC921" s="181"/>
      <c r="AD921" s="181"/>
    </row>
    <row r="922" spans="1:30" x14ac:dyDescent="0.2">
      <c r="A922" s="180"/>
      <c r="B922" s="165" t="s">
        <v>311</v>
      </c>
      <c r="D922" s="182" t="s">
        <v>40</v>
      </c>
      <c r="E922" s="182" t="s">
        <v>40</v>
      </c>
      <c r="F922" s="182" t="s">
        <v>40</v>
      </c>
      <c r="G922" s="182"/>
      <c r="H922" s="182" t="s">
        <v>40</v>
      </c>
      <c r="I922" s="182" t="s">
        <v>40</v>
      </c>
      <c r="J922" s="182" t="s">
        <v>40</v>
      </c>
      <c r="K922" s="182" t="s">
        <v>40</v>
      </c>
      <c r="L922" s="182" t="s">
        <v>40</v>
      </c>
      <c r="M922" s="182"/>
      <c r="N922" s="182" t="s">
        <v>40</v>
      </c>
      <c r="O922" s="182" t="s">
        <v>40</v>
      </c>
      <c r="P922" s="182" t="s">
        <v>40</v>
      </c>
      <c r="Q922" s="182"/>
      <c r="R922" s="182" t="s">
        <v>40</v>
      </c>
      <c r="S922" s="182" t="s">
        <v>40</v>
      </c>
      <c r="T922" s="182" t="s">
        <v>40</v>
      </c>
      <c r="U922" s="182" t="s">
        <v>40</v>
      </c>
      <c r="V922" s="182" t="s">
        <v>40</v>
      </c>
      <c r="W922" s="182"/>
      <c r="X922" s="182" t="s">
        <v>40</v>
      </c>
      <c r="Y922" s="182" t="s">
        <v>40</v>
      </c>
      <c r="Z922" s="182" t="s">
        <v>40</v>
      </c>
      <c r="AA922" s="182" t="s">
        <v>40</v>
      </c>
      <c r="AB922" s="182" t="s">
        <v>40</v>
      </c>
      <c r="AC922" s="182"/>
      <c r="AD922" s="182"/>
    </row>
    <row r="923" spans="1:30" ht="15.75" thickBot="1" x14ac:dyDescent="0.25">
      <c r="A923" s="180"/>
      <c r="B923" s="183" t="s">
        <v>292</v>
      </c>
      <c r="D923" s="184">
        <f>358109/1000</f>
        <v>358.10899999999998</v>
      </c>
      <c r="E923" s="181">
        <f>TOBEPAID!E697/1000</f>
        <v>0</v>
      </c>
      <c r="F923" s="181">
        <f>TOBEPAID!F697/1000</f>
        <v>0</v>
      </c>
      <c r="G923" s="181">
        <f>TOBEPAID!G697/1000</f>
        <v>0</v>
      </c>
      <c r="H923" s="181"/>
      <c r="I923" s="181">
        <f>TOBEPAID!I697/1000</f>
        <v>0</v>
      </c>
      <c r="J923" s="181">
        <f>TOBEPAID!J697/1000</f>
        <v>0</v>
      </c>
      <c r="K923" s="181">
        <f>TOBEPAID!K697/1000</f>
        <v>0</v>
      </c>
      <c r="L923" s="181">
        <f>TOBEPAID!L697/1000</f>
        <v>0</v>
      </c>
      <c r="M923" s="181">
        <f>TOBEPAID!M697/1000</f>
        <v>0</v>
      </c>
      <c r="N923" s="181">
        <f>TOBEPAID!N697/1000</f>
        <v>0</v>
      </c>
      <c r="O923" s="181">
        <f>TOBEPAID!O697/1000</f>
        <v>1006.94906</v>
      </c>
      <c r="P923" s="181">
        <f>TOBEPAID!P697/1000</f>
        <v>0</v>
      </c>
      <c r="Q923" s="181">
        <f>TOBEPAID!Q697/1000</f>
        <v>0</v>
      </c>
      <c r="R923" s="184">
        <f>+D923</f>
        <v>358.10899999999998</v>
      </c>
      <c r="S923" s="184">
        <f t="shared" ref="S923:X923" si="169">1006949/1000</f>
        <v>1006.949</v>
      </c>
      <c r="T923" s="184">
        <f t="shared" si="169"/>
        <v>1006.949</v>
      </c>
      <c r="U923" s="184">
        <f t="shared" si="169"/>
        <v>1006.949</v>
      </c>
      <c r="V923" s="184">
        <f t="shared" si="169"/>
        <v>1006.949</v>
      </c>
      <c r="W923" s="184">
        <f t="shared" si="169"/>
        <v>1006.949</v>
      </c>
      <c r="X923" s="184">
        <f t="shared" si="169"/>
        <v>1006.949</v>
      </c>
      <c r="Y923" s="184">
        <f>+R923</f>
        <v>358.10899999999998</v>
      </c>
      <c r="Z923" s="184">
        <f t="shared" ref="Z923:Z929" si="170">+D923-Y923</f>
        <v>0</v>
      </c>
      <c r="AA923" s="181">
        <f>TOBEPAID!AA697/1000</f>
        <v>0</v>
      </c>
      <c r="AB923" s="181">
        <f>TOBEPAID!AB697/1000</f>
        <v>0</v>
      </c>
      <c r="AC923" s="181"/>
      <c r="AD923" s="181"/>
    </row>
    <row r="924" spans="1:30" ht="46.5" customHeight="1" thickTop="1" x14ac:dyDescent="0.2">
      <c r="A924" s="180">
        <v>69</v>
      </c>
      <c r="B924" s="166" t="s">
        <v>98</v>
      </c>
      <c r="C924" s="166" t="s">
        <v>35</v>
      </c>
      <c r="D924" s="181">
        <f>18072803/1000</f>
        <v>18072.803</v>
      </c>
      <c r="E924" s="181">
        <f>TOBEPAID!E698/1000</f>
        <v>0</v>
      </c>
      <c r="F924" s="181">
        <f>TOBEPAID!F698/1000</f>
        <v>0</v>
      </c>
      <c r="G924" s="181">
        <f>TOBEPAID!G698/1000</f>
        <v>0</v>
      </c>
      <c r="H924" s="181">
        <f>18072803/1000</f>
        <v>18072.803</v>
      </c>
      <c r="I924" s="181">
        <f>TOBEPAID!I698/1000</f>
        <v>0</v>
      </c>
      <c r="J924" s="181">
        <f>TOBEPAID!J698/1000</f>
        <v>0</v>
      </c>
      <c r="K924" s="181">
        <f>TOBEPAID!K698/1000</f>
        <v>0</v>
      </c>
      <c r="L924" s="181">
        <f>TOBEPAID!L698/1000</f>
        <v>0</v>
      </c>
      <c r="M924" s="181">
        <f>TOBEPAID!M698/1000</f>
        <v>0</v>
      </c>
      <c r="N924" s="181">
        <f>TOBEPAID!N698/1000</f>
        <v>0</v>
      </c>
      <c r="O924" s="181">
        <f>TOBEPAID!O698/1000</f>
        <v>0</v>
      </c>
      <c r="P924" s="181">
        <f>TOBEPAID!P698/1000</f>
        <v>0</v>
      </c>
      <c r="Q924" s="181">
        <f>TOBEPAID!Q698/1000</f>
        <v>0</v>
      </c>
      <c r="R924" s="181">
        <v>0</v>
      </c>
      <c r="S924" s="181">
        <f>TOBEPAID!S698/1000</f>
        <v>0</v>
      </c>
      <c r="T924" s="181">
        <f>TOBEPAID!T698/1000</f>
        <v>0</v>
      </c>
      <c r="U924" s="181">
        <f>TOBEPAID!U698/1000</f>
        <v>0</v>
      </c>
      <c r="V924" s="181">
        <f>TOBEPAID!V698/1000</f>
        <v>0</v>
      </c>
      <c r="W924" s="181">
        <f>TOBEPAID!W698/1000</f>
        <v>0</v>
      </c>
      <c r="X924" s="181">
        <f>TOBEPAID!X698/1000</f>
        <v>0</v>
      </c>
      <c r="Y924" s="181">
        <f t="shared" ref="Y924:Y929" si="171">+H924+R924</f>
        <v>18072.803</v>
      </c>
      <c r="Z924" s="181">
        <f t="shared" si="170"/>
        <v>0</v>
      </c>
      <c r="AA924" s="181">
        <f>TOBEPAID!AA698/1000</f>
        <v>0</v>
      </c>
      <c r="AB924" s="181">
        <f>TOBEPAID!AB698/1000</f>
        <v>12106.72884</v>
      </c>
      <c r="AC924" s="181"/>
      <c r="AD924" s="181"/>
    </row>
    <row r="925" spans="1:30" x14ac:dyDescent="0.2">
      <c r="A925" s="180"/>
      <c r="C925" s="168" t="s">
        <v>36</v>
      </c>
      <c r="D925" s="181">
        <f>3000000/1000</f>
        <v>3000</v>
      </c>
      <c r="E925" s="181">
        <f>TOBEPAID!E699/1000</f>
        <v>3000</v>
      </c>
      <c r="F925" s="181">
        <f>TOBEPAID!F699/1000</f>
        <v>0</v>
      </c>
      <c r="G925" s="181">
        <f>TOBEPAID!G699/1000</f>
        <v>0</v>
      </c>
      <c r="H925" s="181">
        <f>TOBEPAID!H699/1000</f>
        <v>3000</v>
      </c>
      <c r="I925" s="181">
        <f>TOBEPAID!I699/1000</f>
        <v>0</v>
      </c>
      <c r="J925" s="181">
        <f>TOBEPAID!J699/1000</f>
        <v>0</v>
      </c>
      <c r="K925" s="181">
        <f>TOBEPAID!K699/1000</f>
        <v>0</v>
      </c>
      <c r="L925" s="181">
        <f>TOBEPAID!L699/1000</f>
        <v>0</v>
      </c>
      <c r="M925" s="181">
        <f>TOBEPAID!M699/1000</f>
        <v>0</v>
      </c>
      <c r="N925" s="181">
        <f>TOBEPAID!N699/1000</f>
        <v>3000</v>
      </c>
      <c r="O925" s="181">
        <f>TOBEPAID!O699/1000</f>
        <v>0</v>
      </c>
      <c r="P925" s="181">
        <f>TOBEPAID!P699/1000</f>
        <v>0</v>
      </c>
      <c r="Q925" s="181">
        <f>TOBEPAID!Q699/1000</f>
        <v>0</v>
      </c>
      <c r="R925" s="181">
        <v>0</v>
      </c>
      <c r="S925" s="181">
        <f>TOBEPAID!S699/1000</f>
        <v>0</v>
      </c>
      <c r="T925" s="181">
        <f>TOBEPAID!T699/1000</f>
        <v>0</v>
      </c>
      <c r="U925" s="181">
        <f>TOBEPAID!U699/1000</f>
        <v>0</v>
      </c>
      <c r="V925" s="181">
        <f>TOBEPAID!V699/1000</f>
        <v>0</v>
      </c>
      <c r="W925" s="181">
        <f>TOBEPAID!W699/1000</f>
        <v>0</v>
      </c>
      <c r="X925" s="181">
        <f>TOBEPAID!X699/1000</f>
        <v>0</v>
      </c>
      <c r="Y925" s="181">
        <f t="shared" si="171"/>
        <v>3000</v>
      </c>
      <c r="Z925" s="181">
        <f t="shared" si="170"/>
        <v>0</v>
      </c>
      <c r="AA925" s="181">
        <f>TOBEPAID!AA699/1000</f>
        <v>3000</v>
      </c>
      <c r="AB925" s="181">
        <f>TOBEPAID!AB699/1000</f>
        <v>0</v>
      </c>
      <c r="AC925" s="181"/>
      <c r="AD925" s="181"/>
    </row>
    <row r="926" spans="1:30" x14ac:dyDescent="0.2">
      <c r="A926" s="180"/>
      <c r="C926" s="168" t="s">
        <v>487</v>
      </c>
      <c r="D926" s="181">
        <f>383824000/1000</f>
        <v>383824</v>
      </c>
      <c r="E926" s="181"/>
      <c r="F926" s="181"/>
      <c r="G926" s="181"/>
      <c r="H926" s="181">
        <v>0</v>
      </c>
      <c r="I926" s="181"/>
      <c r="J926" s="181"/>
      <c r="K926" s="181"/>
      <c r="L926" s="181"/>
      <c r="M926" s="181"/>
      <c r="N926" s="181"/>
      <c r="O926" s="181"/>
      <c r="P926" s="181"/>
      <c r="Q926" s="181"/>
      <c r="R926" s="181">
        <v>0</v>
      </c>
      <c r="S926" s="181"/>
      <c r="T926" s="181"/>
      <c r="U926" s="181"/>
      <c r="V926" s="181"/>
      <c r="W926" s="181"/>
      <c r="X926" s="181"/>
      <c r="Y926" s="181">
        <f t="shared" si="171"/>
        <v>0</v>
      </c>
      <c r="Z926" s="181">
        <f>+D926-Y926</f>
        <v>383824</v>
      </c>
      <c r="AA926" s="181"/>
      <c r="AB926" s="181"/>
      <c r="AC926" s="181"/>
      <c r="AD926" s="181"/>
    </row>
    <row r="927" spans="1:30" x14ac:dyDescent="0.2">
      <c r="A927" s="180"/>
      <c r="C927" s="168" t="s">
        <v>398</v>
      </c>
      <c r="D927" s="181">
        <f>10000000/1000</f>
        <v>10000</v>
      </c>
      <c r="E927" s="181"/>
      <c r="F927" s="181"/>
      <c r="G927" s="181"/>
      <c r="H927" s="181">
        <f>10000000/1000</f>
        <v>10000</v>
      </c>
      <c r="I927" s="181"/>
      <c r="J927" s="181"/>
      <c r="K927" s="181"/>
      <c r="L927" s="181"/>
      <c r="M927" s="181"/>
      <c r="N927" s="181"/>
      <c r="O927" s="181"/>
      <c r="P927" s="181"/>
      <c r="Q927" s="181"/>
      <c r="R927" s="181">
        <v>0</v>
      </c>
      <c r="S927" s="181"/>
      <c r="T927" s="181"/>
      <c r="U927" s="181"/>
      <c r="V927" s="181"/>
      <c r="W927" s="181"/>
      <c r="X927" s="181"/>
      <c r="Y927" s="181">
        <f t="shared" si="171"/>
        <v>10000</v>
      </c>
      <c r="Z927" s="181">
        <f t="shared" si="170"/>
        <v>0</v>
      </c>
      <c r="AA927" s="181"/>
      <c r="AB927" s="181"/>
      <c r="AC927" s="181"/>
      <c r="AD927" s="181"/>
    </row>
    <row r="928" spans="1:30" x14ac:dyDescent="0.2">
      <c r="A928" s="180"/>
      <c r="C928" s="166" t="s">
        <v>37</v>
      </c>
      <c r="D928" s="181">
        <v>0</v>
      </c>
      <c r="E928" s="181">
        <f>TOBEPAID!E700/1000</f>
        <v>0</v>
      </c>
      <c r="F928" s="181">
        <f>TOBEPAID!F700/1000</f>
        <v>0</v>
      </c>
      <c r="G928" s="181">
        <f>TOBEPAID!G700/1000</f>
        <v>0</v>
      </c>
      <c r="H928" s="181">
        <f>TOBEPAID!H700/1000</f>
        <v>0</v>
      </c>
      <c r="I928" s="181">
        <f>TOBEPAID!I700/1000</f>
        <v>0</v>
      </c>
      <c r="J928" s="181">
        <f>TOBEPAID!J700/1000</f>
        <v>0</v>
      </c>
      <c r="K928" s="181">
        <f>TOBEPAID!K700/1000</f>
        <v>0</v>
      </c>
      <c r="L928" s="181">
        <f>TOBEPAID!L700/1000</f>
        <v>0</v>
      </c>
      <c r="M928" s="181">
        <f>TOBEPAID!M700/1000</f>
        <v>0</v>
      </c>
      <c r="N928" s="181">
        <f>TOBEPAID!N700/1000</f>
        <v>0</v>
      </c>
      <c r="O928" s="181">
        <f>TOBEPAID!O700/1000</f>
        <v>0</v>
      </c>
      <c r="P928" s="181">
        <f>TOBEPAID!P700/1000</f>
        <v>0</v>
      </c>
      <c r="Q928" s="181">
        <f>TOBEPAID!Q700/1000</f>
        <v>0</v>
      </c>
      <c r="R928" s="181">
        <v>0</v>
      </c>
      <c r="S928" s="181">
        <f>TOBEPAID!S700/1000</f>
        <v>0</v>
      </c>
      <c r="T928" s="181">
        <f>TOBEPAID!T700/1000</f>
        <v>0</v>
      </c>
      <c r="U928" s="181">
        <f>TOBEPAID!U700/1000</f>
        <v>0</v>
      </c>
      <c r="V928" s="181">
        <f>TOBEPAID!V700/1000</f>
        <v>0</v>
      </c>
      <c r="W928" s="181">
        <f>TOBEPAID!W700/1000</f>
        <v>0</v>
      </c>
      <c r="X928" s="181">
        <f>TOBEPAID!X700/1000</f>
        <v>0</v>
      </c>
      <c r="Y928" s="181">
        <f t="shared" si="171"/>
        <v>0</v>
      </c>
      <c r="Z928" s="181">
        <f t="shared" si="170"/>
        <v>0</v>
      </c>
      <c r="AA928" s="181">
        <f>TOBEPAID!AA700/1000</f>
        <v>0</v>
      </c>
      <c r="AB928" s="181">
        <f>TOBEPAID!AB700/1000</f>
        <v>5878.0789400000003</v>
      </c>
      <c r="AC928" s="181"/>
      <c r="AD928" s="181"/>
    </row>
    <row r="929" spans="1:30" ht="16.5" customHeight="1" x14ac:dyDescent="0.2">
      <c r="A929" s="180"/>
      <c r="C929" s="192" t="s">
        <v>39</v>
      </c>
      <c r="D929" s="181">
        <v>0</v>
      </c>
      <c r="E929" s="181">
        <f>TOBEPAID!E701/1000</f>
        <v>0</v>
      </c>
      <c r="F929" s="181">
        <f>TOBEPAID!F701/1000</f>
        <v>0</v>
      </c>
      <c r="G929" s="181">
        <f>TOBEPAID!G701/1000</f>
        <v>0</v>
      </c>
      <c r="H929" s="181">
        <f>TOBEPAID!H701/1000</f>
        <v>0</v>
      </c>
      <c r="I929" s="181">
        <f>TOBEPAID!I701/1000</f>
        <v>0</v>
      </c>
      <c r="J929" s="181">
        <f>TOBEPAID!J701/1000</f>
        <v>0</v>
      </c>
      <c r="K929" s="181">
        <f>TOBEPAID!K701/1000</f>
        <v>0</v>
      </c>
      <c r="L929" s="181">
        <f>TOBEPAID!L701/1000</f>
        <v>0</v>
      </c>
      <c r="M929" s="181">
        <f>TOBEPAID!M701/1000</f>
        <v>0</v>
      </c>
      <c r="N929" s="181">
        <f>TOBEPAID!N701/1000</f>
        <v>0</v>
      </c>
      <c r="O929" s="181">
        <f>TOBEPAID!O701/1000</f>
        <v>0</v>
      </c>
      <c r="P929" s="181">
        <f>TOBEPAID!P701/1000</f>
        <v>0</v>
      </c>
      <c r="Q929" s="181">
        <f>TOBEPAID!Q701/1000</f>
        <v>0</v>
      </c>
      <c r="R929" s="181">
        <v>0</v>
      </c>
      <c r="S929" s="181">
        <f>TOBEPAID!S701/1000</f>
        <v>0</v>
      </c>
      <c r="T929" s="181">
        <f>TOBEPAID!T701/1000</f>
        <v>0</v>
      </c>
      <c r="U929" s="181">
        <f>TOBEPAID!U701/1000</f>
        <v>0</v>
      </c>
      <c r="V929" s="181">
        <f>TOBEPAID!V701/1000</f>
        <v>0</v>
      </c>
      <c r="W929" s="181">
        <f>TOBEPAID!W701/1000</f>
        <v>0</v>
      </c>
      <c r="X929" s="181">
        <f>TOBEPAID!X701/1000</f>
        <v>0</v>
      </c>
      <c r="Y929" s="181">
        <f t="shared" si="171"/>
        <v>0</v>
      </c>
      <c r="Z929" s="181">
        <f t="shared" si="170"/>
        <v>0</v>
      </c>
      <c r="AA929" s="181">
        <f>TOBEPAID!AA701/1000</f>
        <v>0</v>
      </c>
      <c r="AB929" s="181">
        <f>TOBEPAID!AB701/1000</f>
        <v>87.995660000000001</v>
      </c>
      <c r="AC929" s="181"/>
      <c r="AD929" s="181"/>
    </row>
    <row r="930" spans="1:30" ht="16.5" customHeight="1" x14ac:dyDescent="0.2">
      <c r="A930" s="180"/>
      <c r="D930" s="182" t="s">
        <v>40</v>
      </c>
      <c r="E930" s="182" t="s">
        <v>40</v>
      </c>
      <c r="F930" s="182" t="s">
        <v>40</v>
      </c>
      <c r="G930" s="182"/>
      <c r="H930" s="182" t="s">
        <v>40</v>
      </c>
      <c r="I930" s="182" t="s">
        <v>40</v>
      </c>
      <c r="J930" s="182" t="s">
        <v>40</v>
      </c>
      <c r="K930" s="182" t="s">
        <v>40</v>
      </c>
      <c r="L930" s="182" t="s">
        <v>40</v>
      </c>
      <c r="M930" s="182"/>
      <c r="N930" s="182" t="s">
        <v>40</v>
      </c>
      <c r="O930" s="182" t="s">
        <v>40</v>
      </c>
      <c r="P930" s="182" t="s">
        <v>40</v>
      </c>
      <c r="Q930" s="182"/>
      <c r="R930" s="182" t="s">
        <v>40</v>
      </c>
      <c r="S930" s="182" t="s">
        <v>40</v>
      </c>
      <c r="T930" s="182" t="s">
        <v>40</v>
      </c>
      <c r="U930" s="182" t="s">
        <v>40</v>
      </c>
      <c r="V930" s="182" t="s">
        <v>40</v>
      </c>
      <c r="W930" s="182"/>
      <c r="X930" s="182" t="s">
        <v>40</v>
      </c>
      <c r="Y930" s="182" t="s">
        <v>40</v>
      </c>
      <c r="Z930" s="182" t="s">
        <v>40</v>
      </c>
      <c r="AA930" s="182" t="s">
        <v>40</v>
      </c>
      <c r="AB930" s="182" t="s">
        <v>40</v>
      </c>
      <c r="AC930" s="182"/>
      <c r="AD930" s="182"/>
    </row>
    <row r="931" spans="1:30" ht="16.5" customHeight="1" x14ac:dyDescent="0.2">
      <c r="A931" s="180"/>
      <c r="D931" s="181">
        <f>SUM(D924:D929)</f>
        <v>414896.80300000001</v>
      </c>
      <c r="E931" s="181">
        <f>SUM(E924:E929)</f>
        <v>3000</v>
      </c>
      <c r="F931" s="181">
        <f>SUM(F924:F929)</f>
        <v>0</v>
      </c>
      <c r="G931" s="181"/>
      <c r="H931" s="181">
        <f>SUM(H924:H929)</f>
        <v>31072.803</v>
      </c>
      <c r="I931" s="181">
        <f>SUM(I924:I929)</f>
        <v>0</v>
      </c>
      <c r="J931" s="181">
        <f>SUM(J924:J929)</f>
        <v>0</v>
      </c>
      <c r="K931" s="181">
        <f>SUM(K924:K929)</f>
        <v>0</v>
      </c>
      <c r="L931" s="181">
        <f>SUM(L924:L929)</f>
        <v>0</v>
      </c>
      <c r="M931" s="181"/>
      <c r="N931" s="181">
        <f>SUM(N924:N929)</f>
        <v>3000</v>
      </c>
      <c r="O931" s="181">
        <f>SUM(O924:O929)</f>
        <v>0</v>
      </c>
      <c r="P931" s="181">
        <f>SUM(P924:P929)</f>
        <v>0</v>
      </c>
      <c r="Q931" s="181"/>
      <c r="R931" s="181">
        <f>SUM(R924:R929)</f>
        <v>0</v>
      </c>
      <c r="S931" s="181">
        <f>SUM(S924:S929)</f>
        <v>0</v>
      </c>
      <c r="T931" s="181">
        <f>SUM(T924:T929)</f>
        <v>0</v>
      </c>
      <c r="U931" s="181">
        <f>SUM(U924:U929)</f>
        <v>0</v>
      </c>
      <c r="V931" s="181">
        <f>SUM(V924:V929)</f>
        <v>0</v>
      </c>
      <c r="W931" s="181"/>
      <c r="X931" s="181">
        <f>SUM(X924:X929)</f>
        <v>0</v>
      </c>
      <c r="Y931" s="181">
        <f>SUM(Y924:Y929)</f>
        <v>31072.803</v>
      </c>
      <c r="Z931" s="181">
        <f>SUM(Z924:Z929)</f>
        <v>383824</v>
      </c>
      <c r="AA931" s="181">
        <f>SUM(AA924:AA929)</f>
        <v>3000</v>
      </c>
      <c r="AB931" s="181">
        <f>SUM(AB924:AB929)</f>
        <v>18072.80344</v>
      </c>
      <c r="AC931" s="181"/>
      <c r="AD931" s="181"/>
    </row>
    <row r="932" spans="1:30" ht="16.5" customHeight="1" x14ac:dyDescent="0.2">
      <c r="A932" s="180"/>
      <c r="D932" s="182" t="s">
        <v>40</v>
      </c>
      <c r="E932" s="182" t="s">
        <v>40</v>
      </c>
      <c r="F932" s="182" t="s">
        <v>40</v>
      </c>
      <c r="G932" s="182"/>
      <c r="H932" s="182" t="s">
        <v>40</v>
      </c>
      <c r="I932" s="182" t="s">
        <v>40</v>
      </c>
      <c r="J932" s="182" t="s">
        <v>40</v>
      </c>
      <c r="K932" s="182" t="s">
        <v>40</v>
      </c>
      <c r="L932" s="182" t="s">
        <v>40</v>
      </c>
      <c r="M932" s="182"/>
      <c r="N932" s="182" t="s">
        <v>40</v>
      </c>
      <c r="O932" s="182" t="s">
        <v>40</v>
      </c>
      <c r="P932" s="182" t="s">
        <v>40</v>
      </c>
      <c r="Q932" s="182"/>
      <c r="R932" s="182" t="s">
        <v>40</v>
      </c>
      <c r="S932" s="182" t="s">
        <v>40</v>
      </c>
      <c r="T932" s="182" t="s">
        <v>40</v>
      </c>
      <c r="U932" s="182" t="s">
        <v>40</v>
      </c>
      <c r="V932" s="182" t="s">
        <v>40</v>
      </c>
      <c r="W932" s="182"/>
      <c r="X932" s="182" t="s">
        <v>40</v>
      </c>
      <c r="Y932" s="182" t="s">
        <v>40</v>
      </c>
      <c r="Z932" s="182" t="s">
        <v>40</v>
      </c>
      <c r="AA932" s="182" t="s">
        <v>40</v>
      </c>
      <c r="AB932" s="182" t="s">
        <v>40</v>
      </c>
      <c r="AC932" s="182"/>
      <c r="AD932" s="182"/>
    </row>
    <row r="933" spans="1:30" ht="16.5" customHeight="1" x14ac:dyDescent="0.2">
      <c r="A933" s="180"/>
      <c r="D933" s="182"/>
      <c r="E933" s="182"/>
      <c r="F933" s="182"/>
      <c r="G933" s="182"/>
      <c r="H933" s="182"/>
      <c r="I933" s="182"/>
      <c r="J933" s="182"/>
      <c r="K933" s="182"/>
      <c r="L933" s="182"/>
      <c r="M933" s="182"/>
      <c r="N933" s="182"/>
      <c r="O933" s="182"/>
      <c r="P933" s="182"/>
      <c r="Q933" s="182"/>
      <c r="R933" s="182"/>
      <c r="S933" s="182"/>
      <c r="T933" s="182"/>
      <c r="U933" s="182"/>
      <c r="V933" s="182"/>
      <c r="W933" s="182"/>
      <c r="X933" s="182"/>
      <c r="Y933" s="182"/>
      <c r="Z933" s="182"/>
      <c r="AA933" s="182"/>
      <c r="AB933" s="182"/>
      <c r="AC933" s="182"/>
      <c r="AD933" s="182"/>
    </row>
    <row r="934" spans="1:30" x14ac:dyDescent="0.2">
      <c r="A934" s="180">
        <v>70</v>
      </c>
      <c r="B934" s="166" t="s">
        <v>99</v>
      </c>
      <c r="C934" s="166" t="s">
        <v>35</v>
      </c>
      <c r="D934" s="181">
        <f>32258196/1000</f>
        <v>32258.196</v>
      </c>
      <c r="E934" s="181">
        <f>TOBEPAID!E706/1000</f>
        <v>0</v>
      </c>
      <c r="F934" s="181">
        <f>TOBEPAID!F706/1000</f>
        <v>0</v>
      </c>
      <c r="G934" s="181">
        <f>TOBEPAID!G706/1000</f>
        <v>0</v>
      </c>
      <c r="H934" s="181">
        <f>28860392/1000</f>
        <v>28860.392</v>
      </c>
      <c r="I934" s="181">
        <f>TOBEPAID!I706/1000</f>
        <v>0</v>
      </c>
      <c r="J934" s="181">
        <f>TOBEPAID!J706/1000</f>
        <v>0</v>
      </c>
      <c r="K934" s="181">
        <f>TOBEPAID!K706/1000</f>
        <v>0</v>
      </c>
      <c r="L934" s="181">
        <f>TOBEPAID!L706/1000</f>
        <v>0</v>
      </c>
      <c r="M934" s="181">
        <f>TOBEPAID!M706/1000</f>
        <v>0</v>
      </c>
      <c r="N934" s="181">
        <f>TOBEPAID!N706/1000</f>
        <v>0</v>
      </c>
      <c r="O934" s="181">
        <f>TOBEPAID!O706/1000</f>
        <v>0</v>
      </c>
      <c r="P934" s="181">
        <f>TOBEPAID!P706/1000</f>
        <v>0</v>
      </c>
      <c r="Q934" s="181">
        <f>TOBEPAID!Q706/1000</f>
        <v>0</v>
      </c>
      <c r="R934" s="181">
        <v>0</v>
      </c>
      <c r="S934" s="181">
        <f>TOBEPAID!S706/1000</f>
        <v>0</v>
      </c>
      <c r="T934" s="181">
        <f>TOBEPAID!T706/1000</f>
        <v>0</v>
      </c>
      <c r="U934" s="181">
        <f>TOBEPAID!U706/1000</f>
        <v>0</v>
      </c>
      <c r="V934" s="181">
        <f>TOBEPAID!V706/1000</f>
        <v>0</v>
      </c>
      <c r="W934" s="181">
        <f>TOBEPAID!W706/1000</f>
        <v>0</v>
      </c>
      <c r="X934" s="181">
        <f>TOBEPAID!X706/1000</f>
        <v>0</v>
      </c>
      <c r="Y934" s="181">
        <f t="shared" ref="Y934:Y940" si="172">+H934+R934</f>
        <v>28860.392</v>
      </c>
      <c r="Z934" s="181">
        <f t="shared" ref="Z934:Z940" si="173">+D934-Y934</f>
        <v>3397.8040000000001</v>
      </c>
      <c r="AA934" s="181">
        <f>TOBEPAID!AA706/1000</f>
        <v>0</v>
      </c>
      <c r="AB934" s="181">
        <f>TOBEPAID!AB706/1000</f>
        <v>10685.213609999999</v>
      </c>
      <c r="AC934" s="181"/>
      <c r="AD934" s="181"/>
    </row>
    <row r="935" spans="1:30" x14ac:dyDescent="0.2">
      <c r="A935" s="180"/>
      <c r="C935" s="168" t="s">
        <v>36</v>
      </c>
      <c r="D935" s="181">
        <f>1860315/1000</f>
        <v>1860.3150000000001</v>
      </c>
      <c r="E935" s="181">
        <f>TOBEPAID!E707/1000</f>
        <v>1860.3150000000001</v>
      </c>
      <c r="F935" s="181">
        <f>TOBEPAID!F707/1000</f>
        <v>0</v>
      </c>
      <c r="G935" s="181">
        <f>TOBEPAID!G707/1000</f>
        <v>0</v>
      </c>
      <c r="H935" s="181">
        <f>1860315/1000</f>
        <v>1860.3150000000001</v>
      </c>
      <c r="I935" s="181">
        <f>TOBEPAID!I707/1000</f>
        <v>0</v>
      </c>
      <c r="J935" s="181">
        <f>TOBEPAID!J707/1000</f>
        <v>0</v>
      </c>
      <c r="K935" s="181">
        <f>TOBEPAID!K707/1000</f>
        <v>0</v>
      </c>
      <c r="L935" s="181">
        <f>TOBEPAID!L707/1000</f>
        <v>0</v>
      </c>
      <c r="M935" s="181">
        <f>TOBEPAID!M707/1000</f>
        <v>0</v>
      </c>
      <c r="N935" s="181">
        <f>TOBEPAID!N707/1000</f>
        <v>1860.3150000000001</v>
      </c>
      <c r="O935" s="181">
        <f>TOBEPAID!O707/1000</f>
        <v>0</v>
      </c>
      <c r="P935" s="181">
        <f>TOBEPAID!P707/1000</f>
        <v>0</v>
      </c>
      <c r="Q935" s="181">
        <f>TOBEPAID!Q707/1000</f>
        <v>0</v>
      </c>
      <c r="R935" s="181">
        <v>0</v>
      </c>
      <c r="S935" s="181">
        <f>TOBEPAID!S707/1000</f>
        <v>0</v>
      </c>
      <c r="T935" s="181">
        <f>TOBEPAID!T707/1000</f>
        <v>0</v>
      </c>
      <c r="U935" s="181">
        <f>TOBEPAID!U707/1000</f>
        <v>0</v>
      </c>
      <c r="V935" s="181">
        <f>TOBEPAID!V707/1000</f>
        <v>0</v>
      </c>
      <c r="W935" s="181">
        <f>TOBEPAID!W707/1000</f>
        <v>0</v>
      </c>
      <c r="X935" s="181">
        <f>TOBEPAID!X707/1000</f>
        <v>0</v>
      </c>
      <c r="Y935" s="181">
        <f t="shared" si="172"/>
        <v>1860.3150000000001</v>
      </c>
      <c r="Z935" s="181">
        <f t="shared" si="173"/>
        <v>0</v>
      </c>
      <c r="AA935" s="181">
        <f>TOBEPAID!AA707/1000</f>
        <v>1860.3150000000001</v>
      </c>
      <c r="AB935" s="181">
        <f>TOBEPAID!AB707/1000</f>
        <v>0</v>
      </c>
      <c r="AC935" s="181"/>
      <c r="AD935" s="181"/>
    </row>
    <row r="936" spans="1:30" x14ac:dyDescent="0.2">
      <c r="A936" s="180"/>
      <c r="C936" s="165" t="s">
        <v>290</v>
      </c>
      <c r="D936" s="181">
        <f>199000000/1000</f>
        <v>199000</v>
      </c>
      <c r="E936" s="181"/>
      <c r="F936" s="181"/>
      <c r="G936" s="181"/>
      <c r="H936" s="181">
        <f>199000000/1000</f>
        <v>199000</v>
      </c>
      <c r="I936" s="181"/>
      <c r="J936" s="181"/>
      <c r="K936" s="181"/>
      <c r="L936" s="181"/>
      <c r="M936" s="181"/>
      <c r="N936" s="181"/>
      <c r="O936" s="181"/>
      <c r="P936" s="181"/>
      <c r="Q936" s="181"/>
      <c r="R936" s="181">
        <v>0</v>
      </c>
      <c r="S936" s="181"/>
      <c r="T936" s="181"/>
      <c r="U936" s="181"/>
      <c r="V936" s="181"/>
      <c r="W936" s="181"/>
      <c r="X936" s="181"/>
      <c r="Y936" s="181">
        <f t="shared" si="172"/>
        <v>199000</v>
      </c>
      <c r="Z936" s="181">
        <f t="shared" si="173"/>
        <v>0</v>
      </c>
      <c r="AA936" s="181"/>
      <c r="AB936" s="181"/>
      <c r="AC936" s="181"/>
      <c r="AD936" s="181"/>
    </row>
    <row r="937" spans="1:30" x14ac:dyDescent="0.2">
      <c r="A937" s="180"/>
      <c r="C937" s="165" t="s">
        <v>387</v>
      </c>
      <c r="D937" s="181">
        <f>12000000/1000</f>
        <v>12000</v>
      </c>
      <c r="E937" s="181"/>
      <c r="F937" s="181"/>
      <c r="G937" s="181"/>
      <c r="H937" s="181">
        <f>12000000/1000</f>
        <v>12000</v>
      </c>
      <c r="I937" s="181"/>
      <c r="J937" s="181"/>
      <c r="K937" s="181"/>
      <c r="L937" s="181"/>
      <c r="M937" s="181"/>
      <c r="N937" s="181"/>
      <c r="O937" s="181"/>
      <c r="P937" s="181"/>
      <c r="Q937" s="181"/>
      <c r="R937" s="181">
        <v>0</v>
      </c>
      <c r="S937" s="181"/>
      <c r="T937" s="181"/>
      <c r="U937" s="181"/>
      <c r="V937" s="181"/>
      <c r="W937" s="181"/>
      <c r="X937" s="181"/>
      <c r="Y937" s="181">
        <f t="shared" si="172"/>
        <v>12000</v>
      </c>
      <c r="Z937" s="181">
        <f t="shared" si="173"/>
        <v>0</v>
      </c>
      <c r="AA937" s="181"/>
      <c r="AB937" s="181"/>
      <c r="AC937" s="181"/>
      <c r="AD937" s="181"/>
    </row>
    <row r="938" spans="1:30" x14ac:dyDescent="0.2">
      <c r="C938" s="165" t="s">
        <v>314</v>
      </c>
      <c r="D938" s="181">
        <f>13000000/1000</f>
        <v>13000</v>
      </c>
      <c r="E938" s="181">
        <f>TOBEPAID!E708/1000</f>
        <v>13000</v>
      </c>
      <c r="F938" s="181">
        <f>TOBEPAID!F708/1000</f>
        <v>0</v>
      </c>
      <c r="G938" s="181">
        <f>TOBEPAID!G708/1000</f>
        <v>0</v>
      </c>
      <c r="H938" s="181">
        <f>13000000/1000</f>
        <v>13000</v>
      </c>
      <c r="I938" s="181">
        <f>TOBEPAID!I708/1000</f>
        <v>0</v>
      </c>
      <c r="J938" s="181">
        <f>TOBEPAID!J708/1000</f>
        <v>0</v>
      </c>
      <c r="K938" s="181">
        <f>TOBEPAID!K708/1000</f>
        <v>0</v>
      </c>
      <c r="L938" s="181">
        <f>TOBEPAID!L708/1000</f>
        <v>0</v>
      </c>
      <c r="M938" s="181">
        <f>TOBEPAID!M708/1000</f>
        <v>0</v>
      </c>
      <c r="N938" s="181">
        <f>TOBEPAID!N708/1000</f>
        <v>13000</v>
      </c>
      <c r="O938" s="181">
        <f>TOBEPAID!O708/1000</f>
        <v>0</v>
      </c>
      <c r="P938" s="181">
        <f>TOBEPAID!P708/1000</f>
        <v>0</v>
      </c>
      <c r="Q938" s="181">
        <f>TOBEPAID!Q708/1000</f>
        <v>0</v>
      </c>
      <c r="R938" s="181">
        <v>0</v>
      </c>
      <c r="S938" s="181">
        <f>TOBEPAID!S708/1000</f>
        <v>0</v>
      </c>
      <c r="T938" s="181">
        <f>TOBEPAID!T708/1000</f>
        <v>0</v>
      </c>
      <c r="U938" s="181">
        <f>TOBEPAID!U708/1000</f>
        <v>0</v>
      </c>
      <c r="V938" s="181">
        <f>TOBEPAID!V708/1000</f>
        <v>0</v>
      </c>
      <c r="W938" s="181">
        <f>TOBEPAID!W708/1000</f>
        <v>0</v>
      </c>
      <c r="X938" s="181">
        <f>TOBEPAID!X708/1000</f>
        <v>0</v>
      </c>
      <c r="Y938" s="181">
        <f t="shared" si="172"/>
        <v>13000</v>
      </c>
      <c r="Z938" s="181">
        <f t="shared" si="173"/>
        <v>0</v>
      </c>
      <c r="AA938" s="181">
        <f>TOBEPAID!AA708/1000</f>
        <v>13000</v>
      </c>
      <c r="AB938" s="181">
        <f>TOBEPAID!AB708/1000</f>
        <v>0</v>
      </c>
      <c r="AC938" s="181"/>
      <c r="AD938" s="181"/>
    </row>
    <row r="939" spans="1:30" ht="17.25" customHeight="1" x14ac:dyDescent="0.2">
      <c r="A939" s="180"/>
      <c r="C939" s="166" t="s">
        <v>37</v>
      </c>
      <c r="D939" s="181">
        <v>0</v>
      </c>
      <c r="E939" s="181">
        <f>TOBEPAID!E709/1000</f>
        <v>0</v>
      </c>
      <c r="F939" s="181">
        <f>TOBEPAID!F709/1000</f>
        <v>0</v>
      </c>
      <c r="G939" s="181">
        <f>TOBEPAID!G709/1000</f>
        <v>0</v>
      </c>
      <c r="H939" s="181">
        <v>0</v>
      </c>
      <c r="I939" s="181">
        <f>TOBEPAID!I709/1000</f>
        <v>0</v>
      </c>
      <c r="J939" s="181">
        <f>TOBEPAID!J709/1000</f>
        <v>0</v>
      </c>
      <c r="K939" s="181">
        <f>TOBEPAID!K709/1000</f>
        <v>0</v>
      </c>
      <c r="L939" s="181">
        <f>TOBEPAID!L709/1000</f>
        <v>0</v>
      </c>
      <c r="M939" s="181">
        <f>TOBEPAID!M709/1000</f>
        <v>0</v>
      </c>
      <c r="N939" s="181">
        <f>TOBEPAID!N709/1000</f>
        <v>0</v>
      </c>
      <c r="O939" s="181">
        <f>TOBEPAID!O709/1000</f>
        <v>0</v>
      </c>
      <c r="P939" s="181">
        <f>TOBEPAID!P709/1000</f>
        <v>0</v>
      </c>
      <c r="Q939" s="181">
        <f>TOBEPAID!Q709/1000</f>
        <v>0</v>
      </c>
      <c r="R939" s="181">
        <v>0</v>
      </c>
      <c r="S939" s="181">
        <f>TOBEPAID!S709/1000</f>
        <v>0</v>
      </c>
      <c r="T939" s="181">
        <f>TOBEPAID!T709/1000</f>
        <v>0</v>
      </c>
      <c r="U939" s="181">
        <f>TOBEPAID!U709/1000</f>
        <v>0</v>
      </c>
      <c r="V939" s="181">
        <f>TOBEPAID!V709/1000</f>
        <v>0</v>
      </c>
      <c r="W939" s="181">
        <f>TOBEPAID!W709/1000</f>
        <v>0</v>
      </c>
      <c r="X939" s="181">
        <f>TOBEPAID!X709/1000</f>
        <v>0</v>
      </c>
      <c r="Y939" s="181">
        <f t="shared" si="172"/>
        <v>0</v>
      </c>
      <c r="Z939" s="181">
        <f t="shared" si="173"/>
        <v>0</v>
      </c>
      <c r="AA939" s="181">
        <f>TOBEPAID!AA709/1000</f>
        <v>0</v>
      </c>
      <c r="AB939" s="181">
        <f>TOBEPAID!AB709/1000</f>
        <v>21381.87905</v>
      </c>
      <c r="AC939" s="181"/>
      <c r="AD939" s="181"/>
    </row>
    <row r="940" spans="1:30" x14ac:dyDescent="0.2">
      <c r="A940" s="180"/>
      <c r="C940" s="192" t="s">
        <v>39</v>
      </c>
      <c r="D940" s="181">
        <v>0</v>
      </c>
      <c r="E940" s="181">
        <f>TOBEPAID!E710/1000</f>
        <v>0</v>
      </c>
      <c r="F940" s="181">
        <f>TOBEPAID!F710/1000</f>
        <v>0</v>
      </c>
      <c r="G940" s="181">
        <f>TOBEPAID!G710/1000</f>
        <v>0</v>
      </c>
      <c r="H940" s="181">
        <v>0</v>
      </c>
      <c r="I940" s="181">
        <f>TOBEPAID!I710/1000</f>
        <v>0</v>
      </c>
      <c r="J940" s="181">
        <f>TOBEPAID!J710/1000</f>
        <v>0</v>
      </c>
      <c r="K940" s="181">
        <f>TOBEPAID!K710/1000</f>
        <v>0</v>
      </c>
      <c r="L940" s="181">
        <f>TOBEPAID!L710/1000</f>
        <v>0</v>
      </c>
      <c r="M940" s="181">
        <f>TOBEPAID!M710/1000</f>
        <v>0</v>
      </c>
      <c r="N940" s="181">
        <f>TOBEPAID!N710/1000</f>
        <v>0</v>
      </c>
      <c r="O940" s="181">
        <f>TOBEPAID!O710/1000</f>
        <v>0</v>
      </c>
      <c r="P940" s="181">
        <f>TOBEPAID!P710/1000</f>
        <v>0</v>
      </c>
      <c r="Q940" s="181">
        <f>TOBEPAID!Q710/1000</f>
        <v>0</v>
      </c>
      <c r="R940" s="181">
        <v>0</v>
      </c>
      <c r="S940" s="181">
        <f>TOBEPAID!S710/1000</f>
        <v>0</v>
      </c>
      <c r="T940" s="181">
        <f>TOBEPAID!T710/1000</f>
        <v>0</v>
      </c>
      <c r="U940" s="181">
        <f>TOBEPAID!U710/1000</f>
        <v>0</v>
      </c>
      <c r="V940" s="181">
        <f>TOBEPAID!V710/1000</f>
        <v>0</v>
      </c>
      <c r="W940" s="181">
        <f>TOBEPAID!W710/1000</f>
        <v>0</v>
      </c>
      <c r="X940" s="181">
        <f>TOBEPAID!X710/1000</f>
        <v>0</v>
      </c>
      <c r="Y940" s="181">
        <f t="shared" si="172"/>
        <v>0</v>
      </c>
      <c r="Z940" s="181">
        <f t="shared" si="173"/>
        <v>0</v>
      </c>
      <c r="AA940" s="181">
        <f>TOBEPAID!AA710/1000</f>
        <v>0</v>
      </c>
      <c r="AB940" s="181">
        <f>TOBEPAID!AB710/1000</f>
        <v>191.10427999999999</v>
      </c>
      <c r="AC940" s="181"/>
      <c r="AD940" s="181"/>
    </row>
    <row r="941" spans="1:30" x14ac:dyDescent="0.2">
      <c r="A941" s="180"/>
      <c r="D941" s="182" t="s">
        <v>40</v>
      </c>
      <c r="E941" s="182" t="s">
        <v>40</v>
      </c>
      <c r="F941" s="182" t="s">
        <v>40</v>
      </c>
      <c r="G941" s="182"/>
      <c r="H941" s="182" t="s">
        <v>40</v>
      </c>
      <c r="I941" s="182" t="s">
        <v>40</v>
      </c>
      <c r="J941" s="182" t="s">
        <v>40</v>
      </c>
      <c r="K941" s="182" t="s">
        <v>40</v>
      </c>
      <c r="L941" s="182" t="s">
        <v>40</v>
      </c>
      <c r="M941" s="182"/>
      <c r="N941" s="182" t="s">
        <v>40</v>
      </c>
      <c r="O941" s="182" t="s">
        <v>40</v>
      </c>
      <c r="P941" s="182" t="s">
        <v>40</v>
      </c>
      <c r="Q941" s="182"/>
      <c r="R941" s="182" t="s">
        <v>40</v>
      </c>
      <c r="S941" s="182" t="s">
        <v>40</v>
      </c>
      <c r="T941" s="182" t="s">
        <v>40</v>
      </c>
      <c r="U941" s="182" t="s">
        <v>40</v>
      </c>
      <c r="V941" s="182" t="s">
        <v>40</v>
      </c>
      <c r="W941" s="182"/>
      <c r="X941" s="182" t="s">
        <v>40</v>
      </c>
      <c r="Y941" s="182" t="s">
        <v>40</v>
      </c>
      <c r="Z941" s="182" t="s">
        <v>40</v>
      </c>
      <c r="AA941" s="182" t="s">
        <v>40</v>
      </c>
      <c r="AB941" s="182" t="s">
        <v>40</v>
      </c>
      <c r="AC941" s="182"/>
      <c r="AD941" s="182"/>
    </row>
    <row r="942" spans="1:30" ht="16.5" customHeight="1" x14ac:dyDescent="0.2">
      <c r="A942" s="180"/>
      <c r="B942" s="172"/>
      <c r="D942" s="181">
        <f>SUM(D934:D940)</f>
        <v>258118.511</v>
      </c>
      <c r="E942" s="181">
        <f>SUM(E934:E940)</f>
        <v>14860.315000000001</v>
      </c>
      <c r="F942" s="181">
        <f>SUM(F934:F940)</f>
        <v>0</v>
      </c>
      <c r="G942" s="181"/>
      <c r="H942" s="181">
        <f>SUM(H934:H940)</f>
        <v>254720.70699999999</v>
      </c>
      <c r="I942" s="181">
        <f>SUM(I934:I940)</f>
        <v>0</v>
      </c>
      <c r="J942" s="181">
        <f>SUM(J934:J940)</f>
        <v>0</v>
      </c>
      <c r="K942" s="181">
        <f>SUM(K934:K940)</f>
        <v>0</v>
      </c>
      <c r="L942" s="181">
        <f>SUM(L934:L940)</f>
        <v>0</v>
      </c>
      <c r="M942" s="181"/>
      <c r="N942" s="181">
        <f>SUM(N934:N940)</f>
        <v>14860.315000000001</v>
      </c>
      <c r="O942" s="181">
        <f>SUM(O934:O940)</f>
        <v>0</v>
      </c>
      <c r="P942" s="181">
        <f>SUM(P934:P940)</f>
        <v>0</v>
      </c>
      <c r="Q942" s="181"/>
      <c r="R942" s="181">
        <f>SUM(R934:R940)</f>
        <v>0</v>
      </c>
      <c r="S942" s="181">
        <f>SUM(S934:S940)</f>
        <v>0</v>
      </c>
      <c r="T942" s="181">
        <f>SUM(T934:T940)</f>
        <v>0</v>
      </c>
      <c r="U942" s="181">
        <f>SUM(U934:U940)</f>
        <v>0</v>
      </c>
      <c r="V942" s="181">
        <f>SUM(V934:V940)</f>
        <v>0</v>
      </c>
      <c r="W942" s="181"/>
      <c r="X942" s="181">
        <f>SUM(X934:X940)</f>
        <v>0</v>
      </c>
      <c r="Y942" s="181">
        <f>SUM(Y934:Y940)</f>
        <v>254720.70699999999</v>
      </c>
      <c r="Z942" s="181">
        <f>SUM(Z934:Z940)</f>
        <v>3397.8040000000001</v>
      </c>
      <c r="AA942" s="181">
        <f>SUM(AA934:AA940)</f>
        <v>14860.315000000001</v>
      </c>
      <c r="AB942" s="181">
        <f>SUM(AB934:AB940)</f>
        <v>32258.196939999998</v>
      </c>
      <c r="AC942" s="181"/>
      <c r="AD942" s="181"/>
    </row>
    <row r="943" spans="1:30" x14ac:dyDescent="0.2">
      <c r="A943" s="180"/>
      <c r="B943" s="165" t="s">
        <v>341</v>
      </c>
      <c r="D943" s="182" t="s">
        <v>40</v>
      </c>
      <c r="E943" s="182" t="s">
        <v>40</v>
      </c>
      <c r="F943" s="182" t="s">
        <v>40</v>
      </c>
      <c r="G943" s="182"/>
      <c r="H943" s="182" t="s">
        <v>40</v>
      </c>
      <c r="I943" s="182" t="s">
        <v>40</v>
      </c>
      <c r="J943" s="182" t="s">
        <v>40</v>
      </c>
      <c r="K943" s="182" t="s">
        <v>40</v>
      </c>
      <c r="L943" s="182" t="s">
        <v>40</v>
      </c>
      <c r="M943" s="182"/>
      <c r="N943" s="182" t="s">
        <v>40</v>
      </c>
      <c r="O943" s="182" t="s">
        <v>40</v>
      </c>
      <c r="P943" s="182" t="s">
        <v>40</v>
      </c>
      <c r="Q943" s="182"/>
      <c r="R943" s="182" t="s">
        <v>40</v>
      </c>
      <c r="S943" s="182" t="s">
        <v>40</v>
      </c>
      <c r="T943" s="182" t="s">
        <v>40</v>
      </c>
      <c r="U943" s="182" t="s">
        <v>40</v>
      </c>
      <c r="V943" s="182" t="s">
        <v>40</v>
      </c>
      <c r="W943" s="182"/>
      <c r="X943" s="182" t="s">
        <v>40</v>
      </c>
      <c r="Y943" s="182" t="s">
        <v>40</v>
      </c>
      <c r="Z943" s="182" t="s">
        <v>40</v>
      </c>
      <c r="AA943" s="182" t="s">
        <v>40</v>
      </c>
      <c r="AB943" s="182" t="s">
        <v>40</v>
      </c>
      <c r="AC943" s="182"/>
      <c r="AD943" s="182"/>
    </row>
    <row r="944" spans="1:30" ht="15.75" thickBot="1" x14ac:dyDescent="0.25">
      <c r="A944" s="180"/>
      <c r="B944" s="183" t="s">
        <v>292</v>
      </c>
      <c r="D944" s="184">
        <f>TOBEPAID!D714/1000</f>
        <v>235.27199999999999</v>
      </c>
      <c r="E944" s="181">
        <f>TOBEPAID!E714/1000</f>
        <v>0</v>
      </c>
      <c r="F944" s="181">
        <f>TOBEPAID!F714/1000</f>
        <v>0</v>
      </c>
      <c r="G944" s="181">
        <f>TOBEPAID!G714/1000</f>
        <v>0</v>
      </c>
      <c r="H944" s="181"/>
      <c r="I944" s="181">
        <f>TOBEPAID!I714/1000</f>
        <v>0</v>
      </c>
      <c r="J944" s="181">
        <f>TOBEPAID!J714/1000</f>
        <v>0</v>
      </c>
      <c r="K944" s="181">
        <f>TOBEPAID!K714/1000</f>
        <v>0</v>
      </c>
      <c r="L944" s="181">
        <f>TOBEPAID!L714/1000</f>
        <v>0</v>
      </c>
      <c r="M944" s="181">
        <f>TOBEPAID!M714/1000</f>
        <v>0</v>
      </c>
      <c r="N944" s="181">
        <f>TOBEPAID!N714/1000</f>
        <v>0</v>
      </c>
      <c r="O944" s="181">
        <f>TOBEPAID!O714/1000</f>
        <v>235.27199999999999</v>
      </c>
      <c r="P944" s="181">
        <f>TOBEPAID!P714/1000</f>
        <v>0</v>
      </c>
      <c r="Q944" s="181">
        <f>TOBEPAID!Q714/1000</f>
        <v>0</v>
      </c>
      <c r="R944" s="184">
        <f>TOBEPAID!R714/1000</f>
        <v>235.27199999999999</v>
      </c>
      <c r="S944" s="181">
        <f>TOBEPAID!S714/1000</f>
        <v>0</v>
      </c>
      <c r="T944" s="181">
        <f>TOBEPAID!T714/1000</f>
        <v>0</v>
      </c>
      <c r="U944" s="181">
        <f>TOBEPAID!U714/1000</f>
        <v>0</v>
      </c>
      <c r="V944" s="181">
        <f>TOBEPAID!V714/1000</f>
        <v>0</v>
      </c>
      <c r="W944" s="181">
        <f>TOBEPAID!W714/1000</f>
        <v>0</v>
      </c>
      <c r="X944" s="181">
        <f>TOBEPAID!X714/1000</f>
        <v>0</v>
      </c>
      <c r="Y944" s="184">
        <f>+H944+R944</f>
        <v>235.27199999999999</v>
      </c>
      <c r="Z944" s="184">
        <f>TOBEPAID!Z714/1000</f>
        <v>0</v>
      </c>
      <c r="AA944" s="181">
        <f>TOBEPAID!AA714/1000</f>
        <v>0</v>
      </c>
      <c r="AB944" s="181">
        <f>TOBEPAID!AB714/1000</f>
        <v>0</v>
      </c>
      <c r="AC944" s="181"/>
      <c r="AD944" s="181"/>
    </row>
    <row r="945" spans="1:30" ht="54.75" customHeight="1" thickTop="1" x14ac:dyDescent="0.2">
      <c r="A945" s="180">
        <v>71</v>
      </c>
      <c r="B945" s="192" t="s">
        <v>100</v>
      </c>
      <c r="C945" s="166" t="s">
        <v>35</v>
      </c>
      <c r="D945" s="181">
        <f>15863643/1000</f>
        <v>15863.643</v>
      </c>
      <c r="E945" s="181">
        <f>TOBEPAID!E715/1000</f>
        <v>0</v>
      </c>
      <c r="F945" s="181">
        <f>TOBEPAID!F715/1000</f>
        <v>0</v>
      </c>
      <c r="G945" s="181">
        <f>TOBEPAID!G715/1000</f>
        <v>0</v>
      </c>
      <c r="H945" s="181">
        <f>15200000/1000</f>
        <v>15200</v>
      </c>
      <c r="I945" s="181">
        <f>TOBEPAID!I715/1000</f>
        <v>0</v>
      </c>
      <c r="J945" s="181">
        <f>TOBEPAID!J715/1000</f>
        <v>0</v>
      </c>
      <c r="K945" s="181">
        <f>TOBEPAID!K715/1000</f>
        <v>0</v>
      </c>
      <c r="L945" s="181">
        <f>TOBEPAID!L715/1000</f>
        <v>0</v>
      </c>
      <c r="M945" s="181">
        <f>TOBEPAID!M715/1000</f>
        <v>0</v>
      </c>
      <c r="N945" s="181">
        <f>TOBEPAID!N715/1000</f>
        <v>0</v>
      </c>
      <c r="O945" s="181">
        <f>TOBEPAID!O715/1000</f>
        <v>115.7092</v>
      </c>
      <c r="P945" s="181">
        <f>TOBEPAID!P715/1000</f>
        <v>0</v>
      </c>
      <c r="Q945" s="181">
        <f>TOBEPAID!Q715/1000</f>
        <v>0</v>
      </c>
      <c r="R945" s="181">
        <f>115733.9/1000</f>
        <v>115.73389999999999</v>
      </c>
      <c r="S945" s="181">
        <f>TOBEPAID!S715/1000</f>
        <v>0</v>
      </c>
      <c r="T945" s="181">
        <f>TOBEPAID!T715/1000</f>
        <v>0</v>
      </c>
      <c r="U945" s="181">
        <f>TOBEPAID!U715/1000</f>
        <v>0</v>
      </c>
      <c r="V945" s="181">
        <f>TOBEPAID!V715/1000</f>
        <v>0</v>
      </c>
      <c r="W945" s="181">
        <f>TOBEPAID!W715/1000</f>
        <v>0</v>
      </c>
      <c r="X945" s="181">
        <f>TOBEPAID!X715/1000</f>
        <v>115.7092</v>
      </c>
      <c r="Y945" s="181">
        <f>+H945+R945</f>
        <v>15315.733899999999</v>
      </c>
      <c r="Z945" s="181">
        <f t="shared" ref="Z945:Z952" si="174">+D945-Y945</f>
        <v>547.90910000000076</v>
      </c>
      <c r="AA945" s="181">
        <f>TOBEPAID!AA715/1000</f>
        <v>115.7092</v>
      </c>
      <c r="AB945" s="181">
        <f>TOBEPAID!AB715/1000</f>
        <v>17723.614369999999</v>
      </c>
      <c r="AC945" s="181"/>
      <c r="AD945" s="181"/>
    </row>
    <row r="946" spans="1:30" ht="15.75" customHeight="1" x14ac:dyDescent="0.2">
      <c r="A946" s="180"/>
      <c r="B946" s="192"/>
      <c r="C946" s="166" t="s">
        <v>457</v>
      </c>
      <c r="D946" s="181">
        <f>96000000/1000</f>
        <v>96000</v>
      </c>
      <c r="E946" s="181"/>
      <c r="F946" s="181"/>
      <c r="G946" s="181"/>
      <c r="H946" s="181">
        <f>28552964/1000</f>
        <v>28552.964</v>
      </c>
      <c r="I946" s="181"/>
      <c r="J946" s="181"/>
      <c r="K946" s="181"/>
      <c r="L946" s="181"/>
      <c r="M946" s="181"/>
      <c r="N946" s="181"/>
      <c r="O946" s="181"/>
      <c r="P946" s="181"/>
      <c r="Q946" s="181"/>
      <c r="R946" s="181">
        <v>0</v>
      </c>
      <c r="S946" s="181"/>
      <c r="T946" s="181"/>
      <c r="U946" s="181"/>
      <c r="V946" s="181"/>
      <c r="W946" s="181"/>
      <c r="X946" s="181"/>
      <c r="Y946" s="181">
        <f t="shared" ref="Y946:Y952" si="175">+H946+R946</f>
        <v>28552.964</v>
      </c>
      <c r="Z946" s="181">
        <f t="shared" si="174"/>
        <v>67447.035999999993</v>
      </c>
      <c r="AA946" s="181"/>
      <c r="AB946" s="181"/>
      <c r="AC946" s="181"/>
      <c r="AD946" s="181"/>
    </row>
    <row r="947" spans="1:30" ht="15.75" customHeight="1" x14ac:dyDescent="0.2">
      <c r="A947" s="180"/>
      <c r="B947" s="192"/>
      <c r="C947" s="166" t="s">
        <v>468</v>
      </c>
      <c r="D947" s="181">
        <f>25000000/1000</f>
        <v>25000</v>
      </c>
      <c r="E947" s="181"/>
      <c r="F947" s="181"/>
      <c r="G947" s="181"/>
      <c r="H947" s="181">
        <f>10000000/1000</f>
        <v>10000</v>
      </c>
      <c r="I947" s="181"/>
      <c r="J947" s="181"/>
      <c r="K947" s="181"/>
      <c r="L947" s="181"/>
      <c r="M947" s="181"/>
      <c r="N947" s="181"/>
      <c r="O947" s="181"/>
      <c r="P947" s="181"/>
      <c r="Q947" s="181"/>
      <c r="R947" s="181">
        <v>0</v>
      </c>
      <c r="S947" s="181"/>
      <c r="T947" s="181"/>
      <c r="U947" s="181"/>
      <c r="V947" s="181"/>
      <c r="W947" s="181"/>
      <c r="X947" s="181"/>
      <c r="Y947" s="181">
        <f>+H947+R947</f>
        <v>10000</v>
      </c>
      <c r="Z947" s="181">
        <f>+D947-Y947</f>
        <v>15000</v>
      </c>
      <c r="AA947" s="181"/>
      <c r="AB947" s="181"/>
      <c r="AC947" s="181"/>
      <c r="AD947" s="181"/>
    </row>
    <row r="948" spans="1:30" x14ac:dyDescent="0.2">
      <c r="A948" s="180"/>
      <c r="B948" s="192"/>
      <c r="C948" s="168" t="s">
        <v>36</v>
      </c>
      <c r="D948" s="181">
        <f>2008032/1000</f>
        <v>2008.0319999999999</v>
      </c>
      <c r="E948" s="181">
        <f>TOBEPAID!E716/1000</f>
        <v>2008.0319999999999</v>
      </c>
      <c r="F948" s="181">
        <f>TOBEPAID!F716/1000</f>
        <v>0</v>
      </c>
      <c r="G948" s="181">
        <f>TOBEPAID!G716/1000</f>
        <v>0</v>
      </c>
      <c r="H948" s="181">
        <f>2008032/1000</f>
        <v>2008.0319999999999</v>
      </c>
      <c r="I948" s="181">
        <f>TOBEPAID!I716/1000</f>
        <v>0</v>
      </c>
      <c r="J948" s="181">
        <f>TOBEPAID!J716/1000</f>
        <v>0</v>
      </c>
      <c r="K948" s="181">
        <f>TOBEPAID!K716/1000</f>
        <v>0</v>
      </c>
      <c r="L948" s="181">
        <f>TOBEPAID!L716/1000</f>
        <v>0</v>
      </c>
      <c r="M948" s="181">
        <f>TOBEPAID!M716/1000</f>
        <v>0</v>
      </c>
      <c r="N948" s="181">
        <f>TOBEPAID!N716/1000</f>
        <v>2008.0319999999999</v>
      </c>
      <c r="O948" s="181">
        <f>TOBEPAID!O716/1000</f>
        <v>0</v>
      </c>
      <c r="P948" s="181">
        <f>TOBEPAID!P716/1000</f>
        <v>0</v>
      </c>
      <c r="Q948" s="181">
        <f>TOBEPAID!Q716/1000</f>
        <v>0</v>
      </c>
      <c r="R948" s="181">
        <v>0</v>
      </c>
      <c r="S948" s="181">
        <f>TOBEPAID!S716/1000</f>
        <v>0</v>
      </c>
      <c r="T948" s="181">
        <f>TOBEPAID!T716/1000</f>
        <v>0</v>
      </c>
      <c r="U948" s="181">
        <f>TOBEPAID!U716/1000</f>
        <v>0</v>
      </c>
      <c r="V948" s="181">
        <f>TOBEPAID!V716/1000</f>
        <v>0</v>
      </c>
      <c r="W948" s="181">
        <f>TOBEPAID!W716/1000</f>
        <v>0</v>
      </c>
      <c r="X948" s="181">
        <f>TOBEPAID!X716/1000</f>
        <v>0</v>
      </c>
      <c r="Y948" s="181">
        <f t="shared" si="175"/>
        <v>2008.0319999999999</v>
      </c>
      <c r="Z948" s="181">
        <f t="shared" si="174"/>
        <v>0</v>
      </c>
      <c r="AA948" s="181">
        <f>TOBEPAID!AA716/1000</f>
        <v>2008.0319999999999</v>
      </c>
      <c r="AB948" s="181">
        <f>TOBEPAID!AB716/1000</f>
        <v>0</v>
      </c>
      <c r="AC948" s="181"/>
      <c r="AD948" s="181"/>
    </row>
    <row r="949" spans="1:30" x14ac:dyDescent="0.2">
      <c r="C949" s="165" t="s">
        <v>375</v>
      </c>
      <c r="D949" s="181">
        <f>1500000/1000</f>
        <v>1500</v>
      </c>
      <c r="E949" s="181">
        <f>TOBEPAID!E717/1000</f>
        <v>0</v>
      </c>
      <c r="F949" s="181">
        <f>TOBEPAID!F717/1000</f>
        <v>1500</v>
      </c>
      <c r="G949" s="181">
        <f>TOBEPAID!G717/1000</f>
        <v>0</v>
      </c>
      <c r="H949" s="181">
        <f>1500000/1000</f>
        <v>1500</v>
      </c>
      <c r="I949" s="181">
        <f>TOBEPAID!I717/1000</f>
        <v>0</v>
      </c>
      <c r="J949" s="181">
        <f>TOBEPAID!J717/1000</f>
        <v>0</v>
      </c>
      <c r="K949" s="181">
        <f>TOBEPAID!K717/1000</f>
        <v>0</v>
      </c>
      <c r="L949" s="181">
        <f>TOBEPAID!L717/1000</f>
        <v>0</v>
      </c>
      <c r="M949" s="181">
        <f>TOBEPAID!M717/1000</f>
        <v>0</v>
      </c>
      <c r="N949" s="181">
        <f>TOBEPAID!N717/1000</f>
        <v>1500</v>
      </c>
      <c r="O949" s="181">
        <f>TOBEPAID!O717/1000</f>
        <v>0</v>
      </c>
      <c r="P949" s="181">
        <f>TOBEPAID!P717/1000</f>
        <v>0</v>
      </c>
      <c r="Q949" s="181">
        <f>TOBEPAID!Q717/1000</f>
        <v>0</v>
      </c>
      <c r="R949" s="181">
        <v>0</v>
      </c>
      <c r="S949" s="181">
        <f>TOBEPAID!S717/1000</f>
        <v>0</v>
      </c>
      <c r="T949" s="181">
        <f>TOBEPAID!T717/1000</f>
        <v>0</v>
      </c>
      <c r="U949" s="181">
        <f>TOBEPAID!U717/1000</f>
        <v>0</v>
      </c>
      <c r="V949" s="181">
        <f>TOBEPAID!V717/1000</f>
        <v>0</v>
      </c>
      <c r="W949" s="181">
        <f>TOBEPAID!W717/1000</f>
        <v>0</v>
      </c>
      <c r="X949" s="181">
        <f>TOBEPAID!X717/1000</f>
        <v>0</v>
      </c>
      <c r="Y949" s="181">
        <f t="shared" si="175"/>
        <v>1500</v>
      </c>
      <c r="Z949" s="181">
        <f t="shared" si="174"/>
        <v>0</v>
      </c>
      <c r="AA949" s="181">
        <f>TOBEPAID!AA717/1000</f>
        <v>1500</v>
      </c>
      <c r="AB949" s="181">
        <f>TOBEPAID!AB717/1000</f>
        <v>0</v>
      </c>
      <c r="AC949" s="181"/>
      <c r="AD949" s="181"/>
    </row>
    <row r="950" spans="1:30" x14ac:dyDescent="0.2">
      <c r="C950" s="165" t="s">
        <v>374</v>
      </c>
      <c r="D950" s="181">
        <f>1975680/1000</f>
        <v>1975.68</v>
      </c>
      <c r="E950" s="181"/>
      <c r="F950" s="181"/>
      <c r="G950" s="181"/>
      <c r="H950" s="181">
        <f>1975680/1000</f>
        <v>1975.68</v>
      </c>
      <c r="I950" s="181"/>
      <c r="J950" s="181"/>
      <c r="K950" s="181"/>
      <c r="L950" s="181"/>
      <c r="M950" s="181"/>
      <c r="N950" s="181"/>
      <c r="O950" s="181"/>
      <c r="P950" s="181"/>
      <c r="Q950" s="181"/>
      <c r="R950" s="181">
        <v>0</v>
      </c>
      <c r="S950" s="181"/>
      <c r="T950" s="181"/>
      <c r="U950" s="181"/>
      <c r="V950" s="181"/>
      <c r="W950" s="181"/>
      <c r="X950" s="181"/>
      <c r="Y950" s="181">
        <f t="shared" si="175"/>
        <v>1975.68</v>
      </c>
      <c r="Z950" s="181">
        <f t="shared" si="174"/>
        <v>0</v>
      </c>
      <c r="AA950" s="181"/>
      <c r="AB950" s="181"/>
      <c r="AC950" s="181"/>
      <c r="AD950" s="181"/>
    </row>
    <row r="951" spans="1:30" x14ac:dyDescent="0.2">
      <c r="A951" s="180"/>
      <c r="C951" s="166" t="s">
        <v>53</v>
      </c>
      <c r="D951" s="181">
        <v>0</v>
      </c>
      <c r="E951" s="181">
        <f>TOBEPAID!E718/1000</f>
        <v>0</v>
      </c>
      <c r="F951" s="181">
        <f>TOBEPAID!F718/1000</f>
        <v>0</v>
      </c>
      <c r="G951" s="181">
        <f>TOBEPAID!G718/1000</f>
        <v>0</v>
      </c>
      <c r="H951" s="181">
        <v>0</v>
      </c>
      <c r="I951" s="181">
        <f>TOBEPAID!I718/1000</f>
        <v>0</v>
      </c>
      <c r="J951" s="181">
        <f>TOBEPAID!J718/1000</f>
        <v>0</v>
      </c>
      <c r="K951" s="181">
        <f>TOBEPAID!K718/1000</f>
        <v>0</v>
      </c>
      <c r="L951" s="181">
        <f>TOBEPAID!L718/1000</f>
        <v>0</v>
      </c>
      <c r="M951" s="181">
        <f>TOBEPAID!M718/1000</f>
        <v>0</v>
      </c>
      <c r="N951" s="181">
        <f>TOBEPAID!N718/1000</f>
        <v>0</v>
      </c>
      <c r="O951" s="181">
        <f>TOBEPAID!O718/1000</f>
        <v>0</v>
      </c>
      <c r="P951" s="181">
        <f>TOBEPAID!P718/1000</f>
        <v>0</v>
      </c>
      <c r="Q951" s="181">
        <f>TOBEPAID!Q718/1000</f>
        <v>0</v>
      </c>
      <c r="R951" s="181">
        <v>0</v>
      </c>
      <c r="S951" s="181">
        <f>TOBEPAID!S718/1000</f>
        <v>0</v>
      </c>
      <c r="T951" s="181">
        <f>TOBEPAID!T718/1000</f>
        <v>0</v>
      </c>
      <c r="U951" s="181">
        <f>TOBEPAID!U718/1000</f>
        <v>0</v>
      </c>
      <c r="V951" s="181">
        <f>TOBEPAID!V718/1000</f>
        <v>0</v>
      </c>
      <c r="W951" s="181">
        <f>TOBEPAID!W718/1000</f>
        <v>0</v>
      </c>
      <c r="X951" s="181">
        <f>TOBEPAID!X718/1000</f>
        <v>0</v>
      </c>
      <c r="Y951" s="181">
        <f t="shared" si="175"/>
        <v>0</v>
      </c>
      <c r="Z951" s="181">
        <f t="shared" si="174"/>
        <v>0</v>
      </c>
      <c r="AA951" s="181">
        <f>TOBEPAID!AA718/1000</f>
        <v>0</v>
      </c>
      <c r="AB951" s="181">
        <f>TOBEPAID!AB718/1000</f>
        <v>0</v>
      </c>
      <c r="AC951" s="181"/>
      <c r="AD951" s="181"/>
    </row>
    <row r="952" spans="1:30" ht="16.5" customHeight="1" x14ac:dyDescent="0.2">
      <c r="A952" s="180"/>
      <c r="C952" s="166" t="s">
        <v>54</v>
      </c>
      <c r="D952" s="181">
        <f>802340/1000</f>
        <v>802.34</v>
      </c>
      <c r="E952" s="181">
        <f>TOBEPAID!E719/1000</f>
        <v>0</v>
      </c>
      <c r="F952" s="181">
        <f>TOBEPAID!F719/1000</f>
        <v>0</v>
      </c>
      <c r="G952" s="181">
        <f>TOBEPAID!G719/1000</f>
        <v>0</v>
      </c>
      <c r="H952" s="181">
        <v>0</v>
      </c>
      <c r="I952" s="181">
        <f>TOBEPAID!I719/1000</f>
        <v>0</v>
      </c>
      <c r="J952" s="181">
        <f>TOBEPAID!J719/1000</f>
        <v>0</v>
      </c>
      <c r="K952" s="181">
        <f>TOBEPAID!K719/1000</f>
        <v>0</v>
      </c>
      <c r="L952" s="181">
        <f>TOBEPAID!L719/1000</f>
        <v>0</v>
      </c>
      <c r="M952" s="181">
        <f>TOBEPAID!M719/1000</f>
        <v>0</v>
      </c>
      <c r="N952" s="181">
        <f>TOBEPAID!N719/1000</f>
        <v>0</v>
      </c>
      <c r="O952" s="181">
        <f>TOBEPAID!O719/1000</f>
        <v>0</v>
      </c>
      <c r="P952" s="181">
        <f>TOBEPAID!P719/1000</f>
        <v>0</v>
      </c>
      <c r="Q952" s="181">
        <f>TOBEPAID!Q719/1000</f>
        <v>0</v>
      </c>
      <c r="R952" s="181">
        <v>0</v>
      </c>
      <c r="S952" s="181">
        <f>TOBEPAID!S719/1000</f>
        <v>0</v>
      </c>
      <c r="T952" s="181">
        <f>TOBEPAID!T719/1000</f>
        <v>0</v>
      </c>
      <c r="U952" s="181">
        <f>TOBEPAID!U719/1000</f>
        <v>0</v>
      </c>
      <c r="V952" s="181">
        <f>TOBEPAID!V719/1000</f>
        <v>0</v>
      </c>
      <c r="W952" s="181">
        <f>TOBEPAID!W719/1000</f>
        <v>0</v>
      </c>
      <c r="X952" s="181">
        <f>TOBEPAID!X719/1000</f>
        <v>0</v>
      </c>
      <c r="Y952" s="181">
        <f t="shared" si="175"/>
        <v>0</v>
      </c>
      <c r="Z952" s="181">
        <f t="shared" si="174"/>
        <v>802.34</v>
      </c>
      <c r="AA952" s="181">
        <f>TOBEPAID!AA719/1000</f>
        <v>0</v>
      </c>
      <c r="AB952" s="181">
        <f>TOBEPAID!AB719/1000</f>
        <v>802.34088999999994</v>
      </c>
      <c r="AC952" s="181"/>
      <c r="AD952" s="181"/>
    </row>
    <row r="953" spans="1:30" ht="16.5" customHeight="1" x14ac:dyDescent="0.2">
      <c r="A953" s="180"/>
      <c r="D953" s="182" t="s">
        <v>40</v>
      </c>
      <c r="E953" s="182" t="s">
        <v>40</v>
      </c>
      <c r="F953" s="182" t="s">
        <v>40</v>
      </c>
      <c r="G953" s="182"/>
      <c r="H953" s="182" t="s">
        <v>40</v>
      </c>
      <c r="I953" s="182" t="s">
        <v>40</v>
      </c>
      <c r="J953" s="182" t="s">
        <v>40</v>
      </c>
      <c r="K953" s="182" t="s">
        <v>40</v>
      </c>
      <c r="L953" s="182" t="s">
        <v>40</v>
      </c>
      <c r="M953" s="182"/>
      <c r="N953" s="182" t="s">
        <v>40</v>
      </c>
      <c r="O953" s="182" t="s">
        <v>40</v>
      </c>
      <c r="P953" s="182" t="s">
        <v>40</v>
      </c>
      <c r="Q953" s="182"/>
      <c r="R953" s="182" t="s">
        <v>40</v>
      </c>
      <c r="S953" s="182" t="s">
        <v>40</v>
      </c>
      <c r="T953" s="182" t="s">
        <v>40</v>
      </c>
      <c r="U953" s="182" t="s">
        <v>40</v>
      </c>
      <c r="V953" s="182" t="s">
        <v>40</v>
      </c>
      <c r="W953" s="182"/>
      <c r="X953" s="182" t="s">
        <v>40</v>
      </c>
      <c r="Y953" s="182" t="s">
        <v>40</v>
      </c>
      <c r="Z953" s="182" t="s">
        <v>40</v>
      </c>
      <c r="AA953" s="182" t="s">
        <v>40</v>
      </c>
      <c r="AB953" s="182" t="s">
        <v>40</v>
      </c>
      <c r="AC953" s="182"/>
      <c r="AD953" s="182"/>
    </row>
    <row r="954" spans="1:30" ht="16.5" customHeight="1" x14ac:dyDescent="0.2">
      <c r="A954" s="180"/>
      <c r="D954" s="181">
        <f>SUM(D945:D952)</f>
        <v>143149.69499999998</v>
      </c>
      <c r="E954" s="181">
        <f>SUM(E945:E952)</f>
        <v>2008.0319999999999</v>
      </c>
      <c r="F954" s="181">
        <f>SUM(F945:F952)</f>
        <v>1500</v>
      </c>
      <c r="G954" s="181"/>
      <c r="H954" s="181">
        <f>SUM(H945:H952)</f>
        <v>59236.675999999999</v>
      </c>
      <c r="I954" s="181">
        <f>SUM(I945:I952)</f>
        <v>0</v>
      </c>
      <c r="J954" s="181">
        <f>SUM(J945:J952)</f>
        <v>0</v>
      </c>
      <c r="K954" s="181">
        <f>SUM(K945:K952)</f>
        <v>0</v>
      </c>
      <c r="L954" s="181">
        <f>SUM(L945:L952)</f>
        <v>0</v>
      </c>
      <c r="M954" s="181"/>
      <c r="N954" s="181">
        <f>SUM(N945:N952)</f>
        <v>3508.0320000000002</v>
      </c>
      <c r="O954" s="181">
        <f>SUM(O945:O952)</f>
        <v>115.7092</v>
      </c>
      <c r="P954" s="181">
        <f>SUM(P945:P952)</f>
        <v>0</v>
      </c>
      <c r="Q954" s="181"/>
      <c r="R954" s="181">
        <f>SUM(R945:R952)</f>
        <v>115.73389999999999</v>
      </c>
      <c r="S954" s="181">
        <f>SUM(S945:S952)</f>
        <v>0</v>
      </c>
      <c r="T954" s="181">
        <f>SUM(T945:T952)</f>
        <v>0</v>
      </c>
      <c r="U954" s="181">
        <f>SUM(U945:U952)</f>
        <v>0</v>
      </c>
      <c r="V954" s="181">
        <f>SUM(V945:V952)</f>
        <v>0</v>
      </c>
      <c r="W954" s="181"/>
      <c r="X954" s="181">
        <f>SUM(X945:X952)</f>
        <v>115.7092</v>
      </c>
      <c r="Y954" s="181">
        <f>SUM(Y945:Y952)</f>
        <v>59352.409899999999</v>
      </c>
      <c r="Z954" s="181">
        <f>SUM(Z945:Z952)</f>
        <v>83797.285099999994</v>
      </c>
      <c r="AA954" s="181">
        <f>SUM(AA945:AA952)</f>
        <v>3623.7411999999999</v>
      </c>
      <c r="AB954" s="181">
        <f>SUM(AB945:AB952)</f>
        <v>18525.955259999999</v>
      </c>
      <c r="AC954" s="181"/>
      <c r="AD954" s="181"/>
    </row>
    <row r="955" spans="1:30" ht="16.5" customHeight="1" x14ac:dyDescent="0.2">
      <c r="A955" s="180"/>
      <c r="B955" s="172"/>
      <c r="D955" s="182" t="s">
        <v>40</v>
      </c>
      <c r="E955" s="182" t="s">
        <v>40</v>
      </c>
      <c r="F955" s="182" t="s">
        <v>40</v>
      </c>
      <c r="G955" s="182"/>
      <c r="H955" s="182" t="s">
        <v>40</v>
      </c>
      <c r="I955" s="182" t="s">
        <v>40</v>
      </c>
      <c r="J955" s="182" t="s">
        <v>40</v>
      </c>
      <c r="K955" s="182" t="s">
        <v>40</v>
      </c>
      <c r="L955" s="182" t="s">
        <v>40</v>
      </c>
      <c r="M955" s="182"/>
      <c r="N955" s="182" t="s">
        <v>40</v>
      </c>
      <c r="O955" s="182" t="s">
        <v>40</v>
      </c>
      <c r="P955" s="182" t="s">
        <v>40</v>
      </c>
      <c r="Q955" s="182"/>
      <c r="R955" s="182" t="s">
        <v>40</v>
      </c>
      <c r="S955" s="182" t="s">
        <v>40</v>
      </c>
      <c r="T955" s="182" t="s">
        <v>40</v>
      </c>
      <c r="U955" s="182" t="s">
        <v>40</v>
      </c>
      <c r="V955" s="182" t="s">
        <v>40</v>
      </c>
      <c r="W955" s="182"/>
      <c r="X955" s="182" t="s">
        <v>40</v>
      </c>
      <c r="Y955" s="182" t="s">
        <v>40</v>
      </c>
      <c r="Z955" s="182" t="s">
        <v>40</v>
      </c>
      <c r="AA955" s="182" t="s">
        <v>40</v>
      </c>
      <c r="AB955" s="182" t="s">
        <v>40</v>
      </c>
      <c r="AC955" s="182"/>
      <c r="AD955" s="182"/>
    </row>
    <row r="956" spans="1:30" ht="16.5" customHeight="1" x14ac:dyDescent="0.2">
      <c r="A956" s="180"/>
      <c r="B956" s="172"/>
      <c r="D956" s="182"/>
      <c r="E956" s="182"/>
      <c r="F956" s="182"/>
      <c r="G956" s="182"/>
      <c r="H956" s="182"/>
      <c r="I956" s="182"/>
      <c r="J956" s="182"/>
      <c r="K956" s="182"/>
      <c r="L956" s="182"/>
      <c r="M956" s="182"/>
      <c r="N956" s="182"/>
      <c r="O956" s="182"/>
      <c r="P956" s="182"/>
      <c r="Q956" s="220"/>
      <c r="R956" s="182"/>
      <c r="S956" s="182"/>
      <c r="T956" s="182"/>
      <c r="U956" s="182"/>
      <c r="V956" s="191"/>
      <c r="W956" s="182"/>
      <c r="X956" s="182"/>
      <c r="Y956" s="182"/>
      <c r="Z956" s="182"/>
      <c r="AA956" s="182"/>
      <c r="AB956" s="182"/>
      <c r="AC956" s="182"/>
      <c r="AD956" s="182"/>
    </row>
    <row r="957" spans="1:30" x14ac:dyDescent="0.2">
      <c r="A957" s="180"/>
      <c r="B957" s="172"/>
      <c r="D957" s="182"/>
      <c r="E957" s="182"/>
      <c r="F957" s="182"/>
      <c r="G957" s="182"/>
      <c r="H957" s="182"/>
      <c r="I957" s="182"/>
      <c r="J957" s="182"/>
      <c r="K957" s="182"/>
      <c r="L957" s="182"/>
      <c r="M957" s="182"/>
      <c r="N957" s="182"/>
      <c r="O957" s="182"/>
      <c r="P957" s="182"/>
      <c r="Q957" s="182"/>
      <c r="R957" s="182"/>
      <c r="S957" s="182"/>
      <c r="T957" s="182"/>
      <c r="U957" s="182"/>
      <c r="V957" s="182"/>
      <c r="W957" s="182"/>
      <c r="X957" s="182"/>
      <c r="Y957" s="182"/>
      <c r="Z957" s="182"/>
      <c r="AA957" s="182"/>
      <c r="AB957" s="182"/>
      <c r="AC957" s="182"/>
      <c r="AD957" s="182"/>
    </row>
    <row r="958" spans="1:30" x14ac:dyDescent="0.2">
      <c r="A958" s="180">
        <v>72</v>
      </c>
      <c r="B958" s="192" t="s">
        <v>101</v>
      </c>
      <c r="C958" s="168" t="s">
        <v>35</v>
      </c>
      <c r="D958" s="181">
        <v>0</v>
      </c>
      <c r="E958" s="181">
        <f>TOBEPAID!E726/1000</f>
        <v>0</v>
      </c>
      <c r="F958" s="181">
        <f>TOBEPAID!F726/1000</f>
        <v>0</v>
      </c>
      <c r="G958" s="181">
        <f>TOBEPAID!G726/1000</f>
        <v>0</v>
      </c>
      <c r="H958" s="181">
        <v>0</v>
      </c>
      <c r="I958" s="181">
        <f>TOBEPAID!I726/1000</f>
        <v>0</v>
      </c>
      <c r="J958" s="181">
        <f>TOBEPAID!J726/1000</f>
        <v>0</v>
      </c>
      <c r="K958" s="181">
        <f>TOBEPAID!K726/1000</f>
        <v>0</v>
      </c>
      <c r="L958" s="181">
        <f>TOBEPAID!L726/1000</f>
        <v>0</v>
      </c>
      <c r="M958" s="181">
        <f>TOBEPAID!M726/1000</f>
        <v>0</v>
      </c>
      <c r="N958" s="181">
        <f>TOBEPAID!N726/1000</f>
        <v>0</v>
      </c>
      <c r="O958" s="181">
        <f>TOBEPAID!O726/1000</f>
        <v>0</v>
      </c>
      <c r="P958" s="181">
        <f>TOBEPAID!P726/1000</f>
        <v>0</v>
      </c>
      <c r="Q958" s="181">
        <f>TOBEPAID!Q726/1000</f>
        <v>0</v>
      </c>
      <c r="R958" s="181">
        <v>0</v>
      </c>
      <c r="S958" s="181">
        <f>TOBEPAID!S726/1000</f>
        <v>0</v>
      </c>
      <c r="T958" s="181">
        <f>TOBEPAID!T726/1000</f>
        <v>0</v>
      </c>
      <c r="U958" s="181">
        <f>TOBEPAID!U726/1000</f>
        <v>0</v>
      </c>
      <c r="V958" s="181">
        <f>TOBEPAID!V726/1000</f>
        <v>0</v>
      </c>
      <c r="W958" s="181">
        <f>TOBEPAID!W726/1000</f>
        <v>0</v>
      </c>
      <c r="X958" s="181">
        <f>TOBEPAID!X726/1000</f>
        <v>0</v>
      </c>
      <c r="Y958" s="181">
        <f>+H958+R958</f>
        <v>0</v>
      </c>
      <c r="Z958" s="181">
        <f>+D958-Y958</f>
        <v>0</v>
      </c>
      <c r="AA958" s="181">
        <f>TOBEPAID!AA726/1000</f>
        <v>0</v>
      </c>
      <c r="AB958" s="181">
        <f>TOBEPAID!AB726/1000</f>
        <v>0</v>
      </c>
      <c r="AC958" s="181"/>
      <c r="AD958" s="181"/>
    </row>
    <row r="959" spans="1:30" ht="16.5" customHeight="1" x14ac:dyDescent="0.2">
      <c r="A959" s="180"/>
      <c r="C959" s="168" t="s">
        <v>36</v>
      </c>
      <c r="D959" s="181">
        <f>140000/1000</f>
        <v>140</v>
      </c>
      <c r="E959" s="181">
        <f>TOBEPAID!E727/1000</f>
        <v>140</v>
      </c>
      <c r="F959" s="181">
        <f>TOBEPAID!F727/1000</f>
        <v>0</v>
      </c>
      <c r="G959" s="181">
        <f>TOBEPAID!G727/1000</f>
        <v>0</v>
      </c>
      <c r="H959" s="181">
        <f>140000/1000</f>
        <v>140</v>
      </c>
      <c r="I959" s="181">
        <f>TOBEPAID!I727/1000</f>
        <v>0</v>
      </c>
      <c r="J959" s="181">
        <f>TOBEPAID!J727/1000</f>
        <v>0</v>
      </c>
      <c r="K959" s="181">
        <f>TOBEPAID!K727/1000</f>
        <v>0</v>
      </c>
      <c r="L959" s="181">
        <f>TOBEPAID!L727/1000</f>
        <v>0</v>
      </c>
      <c r="M959" s="181">
        <f>TOBEPAID!M727/1000</f>
        <v>0</v>
      </c>
      <c r="N959" s="181">
        <f>TOBEPAID!N727/1000</f>
        <v>140</v>
      </c>
      <c r="O959" s="181">
        <f>TOBEPAID!O727/1000</f>
        <v>0</v>
      </c>
      <c r="P959" s="181">
        <f>TOBEPAID!P727/1000</f>
        <v>0</v>
      </c>
      <c r="Q959" s="181">
        <f>TOBEPAID!Q727/1000</f>
        <v>0</v>
      </c>
      <c r="R959" s="181">
        <v>0</v>
      </c>
      <c r="S959" s="181">
        <f>TOBEPAID!S727/1000</f>
        <v>0</v>
      </c>
      <c r="T959" s="181">
        <f>TOBEPAID!T727/1000</f>
        <v>0</v>
      </c>
      <c r="U959" s="181">
        <f>TOBEPAID!U727/1000</f>
        <v>0</v>
      </c>
      <c r="V959" s="181">
        <f>TOBEPAID!V727/1000</f>
        <v>0</v>
      </c>
      <c r="W959" s="181">
        <f>TOBEPAID!W727/1000</f>
        <v>0</v>
      </c>
      <c r="X959" s="181">
        <f>TOBEPAID!X727/1000</f>
        <v>0</v>
      </c>
      <c r="Y959" s="181">
        <f>+H959+R959</f>
        <v>140</v>
      </c>
      <c r="Z959" s="181">
        <f>+D959-Y959</f>
        <v>0</v>
      </c>
      <c r="AA959" s="181">
        <f>TOBEPAID!AA727/1000</f>
        <v>140</v>
      </c>
      <c r="AB959" s="181">
        <f>TOBEPAID!AB727/1000</f>
        <v>0</v>
      </c>
      <c r="AC959" s="181"/>
      <c r="AD959" s="181"/>
    </row>
    <row r="960" spans="1:30" x14ac:dyDescent="0.2">
      <c r="A960" s="180"/>
      <c r="C960" s="168" t="s">
        <v>76</v>
      </c>
      <c r="D960" s="181">
        <v>0</v>
      </c>
      <c r="E960" s="181">
        <f>TOBEPAID!E728/1000</f>
        <v>0</v>
      </c>
      <c r="F960" s="181">
        <f>TOBEPAID!F728/1000</f>
        <v>0</v>
      </c>
      <c r="G960" s="181">
        <f>TOBEPAID!G728/1000</f>
        <v>0</v>
      </c>
      <c r="H960" s="181">
        <v>0</v>
      </c>
      <c r="I960" s="181">
        <f>TOBEPAID!I728/1000</f>
        <v>0</v>
      </c>
      <c r="J960" s="181">
        <f>TOBEPAID!J728/1000</f>
        <v>0</v>
      </c>
      <c r="K960" s="181">
        <f>TOBEPAID!K728/1000</f>
        <v>0</v>
      </c>
      <c r="L960" s="181">
        <f>TOBEPAID!L728/1000</f>
        <v>0</v>
      </c>
      <c r="M960" s="181">
        <f>TOBEPAID!M728/1000</f>
        <v>0</v>
      </c>
      <c r="N960" s="181">
        <f>TOBEPAID!N728/1000</f>
        <v>0</v>
      </c>
      <c r="O960" s="181">
        <f>TOBEPAID!O728/1000</f>
        <v>0</v>
      </c>
      <c r="P960" s="181">
        <f>TOBEPAID!P728/1000</f>
        <v>0</v>
      </c>
      <c r="Q960" s="181">
        <f>TOBEPAID!Q728/1000</f>
        <v>0</v>
      </c>
      <c r="R960" s="181">
        <v>0</v>
      </c>
      <c r="S960" s="181">
        <f>TOBEPAID!S728/1000</f>
        <v>0</v>
      </c>
      <c r="T960" s="181">
        <f>TOBEPAID!T728/1000</f>
        <v>0</v>
      </c>
      <c r="U960" s="181">
        <f>TOBEPAID!U728/1000</f>
        <v>0</v>
      </c>
      <c r="V960" s="181">
        <f>TOBEPAID!V728/1000</f>
        <v>0</v>
      </c>
      <c r="W960" s="181">
        <f>TOBEPAID!W728/1000</f>
        <v>0</v>
      </c>
      <c r="X960" s="181">
        <f>TOBEPAID!X728/1000</f>
        <v>0</v>
      </c>
      <c r="Y960" s="181">
        <f>+H960+R960</f>
        <v>0</v>
      </c>
      <c r="Z960" s="181">
        <f>+D960-Y960</f>
        <v>0</v>
      </c>
      <c r="AA960" s="181">
        <f>TOBEPAID!AA728/1000</f>
        <v>0</v>
      </c>
      <c r="AB960" s="181">
        <f>TOBEPAID!AB728/1000</f>
        <v>0</v>
      </c>
      <c r="AC960" s="181"/>
      <c r="AD960" s="181"/>
    </row>
    <row r="961" spans="1:45" x14ac:dyDescent="0.2">
      <c r="A961" s="180"/>
      <c r="D961" s="182" t="s">
        <v>40</v>
      </c>
      <c r="E961" s="182" t="s">
        <v>40</v>
      </c>
      <c r="F961" s="182" t="s">
        <v>40</v>
      </c>
      <c r="G961" s="182"/>
      <c r="H961" s="182" t="s">
        <v>40</v>
      </c>
      <c r="I961" s="182" t="s">
        <v>40</v>
      </c>
      <c r="J961" s="182" t="s">
        <v>40</v>
      </c>
      <c r="K961" s="182" t="s">
        <v>40</v>
      </c>
      <c r="L961" s="182" t="s">
        <v>40</v>
      </c>
      <c r="M961" s="182"/>
      <c r="N961" s="182" t="s">
        <v>40</v>
      </c>
      <c r="O961" s="182" t="s">
        <v>40</v>
      </c>
      <c r="P961" s="182" t="s">
        <v>40</v>
      </c>
      <c r="Q961" s="182"/>
      <c r="R961" s="182" t="s">
        <v>40</v>
      </c>
      <c r="S961" s="182" t="s">
        <v>40</v>
      </c>
      <c r="T961" s="182" t="s">
        <v>40</v>
      </c>
      <c r="U961" s="182" t="s">
        <v>40</v>
      </c>
      <c r="V961" s="182" t="s">
        <v>40</v>
      </c>
      <c r="W961" s="182"/>
      <c r="X961" s="182" t="s">
        <v>40</v>
      </c>
      <c r="Y961" s="182" t="s">
        <v>40</v>
      </c>
      <c r="Z961" s="182" t="s">
        <v>40</v>
      </c>
      <c r="AA961" s="182" t="s">
        <v>40</v>
      </c>
      <c r="AB961" s="182" t="s">
        <v>40</v>
      </c>
      <c r="AC961" s="182"/>
      <c r="AD961" s="182"/>
    </row>
    <row r="962" spans="1:45" ht="15" customHeight="1" x14ac:dyDescent="0.2">
      <c r="A962" s="180"/>
      <c r="D962" s="181">
        <f>SUM(D958:D960)</f>
        <v>140</v>
      </c>
      <c r="E962" s="181">
        <f>SUM(E958:E960)</f>
        <v>140</v>
      </c>
      <c r="F962" s="181">
        <f>SUM(F958:F960)</f>
        <v>0</v>
      </c>
      <c r="G962" s="181"/>
      <c r="H962" s="181">
        <f>SUM(H958:H960)</f>
        <v>140</v>
      </c>
      <c r="I962" s="181">
        <f>SUM(I958:I960)</f>
        <v>0</v>
      </c>
      <c r="J962" s="181">
        <f>SUM(J958:J960)</f>
        <v>0</v>
      </c>
      <c r="K962" s="181">
        <f>SUM(K958:K960)</f>
        <v>0</v>
      </c>
      <c r="L962" s="181">
        <f>SUM(L958:L960)</f>
        <v>0</v>
      </c>
      <c r="M962" s="181"/>
      <c r="N962" s="181">
        <f>SUM(N958:N960)</f>
        <v>140</v>
      </c>
      <c r="O962" s="181">
        <f>SUM(O958:O960)</f>
        <v>0</v>
      </c>
      <c r="P962" s="181">
        <f>SUM(P958:P960)</f>
        <v>0</v>
      </c>
      <c r="Q962" s="181"/>
      <c r="R962" s="181">
        <f>SUM(R958:R960)</f>
        <v>0</v>
      </c>
      <c r="S962" s="181">
        <f>SUM(S958:S960)</f>
        <v>0</v>
      </c>
      <c r="T962" s="181">
        <f>SUM(T958:T960)</f>
        <v>0</v>
      </c>
      <c r="U962" s="181">
        <f>SUM(U958:U960)</f>
        <v>0</v>
      </c>
      <c r="V962" s="181">
        <f>SUM(V958:V960)</f>
        <v>0</v>
      </c>
      <c r="W962" s="181"/>
      <c r="X962" s="181">
        <f>SUM(X958:X960)</f>
        <v>0</v>
      </c>
      <c r="Y962" s="181">
        <f>SUM(Y958:Y960)</f>
        <v>140</v>
      </c>
      <c r="Z962" s="181">
        <f>SUM(Z958:Z960)</f>
        <v>0</v>
      </c>
      <c r="AA962" s="181">
        <f>SUM(AA958:AA960)</f>
        <v>140</v>
      </c>
      <c r="AB962" s="181">
        <f>SUM(AB958:AB960)</f>
        <v>0</v>
      </c>
      <c r="AC962" s="181"/>
      <c r="AD962" s="181"/>
    </row>
    <row r="963" spans="1:45" x14ac:dyDescent="0.2">
      <c r="A963" s="180"/>
      <c r="B963" s="165" t="s">
        <v>101</v>
      </c>
      <c r="D963" s="182" t="s">
        <v>40</v>
      </c>
      <c r="E963" s="182" t="s">
        <v>40</v>
      </c>
      <c r="F963" s="182" t="s">
        <v>40</v>
      </c>
      <c r="G963" s="182"/>
      <c r="H963" s="182" t="s">
        <v>40</v>
      </c>
      <c r="I963" s="182" t="s">
        <v>40</v>
      </c>
      <c r="J963" s="182" t="s">
        <v>40</v>
      </c>
      <c r="K963" s="182" t="s">
        <v>40</v>
      </c>
      <c r="L963" s="182" t="s">
        <v>40</v>
      </c>
      <c r="M963" s="182"/>
      <c r="N963" s="182" t="s">
        <v>40</v>
      </c>
      <c r="O963" s="182" t="s">
        <v>40</v>
      </c>
      <c r="P963" s="182" t="s">
        <v>40</v>
      </c>
      <c r="Q963" s="182"/>
      <c r="R963" s="182" t="s">
        <v>40</v>
      </c>
      <c r="S963" s="182" t="s">
        <v>40</v>
      </c>
      <c r="T963" s="182" t="s">
        <v>40</v>
      </c>
      <c r="U963" s="182" t="s">
        <v>40</v>
      </c>
      <c r="V963" s="182" t="s">
        <v>40</v>
      </c>
      <c r="W963" s="182"/>
      <c r="X963" s="182" t="s">
        <v>40</v>
      </c>
      <c r="Y963" s="182" t="s">
        <v>40</v>
      </c>
      <c r="Z963" s="182" t="s">
        <v>40</v>
      </c>
      <c r="AA963" s="182" t="s">
        <v>40</v>
      </c>
      <c r="AB963" s="182" t="s">
        <v>40</v>
      </c>
      <c r="AC963" s="182"/>
      <c r="AD963" s="182"/>
    </row>
    <row r="964" spans="1:45" ht="15.75" thickBot="1" x14ac:dyDescent="0.25">
      <c r="A964" s="180"/>
      <c r="B964" s="183" t="s">
        <v>292</v>
      </c>
      <c r="D964" s="184">
        <f>TOBEPAID!D732/1000</f>
        <v>2746.93417</v>
      </c>
      <c r="E964" s="181">
        <f>TOBEPAID!E732/1000</f>
        <v>0</v>
      </c>
      <c r="F964" s="181">
        <f>TOBEPAID!F732/1000</f>
        <v>0</v>
      </c>
      <c r="G964" s="181">
        <f>TOBEPAID!G732/1000</f>
        <v>0</v>
      </c>
      <c r="H964" s="181"/>
      <c r="I964" s="181">
        <f>TOBEPAID!I732/1000</f>
        <v>0</v>
      </c>
      <c r="J964" s="181">
        <f>TOBEPAID!J732/1000</f>
        <v>0</v>
      </c>
      <c r="K964" s="181">
        <f>TOBEPAID!K732/1000</f>
        <v>0</v>
      </c>
      <c r="L964" s="181">
        <f>TOBEPAID!L732/1000</f>
        <v>0</v>
      </c>
      <c r="M964" s="181">
        <f>TOBEPAID!M732/1000</f>
        <v>0</v>
      </c>
      <c r="N964" s="181">
        <f>TOBEPAID!N732/1000</f>
        <v>0</v>
      </c>
      <c r="O964" s="181">
        <f>TOBEPAID!O732/1000</f>
        <v>2746.93417</v>
      </c>
      <c r="P964" s="181">
        <f>TOBEPAID!P732/1000</f>
        <v>0</v>
      </c>
      <c r="Q964" s="181">
        <f>TOBEPAID!Q732/1000</f>
        <v>0</v>
      </c>
      <c r="R964" s="184">
        <f>TOBEPAID!R732/1000</f>
        <v>2746.93417</v>
      </c>
      <c r="S964" s="181">
        <f>TOBEPAID!S732/1000</f>
        <v>0</v>
      </c>
      <c r="T964" s="181">
        <f>TOBEPAID!T732/1000</f>
        <v>0</v>
      </c>
      <c r="U964" s="181">
        <f>TOBEPAID!U732/1000</f>
        <v>0</v>
      </c>
      <c r="V964" s="181">
        <f>TOBEPAID!V732/1000</f>
        <v>0</v>
      </c>
      <c r="W964" s="181">
        <f>TOBEPAID!W732/1000</f>
        <v>0</v>
      </c>
      <c r="X964" s="181">
        <f>TOBEPAID!X732/1000</f>
        <v>0</v>
      </c>
      <c r="Y964" s="184">
        <f>+H964+R964</f>
        <v>2746.93417</v>
      </c>
      <c r="Z964" s="184">
        <f>TOBEPAID!Z732/1000</f>
        <v>0</v>
      </c>
      <c r="AA964" s="181">
        <f>TOBEPAID!AA732/1000</f>
        <v>0</v>
      </c>
      <c r="AB964" s="181">
        <f>TOBEPAID!AB732/1000</f>
        <v>0</v>
      </c>
      <c r="AC964" s="181"/>
      <c r="AD964" s="181"/>
    </row>
    <row r="965" spans="1:45" ht="36" customHeight="1" thickTop="1" x14ac:dyDescent="0.2">
      <c r="A965" s="180">
        <v>73</v>
      </c>
      <c r="B965" s="166" t="s">
        <v>102</v>
      </c>
      <c r="C965" s="166" t="s">
        <v>35</v>
      </c>
      <c r="D965" s="181">
        <f>5748334.05/1000</f>
        <v>5748.3340499999995</v>
      </c>
      <c r="E965" s="181">
        <f>TOBEPAID!E733/1000</f>
        <v>0</v>
      </c>
      <c r="F965" s="181">
        <f>TOBEPAID!F733/1000</f>
        <v>0</v>
      </c>
      <c r="G965" s="181">
        <f>TOBEPAID!G733/1000</f>
        <v>0</v>
      </c>
      <c r="H965" s="181">
        <f>571000/1000</f>
        <v>571</v>
      </c>
      <c r="I965" s="181">
        <f>TOBEPAID!I733/1000</f>
        <v>0</v>
      </c>
      <c r="J965" s="181">
        <f>TOBEPAID!J733/1000</f>
        <v>0</v>
      </c>
      <c r="K965" s="181">
        <f>TOBEPAID!K733/1000</f>
        <v>0</v>
      </c>
      <c r="L965" s="181">
        <f>TOBEPAID!L733/1000</f>
        <v>0</v>
      </c>
      <c r="M965" s="181">
        <f>TOBEPAID!M733/1000</f>
        <v>0</v>
      </c>
      <c r="N965" s="181">
        <f>TOBEPAID!N733/1000</f>
        <v>0</v>
      </c>
      <c r="O965" s="181">
        <f>TOBEPAID!O733/1000</f>
        <v>0</v>
      </c>
      <c r="P965" s="181">
        <f>TOBEPAID!P733/1000</f>
        <v>0</v>
      </c>
      <c r="Q965" s="181">
        <f>TOBEPAID!Q733/1000</f>
        <v>0</v>
      </c>
      <c r="R965" s="181">
        <f>TOBEPAID!R733/1000</f>
        <v>0</v>
      </c>
      <c r="S965" s="181">
        <f>TOBEPAID!S733/1000</f>
        <v>0</v>
      </c>
      <c r="T965" s="181">
        <f>TOBEPAID!T733/1000</f>
        <v>0</v>
      </c>
      <c r="U965" s="181">
        <f>TOBEPAID!U733/1000</f>
        <v>0</v>
      </c>
      <c r="V965" s="181">
        <f>TOBEPAID!V733/1000</f>
        <v>0</v>
      </c>
      <c r="W965" s="181">
        <f>TOBEPAID!W733/1000</f>
        <v>0</v>
      </c>
      <c r="X965" s="181">
        <f>TOBEPAID!X733/1000</f>
        <v>0</v>
      </c>
      <c r="Y965" s="181">
        <f>+H965+R965</f>
        <v>571</v>
      </c>
      <c r="Z965" s="181">
        <f>+D965-Y965</f>
        <v>5177.3340499999995</v>
      </c>
      <c r="AA965" s="181">
        <f>TOBEPAID!AA733/1000</f>
        <v>0</v>
      </c>
      <c r="AB965" s="181">
        <f>TOBEPAID!AB733/1000</f>
        <v>13919.821320000001</v>
      </c>
      <c r="AC965" s="181"/>
      <c r="AD965" s="181"/>
    </row>
    <row r="966" spans="1:45" x14ac:dyDescent="0.2">
      <c r="A966" s="180"/>
      <c r="C966" s="168" t="s">
        <v>36</v>
      </c>
      <c r="D966" s="181">
        <f>4425684/1000</f>
        <v>4425.6840000000002</v>
      </c>
      <c r="E966" s="181">
        <f>TOBEPAID!E734/1000</f>
        <v>4425.6840000000002</v>
      </c>
      <c r="F966" s="181">
        <f>TOBEPAID!F734/1000</f>
        <v>0</v>
      </c>
      <c r="G966" s="181">
        <f>TOBEPAID!G734/1000</f>
        <v>0</v>
      </c>
      <c r="H966" s="181">
        <f>4425684/1000</f>
        <v>4425.6840000000002</v>
      </c>
      <c r="I966" s="181">
        <f>TOBEPAID!I734/1000</f>
        <v>0</v>
      </c>
      <c r="J966" s="181">
        <f>TOBEPAID!J734/1000</f>
        <v>0</v>
      </c>
      <c r="K966" s="181">
        <f>TOBEPAID!K734/1000</f>
        <v>0</v>
      </c>
      <c r="L966" s="181">
        <f>TOBEPAID!L734/1000</f>
        <v>0</v>
      </c>
      <c r="M966" s="181">
        <f>TOBEPAID!M734/1000</f>
        <v>0</v>
      </c>
      <c r="N966" s="181">
        <f>TOBEPAID!N734/1000</f>
        <v>4425.6840000000002</v>
      </c>
      <c r="O966" s="181">
        <f>TOBEPAID!O734/1000</f>
        <v>0</v>
      </c>
      <c r="P966" s="181">
        <f>TOBEPAID!P734/1000</f>
        <v>0</v>
      </c>
      <c r="Q966" s="181">
        <f>TOBEPAID!Q734/1000</f>
        <v>0</v>
      </c>
      <c r="R966" s="181">
        <f>TOBEPAID!R734/1000</f>
        <v>0</v>
      </c>
      <c r="S966" s="181">
        <f>TOBEPAID!S734/1000</f>
        <v>0</v>
      </c>
      <c r="T966" s="181">
        <f>TOBEPAID!T734/1000</f>
        <v>0</v>
      </c>
      <c r="U966" s="181">
        <f>TOBEPAID!U734/1000</f>
        <v>0</v>
      </c>
      <c r="V966" s="181">
        <f>TOBEPAID!V734/1000</f>
        <v>0</v>
      </c>
      <c r="W966" s="181">
        <f>TOBEPAID!W734/1000</f>
        <v>0</v>
      </c>
      <c r="X966" s="181">
        <f>TOBEPAID!X734/1000</f>
        <v>0</v>
      </c>
      <c r="Y966" s="181">
        <f>TOBEPAID!Y734/1000</f>
        <v>4425.6840000000002</v>
      </c>
      <c r="Z966" s="181">
        <f>TOBEPAID!Z734/1000</f>
        <v>0</v>
      </c>
      <c r="AA966" s="181">
        <f>TOBEPAID!AA734/1000</f>
        <v>4425.6840000000002</v>
      </c>
      <c r="AB966" s="181">
        <f>TOBEPAID!AB734/1000</f>
        <v>0</v>
      </c>
      <c r="AC966" s="181"/>
      <c r="AD966" s="181"/>
    </row>
    <row r="967" spans="1:45" x14ac:dyDescent="0.2">
      <c r="A967" s="180"/>
      <c r="C967" s="168" t="s">
        <v>444</v>
      </c>
      <c r="D967" s="181">
        <f>8884000/1000</f>
        <v>8884</v>
      </c>
      <c r="E967" s="181"/>
      <c r="F967" s="181"/>
      <c r="G967" s="181"/>
      <c r="H967" s="181">
        <f>8884000/1000</f>
        <v>8884</v>
      </c>
      <c r="I967" s="181"/>
      <c r="J967" s="181"/>
      <c r="K967" s="181"/>
      <c r="L967" s="181"/>
      <c r="M967" s="181"/>
      <c r="N967" s="181"/>
      <c r="O967" s="181"/>
      <c r="P967" s="181"/>
      <c r="Q967" s="181"/>
      <c r="R967" s="181">
        <v>0</v>
      </c>
      <c r="S967" s="181"/>
      <c r="T967" s="181"/>
      <c r="U967" s="181"/>
      <c r="V967" s="181"/>
      <c r="W967" s="181"/>
      <c r="X967" s="181"/>
      <c r="Y967" s="181">
        <f>+H967+R967</f>
        <v>8884</v>
      </c>
      <c r="Z967" s="181">
        <f>+D967-Y967</f>
        <v>0</v>
      </c>
      <c r="AA967" s="181"/>
      <c r="AB967" s="181"/>
      <c r="AC967" s="181"/>
      <c r="AD967" s="181"/>
    </row>
    <row r="968" spans="1:45" x14ac:dyDescent="0.2">
      <c r="A968" s="180"/>
      <c r="C968" s="168" t="s">
        <v>468</v>
      </c>
      <c r="D968" s="181">
        <f>13622749/1000</f>
        <v>13622.749</v>
      </c>
      <c r="E968" s="181"/>
      <c r="F968" s="181"/>
      <c r="G968" s="181"/>
      <c r="H968" s="181">
        <f>13622749/1000</f>
        <v>13622.749</v>
      </c>
      <c r="I968" s="181"/>
      <c r="J968" s="181"/>
      <c r="K968" s="181"/>
      <c r="L968" s="181"/>
      <c r="M968" s="181"/>
      <c r="N968" s="181"/>
      <c r="O968" s="181"/>
      <c r="P968" s="181"/>
      <c r="Q968" s="181"/>
      <c r="R968" s="181">
        <v>0</v>
      </c>
      <c r="S968" s="181"/>
      <c r="T968" s="181"/>
      <c r="U968" s="181"/>
      <c r="V968" s="181"/>
      <c r="W968" s="181"/>
      <c r="X968" s="181"/>
      <c r="Y968" s="181">
        <f>+H968+R968</f>
        <v>13622.749</v>
      </c>
      <c r="Z968" s="181">
        <f>+D968-Y968</f>
        <v>0</v>
      </c>
      <c r="AA968" s="181"/>
      <c r="AB968" s="181"/>
      <c r="AC968" s="181"/>
      <c r="AD968" s="181"/>
    </row>
    <row r="969" spans="1:45" x14ac:dyDescent="0.2">
      <c r="C969" s="165" t="s">
        <v>290</v>
      </c>
      <c r="D969" s="181">
        <f>3500000/1000</f>
        <v>3500</v>
      </c>
      <c r="E969" s="181">
        <f>TOBEPAID!E735/1000</f>
        <v>3500</v>
      </c>
      <c r="F969" s="181">
        <f>TOBEPAID!F735/1000</f>
        <v>0</v>
      </c>
      <c r="G969" s="181">
        <f>TOBEPAID!G735/1000</f>
        <v>0</v>
      </c>
      <c r="H969" s="181">
        <f>3500000/1000</f>
        <v>3500</v>
      </c>
      <c r="I969" s="181">
        <f>TOBEPAID!I735/1000</f>
        <v>0</v>
      </c>
      <c r="J969" s="181">
        <f>TOBEPAID!J735/1000</f>
        <v>0</v>
      </c>
      <c r="K969" s="181">
        <f>TOBEPAID!K735/1000</f>
        <v>0</v>
      </c>
      <c r="L969" s="181">
        <f>TOBEPAID!L735/1000</f>
        <v>0</v>
      </c>
      <c r="M969" s="181">
        <f>TOBEPAID!M735/1000</f>
        <v>0</v>
      </c>
      <c r="N969" s="181">
        <f>TOBEPAID!N735/1000</f>
        <v>3500</v>
      </c>
      <c r="O969" s="181">
        <f>TOBEPAID!O735/1000</f>
        <v>0</v>
      </c>
      <c r="P969" s="181">
        <f>TOBEPAID!P735/1000</f>
        <v>0</v>
      </c>
      <c r="Q969" s="181">
        <f>TOBEPAID!Q735/1000</f>
        <v>0</v>
      </c>
      <c r="R969" s="181">
        <f>TOBEPAID!R735/1000</f>
        <v>0</v>
      </c>
      <c r="S969" s="181">
        <f>TOBEPAID!S735/1000</f>
        <v>0</v>
      </c>
      <c r="T969" s="181">
        <f>TOBEPAID!T735/1000</f>
        <v>0</v>
      </c>
      <c r="U969" s="181">
        <f>TOBEPAID!U735/1000</f>
        <v>0</v>
      </c>
      <c r="V969" s="181">
        <f>TOBEPAID!V735/1000</f>
        <v>0</v>
      </c>
      <c r="W969" s="181">
        <f>TOBEPAID!W735/1000</f>
        <v>0</v>
      </c>
      <c r="X969" s="181">
        <f>TOBEPAID!X735/1000</f>
        <v>0</v>
      </c>
      <c r="Y969" s="181">
        <f>TOBEPAID!Y735/1000</f>
        <v>3500</v>
      </c>
      <c r="Z969" s="181">
        <f>TOBEPAID!Z735/1000</f>
        <v>0</v>
      </c>
      <c r="AA969" s="181">
        <f>TOBEPAID!AA735/1000</f>
        <v>3500</v>
      </c>
      <c r="AB969" s="181">
        <f>TOBEPAID!AB735/1000</f>
        <v>0</v>
      </c>
      <c r="AC969" s="181"/>
      <c r="AD969" s="181"/>
    </row>
    <row r="970" spans="1:45" x14ac:dyDescent="0.2">
      <c r="C970" s="165" t="s">
        <v>405</v>
      </c>
      <c r="D970" s="181">
        <f>15000000/1000</f>
        <v>15000</v>
      </c>
      <c r="E970" s="181"/>
      <c r="F970" s="181"/>
      <c r="G970" s="181"/>
      <c r="H970" s="181">
        <f>15000000/1000</f>
        <v>15000</v>
      </c>
      <c r="I970" s="181"/>
      <c r="J970" s="181"/>
      <c r="K970" s="181"/>
      <c r="L970" s="181"/>
      <c r="M970" s="181"/>
      <c r="N970" s="181"/>
      <c r="O970" s="181"/>
      <c r="P970" s="181"/>
      <c r="Q970" s="181"/>
      <c r="R970" s="181">
        <v>0</v>
      </c>
      <c r="S970" s="181"/>
      <c r="T970" s="181"/>
      <c r="U970" s="181"/>
      <c r="V970" s="181"/>
      <c r="W970" s="181"/>
      <c r="X970" s="181"/>
      <c r="Y970" s="181">
        <f>+H970+R970</f>
        <v>15000</v>
      </c>
      <c r="Z970" s="181">
        <f>+D970-Y970</f>
        <v>0</v>
      </c>
      <c r="AA970" s="181"/>
      <c r="AB970" s="181"/>
      <c r="AC970" s="181"/>
      <c r="AD970" s="181"/>
    </row>
    <row r="971" spans="1:45" x14ac:dyDescent="0.2">
      <c r="C971" s="165" t="s">
        <v>374</v>
      </c>
      <c r="D971" s="181">
        <f>8171487.27/1000</f>
        <v>8171.4872699999996</v>
      </c>
      <c r="E971" s="181"/>
      <c r="F971" s="181"/>
      <c r="G971" s="181"/>
      <c r="H971" s="181">
        <f>8171487.27/1000</f>
        <v>8171.4872699999996</v>
      </c>
      <c r="I971" s="181"/>
      <c r="J971" s="181"/>
      <c r="K971" s="181"/>
      <c r="L971" s="181"/>
      <c r="M971" s="181"/>
      <c r="N971" s="181"/>
      <c r="O971" s="181"/>
      <c r="P971" s="181"/>
      <c r="Q971" s="181"/>
      <c r="R971" s="181">
        <v>0</v>
      </c>
      <c r="S971" s="181"/>
      <c r="T971" s="181"/>
      <c r="U971" s="181"/>
      <c r="V971" s="181"/>
      <c r="W971" s="181"/>
      <c r="X971" s="181"/>
      <c r="Y971" s="181">
        <f>+H971+R971</f>
        <v>8171.4872699999996</v>
      </c>
      <c r="Z971" s="181">
        <f>+D971-Y971</f>
        <v>0</v>
      </c>
      <c r="AA971" s="181"/>
      <c r="AB971" s="181"/>
      <c r="AC971" s="181"/>
      <c r="AD971" s="181"/>
    </row>
    <row r="972" spans="1:45" x14ac:dyDescent="0.2">
      <c r="A972" s="180"/>
      <c r="C972" s="166" t="s">
        <v>38</v>
      </c>
      <c r="D972" s="181">
        <f>2145700/1000</f>
        <v>2145.6999999999998</v>
      </c>
      <c r="E972" s="181">
        <f>TOBEPAID!E736/1000</f>
        <v>0</v>
      </c>
      <c r="F972" s="181">
        <f>TOBEPAID!F736/1000</f>
        <v>0</v>
      </c>
      <c r="G972" s="181">
        <f>TOBEPAID!G736/1000</f>
        <v>0</v>
      </c>
      <c r="H972" s="181">
        <v>0</v>
      </c>
      <c r="I972" s="181">
        <f>TOBEPAID!I736/1000</f>
        <v>0</v>
      </c>
      <c r="J972" s="181">
        <f>TOBEPAID!J736/1000</f>
        <v>0</v>
      </c>
      <c r="K972" s="181">
        <f>TOBEPAID!K736/1000</f>
        <v>0</v>
      </c>
      <c r="L972" s="181">
        <f>TOBEPAID!L736/1000</f>
        <v>0</v>
      </c>
      <c r="M972" s="181">
        <f>TOBEPAID!M736/1000</f>
        <v>0</v>
      </c>
      <c r="N972" s="181">
        <f>TOBEPAID!N736/1000</f>
        <v>0</v>
      </c>
      <c r="O972" s="181">
        <f>TOBEPAID!O736/1000</f>
        <v>0</v>
      </c>
      <c r="P972" s="181">
        <f>TOBEPAID!P736/1000</f>
        <v>0</v>
      </c>
      <c r="Q972" s="181">
        <f>TOBEPAID!Q736/1000</f>
        <v>0</v>
      </c>
      <c r="R972" s="181">
        <f>TOBEPAID!R736/1000</f>
        <v>0</v>
      </c>
      <c r="S972" s="181">
        <f>TOBEPAID!S736/1000</f>
        <v>0</v>
      </c>
      <c r="T972" s="181">
        <f>TOBEPAID!T736/1000</f>
        <v>0</v>
      </c>
      <c r="U972" s="181">
        <f>TOBEPAID!U736/1000</f>
        <v>0</v>
      </c>
      <c r="V972" s="181">
        <f>TOBEPAID!V736/1000</f>
        <v>0</v>
      </c>
      <c r="W972" s="181">
        <f>TOBEPAID!W736/1000</f>
        <v>0</v>
      </c>
      <c r="X972" s="181">
        <f>TOBEPAID!X736/1000</f>
        <v>0</v>
      </c>
      <c r="Y972" s="181">
        <f>TOBEPAID!Y736/1000</f>
        <v>0</v>
      </c>
      <c r="Z972" s="181">
        <f>TOBEPAID!Z736/1000</f>
        <v>2145.6999999999998</v>
      </c>
      <c r="AA972" s="181">
        <f>TOBEPAID!AA736/1000</f>
        <v>0</v>
      </c>
      <c r="AB972" s="181">
        <f>TOBEPAID!AB736/1000</f>
        <v>2145.6999999999998</v>
      </c>
      <c r="AC972" s="181"/>
      <c r="AD972" s="181"/>
    </row>
    <row r="973" spans="1:45" x14ac:dyDescent="0.2">
      <c r="A973" s="180"/>
      <c r="D973" s="182" t="s">
        <v>40</v>
      </c>
      <c r="E973" s="182" t="s">
        <v>40</v>
      </c>
      <c r="F973" s="182" t="s">
        <v>40</v>
      </c>
      <c r="G973" s="182"/>
      <c r="H973" s="182" t="s">
        <v>40</v>
      </c>
      <c r="I973" s="182" t="s">
        <v>40</v>
      </c>
      <c r="J973" s="182" t="s">
        <v>40</v>
      </c>
      <c r="K973" s="182" t="s">
        <v>40</v>
      </c>
      <c r="L973" s="182" t="s">
        <v>40</v>
      </c>
      <c r="M973" s="182"/>
      <c r="N973" s="182" t="s">
        <v>40</v>
      </c>
      <c r="O973" s="182" t="s">
        <v>40</v>
      </c>
      <c r="P973" s="182" t="s">
        <v>40</v>
      </c>
      <c r="Q973" s="182"/>
      <c r="R973" s="182" t="s">
        <v>40</v>
      </c>
      <c r="S973" s="182" t="s">
        <v>40</v>
      </c>
      <c r="T973" s="182" t="s">
        <v>40</v>
      </c>
      <c r="U973" s="182" t="s">
        <v>40</v>
      </c>
      <c r="V973" s="182" t="s">
        <v>40</v>
      </c>
      <c r="W973" s="182"/>
      <c r="X973" s="182" t="s">
        <v>40</v>
      </c>
      <c r="Y973" s="182" t="s">
        <v>40</v>
      </c>
      <c r="Z973" s="182" t="s">
        <v>40</v>
      </c>
      <c r="AA973" s="182" t="s">
        <v>40</v>
      </c>
      <c r="AB973" s="182" t="s">
        <v>40</v>
      </c>
      <c r="AC973" s="182"/>
      <c r="AD973" s="182"/>
    </row>
    <row r="974" spans="1:45" x14ac:dyDescent="0.2">
      <c r="A974" s="180"/>
      <c r="D974" s="181">
        <f>SUM(D965:D972)</f>
        <v>61497.95431999999</v>
      </c>
      <c r="E974" s="181">
        <f>SUM(E965:E972)</f>
        <v>7925.6840000000002</v>
      </c>
      <c r="F974" s="181">
        <f>SUM(F965:F972)</f>
        <v>0</v>
      </c>
      <c r="G974" s="181"/>
      <c r="H974" s="181">
        <f>SUM(H965:H972)</f>
        <v>54174.920270000002</v>
      </c>
      <c r="I974" s="181">
        <f>SUM(I965:I972)</f>
        <v>0</v>
      </c>
      <c r="J974" s="181">
        <f>SUM(J965:J972)</f>
        <v>0</v>
      </c>
      <c r="K974" s="181">
        <f>SUM(K965:K972)</f>
        <v>0</v>
      </c>
      <c r="L974" s="181">
        <f>SUM(L965:L972)</f>
        <v>0</v>
      </c>
      <c r="M974" s="181"/>
      <c r="N974" s="181">
        <f>SUM(N965:N972)</f>
        <v>7925.6840000000002</v>
      </c>
      <c r="O974" s="181">
        <f>SUM(O965:O972)</f>
        <v>0</v>
      </c>
      <c r="P974" s="181">
        <f>SUM(P965:P972)</f>
        <v>0</v>
      </c>
      <c r="Q974" s="181"/>
      <c r="R974" s="181">
        <f>SUM(R965:R972)</f>
        <v>0</v>
      </c>
      <c r="S974" s="181">
        <f>SUM(S965:S972)</f>
        <v>0</v>
      </c>
      <c r="T974" s="181">
        <f>SUM(T965:T972)</f>
        <v>0</v>
      </c>
      <c r="U974" s="181">
        <f>SUM(U965:U972)</f>
        <v>0</v>
      </c>
      <c r="V974" s="181">
        <f>SUM(V965:V972)</f>
        <v>0</v>
      </c>
      <c r="W974" s="181"/>
      <c r="X974" s="181">
        <f>SUM(X965:X972)</f>
        <v>0</v>
      </c>
      <c r="Y974" s="181">
        <f>SUM(Y965:Y972)</f>
        <v>54174.920270000002</v>
      </c>
      <c r="Z974" s="181">
        <f>SUM(Z965:Z972)</f>
        <v>7323.0340499999993</v>
      </c>
      <c r="AA974" s="181">
        <f>SUM(AA965:AA972)</f>
        <v>7925.6840000000002</v>
      </c>
      <c r="AB974" s="181">
        <f>SUM(AB965:AB972)</f>
        <v>16065.52132</v>
      </c>
      <c r="AC974" s="181"/>
      <c r="AD974" s="181"/>
    </row>
    <row r="975" spans="1:45" x14ac:dyDescent="0.2">
      <c r="A975" s="180"/>
      <c r="D975" s="182" t="s">
        <v>40</v>
      </c>
      <c r="E975" s="182" t="s">
        <v>40</v>
      </c>
      <c r="F975" s="182" t="s">
        <v>40</v>
      </c>
      <c r="G975" s="182"/>
      <c r="H975" s="182" t="s">
        <v>40</v>
      </c>
      <c r="I975" s="182" t="s">
        <v>40</v>
      </c>
      <c r="J975" s="182" t="s">
        <v>40</v>
      </c>
      <c r="K975" s="182" t="s">
        <v>40</v>
      </c>
      <c r="L975" s="182" t="s">
        <v>40</v>
      </c>
      <c r="M975" s="182"/>
      <c r="N975" s="182" t="s">
        <v>40</v>
      </c>
      <c r="O975" s="182" t="s">
        <v>40</v>
      </c>
      <c r="P975" s="182" t="s">
        <v>40</v>
      </c>
      <c r="Q975" s="182"/>
      <c r="R975" s="182" t="s">
        <v>40</v>
      </c>
      <c r="S975" s="182" t="s">
        <v>40</v>
      </c>
      <c r="T975" s="182" t="s">
        <v>40</v>
      </c>
      <c r="U975" s="182" t="s">
        <v>40</v>
      </c>
      <c r="V975" s="182" t="s">
        <v>40</v>
      </c>
      <c r="W975" s="182"/>
      <c r="X975" s="182" t="s">
        <v>40</v>
      </c>
      <c r="Y975" s="182" t="s">
        <v>40</v>
      </c>
      <c r="Z975" s="182" t="s">
        <v>40</v>
      </c>
      <c r="AA975" s="182" t="s">
        <v>40</v>
      </c>
      <c r="AB975" s="182" t="s">
        <v>40</v>
      </c>
      <c r="AC975" s="182"/>
      <c r="AD975" s="182"/>
    </row>
    <row r="976" spans="1:45" x14ac:dyDescent="0.2">
      <c r="A976" s="180"/>
      <c r="D976" s="182"/>
      <c r="E976" s="182"/>
      <c r="F976" s="182"/>
      <c r="G976" s="182"/>
      <c r="H976" s="182"/>
      <c r="I976" s="182"/>
      <c r="J976" s="182"/>
      <c r="K976" s="182"/>
      <c r="L976" s="182"/>
      <c r="M976" s="182"/>
      <c r="N976" s="182"/>
      <c r="O976" s="182"/>
      <c r="P976" s="182"/>
      <c r="Q976" s="182"/>
      <c r="R976" s="182"/>
      <c r="S976" s="182"/>
      <c r="T976" s="182"/>
      <c r="U976" s="182"/>
      <c r="V976" s="182"/>
      <c r="W976" s="182"/>
      <c r="X976" s="182"/>
      <c r="Y976" s="182"/>
      <c r="Z976" s="182"/>
      <c r="AA976" s="182"/>
      <c r="AB976" s="182"/>
      <c r="AC976" s="182"/>
      <c r="AD976" s="182"/>
      <c r="AS976" s="195">
        <f t="shared" ref="AS976:AS988" si="176">+AF977-AK977-AP977</f>
        <v>0</v>
      </c>
    </row>
    <row r="977" spans="1:45" x14ac:dyDescent="0.2">
      <c r="A977" s="180">
        <v>74</v>
      </c>
      <c r="B977" s="166" t="s">
        <v>103</v>
      </c>
      <c r="C977" s="166" t="s">
        <v>35</v>
      </c>
      <c r="D977" s="181">
        <f>8702465/1000</f>
        <v>8702.4650000000001</v>
      </c>
      <c r="E977" s="181">
        <f>TOBEPAID!E741/1000</f>
        <v>0</v>
      </c>
      <c r="F977" s="181">
        <f>TOBEPAID!F741/1000</f>
        <v>0</v>
      </c>
      <c r="G977" s="181">
        <f>TOBEPAID!G741/1000</f>
        <v>0</v>
      </c>
      <c r="H977" s="181">
        <f>8680491/1000</f>
        <v>8680.491</v>
      </c>
      <c r="I977" s="181">
        <f>TOBEPAID!I741/1000</f>
        <v>0</v>
      </c>
      <c r="J977" s="181">
        <f>TOBEPAID!J741/1000</f>
        <v>0</v>
      </c>
      <c r="K977" s="181">
        <f>TOBEPAID!K741/1000</f>
        <v>0</v>
      </c>
      <c r="L977" s="181">
        <f>TOBEPAID!L741/1000</f>
        <v>0</v>
      </c>
      <c r="M977" s="181">
        <f>TOBEPAID!M741/1000</f>
        <v>0</v>
      </c>
      <c r="N977" s="181">
        <f>TOBEPAID!N741/1000</f>
        <v>0</v>
      </c>
      <c r="O977" s="181">
        <f>TOBEPAID!O741/1000</f>
        <v>0</v>
      </c>
      <c r="P977" s="181">
        <f>TOBEPAID!P741/1000</f>
        <v>0</v>
      </c>
      <c r="Q977" s="181">
        <f>TOBEPAID!Q741/1000</f>
        <v>0</v>
      </c>
      <c r="R977" s="181">
        <v>0</v>
      </c>
      <c r="S977" s="181">
        <f>TOBEPAID!S741/1000</f>
        <v>0</v>
      </c>
      <c r="T977" s="181">
        <f>TOBEPAID!T741/1000</f>
        <v>0</v>
      </c>
      <c r="U977" s="181">
        <f>TOBEPAID!U741/1000</f>
        <v>0</v>
      </c>
      <c r="V977" s="181">
        <f>TOBEPAID!V741/1000</f>
        <v>0</v>
      </c>
      <c r="W977" s="181">
        <f>TOBEPAID!W741/1000</f>
        <v>0</v>
      </c>
      <c r="X977" s="181">
        <f>TOBEPAID!X741/1000</f>
        <v>0</v>
      </c>
      <c r="Y977" s="181">
        <f>+H977+R977</f>
        <v>8680.491</v>
      </c>
      <c r="Z977" s="181">
        <f>+D977-Y977</f>
        <v>21.97400000000016</v>
      </c>
      <c r="AA977" s="181">
        <f>TOBEPAID!AA741/1000</f>
        <v>0</v>
      </c>
      <c r="AB977" s="181">
        <f>TOBEPAID!AB741/1000</f>
        <v>4323.4378699999997</v>
      </c>
      <c r="AC977" s="181"/>
      <c r="AD977" s="181"/>
      <c r="AF977" s="195">
        <f>+D949</f>
        <v>1500</v>
      </c>
      <c r="AG977" s="195">
        <f>+E949</f>
        <v>0</v>
      </c>
      <c r="AH977" s="195">
        <f>+F949</f>
        <v>1500</v>
      </c>
      <c r="AI977" s="195">
        <f>+AG977+AH977</f>
        <v>1500</v>
      </c>
      <c r="AJ977" s="195">
        <f>+L949</f>
        <v>0</v>
      </c>
      <c r="AK977" s="195">
        <f>+AI977+AJ977</f>
        <v>1500</v>
      </c>
      <c r="AL977" s="195">
        <f>+O949</f>
        <v>0</v>
      </c>
      <c r="AM977" s="195">
        <f>+P949</f>
        <v>0</v>
      </c>
      <c r="AN977" s="195">
        <f>+AL977+AM977</f>
        <v>0</v>
      </c>
      <c r="AO977" s="195">
        <f>+V949</f>
        <v>0</v>
      </c>
      <c r="AP977" s="195">
        <f>+AN977+AO977</f>
        <v>0</v>
      </c>
      <c r="AQ977" s="195">
        <f>+AI977+AN977</f>
        <v>1500</v>
      </c>
      <c r="AR977" s="195">
        <f>+AF977-AQ977</f>
        <v>0</v>
      </c>
      <c r="AS977" s="195">
        <f t="shared" si="176"/>
        <v>0</v>
      </c>
    </row>
    <row r="978" spans="1:45" x14ac:dyDescent="0.2">
      <c r="A978" s="180"/>
      <c r="C978" s="168" t="s">
        <v>36</v>
      </c>
      <c r="D978" s="181">
        <f>2049304/1000</f>
        <v>2049.3040000000001</v>
      </c>
      <c r="E978" s="181">
        <f>TOBEPAID!E742/1000</f>
        <v>2049.3045000000002</v>
      </c>
      <c r="F978" s="181">
        <f>TOBEPAID!F742/1000</f>
        <v>0</v>
      </c>
      <c r="G978" s="181">
        <f>TOBEPAID!G742/1000</f>
        <v>0</v>
      </c>
      <c r="H978" s="181">
        <f>2049304/1000</f>
        <v>2049.3040000000001</v>
      </c>
      <c r="I978" s="181">
        <f>TOBEPAID!I742/1000</f>
        <v>0</v>
      </c>
      <c r="J978" s="181">
        <f>TOBEPAID!J742/1000</f>
        <v>0</v>
      </c>
      <c r="K978" s="181">
        <f>TOBEPAID!K742/1000</f>
        <v>0</v>
      </c>
      <c r="L978" s="181">
        <f>TOBEPAID!L742/1000</f>
        <v>0</v>
      </c>
      <c r="M978" s="181">
        <f>TOBEPAID!M742/1000</f>
        <v>0</v>
      </c>
      <c r="N978" s="181">
        <f>TOBEPAID!N742/1000</f>
        <v>2049.3045000000002</v>
      </c>
      <c r="O978" s="181">
        <f>TOBEPAID!O742/1000</f>
        <v>0</v>
      </c>
      <c r="P978" s="181">
        <f>TOBEPAID!P742/1000</f>
        <v>0</v>
      </c>
      <c r="Q978" s="181">
        <f>TOBEPAID!Q742/1000</f>
        <v>0</v>
      </c>
      <c r="R978" s="181">
        <v>0</v>
      </c>
      <c r="S978" s="181">
        <f>TOBEPAID!S742/1000</f>
        <v>0</v>
      </c>
      <c r="T978" s="181">
        <f>TOBEPAID!T742/1000</f>
        <v>0</v>
      </c>
      <c r="U978" s="181">
        <f>TOBEPAID!U742/1000</f>
        <v>0</v>
      </c>
      <c r="V978" s="181">
        <f>TOBEPAID!V742/1000</f>
        <v>0</v>
      </c>
      <c r="W978" s="181">
        <f>TOBEPAID!W742/1000</f>
        <v>0</v>
      </c>
      <c r="X978" s="181">
        <f>TOBEPAID!X742/1000</f>
        <v>0</v>
      </c>
      <c r="Y978" s="181">
        <f>+H978+R978</f>
        <v>2049.3040000000001</v>
      </c>
      <c r="Z978" s="181">
        <f>+D978-Y978</f>
        <v>0</v>
      </c>
      <c r="AA978" s="181">
        <f>TOBEPAID!AA742/1000</f>
        <v>2049.3045000000002</v>
      </c>
      <c r="AB978" s="181">
        <f>TOBEPAID!AB742/1000</f>
        <v>0</v>
      </c>
      <c r="AC978" s="181"/>
      <c r="AD978" s="181"/>
      <c r="AE978" s="186" t="s">
        <v>317</v>
      </c>
      <c r="AF978" s="195">
        <f>+D969</f>
        <v>3500</v>
      </c>
      <c r="AG978" s="195">
        <f>+E969</f>
        <v>3500</v>
      </c>
      <c r="AH978" s="195">
        <f>+F969</f>
        <v>0</v>
      </c>
      <c r="AI978" s="195">
        <f>+AG978+AH978</f>
        <v>3500</v>
      </c>
      <c r="AJ978" s="195">
        <f>+L969</f>
        <v>0</v>
      </c>
      <c r="AK978" s="195">
        <f>+AI978+AJ978</f>
        <v>3500</v>
      </c>
      <c r="AL978" s="195">
        <f>+O969</f>
        <v>0</v>
      </c>
      <c r="AM978" s="195">
        <f>+P969</f>
        <v>0</v>
      </c>
      <c r="AN978" s="195">
        <f>+AL978+AM978</f>
        <v>0</v>
      </c>
      <c r="AO978" s="195">
        <f>+V969</f>
        <v>0</v>
      </c>
      <c r="AP978" s="195">
        <f>+AN978+AO978</f>
        <v>0</v>
      </c>
      <c r="AQ978" s="195">
        <f>+AI978+AN978</f>
        <v>3500</v>
      </c>
      <c r="AR978" s="195">
        <f>+AF978-AQ978</f>
        <v>0</v>
      </c>
      <c r="AS978" s="195">
        <f>+AF980-AK980-AP980</f>
        <v>0</v>
      </c>
    </row>
    <row r="979" spans="1:45" x14ac:dyDescent="0.2">
      <c r="A979" s="180"/>
      <c r="C979" s="168" t="s">
        <v>450</v>
      </c>
      <c r="D979" s="181">
        <f>5000000/1000</f>
        <v>5000</v>
      </c>
      <c r="E979" s="181"/>
      <c r="F979" s="181"/>
      <c r="G979" s="181"/>
      <c r="H979" s="181">
        <f>5000000/1000</f>
        <v>5000</v>
      </c>
      <c r="I979" s="181"/>
      <c r="J979" s="181"/>
      <c r="K979" s="181"/>
      <c r="L979" s="181"/>
      <c r="M979" s="181"/>
      <c r="N979" s="181"/>
      <c r="O979" s="181"/>
      <c r="P979" s="181"/>
      <c r="Q979" s="181"/>
      <c r="R979" s="181">
        <v>0</v>
      </c>
      <c r="S979" s="181"/>
      <c r="T979" s="181"/>
      <c r="U979" s="181"/>
      <c r="V979" s="181"/>
      <c r="W979" s="181"/>
      <c r="X979" s="181"/>
      <c r="Y979" s="181">
        <f>+H979+R979</f>
        <v>5000</v>
      </c>
      <c r="Z979" s="181">
        <f>+D979-Y979</f>
        <v>0</v>
      </c>
      <c r="AA979" s="181"/>
      <c r="AB979" s="181"/>
      <c r="AC979" s="181"/>
      <c r="AD979" s="181"/>
      <c r="AE979" s="186"/>
      <c r="AF979" s="195"/>
      <c r="AG979" s="195"/>
      <c r="AH979" s="195"/>
      <c r="AI979" s="195"/>
      <c r="AJ979" s="195"/>
      <c r="AK979" s="195"/>
      <c r="AL979" s="195"/>
      <c r="AM979" s="195"/>
      <c r="AN979" s="195"/>
      <c r="AO979" s="195"/>
      <c r="AP979" s="195"/>
      <c r="AQ979" s="195"/>
      <c r="AR979" s="195"/>
      <c r="AS979" s="195"/>
    </row>
    <row r="980" spans="1:45" x14ac:dyDescent="0.2">
      <c r="A980" s="180"/>
      <c r="C980" s="166" t="s">
        <v>38</v>
      </c>
      <c r="D980" s="181">
        <f>141345/1000</f>
        <v>141.345</v>
      </c>
      <c r="E980" s="181">
        <f>TOBEPAID!E743/1000</f>
        <v>0</v>
      </c>
      <c r="F980" s="181">
        <f>TOBEPAID!F743/1000</f>
        <v>0</v>
      </c>
      <c r="G980" s="181">
        <f>TOBEPAID!G743/1000</f>
        <v>0</v>
      </c>
      <c r="H980" s="181">
        <v>0</v>
      </c>
      <c r="I980" s="181">
        <f>TOBEPAID!I743/1000</f>
        <v>0</v>
      </c>
      <c r="J980" s="181">
        <f>TOBEPAID!J743/1000</f>
        <v>0</v>
      </c>
      <c r="K980" s="181">
        <f>TOBEPAID!K743/1000</f>
        <v>0</v>
      </c>
      <c r="L980" s="181">
        <f>TOBEPAID!L743/1000</f>
        <v>0</v>
      </c>
      <c r="M980" s="181">
        <f>TOBEPAID!M743/1000</f>
        <v>0</v>
      </c>
      <c r="N980" s="181">
        <f>TOBEPAID!N743/1000</f>
        <v>0</v>
      </c>
      <c r="O980" s="181">
        <f>TOBEPAID!O743/1000</f>
        <v>141.34520000000001</v>
      </c>
      <c r="P980" s="181">
        <f>TOBEPAID!P743/1000</f>
        <v>0</v>
      </c>
      <c r="Q980" s="181">
        <f>TOBEPAID!Q743/1000</f>
        <v>0</v>
      </c>
      <c r="R980" s="181">
        <f>141345/1000</f>
        <v>141.345</v>
      </c>
      <c r="S980" s="181">
        <f>TOBEPAID!S743/1000</f>
        <v>0</v>
      </c>
      <c r="T980" s="181">
        <f>TOBEPAID!T743/1000</f>
        <v>0</v>
      </c>
      <c r="U980" s="181">
        <f>TOBEPAID!U743/1000</f>
        <v>0</v>
      </c>
      <c r="V980" s="181">
        <f>TOBEPAID!V743/1000</f>
        <v>0</v>
      </c>
      <c r="W980" s="181">
        <f>TOBEPAID!W743/1000</f>
        <v>0</v>
      </c>
      <c r="X980" s="181">
        <f>TOBEPAID!X743/1000</f>
        <v>141.34520000000001</v>
      </c>
      <c r="Y980" s="181">
        <f>+H980+R980</f>
        <v>141.345</v>
      </c>
      <c r="Z980" s="181">
        <f>+D980-Y980</f>
        <v>0</v>
      </c>
      <c r="AA980" s="181">
        <f>TOBEPAID!AA743/1000</f>
        <v>141.34520000000001</v>
      </c>
      <c r="AB980" s="181">
        <f>TOBEPAID!AB743/1000</f>
        <v>4379.0277999999998</v>
      </c>
      <c r="AC980" s="181"/>
      <c r="AD980" s="181"/>
      <c r="AE980" s="186" t="s">
        <v>303</v>
      </c>
      <c r="AF980" s="224">
        <f>+D938</f>
        <v>13000</v>
      </c>
      <c r="AG980" s="195">
        <f>E938</f>
        <v>13000</v>
      </c>
      <c r="AH980" s="195">
        <f>F938</f>
        <v>0</v>
      </c>
      <c r="AI980" s="195">
        <f>+AG980+AH980</f>
        <v>13000</v>
      </c>
      <c r="AJ980" s="195">
        <f>L938</f>
        <v>0</v>
      </c>
      <c r="AK980" s="195">
        <f>+AI980+AJ980</f>
        <v>13000</v>
      </c>
      <c r="AL980" s="195">
        <f>O938</f>
        <v>0</v>
      </c>
      <c r="AM980" s="195">
        <f>P938</f>
        <v>0</v>
      </c>
      <c r="AN980" s="195">
        <f>+AL980+AM980</f>
        <v>0</v>
      </c>
      <c r="AO980" s="195">
        <f>V938</f>
        <v>0</v>
      </c>
      <c r="AP980" s="195">
        <f>+AN980+AO980</f>
        <v>0</v>
      </c>
      <c r="AQ980" s="195">
        <f>+AI980+AN980</f>
        <v>13000</v>
      </c>
      <c r="AR980" s="195">
        <f>+AF980-AQ980</f>
        <v>0</v>
      </c>
      <c r="AS980" s="195">
        <f t="shared" si="176"/>
        <v>125598.93008999999</v>
      </c>
    </row>
    <row r="981" spans="1:45" x14ac:dyDescent="0.2">
      <c r="A981" s="180"/>
      <c r="B981" s="172"/>
      <c r="D981" s="182" t="s">
        <v>40</v>
      </c>
      <c r="E981" s="182" t="s">
        <v>40</v>
      </c>
      <c r="F981" s="182" t="s">
        <v>40</v>
      </c>
      <c r="G981" s="182"/>
      <c r="H981" s="182" t="s">
        <v>40</v>
      </c>
      <c r="I981" s="182" t="s">
        <v>40</v>
      </c>
      <c r="J981" s="182" t="s">
        <v>40</v>
      </c>
      <c r="K981" s="182" t="s">
        <v>40</v>
      </c>
      <c r="L981" s="182" t="s">
        <v>40</v>
      </c>
      <c r="M981" s="182"/>
      <c r="N981" s="182" t="s">
        <v>40</v>
      </c>
      <c r="O981" s="182" t="s">
        <v>40</v>
      </c>
      <c r="P981" s="182" t="s">
        <v>40</v>
      </c>
      <c r="Q981" s="182"/>
      <c r="R981" s="182" t="s">
        <v>40</v>
      </c>
      <c r="S981" s="182" t="s">
        <v>40</v>
      </c>
      <c r="T981" s="182" t="s">
        <v>40</v>
      </c>
      <c r="U981" s="182" t="s">
        <v>40</v>
      </c>
      <c r="V981" s="182" t="s">
        <v>40</v>
      </c>
      <c r="W981" s="182"/>
      <c r="X981" s="182" t="s">
        <v>40</v>
      </c>
      <c r="Y981" s="182" t="s">
        <v>40</v>
      </c>
      <c r="Z981" s="182" t="s">
        <v>40</v>
      </c>
      <c r="AA981" s="182" t="s">
        <v>40</v>
      </c>
      <c r="AB981" s="182" t="s">
        <v>40</v>
      </c>
      <c r="AC981" s="182"/>
      <c r="AD981" s="182"/>
      <c r="AE981" s="194" t="s">
        <v>315</v>
      </c>
      <c r="AF981" s="195">
        <f>D894+D903+D914+D924+D934+D945+D958+D965+D977+D985</f>
        <v>129391.01105</v>
      </c>
      <c r="AG981" s="195">
        <f>E894+E903+E914+E924+E934+E945+E958+E965+E977+E985</f>
        <v>0</v>
      </c>
      <c r="AH981" s="195">
        <f>F894+F903+F914+F924+F934+F945+F958+F965+F977+F985</f>
        <v>0</v>
      </c>
      <c r="AI981" s="195">
        <f>+AG981+AH981</f>
        <v>0</v>
      </c>
      <c r="AJ981" s="195">
        <f>L894+L903+L914+L924+L934+L945+L958+L965+L977+L985</f>
        <v>0</v>
      </c>
      <c r="AK981" s="195">
        <f>+AI981+AJ981</f>
        <v>0</v>
      </c>
      <c r="AL981" s="195">
        <f>O894+O903+O914+O924+O934+O945+O958+O965+O977+O985</f>
        <v>3792.0809600000002</v>
      </c>
      <c r="AM981" s="195">
        <f>P894+P903+P914+P924+P934+P945+P958+P965+P977+P985</f>
        <v>0</v>
      </c>
      <c r="AN981" s="195">
        <f>+AL981+AM981</f>
        <v>3792.0809600000002</v>
      </c>
      <c r="AO981" s="195">
        <f>V894+V903+V914+V924+V934+V945+V958+V965+V977+V985</f>
        <v>0</v>
      </c>
      <c r="AP981" s="195">
        <f>+AN981+AO981</f>
        <v>3792.0809600000002</v>
      </c>
      <c r="AQ981" s="195">
        <f>+AI981+AN981</f>
        <v>3792.0809600000002</v>
      </c>
      <c r="AR981" s="195">
        <f>+AF981-AQ981</f>
        <v>125598.93008999999</v>
      </c>
      <c r="AS981" s="195">
        <f t="shared" si="176"/>
        <v>-5.0000000192085281E-4</v>
      </c>
    </row>
    <row r="982" spans="1:45" x14ac:dyDescent="0.2">
      <c r="A982" s="180"/>
      <c r="D982" s="181">
        <f>SUM(D977:D980)</f>
        <v>15893.114</v>
      </c>
      <c r="E982" s="181">
        <f>SUM(E977:E980)</f>
        <v>2049.3045000000002</v>
      </c>
      <c r="F982" s="181">
        <f>SUM(F977:F980)</f>
        <v>0</v>
      </c>
      <c r="G982" s="181"/>
      <c r="H982" s="181">
        <f>SUM(H977:H980)</f>
        <v>15729.795</v>
      </c>
      <c r="I982" s="181">
        <f>SUM(I977:I980)</f>
        <v>0</v>
      </c>
      <c r="J982" s="181">
        <f>SUM(J977:J980)</f>
        <v>0</v>
      </c>
      <c r="K982" s="181">
        <f>SUM(K977:K980)</f>
        <v>0</v>
      </c>
      <c r="L982" s="181">
        <f>SUM(L977:L980)</f>
        <v>0</v>
      </c>
      <c r="M982" s="181"/>
      <c r="N982" s="181">
        <f>SUM(N977:N980)</f>
        <v>2049.3045000000002</v>
      </c>
      <c r="O982" s="181">
        <f>SUM(O977:O980)</f>
        <v>141.34520000000001</v>
      </c>
      <c r="P982" s="181">
        <f>SUM(P977:P980)</f>
        <v>0</v>
      </c>
      <c r="Q982" s="181"/>
      <c r="R982" s="181">
        <f>SUM(R977:R980)</f>
        <v>141.345</v>
      </c>
      <c r="S982" s="181">
        <f>SUM(S977:S980)</f>
        <v>0</v>
      </c>
      <c r="T982" s="181">
        <f>SUM(T977:T980)</f>
        <v>0</v>
      </c>
      <c r="U982" s="181">
        <f>SUM(U977:U980)</f>
        <v>0</v>
      </c>
      <c r="V982" s="181">
        <f>SUM(V977:V980)</f>
        <v>0</v>
      </c>
      <c r="W982" s="181"/>
      <c r="X982" s="181">
        <f>SUM(X977:X980)</f>
        <v>141.34520000000001</v>
      </c>
      <c r="Y982" s="181">
        <f>SUM(Y977:Y980)</f>
        <v>15871.14</v>
      </c>
      <c r="Z982" s="181">
        <f>SUM(Z977:Z980)</f>
        <v>21.97400000000016</v>
      </c>
      <c r="AA982" s="181">
        <f>SUM(AA977:AA980)</f>
        <v>2190.6497000000004</v>
      </c>
      <c r="AB982" s="181">
        <f>SUM(AB977:AB980)</f>
        <v>8702.4656699999996</v>
      </c>
      <c r="AC982" s="181"/>
      <c r="AD982" s="181"/>
      <c r="AE982" s="186" t="s">
        <v>47</v>
      </c>
      <c r="AF982" s="195">
        <f>D905+D915+D925+D935+D948+D959+D966+D978+D986</f>
        <v>20610.118999999999</v>
      </c>
      <c r="AG982" s="195">
        <f>E905+E915+E925+E935+E948+E959+E966+E978+E986</f>
        <v>20610.119500000001</v>
      </c>
      <c r="AH982" s="195">
        <f>F905+F915+F925+F935+F948+F959+F966+F978+F986</f>
        <v>0</v>
      </c>
      <c r="AI982" s="195">
        <f t="shared" ref="AI982:AI989" si="177">+AG982+AH982</f>
        <v>20610.119500000001</v>
      </c>
      <c r="AJ982" s="195">
        <f>L905+L915+L925+L935+L948+L959+L966+L978+L986</f>
        <v>0</v>
      </c>
      <c r="AK982" s="195">
        <f t="shared" ref="AK982:AK989" si="178">+AI982+AJ982</f>
        <v>20610.119500000001</v>
      </c>
      <c r="AL982" s="195">
        <f>O905+O915+O925+O935+O948+O959+O966+O978+O986</f>
        <v>0</v>
      </c>
      <c r="AM982" s="195">
        <f>P905+P915+P925+P935+P948+P959+P966+P978+P986</f>
        <v>0</v>
      </c>
      <c r="AN982" s="195">
        <f t="shared" ref="AN982:AN989" si="179">+AL982+AM982</f>
        <v>0</v>
      </c>
      <c r="AO982" s="195">
        <f>V905+V915+V925+V935+V948+V959+V966+V978+V986</f>
        <v>0</v>
      </c>
      <c r="AP982" s="195">
        <f t="shared" ref="AP982:AP989" si="180">+AN982+AO982</f>
        <v>0</v>
      </c>
      <c r="AQ982" s="195">
        <f t="shared" ref="AQ982:AQ989" si="181">+AI982+AN982</f>
        <v>20610.119500000001</v>
      </c>
      <c r="AR982" s="195">
        <f t="shared" ref="AR982:AR989" si="182">+AF982-AQ982</f>
        <v>-5.0000000192085281E-4</v>
      </c>
      <c r="AS982" s="195">
        <f t="shared" si="176"/>
        <v>813.90499999999997</v>
      </c>
    </row>
    <row r="983" spans="1:45" x14ac:dyDescent="0.2">
      <c r="A983" s="180"/>
      <c r="D983" s="182" t="s">
        <v>40</v>
      </c>
      <c r="E983" s="182" t="s">
        <v>40</v>
      </c>
      <c r="F983" s="182" t="s">
        <v>40</v>
      </c>
      <c r="G983" s="182"/>
      <c r="H983" s="182" t="s">
        <v>40</v>
      </c>
      <c r="I983" s="182" t="s">
        <v>40</v>
      </c>
      <c r="J983" s="182" t="s">
        <v>40</v>
      </c>
      <c r="K983" s="182" t="s">
        <v>40</v>
      </c>
      <c r="L983" s="182" t="s">
        <v>40</v>
      </c>
      <c r="M983" s="182"/>
      <c r="N983" s="182" t="s">
        <v>40</v>
      </c>
      <c r="O983" s="182" t="s">
        <v>40</v>
      </c>
      <c r="P983" s="182" t="s">
        <v>40</v>
      </c>
      <c r="Q983" s="182"/>
      <c r="R983" s="182" t="s">
        <v>40</v>
      </c>
      <c r="S983" s="182" t="s">
        <v>40</v>
      </c>
      <c r="T983" s="182" t="s">
        <v>40</v>
      </c>
      <c r="U983" s="182" t="s">
        <v>40</v>
      </c>
      <c r="V983" s="182" t="s">
        <v>40</v>
      </c>
      <c r="W983" s="182"/>
      <c r="X983" s="182" t="s">
        <v>40</v>
      </c>
      <c r="Y983" s="182" t="s">
        <v>40</v>
      </c>
      <c r="Z983" s="182" t="s">
        <v>40</v>
      </c>
      <c r="AA983" s="182" t="s">
        <v>40</v>
      </c>
      <c r="AB983" s="182" t="s">
        <v>40</v>
      </c>
      <c r="AC983" s="182"/>
      <c r="AD983" s="182"/>
      <c r="AE983" s="186" t="s">
        <v>36</v>
      </c>
      <c r="AF983" s="195">
        <f>D897+D917+D928+D939</f>
        <v>813.90499999999997</v>
      </c>
      <c r="AG983" s="195">
        <f>E897+E917+E928+E939</f>
        <v>0</v>
      </c>
      <c r="AH983" s="195">
        <f>F897+F917+F928+F939</f>
        <v>0</v>
      </c>
      <c r="AI983" s="195">
        <f t="shared" si="177"/>
        <v>0</v>
      </c>
      <c r="AJ983" s="195">
        <f>L897+L917+L928+L939</f>
        <v>0</v>
      </c>
      <c r="AK983" s="195">
        <f t="shared" si="178"/>
        <v>0</v>
      </c>
      <c r="AL983" s="195">
        <f>O897+O917+O928+O939</f>
        <v>0</v>
      </c>
      <c r="AM983" s="195">
        <f>P897+P917+P928+P939</f>
        <v>0</v>
      </c>
      <c r="AN983" s="195">
        <f t="shared" si="179"/>
        <v>0</v>
      </c>
      <c r="AO983" s="195">
        <f>V897+V917+V928+V939</f>
        <v>0</v>
      </c>
      <c r="AP983" s="195">
        <f t="shared" si="180"/>
        <v>0</v>
      </c>
      <c r="AQ983" s="195">
        <f t="shared" si="181"/>
        <v>0</v>
      </c>
      <c r="AR983" s="195">
        <f t="shared" si="182"/>
        <v>813.90499999999997</v>
      </c>
      <c r="AS983" s="195">
        <f t="shared" si="176"/>
        <v>0</v>
      </c>
    </row>
    <row r="984" spans="1:45" x14ac:dyDescent="0.2">
      <c r="A984" s="180"/>
      <c r="D984" s="182"/>
      <c r="E984" s="182"/>
      <c r="F984" s="182"/>
      <c r="G984" s="182"/>
      <c r="H984" s="182"/>
      <c r="I984" s="182"/>
      <c r="J984" s="182"/>
      <c r="K984" s="182"/>
      <c r="L984" s="182"/>
      <c r="M984" s="182"/>
      <c r="N984" s="182"/>
      <c r="O984" s="182"/>
      <c r="P984" s="182"/>
      <c r="Q984" s="182"/>
      <c r="R984" s="182"/>
      <c r="S984" s="182"/>
      <c r="T984" s="182"/>
      <c r="U984" s="182"/>
      <c r="V984" s="182"/>
      <c r="W984" s="182"/>
      <c r="X984" s="182"/>
      <c r="Y984" s="182"/>
      <c r="Z984" s="182"/>
      <c r="AA984" s="182"/>
      <c r="AB984" s="182"/>
      <c r="AC984" s="182"/>
      <c r="AD984" s="182"/>
      <c r="AE984" s="186" t="s">
        <v>183</v>
      </c>
      <c r="AF984" s="195">
        <f>D918+D929+D940</f>
        <v>0</v>
      </c>
      <c r="AG984" s="195">
        <f>E918+E929+E940</f>
        <v>0</v>
      </c>
      <c r="AH984" s="195">
        <f>F918+F929+F940</f>
        <v>0</v>
      </c>
      <c r="AI984" s="195">
        <f t="shared" si="177"/>
        <v>0</v>
      </c>
      <c r="AJ984" s="195">
        <f>L918+L929+L940</f>
        <v>0</v>
      </c>
      <c r="AK984" s="195">
        <f t="shared" si="178"/>
        <v>0</v>
      </c>
      <c r="AL984" s="195">
        <f>O918+O929+O940</f>
        <v>0</v>
      </c>
      <c r="AM984" s="195">
        <f>P918+P929+P940</f>
        <v>0</v>
      </c>
      <c r="AN984" s="195">
        <f t="shared" si="179"/>
        <v>0</v>
      </c>
      <c r="AO984" s="195">
        <f>V918+V929+V940</f>
        <v>0</v>
      </c>
      <c r="AP984" s="195">
        <f t="shared" si="180"/>
        <v>0</v>
      </c>
      <c r="AQ984" s="195">
        <f t="shared" si="181"/>
        <v>0</v>
      </c>
      <c r="AR984" s="195">
        <f t="shared" si="182"/>
        <v>0</v>
      </c>
      <c r="AS984" s="195">
        <f t="shared" si="176"/>
        <v>5545.6998000000003</v>
      </c>
    </row>
    <row r="985" spans="1:45" x14ac:dyDescent="0.2">
      <c r="A985" s="180">
        <v>75</v>
      </c>
      <c r="B985" s="166" t="s">
        <v>104</v>
      </c>
      <c r="C985" s="166" t="s">
        <v>35</v>
      </c>
      <c r="D985" s="181">
        <f>3253335/1000</f>
        <v>3253.335</v>
      </c>
      <c r="E985" s="181">
        <f>TOBEPAID!E748/1000</f>
        <v>0</v>
      </c>
      <c r="F985" s="181">
        <f>TOBEPAID!F748/1000</f>
        <v>0</v>
      </c>
      <c r="G985" s="181">
        <f>TOBEPAID!G748/1000</f>
        <v>0</v>
      </c>
      <c r="H985" s="181">
        <f>775227/1000</f>
        <v>775.22699999999998</v>
      </c>
      <c r="I985" s="181">
        <f>TOBEPAID!I748/1000</f>
        <v>0</v>
      </c>
      <c r="J985" s="181">
        <f>TOBEPAID!J748/1000</f>
        <v>0</v>
      </c>
      <c r="K985" s="181">
        <f>TOBEPAID!K748/1000</f>
        <v>0</v>
      </c>
      <c r="L985" s="181">
        <f>TOBEPAID!L748/1000</f>
        <v>0</v>
      </c>
      <c r="M985" s="181">
        <f>TOBEPAID!M748/1000</f>
        <v>0</v>
      </c>
      <c r="N985" s="181">
        <f>TOBEPAID!N748/1000</f>
        <v>0</v>
      </c>
      <c r="O985" s="181">
        <f>TOBEPAID!O748/1000</f>
        <v>0</v>
      </c>
      <c r="P985" s="181">
        <f>TOBEPAID!P748/1000</f>
        <v>0</v>
      </c>
      <c r="Q985" s="181">
        <f>TOBEPAID!Q748/1000</f>
        <v>0</v>
      </c>
      <c r="R985" s="181">
        <v>0</v>
      </c>
      <c r="S985" s="181">
        <f>TOBEPAID!S748/1000</f>
        <v>0</v>
      </c>
      <c r="T985" s="181">
        <f>TOBEPAID!T748/1000</f>
        <v>0</v>
      </c>
      <c r="U985" s="181">
        <f>TOBEPAID!U748/1000</f>
        <v>0</v>
      </c>
      <c r="V985" s="181">
        <f>TOBEPAID!V748/1000</f>
        <v>0</v>
      </c>
      <c r="W985" s="181">
        <f>TOBEPAID!W748/1000</f>
        <v>0</v>
      </c>
      <c r="X985" s="181">
        <f>TOBEPAID!X748/1000</f>
        <v>0</v>
      </c>
      <c r="Y985" s="181">
        <f>+H985+R985</f>
        <v>775.22699999999998</v>
      </c>
      <c r="Z985" s="181">
        <f>+D985-Y985</f>
        <v>2478.1080000000002</v>
      </c>
      <c r="AA985" s="181">
        <f>TOBEPAID!AA748/1000</f>
        <v>0</v>
      </c>
      <c r="AB985" s="181">
        <f>TOBEPAID!AB748/1000</f>
        <v>3253.3356400000002</v>
      </c>
      <c r="AC985" s="181"/>
      <c r="AD985" s="181"/>
      <c r="AE985" s="186" t="s">
        <v>184</v>
      </c>
      <c r="AF985" s="195">
        <f>D898+D972+D980</f>
        <v>5687.0450000000001</v>
      </c>
      <c r="AG985" s="195">
        <f>E898+E972+E980</f>
        <v>0</v>
      </c>
      <c r="AH985" s="195">
        <f>F898+F972+F980</f>
        <v>0</v>
      </c>
      <c r="AI985" s="195">
        <f t="shared" si="177"/>
        <v>0</v>
      </c>
      <c r="AJ985" s="195">
        <f>L898+L972+L980</f>
        <v>0</v>
      </c>
      <c r="AK985" s="195">
        <f t="shared" si="178"/>
        <v>0</v>
      </c>
      <c r="AL985" s="195">
        <f>O898+O972+O980</f>
        <v>141.34520000000001</v>
      </c>
      <c r="AM985" s="195">
        <f>P898+P972+P980</f>
        <v>0</v>
      </c>
      <c r="AN985" s="195">
        <f t="shared" si="179"/>
        <v>141.34520000000001</v>
      </c>
      <c r="AO985" s="195">
        <f>V898+V972+V980</f>
        <v>0</v>
      </c>
      <c r="AP985" s="195">
        <f t="shared" si="180"/>
        <v>141.34520000000001</v>
      </c>
      <c r="AQ985" s="195">
        <f t="shared" si="181"/>
        <v>141.34520000000001</v>
      </c>
      <c r="AR985" s="195">
        <f t="shared" si="182"/>
        <v>5545.6998000000003</v>
      </c>
      <c r="AS985" s="195">
        <f t="shared" si="176"/>
        <v>799.08299999999997</v>
      </c>
    </row>
    <row r="986" spans="1:45" x14ac:dyDescent="0.2">
      <c r="A986" s="180"/>
      <c r="C986" s="168" t="s">
        <v>36</v>
      </c>
      <c r="D986" s="181">
        <f>4867890/1000</f>
        <v>4867.8900000000003</v>
      </c>
      <c r="E986" s="181">
        <f>TOBEPAID!E749/1000</f>
        <v>4867.8900000000003</v>
      </c>
      <c r="F986" s="181">
        <f>TOBEPAID!F749/1000</f>
        <v>0</v>
      </c>
      <c r="G986" s="181">
        <f>TOBEPAID!G749/1000</f>
        <v>0</v>
      </c>
      <c r="H986" s="181">
        <f>4867890/1000</f>
        <v>4867.8900000000003</v>
      </c>
      <c r="I986" s="181">
        <f>TOBEPAID!I749/1000</f>
        <v>0</v>
      </c>
      <c r="J986" s="181">
        <f>TOBEPAID!J749/1000</f>
        <v>0</v>
      </c>
      <c r="K986" s="181">
        <f>TOBEPAID!K749/1000</f>
        <v>0</v>
      </c>
      <c r="L986" s="181">
        <f>TOBEPAID!L749/1000</f>
        <v>0</v>
      </c>
      <c r="M986" s="181">
        <f>TOBEPAID!M749/1000</f>
        <v>0</v>
      </c>
      <c r="N986" s="181">
        <f>TOBEPAID!N749/1000</f>
        <v>4867.8900000000003</v>
      </c>
      <c r="O986" s="181">
        <f>TOBEPAID!O749/1000</f>
        <v>0</v>
      </c>
      <c r="P986" s="181">
        <f>TOBEPAID!P749/1000</f>
        <v>0</v>
      </c>
      <c r="Q986" s="181">
        <f>TOBEPAID!Q749/1000</f>
        <v>0</v>
      </c>
      <c r="R986" s="181">
        <v>0</v>
      </c>
      <c r="S986" s="181">
        <f>TOBEPAID!S749/1000</f>
        <v>0</v>
      </c>
      <c r="T986" s="181">
        <f>TOBEPAID!T749/1000</f>
        <v>0</v>
      </c>
      <c r="U986" s="181">
        <f>TOBEPAID!U749/1000</f>
        <v>0</v>
      </c>
      <c r="V986" s="181">
        <f>TOBEPAID!V749/1000</f>
        <v>0</v>
      </c>
      <c r="W986" s="181">
        <f>TOBEPAID!W749/1000</f>
        <v>0</v>
      </c>
      <c r="X986" s="181">
        <f>TOBEPAID!X749/1000</f>
        <v>0</v>
      </c>
      <c r="Y986" s="181">
        <f>+H986+R986</f>
        <v>4867.8900000000003</v>
      </c>
      <c r="Z986" s="181">
        <f>+D986-Y986</f>
        <v>0</v>
      </c>
      <c r="AA986" s="181">
        <f>TOBEPAID!AA749/1000</f>
        <v>4867.8900000000003</v>
      </c>
      <c r="AB986" s="181">
        <f>TOBEPAID!AB749/1000</f>
        <v>0</v>
      </c>
      <c r="AC986" s="181"/>
      <c r="AD986" s="181"/>
      <c r="AE986" s="186" t="s">
        <v>38</v>
      </c>
      <c r="AF986" s="195">
        <f>D907+D960</f>
        <v>799.08299999999997</v>
      </c>
      <c r="AG986" s="195">
        <f>E907+E960</f>
        <v>0</v>
      </c>
      <c r="AH986" s="195">
        <f>F907+F960</f>
        <v>0</v>
      </c>
      <c r="AI986" s="195">
        <f t="shared" si="177"/>
        <v>0</v>
      </c>
      <c r="AJ986" s="195">
        <f>L907+L960</f>
        <v>0</v>
      </c>
      <c r="AK986" s="195">
        <f t="shared" si="178"/>
        <v>0</v>
      </c>
      <c r="AL986" s="195">
        <f>O907+O960</f>
        <v>0</v>
      </c>
      <c r="AM986" s="195">
        <f>P907+P960</f>
        <v>0</v>
      </c>
      <c r="AN986" s="195">
        <f t="shared" si="179"/>
        <v>0</v>
      </c>
      <c r="AO986" s="195">
        <f>V907+V960</f>
        <v>0</v>
      </c>
      <c r="AP986" s="195">
        <f t="shared" si="180"/>
        <v>0</v>
      </c>
      <c r="AQ986" s="195">
        <f t="shared" si="181"/>
        <v>0</v>
      </c>
      <c r="AR986" s="195">
        <f t="shared" si="182"/>
        <v>799.08299999999997</v>
      </c>
      <c r="AS986" s="195">
        <f t="shared" si="176"/>
        <v>2011.6394100000007</v>
      </c>
    </row>
    <row r="987" spans="1:45" x14ac:dyDescent="0.2">
      <c r="A987" s="180"/>
      <c r="D987" s="182" t="s">
        <v>40</v>
      </c>
      <c r="E987" s="182" t="s">
        <v>40</v>
      </c>
      <c r="F987" s="182" t="s">
        <v>40</v>
      </c>
      <c r="G987" s="182"/>
      <c r="H987" s="182" t="s">
        <v>40</v>
      </c>
      <c r="I987" s="182" t="s">
        <v>40</v>
      </c>
      <c r="J987" s="182" t="s">
        <v>40</v>
      </c>
      <c r="K987" s="182" t="s">
        <v>40</v>
      </c>
      <c r="L987" s="182" t="s">
        <v>40</v>
      </c>
      <c r="M987" s="182"/>
      <c r="N987" s="182" t="s">
        <v>40</v>
      </c>
      <c r="O987" s="182" t="s">
        <v>40</v>
      </c>
      <c r="P987" s="182" t="s">
        <v>40</v>
      </c>
      <c r="Q987" s="182"/>
      <c r="R987" s="182" t="s">
        <v>40</v>
      </c>
      <c r="S987" s="182" t="s">
        <v>40</v>
      </c>
      <c r="T987" s="182" t="s">
        <v>40</v>
      </c>
      <c r="U987" s="182" t="s">
        <v>40</v>
      </c>
      <c r="V987" s="182" t="s">
        <v>40</v>
      </c>
      <c r="W987" s="182"/>
      <c r="X987" s="182" t="s">
        <v>40</v>
      </c>
      <c r="Y987" s="182" t="s">
        <v>40</v>
      </c>
      <c r="Z987" s="182" t="s">
        <v>40</v>
      </c>
      <c r="AA987" s="182" t="s">
        <v>40</v>
      </c>
      <c r="AB987" s="182" t="s">
        <v>40</v>
      </c>
      <c r="AC987" s="182"/>
      <c r="AD987" s="182"/>
      <c r="AE987" s="186" t="s">
        <v>264</v>
      </c>
      <c r="AF987" s="195">
        <f t="shared" ref="AF987:AH988" si="183">D908+D951</f>
        <v>7022.7060000000001</v>
      </c>
      <c r="AG987" s="195">
        <f t="shared" si="183"/>
        <v>0</v>
      </c>
      <c r="AH987" s="195">
        <f t="shared" si="183"/>
        <v>0</v>
      </c>
      <c r="AI987" s="195">
        <f t="shared" si="177"/>
        <v>0</v>
      </c>
      <c r="AJ987" s="195">
        <f>L908+L951</f>
        <v>0</v>
      </c>
      <c r="AK987" s="195">
        <f t="shared" si="178"/>
        <v>0</v>
      </c>
      <c r="AL987" s="195">
        <f>O908+O951</f>
        <v>5011.0665899999995</v>
      </c>
      <c r="AM987" s="195">
        <f>P908+P951</f>
        <v>0</v>
      </c>
      <c r="AN987" s="195">
        <f t="shared" si="179"/>
        <v>5011.0665899999995</v>
      </c>
      <c r="AO987" s="195">
        <f>V908+V951</f>
        <v>0</v>
      </c>
      <c r="AP987" s="195">
        <f t="shared" si="180"/>
        <v>5011.0665899999995</v>
      </c>
      <c r="AQ987" s="195">
        <f t="shared" si="181"/>
        <v>5011.0665899999995</v>
      </c>
      <c r="AR987" s="195">
        <f t="shared" si="182"/>
        <v>2011.6394100000007</v>
      </c>
      <c r="AS987" s="195">
        <f t="shared" si="176"/>
        <v>6528.4437400000006</v>
      </c>
    </row>
    <row r="988" spans="1:45" x14ac:dyDescent="0.2">
      <c r="A988" s="180"/>
      <c r="D988" s="181">
        <f>D985+D986</f>
        <v>8121.2250000000004</v>
      </c>
      <c r="E988" s="181">
        <f>E985+E986</f>
        <v>4867.8900000000003</v>
      </c>
      <c r="F988" s="181">
        <f>F985+F986</f>
        <v>0</v>
      </c>
      <c r="G988" s="181"/>
      <c r="H988" s="181">
        <f>H985+H986</f>
        <v>5643.1170000000002</v>
      </c>
      <c r="I988" s="181">
        <f>I985+I986</f>
        <v>0</v>
      </c>
      <c r="J988" s="181">
        <f>J985+J986</f>
        <v>0</v>
      </c>
      <c r="K988" s="181">
        <f>K985+K986</f>
        <v>0</v>
      </c>
      <c r="L988" s="181">
        <f>L985+L986</f>
        <v>0</v>
      </c>
      <c r="M988" s="181"/>
      <c r="N988" s="181">
        <f>N985+N986</f>
        <v>4867.8900000000003</v>
      </c>
      <c r="O988" s="181">
        <f>O985+O986</f>
        <v>0</v>
      </c>
      <c r="P988" s="181">
        <f>P985+P986</f>
        <v>0</v>
      </c>
      <c r="Q988" s="181"/>
      <c r="R988" s="181">
        <f>R985+R986</f>
        <v>0</v>
      </c>
      <c r="S988" s="181">
        <f>S985+S986</f>
        <v>0</v>
      </c>
      <c r="T988" s="181">
        <f>T985+T986</f>
        <v>0</v>
      </c>
      <c r="U988" s="181">
        <f>U985+U986</f>
        <v>0</v>
      </c>
      <c r="V988" s="181">
        <f>V985+V986</f>
        <v>0</v>
      </c>
      <c r="W988" s="181"/>
      <c r="X988" s="181">
        <f>X985+X986</f>
        <v>0</v>
      </c>
      <c r="Y988" s="181">
        <f>Y985+Y986</f>
        <v>5643.1170000000002</v>
      </c>
      <c r="Z988" s="181">
        <f>Z985+Z986</f>
        <v>2478.1080000000002</v>
      </c>
      <c r="AA988" s="181">
        <f>AA985+AA986</f>
        <v>4867.8900000000003</v>
      </c>
      <c r="AB988" s="181">
        <f>AB985+AB986</f>
        <v>3253.3356400000002</v>
      </c>
      <c r="AC988" s="181"/>
      <c r="AD988" s="181"/>
      <c r="AE988" s="186" t="s">
        <v>53</v>
      </c>
      <c r="AF988" s="195">
        <f t="shared" si="183"/>
        <v>12132.34</v>
      </c>
      <c r="AG988" s="195">
        <f t="shared" si="183"/>
        <v>0</v>
      </c>
      <c r="AH988" s="195">
        <f t="shared" si="183"/>
        <v>0</v>
      </c>
      <c r="AI988" s="195">
        <f t="shared" si="177"/>
        <v>0</v>
      </c>
      <c r="AJ988" s="195">
        <f>L909+L952</f>
        <v>0</v>
      </c>
      <c r="AK988" s="195">
        <f t="shared" si="178"/>
        <v>0</v>
      </c>
      <c r="AL988" s="195">
        <f>O909+O952</f>
        <v>5603.8962599999995</v>
      </c>
      <c r="AM988" s="195">
        <f>P909+P952</f>
        <v>0</v>
      </c>
      <c r="AN988" s="195">
        <f t="shared" si="179"/>
        <v>5603.8962599999995</v>
      </c>
      <c r="AO988" s="195">
        <f>V909+V952</f>
        <v>0</v>
      </c>
      <c r="AP988" s="195">
        <f t="shared" si="180"/>
        <v>5603.8962599999995</v>
      </c>
      <c r="AQ988" s="195">
        <f t="shared" si="181"/>
        <v>5603.8962599999995</v>
      </c>
      <c r="AR988" s="195">
        <f t="shared" si="182"/>
        <v>6528.4437400000006</v>
      </c>
      <c r="AS988" s="195">
        <f t="shared" si="176"/>
        <v>0</v>
      </c>
    </row>
    <row r="989" spans="1:45" x14ac:dyDescent="0.2">
      <c r="A989" s="180"/>
      <c r="D989" s="182" t="s">
        <v>40</v>
      </c>
      <c r="E989" s="182" t="s">
        <v>40</v>
      </c>
      <c r="F989" s="182" t="s">
        <v>40</v>
      </c>
      <c r="G989" s="182"/>
      <c r="H989" s="182" t="s">
        <v>40</v>
      </c>
      <c r="I989" s="182" t="s">
        <v>40</v>
      </c>
      <c r="J989" s="182" t="s">
        <v>40</v>
      </c>
      <c r="K989" s="182" t="s">
        <v>40</v>
      </c>
      <c r="L989" s="182" t="s">
        <v>40</v>
      </c>
      <c r="M989" s="182"/>
      <c r="N989" s="182" t="s">
        <v>40</v>
      </c>
      <c r="O989" s="182" t="s">
        <v>40</v>
      </c>
      <c r="P989" s="182" t="s">
        <v>40</v>
      </c>
      <c r="Q989" s="182"/>
      <c r="R989" s="182" t="s">
        <v>40</v>
      </c>
      <c r="S989" s="182" t="s">
        <v>40</v>
      </c>
      <c r="T989" s="182" t="s">
        <v>40</v>
      </c>
      <c r="U989" s="182" t="s">
        <v>40</v>
      </c>
      <c r="V989" s="182" t="s">
        <v>40</v>
      </c>
      <c r="W989" s="182"/>
      <c r="X989" s="182" t="s">
        <v>40</v>
      </c>
      <c r="Y989" s="182" t="s">
        <v>40</v>
      </c>
      <c r="Z989" s="182" t="s">
        <v>40</v>
      </c>
      <c r="AA989" s="182" t="s">
        <v>40</v>
      </c>
      <c r="AB989" s="182" t="s">
        <v>40</v>
      </c>
      <c r="AC989" s="182"/>
      <c r="AD989" s="182"/>
      <c r="AE989" s="186" t="s">
        <v>54</v>
      </c>
      <c r="AF989" s="195">
        <f>+D919</f>
        <v>3406.1239999999998</v>
      </c>
      <c r="AG989" s="195">
        <f>+E919</f>
        <v>3406.1239999999998</v>
      </c>
      <c r="AH989" s="195">
        <f>+F919</f>
        <v>0</v>
      </c>
      <c r="AI989" s="195">
        <f t="shared" si="177"/>
        <v>3406.1239999999998</v>
      </c>
      <c r="AJ989" s="195">
        <f>+L919</f>
        <v>0</v>
      </c>
      <c r="AK989" s="195">
        <f t="shared" si="178"/>
        <v>3406.1239999999998</v>
      </c>
      <c r="AL989" s="195">
        <f>+O919</f>
        <v>0</v>
      </c>
      <c r="AM989" s="195">
        <f>+P919</f>
        <v>0</v>
      </c>
      <c r="AN989" s="195">
        <f t="shared" si="179"/>
        <v>0</v>
      </c>
      <c r="AO989" s="195">
        <f>+V919</f>
        <v>0</v>
      </c>
      <c r="AP989" s="195">
        <f t="shared" si="180"/>
        <v>0</v>
      </c>
      <c r="AQ989" s="195">
        <f t="shared" si="181"/>
        <v>3406.1239999999998</v>
      </c>
      <c r="AR989" s="195">
        <f t="shared" si="182"/>
        <v>0</v>
      </c>
      <c r="AS989" s="195">
        <f>SUM(AS976:AS988)</f>
        <v>141297.70053999999</v>
      </c>
    </row>
    <row r="990" spans="1:45" x14ac:dyDescent="0.2">
      <c r="A990" s="180"/>
      <c r="D990" s="182"/>
      <c r="E990" s="182"/>
      <c r="F990" s="182"/>
      <c r="G990" s="182"/>
      <c r="H990" s="182"/>
      <c r="I990" s="182"/>
      <c r="J990" s="182"/>
      <c r="K990" s="182"/>
      <c r="L990" s="182"/>
      <c r="M990" s="182"/>
      <c r="N990" s="182"/>
      <c r="O990" s="182"/>
      <c r="P990" s="182"/>
      <c r="Q990" s="182"/>
      <c r="R990" s="182"/>
      <c r="S990" s="182"/>
      <c r="T990" s="182"/>
      <c r="U990" s="182"/>
      <c r="V990" s="182"/>
      <c r="W990" s="182"/>
      <c r="X990" s="182"/>
      <c r="Y990" s="182"/>
      <c r="Z990" s="182"/>
      <c r="AA990" s="182"/>
      <c r="AB990" s="182"/>
      <c r="AC990" s="182"/>
      <c r="AD990" s="182"/>
      <c r="AE990" s="186"/>
      <c r="AF990" s="195"/>
      <c r="AG990" s="195"/>
      <c r="AH990" s="195"/>
      <c r="AI990" s="195"/>
      <c r="AJ990" s="195"/>
      <c r="AK990" s="195"/>
      <c r="AL990" s="195"/>
      <c r="AM990" s="195"/>
      <c r="AN990" s="195"/>
      <c r="AO990" s="195"/>
      <c r="AP990" s="195"/>
      <c r="AQ990" s="195"/>
      <c r="AR990" s="195"/>
      <c r="AS990" s="195"/>
    </row>
    <row r="991" spans="1:45" x14ac:dyDescent="0.2">
      <c r="A991" s="180"/>
      <c r="B991" s="165" t="s">
        <v>373</v>
      </c>
      <c r="C991" s="166" t="s">
        <v>35</v>
      </c>
      <c r="D991" s="196">
        <v>0</v>
      </c>
      <c r="E991" s="196"/>
      <c r="F991" s="196"/>
      <c r="G991" s="196"/>
      <c r="H991" s="196">
        <v>0</v>
      </c>
      <c r="I991" s="196"/>
      <c r="J991" s="196"/>
      <c r="K991" s="196"/>
      <c r="L991" s="196"/>
      <c r="M991" s="196"/>
      <c r="N991" s="196"/>
      <c r="O991" s="196"/>
      <c r="P991" s="196"/>
      <c r="Q991" s="196"/>
      <c r="R991" s="196">
        <v>0</v>
      </c>
      <c r="S991" s="196"/>
      <c r="T991" s="196"/>
      <c r="U991" s="196"/>
      <c r="V991" s="196"/>
      <c r="W991" s="196"/>
      <c r="X991" s="196"/>
      <c r="Y991" s="196">
        <f>+H991+R991</f>
        <v>0</v>
      </c>
      <c r="Z991" s="196">
        <f>+D991-Y991</f>
        <v>0</v>
      </c>
      <c r="AA991" s="182"/>
      <c r="AB991" s="182"/>
      <c r="AC991" s="182"/>
      <c r="AD991" s="182"/>
      <c r="AE991" s="186"/>
      <c r="AF991" s="195"/>
      <c r="AG991" s="195"/>
      <c r="AH991" s="195"/>
      <c r="AI991" s="195"/>
      <c r="AJ991" s="195"/>
      <c r="AK991" s="195"/>
      <c r="AL991" s="195"/>
      <c r="AM991" s="195"/>
      <c r="AN991" s="195"/>
      <c r="AO991" s="195"/>
      <c r="AP991" s="195"/>
      <c r="AQ991" s="195"/>
      <c r="AR991" s="195"/>
      <c r="AS991" s="195"/>
    </row>
    <row r="992" spans="1:45" x14ac:dyDescent="0.2">
      <c r="A992" s="180"/>
      <c r="D992" s="182" t="s">
        <v>40</v>
      </c>
      <c r="E992" s="182" t="s">
        <v>40</v>
      </c>
      <c r="F992" s="182" t="s">
        <v>40</v>
      </c>
      <c r="G992" s="182"/>
      <c r="H992" s="182" t="s">
        <v>40</v>
      </c>
      <c r="I992" s="182" t="s">
        <v>40</v>
      </c>
      <c r="J992" s="182" t="s">
        <v>40</v>
      </c>
      <c r="K992" s="182" t="s">
        <v>40</v>
      </c>
      <c r="L992" s="182" t="s">
        <v>40</v>
      </c>
      <c r="M992" s="182"/>
      <c r="N992" s="182" t="s">
        <v>40</v>
      </c>
      <c r="O992" s="182" t="s">
        <v>40</v>
      </c>
      <c r="P992" s="182" t="s">
        <v>40</v>
      </c>
      <c r="Q992" s="182"/>
      <c r="R992" s="182" t="s">
        <v>40</v>
      </c>
      <c r="S992" s="182" t="s">
        <v>40</v>
      </c>
      <c r="T992" s="182" t="s">
        <v>40</v>
      </c>
      <c r="U992" s="182" t="s">
        <v>40</v>
      </c>
      <c r="V992" s="182" t="s">
        <v>40</v>
      </c>
      <c r="W992" s="182"/>
      <c r="X992" s="182" t="s">
        <v>40</v>
      </c>
      <c r="Y992" s="182" t="s">
        <v>40</v>
      </c>
      <c r="Z992" s="182" t="s">
        <v>40</v>
      </c>
      <c r="AA992" s="182"/>
      <c r="AB992" s="182"/>
      <c r="AC992" s="182"/>
      <c r="AD992" s="182"/>
      <c r="AE992" s="186"/>
      <c r="AF992" s="195"/>
      <c r="AG992" s="195"/>
      <c r="AH992" s="195"/>
      <c r="AI992" s="195"/>
      <c r="AJ992" s="195"/>
      <c r="AK992" s="195"/>
      <c r="AL992" s="195"/>
      <c r="AM992" s="195"/>
      <c r="AN992" s="195"/>
      <c r="AO992" s="195"/>
      <c r="AP992" s="195"/>
      <c r="AQ992" s="195"/>
      <c r="AR992" s="195"/>
      <c r="AS992" s="195"/>
    </row>
    <row r="993" spans="1:44" x14ac:dyDescent="0.2">
      <c r="A993" s="180"/>
      <c r="D993" s="182"/>
      <c r="E993" s="182"/>
      <c r="F993" s="182"/>
      <c r="G993" s="182"/>
      <c r="H993" s="182"/>
      <c r="I993" s="182"/>
      <c r="J993" s="182"/>
      <c r="K993" s="182"/>
      <c r="L993" s="182"/>
      <c r="M993" s="182"/>
      <c r="N993" s="182"/>
      <c r="O993" s="182"/>
      <c r="P993" s="182"/>
      <c r="Q993" s="182"/>
      <c r="R993" s="182"/>
      <c r="S993" s="182"/>
      <c r="T993" s="182"/>
      <c r="U993" s="182"/>
      <c r="V993" s="182"/>
      <c r="W993" s="182"/>
      <c r="X993" s="182"/>
      <c r="Y993" s="182"/>
      <c r="Z993" s="182"/>
      <c r="AA993" s="182"/>
      <c r="AB993" s="182"/>
      <c r="AC993" s="182"/>
      <c r="AD993" s="182"/>
      <c r="AE993" s="186" t="s">
        <v>261</v>
      </c>
      <c r="AF993" s="195">
        <f t="shared" ref="AF993:AR993" si="184">SUM(AF977:AF989)</f>
        <v>197862.33305000004</v>
      </c>
      <c r="AG993" s="195">
        <f t="shared" si="184"/>
        <v>40516.243499999997</v>
      </c>
      <c r="AH993" s="195">
        <f t="shared" si="184"/>
        <v>1500</v>
      </c>
      <c r="AI993" s="195">
        <f t="shared" si="184"/>
        <v>42016.243499999997</v>
      </c>
      <c r="AJ993" s="195">
        <f t="shared" si="184"/>
        <v>0</v>
      </c>
      <c r="AK993" s="195">
        <f t="shared" si="184"/>
        <v>42016.243499999997</v>
      </c>
      <c r="AL993" s="195">
        <f t="shared" si="184"/>
        <v>14548.389009999999</v>
      </c>
      <c r="AM993" s="195">
        <f t="shared" si="184"/>
        <v>0</v>
      </c>
      <c r="AN993" s="195">
        <f t="shared" si="184"/>
        <v>14548.389009999999</v>
      </c>
      <c r="AO993" s="195">
        <f t="shared" si="184"/>
        <v>0</v>
      </c>
      <c r="AP993" s="195">
        <f t="shared" si="184"/>
        <v>14548.389009999999</v>
      </c>
      <c r="AQ993" s="195">
        <f t="shared" si="184"/>
        <v>56564.63251000001</v>
      </c>
      <c r="AR993" s="195">
        <f t="shared" si="184"/>
        <v>141297.70053999999</v>
      </c>
    </row>
    <row r="994" spans="1:44" ht="25.5" customHeight="1" x14ac:dyDescent="0.2">
      <c r="A994" s="180"/>
      <c r="B994" s="171" t="s">
        <v>26</v>
      </c>
      <c r="C994" s="171" t="s">
        <v>94</v>
      </c>
      <c r="D994" s="181">
        <f>D988+D982+D974+D954+D942+D931+D921+D911+D900+D962+D991</f>
        <v>1254274.34987</v>
      </c>
      <c r="E994" s="181">
        <f>E988+E982+E974+E954+E942+E931+E921+E911+E900+E962</f>
        <v>40516.243499999997</v>
      </c>
      <c r="F994" s="181">
        <f>F988+F982+F974+F954+F942+F931+F921+F911+F900+F962</f>
        <v>1500</v>
      </c>
      <c r="G994" s="181"/>
      <c r="H994" s="181">
        <f t="shared" ref="H994:Z994" si="185">H988+H982+H974+H954+H942+H931+H921+H911+H900+H962+H991</f>
        <v>598238.15323000005</v>
      </c>
      <c r="I994" s="181">
        <f t="shared" si="185"/>
        <v>0</v>
      </c>
      <c r="J994" s="181">
        <f t="shared" si="185"/>
        <v>0</v>
      </c>
      <c r="K994" s="181">
        <f t="shared" si="185"/>
        <v>0</v>
      </c>
      <c r="L994" s="181">
        <f t="shared" si="185"/>
        <v>0</v>
      </c>
      <c r="M994" s="181">
        <f t="shared" si="185"/>
        <v>0</v>
      </c>
      <c r="N994" s="181">
        <f t="shared" si="185"/>
        <v>42016.243499999997</v>
      </c>
      <c r="O994" s="181">
        <f t="shared" si="185"/>
        <v>14548.389009999999</v>
      </c>
      <c r="P994" s="181">
        <f t="shared" si="185"/>
        <v>0</v>
      </c>
      <c r="Q994" s="181">
        <f t="shared" si="185"/>
        <v>0</v>
      </c>
      <c r="R994" s="181">
        <f t="shared" si="185"/>
        <v>14548.411899999999</v>
      </c>
      <c r="S994" s="181">
        <f t="shared" si="185"/>
        <v>0</v>
      </c>
      <c r="T994" s="181">
        <f t="shared" si="185"/>
        <v>0</v>
      </c>
      <c r="U994" s="181">
        <f t="shared" si="185"/>
        <v>0</v>
      </c>
      <c r="V994" s="181">
        <f t="shared" si="185"/>
        <v>0</v>
      </c>
      <c r="W994" s="181">
        <f t="shared" si="185"/>
        <v>0</v>
      </c>
      <c r="X994" s="181">
        <f t="shared" si="185"/>
        <v>14548.389009999999</v>
      </c>
      <c r="Y994" s="181">
        <f t="shared" si="185"/>
        <v>612786.56513</v>
      </c>
      <c r="Z994" s="181">
        <f t="shared" si="185"/>
        <v>641487.78473999992</v>
      </c>
      <c r="AA994" s="181">
        <f>AA988+AA982+AA974+AA954+AA942+AA931+AA921+AA911+AA900+AA962</f>
        <v>56564.632510000003</v>
      </c>
      <c r="AB994" s="181">
        <f>AB988+AB982+AB974+AB954+AB942+AB931+AB921+AB911+AB900+AB962</f>
        <v>131444.87508999999</v>
      </c>
      <c r="AC994" s="181"/>
      <c r="AD994" s="181"/>
    </row>
    <row r="995" spans="1:44" ht="15" customHeight="1" x14ac:dyDescent="0.2">
      <c r="A995" s="180"/>
      <c r="D995" s="182" t="s">
        <v>50</v>
      </c>
      <c r="E995" s="182" t="s">
        <v>50</v>
      </c>
      <c r="F995" s="182" t="s">
        <v>50</v>
      </c>
      <c r="G995" s="182"/>
      <c r="H995" s="182" t="s">
        <v>50</v>
      </c>
      <c r="I995" s="182" t="s">
        <v>50</v>
      </c>
      <c r="J995" s="182" t="s">
        <v>50</v>
      </c>
      <c r="K995" s="182" t="s">
        <v>50</v>
      </c>
      <c r="L995" s="182" t="s">
        <v>50</v>
      </c>
      <c r="M995" s="182"/>
      <c r="N995" s="182" t="s">
        <v>50</v>
      </c>
      <c r="O995" s="182" t="s">
        <v>50</v>
      </c>
      <c r="P995" s="182" t="s">
        <v>50</v>
      </c>
      <c r="Q995" s="182"/>
      <c r="R995" s="182" t="s">
        <v>50</v>
      </c>
      <c r="S995" s="182" t="s">
        <v>50</v>
      </c>
      <c r="T995" s="182" t="s">
        <v>50</v>
      </c>
      <c r="U995" s="182" t="s">
        <v>50</v>
      </c>
      <c r="V995" s="182" t="s">
        <v>50</v>
      </c>
      <c r="W995" s="182"/>
      <c r="X995" s="182" t="s">
        <v>50</v>
      </c>
      <c r="Y995" s="182" t="s">
        <v>50</v>
      </c>
      <c r="Z995" s="182" t="s">
        <v>50</v>
      </c>
      <c r="AA995" s="182" t="s">
        <v>50</v>
      </c>
      <c r="AB995" s="182" t="s">
        <v>50</v>
      </c>
      <c r="AC995" s="182"/>
      <c r="AD995" s="182"/>
      <c r="AF995" s="195"/>
    </row>
    <row r="996" spans="1:44" ht="16.5" customHeight="1" x14ac:dyDescent="0.2">
      <c r="A996" s="180"/>
      <c r="C996" s="186"/>
      <c r="D996" s="191"/>
      <c r="E996" s="191"/>
      <c r="F996" s="191"/>
      <c r="G996" s="191"/>
      <c r="H996" s="191"/>
      <c r="I996" s="191"/>
      <c r="J996" s="191"/>
      <c r="K996" s="191"/>
      <c r="L996" s="191"/>
      <c r="M996" s="191"/>
      <c r="N996" s="191"/>
      <c r="O996" s="191"/>
      <c r="P996" s="191"/>
      <c r="Q996" s="191"/>
      <c r="R996" s="191"/>
      <c r="S996" s="191"/>
      <c r="T996" s="191"/>
      <c r="U996" s="191"/>
      <c r="V996" s="191"/>
      <c r="W996" s="191"/>
      <c r="X996" s="191"/>
      <c r="Y996" s="191"/>
      <c r="Z996" s="191"/>
      <c r="AA996" s="191"/>
      <c r="AB996" s="191"/>
      <c r="AC996" s="191"/>
      <c r="AD996" s="191"/>
    </row>
    <row r="997" spans="1:44" x14ac:dyDescent="0.2">
      <c r="A997" s="180"/>
      <c r="B997" s="165" t="s">
        <v>210</v>
      </c>
      <c r="D997" s="191"/>
      <c r="E997" s="191"/>
      <c r="F997" s="191"/>
      <c r="G997" s="191"/>
      <c r="H997" s="191"/>
      <c r="I997" s="191"/>
      <c r="J997" s="191"/>
      <c r="K997" s="191"/>
      <c r="L997" s="191"/>
      <c r="M997" s="191"/>
      <c r="N997" s="191"/>
      <c r="O997" s="191"/>
      <c r="P997" s="191"/>
      <c r="Q997" s="191"/>
      <c r="R997" s="191"/>
      <c r="S997" s="191"/>
      <c r="T997" s="191"/>
      <c r="U997" s="191"/>
      <c r="V997" s="191"/>
      <c r="W997" s="191"/>
      <c r="X997" s="191"/>
      <c r="Y997" s="191"/>
      <c r="Z997" s="191"/>
      <c r="AA997" s="191"/>
      <c r="AB997" s="191"/>
      <c r="AC997" s="191"/>
      <c r="AD997" s="191"/>
    </row>
    <row r="998" spans="1:44" x14ac:dyDescent="0.2">
      <c r="A998" s="180"/>
      <c r="D998" s="191"/>
      <c r="E998" s="191"/>
      <c r="F998" s="191"/>
      <c r="G998" s="191"/>
      <c r="H998" s="191"/>
      <c r="I998" s="191"/>
      <c r="J998" s="191"/>
      <c r="K998" s="191"/>
      <c r="L998" s="191"/>
      <c r="M998" s="191"/>
      <c r="N998" s="191"/>
      <c r="O998" s="191"/>
      <c r="P998" s="191"/>
      <c r="Q998" s="191"/>
      <c r="R998" s="191"/>
      <c r="S998" s="191"/>
      <c r="T998" s="191"/>
      <c r="U998" s="191"/>
      <c r="V998" s="191"/>
      <c r="W998" s="191"/>
      <c r="X998" s="191"/>
      <c r="Y998" s="191"/>
      <c r="Z998" s="191"/>
      <c r="AA998" s="191"/>
      <c r="AB998" s="191"/>
      <c r="AC998" s="191"/>
      <c r="AD998" s="191"/>
    </row>
    <row r="999" spans="1:44" x14ac:dyDescent="0.2">
      <c r="A999" s="180">
        <v>76</v>
      </c>
      <c r="B999" s="165" t="s">
        <v>349</v>
      </c>
      <c r="C999" s="166" t="s">
        <v>35</v>
      </c>
      <c r="D999" s="181">
        <f>11666401/1000</f>
        <v>11666.401</v>
      </c>
      <c r="E999" s="181">
        <f>TOBEPAID!E759/1000</f>
        <v>0</v>
      </c>
      <c r="F999" s="181">
        <f>TOBEPAID!F759/1000</f>
        <v>0</v>
      </c>
      <c r="G999" s="181">
        <f>TOBEPAID!G759/1000</f>
        <v>0</v>
      </c>
      <c r="H999" s="181">
        <f>11666401/1000</f>
        <v>11666.401</v>
      </c>
      <c r="I999" s="181">
        <f>TOBEPAID!I759/1000</f>
        <v>0</v>
      </c>
      <c r="J999" s="181">
        <f>TOBEPAID!J759/1000</f>
        <v>0</v>
      </c>
      <c r="K999" s="181">
        <f>TOBEPAID!K759/1000</f>
        <v>0</v>
      </c>
      <c r="L999" s="181">
        <f>TOBEPAID!L759/1000</f>
        <v>0</v>
      </c>
      <c r="M999" s="181">
        <f>TOBEPAID!M759/1000</f>
        <v>0</v>
      </c>
      <c r="N999" s="181">
        <f>TOBEPAID!N759/1000</f>
        <v>0</v>
      </c>
      <c r="O999" s="181">
        <f>TOBEPAID!O759/1000</f>
        <v>0</v>
      </c>
      <c r="P999" s="181">
        <f>TOBEPAID!P759/1000</f>
        <v>0</v>
      </c>
      <c r="Q999" s="181">
        <f>TOBEPAID!Q759/1000</f>
        <v>0</v>
      </c>
      <c r="R999" s="181">
        <v>0</v>
      </c>
      <c r="S999" s="181">
        <f>TOBEPAID!S759/1000</f>
        <v>0</v>
      </c>
      <c r="T999" s="181">
        <f>TOBEPAID!T759/1000</f>
        <v>0</v>
      </c>
      <c r="U999" s="181">
        <f>TOBEPAID!U759/1000</f>
        <v>0</v>
      </c>
      <c r="V999" s="181">
        <f>TOBEPAID!V759/1000</f>
        <v>0</v>
      </c>
      <c r="W999" s="181">
        <f>TOBEPAID!W759/1000</f>
        <v>0</v>
      </c>
      <c r="X999" s="181">
        <f>TOBEPAID!X759/1000</f>
        <v>0</v>
      </c>
      <c r="Y999" s="181">
        <f>+H999+R999</f>
        <v>11666.401</v>
      </c>
      <c r="Z999" s="181">
        <f t="shared" ref="Z999:Z1008" si="186">+D999-Y999</f>
        <v>0</v>
      </c>
      <c r="AA999" s="181">
        <f>TOBEPAID!AA759/1000</f>
        <v>0</v>
      </c>
      <c r="AB999" s="181">
        <f>TOBEPAID!AB759/1000</f>
        <v>0</v>
      </c>
      <c r="AC999" s="181"/>
      <c r="AD999" s="181"/>
    </row>
    <row r="1000" spans="1:44" x14ac:dyDescent="0.2">
      <c r="A1000" s="180"/>
      <c r="C1000" s="165" t="s">
        <v>36</v>
      </c>
      <c r="D1000" s="181">
        <f>1870946/1000</f>
        <v>1870.9459999999999</v>
      </c>
      <c r="E1000" s="181">
        <f>TOBEPAID!E760/1000</f>
        <v>1870.9459999999999</v>
      </c>
      <c r="F1000" s="181">
        <f>TOBEPAID!F760/1000</f>
        <v>0</v>
      </c>
      <c r="G1000" s="181">
        <f>TOBEPAID!G760/1000</f>
        <v>0</v>
      </c>
      <c r="H1000" s="181">
        <f>1870946/1000</f>
        <v>1870.9459999999999</v>
      </c>
      <c r="I1000" s="181">
        <f>TOBEPAID!I760/1000</f>
        <v>0</v>
      </c>
      <c r="J1000" s="181">
        <f>TOBEPAID!J760/1000</f>
        <v>0</v>
      </c>
      <c r="K1000" s="181">
        <f>TOBEPAID!K760/1000</f>
        <v>0</v>
      </c>
      <c r="L1000" s="181">
        <f>TOBEPAID!L760/1000</f>
        <v>0</v>
      </c>
      <c r="M1000" s="181">
        <f>TOBEPAID!M760/1000</f>
        <v>0</v>
      </c>
      <c r="N1000" s="181">
        <f>TOBEPAID!N760/1000</f>
        <v>1870.9459999999999</v>
      </c>
      <c r="O1000" s="181">
        <f>TOBEPAID!O760/1000</f>
        <v>0</v>
      </c>
      <c r="P1000" s="181">
        <f>TOBEPAID!P760/1000</f>
        <v>0</v>
      </c>
      <c r="Q1000" s="181">
        <f>TOBEPAID!Q760/1000</f>
        <v>0</v>
      </c>
      <c r="R1000" s="181">
        <v>0</v>
      </c>
      <c r="S1000" s="181">
        <f>TOBEPAID!S760/1000</f>
        <v>0</v>
      </c>
      <c r="T1000" s="181">
        <f>TOBEPAID!T760/1000</f>
        <v>0</v>
      </c>
      <c r="U1000" s="181">
        <f>TOBEPAID!U760/1000</f>
        <v>0</v>
      </c>
      <c r="V1000" s="181">
        <f>TOBEPAID!V760/1000</f>
        <v>0</v>
      </c>
      <c r="W1000" s="181">
        <f>TOBEPAID!W760/1000</f>
        <v>0</v>
      </c>
      <c r="X1000" s="181">
        <f>TOBEPAID!X760/1000</f>
        <v>0</v>
      </c>
      <c r="Y1000" s="181">
        <f t="shared" ref="Y1000:Y1008" si="187">+H1000+R1000</f>
        <v>1870.9459999999999</v>
      </c>
      <c r="Z1000" s="181">
        <f t="shared" si="186"/>
        <v>0</v>
      </c>
      <c r="AA1000" s="181">
        <f>TOBEPAID!AA760/1000</f>
        <v>1870.9459999999999</v>
      </c>
      <c r="AB1000" s="181">
        <f>TOBEPAID!AB760/1000</f>
        <v>0</v>
      </c>
      <c r="AC1000" s="181"/>
      <c r="AD1000" s="181"/>
    </row>
    <row r="1001" spans="1:44" x14ac:dyDescent="0.2">
      <c r="A1001" s="180"/>
      <c r="C1001" s="165" t="s">
        <v>461</v>
      </c>
      <c r="D1001" s="181">
        <f>10000000/1000</f>
        <v>10000</v>
      </c>
      <c r="E1001" s="181"/>
      <c r="F1001" s="181"/>
      <c r="G1001" s="181"/>
      <c r="H1001" s="181">
        <f>10000000/1000</f>
        <v>10000</v>
      </c>
      <c r="I1001" s="181"/>
      <c r="J1001" s="181"/>
      <c r="K1001" s="181"/>
      <c r="L1001" s="181"/>
      <c r="M1001" s="181"/>
      <c r="N1001" s="181"/>
      <c r="O1001" s="181"/>
      <c r="P1001" s="181"/>
      <c r="Q1001" s="181"/>
      <c r="R1001" s="181">
        <v>0</v>
      </c>
      <c r="S1001" s="181"/>
      <c r="T1001" s="181"/>
      <c r="U1001" s="181"/>
      <c r="V1001" s="181"/>
      <c r="W1001" s="181"/>
      <c r="X1001" s="181"/>
      <c r="Y1001" s="181">
        <f>+H1001+R1001</f>
        <v>10000</v>
      </c>
      <c r="Z1001" s="181">
        <f t="shared" si="186"/>
        <v>0</v>
      </c>
      <c r="AA1001" s="181"/>
      <c r="AB1001" s="181"/>
      <c r="AC1001" s="181"/>
      <c r="AD1001" s="181"/>
    </row>
    <row r="1002" spans="1:44" x14ac:dyDescent="0.2">
      <c r="C1002" s="165" t="s">
        <v>290</v>
      </c>
      <c r="D1002" s="181">
        <f>176994351.06/1000</f>
        <v>176994.35106000002</v>
      </c>
      <c r="E1002" s="181">
        <f>TOBEPAID!E761/1000</f>
        <v>69494.351060000001</v>
      </c>
      <c r="F1002" s="181">
        <f>TOBEPAID!F761/1000</f>
        <v>10000</v>
      </c>
      <c r="G1002" s="181">
        <f>TOBEPAID!G761/1000</f>
        <v>0</v>
      </c>
      <c r="H1002" s="181">
        <f>176994351/1000</f>
        <v>176994.351</v>
      </c>
      <c r="I1002" s="181">
        <f>TOBEPAID!I761/1000</f>
        <v>0</v>
      </c>
      <c r="J1002" s="181">
        <f>TOBEPAID!J761/1000</f>
        <v>0</v>
      </c>
      <c r="K1002" s="181">
        <f>TOBEPAID!K761/1000</f>
        <v>0</v>
      </c>
      <c r="L1002" s="181">
        <f>TOBEPAID!L761/1000</f>
        <v>0</v>
      </c>
      <c r="M1002" s="181">
        <f>TOBEPAID!M761/1000</f>
        <v>0</v>
      </c>
      <c r="N1002" s="181">
        <f>TOBEPAID!N761/1000</f>
        <v>79494.351060000001</v>
      </c>
      <c r="O1002" s="181">
        <f>TOBEPAID!O761/1000</f>
        <v>0</v>
      </c>
      <c r="P1002" s="181">
        <f>TOBEPAID!P761/1000</f>
        <v>0</v>
      </c>
      <c r="Q1002" s="181">
        <f>TOBEPAID!Q761/1000</f>
        <v>0</v>
      </c>
      <c r="R1002" s="181">
        <v>0</v>
      </c>
      <c r="S1002" s="181">
        <f>TOBEPAID!S761/1000</f>
        <v>0</v>
      </c>
      <c r="T1002" s="181">
        <f>TOBEPAID!T761/1000</f>
        <v>0</v>
      </c>
      <c r="U1002" s="181">
        <f>TOBEPAID!U761/1000</f>
        <v>0</v>
      </c>
      <c r="V1002" s="181">
        <f>TOBEPAID!V761/1000</f>
        <v>0</v>
      </c>
      <c r="W1002" s="181">
        <f>TOBEPAID!W761/1000</f>
        <v>0</v>
      </c>
      <c r="X1002" s="181">
        <f>TOBEPAID!X761/1000</f>
        <v>0</v>
      </c>
      <c r="Y1002" s="181">
        <f t="shared" si="187"/>
        <v>176994.351</v>
      </c>
      <c r="Z1002" s="181">
        <f t="shared" si="186"/>
        <v>6.0000020312145352E-5</v>
      </c>
      <c r="AA1002" s="181">
        <f>TOBEPAID!AA761/1000</f>
        <v>79494.351060000001</v>
      </c>
      <c r="AB1002" s="181">
        <f>TOBEPAID!AB761/1000</f>
        <v>0</v>
      </c>
      <c r="AC1002" s="181"/>
      <c r="AD1002" s="181"/>
    </row>
    <row r="1003" spans="1:44" x14ac:dyDescent="0.2">
      <c r="C1003" s="165" t="s">
        <v>374</v>
      </c>
      <c r="D1003" s="181">
        <f>12000000/1000</f>
        <v>12000</v>
      </c>
      <c r="E1003" s="181"/>
      <c r="F1003" s="181"/>
      <c r="G1003" s="181"/>
      <c r="H1003" s="181">
        <f>12000000/1000</f>
        <v>12000</v>
      </c>
      <c r="I1003" s="181"/>
      <c r="J1003" s="181"/>
      <c r="K1003" s="181"/>
      <c r="L1003" s="181"/>
      <c r="M1003" s="181"/>
      <c r="N1003" s="181"/>
      <c r="O1003" s="181"/>
      <c r="P1003" s="181"/>
      <c r="Q1003" s="181"/>
      <c r="R1003" s="181">
        <v>0</v>
      </c>
      <c r="S1003" s="181"/>
      <c r="T1003" s="181"/>
      <c r="U1003" s="181"/>
      <c r="V1003" s="181"/>
      <c r="W1003" s="181"/>
      <c r="X1003" s="181"/>
      <c r="Y1003" s="181">
        <f t="shared" si="187"/>
        <v>12000</v>
      </c>
      <c r="Z1003" s="181">
        <f t="shared" si="186"/>
        <v>0</v>
      </c>
      <c r="AA1003" s="181"/>
      <c r="AB1003" s="181"/>
      <c r="AC1003" s="181"/>
      <c r="AD1003" s="181"/>
    </row>
    <row r="1004" spans="1:44" x14ac:dyDescent="0.2">
      <c r="C1004" s="165" t="s">
        <v>387</v>
      </c>
      <c r="D1004" s="181">
        <f>11914679/1000</f>
        <v>11914.679</v>
      </c>
      <c r="E1004" s="181"/>
      <c r="F1004" s="181"/>
      <c r="G1004" s="181"/>
      <c r="H1004" s="181">
        <f>11914679/1000</f>
        <v>11914.679</v>
      </c>
      <c r="I1004" s="181"/>
      <c r="J1004" s="181"/>
      <c r="K1004" s="181"/>
      <c r="L1004" s="181"/>
      <c r="M1004" s="181"/>
      <c r="N1004" s="181"/>
      <c r="O1004" s="181"/>
      <c r="P1004" s="181"/>
      <c r="Q1004" s="181"/>
      <c r="R1004" s="181">
        <v>0</v>
      </c>
      <c r="S1004" s="181"/>
      <c r="T1004" s="181"/>
      <c r="U1004" s="181"/>
      <c r="V1004" s="181"/>
      <c r="W1004" s="181"/>
      <c r="X1004" s="181"/>
      <c r="Y1004" s="181">
        <f>11914679/1000</f>
        <v>11914.679</v>
      </c>
      <c r="Z1004" s="181">
        <f t="shared" si="186"/>
        <v>0</v>
      </c>
      <c r="AA1004" s="181"/>
      <c r="AB1004" s="181"/>
      <c r="AC1004" s="181"/>
      <c r="AD1004" s="181"/>
    </row>
    <row r="1005" spans="1:44" x14ac:dyDescent="0.2">
      <c r="C1005" s="165" t="s">
        <v>413</v>
      </c>
      <c r="D1005" s="181">
        <f>6627376/1000</f>
        <v>6627.3760000000002</v>
      </c>
      <c r="E1005" s="181"/>
      <c r="F1005" s="181"/>
      <c r="G1005" s="181"/>
      <c r="H1005" s="181">
        <f>6627376/1000</f>
        <v>6627.3760000000002</v>
      </c>
      <c r="I1005" s="181"/>
      <c r="J1005" s="181"/>
      <c r="K1005" s="181"/>
      <c r="L1005" s="181"/>
      <c r="M1005" s="181"/>
      <c r="N1005" s="181"/>
      <c r="O1005" s="181"/>
      <c r="P1005" s="181"/>
      <c r="Q1005" s="181"/>
      <c r="R1005" s="181">
        <v>0</v>
      </c>
      <c r="S1005" s="181"/>
      <c r="T1005" s="181"/>
      <c r="U1005" s="181"/>
      <c r="V1005" s="181"/>
      <c r="W1005" s="181"/>
      <c r="X1005" s="181"/>
      <c r="Y1005" s="181">
        <f>+H1005+R1005</f>
        <v>6627.3760000000002</v>
      </c>
      <c r="Z1005" s="181">
        <f t="shared" si="186"/>
        <v>0</v>
      </c>
      <c r="AA1005" s="181"/>
      <c r="AB1005" s="181"/>
      <c r="AC1005" s="181"/>
      <c r="AD1005" s="181"/>
    </row>
    <row r="1006" spans="1:44" x14ac:dyDescent="0.2">
      <c r="C1006" s="165" t="s">
        <v>398</v>
      </c>
      <c r="D1006" s="181">
        <f>5066000/1000</f>
        <v>5066</v>
      </c>
      <c r="E1006" s="181"/>
      <c r="F1006" s="181"/>
      <c r="G1006" s="181"/>
      <c r="H1006" s="181">
        <f>5066000/1000</f>
        <v>5066</v>
      </c>
      <c r="I1006" s="181"/>
      <c r="J1006" s="181"/>
      <c r="K1006" s="181"/>
      <c r="L1006" s="181"/>
      <c r="M1006" s="181"/>
      <c r="N1006" s="181"/>
      <c r="O1006" s="181"/>
      <c r="P1006" s="181"/>
      <c r="Q1006" s="181"/>
      <c r="R1006" s="181">
        <v>0</v>
      </c>
      <c r="S1006" s="181"/>
      <c r="T1006" s="181"/>
      <c r="U1006" s="181"/>
      <c r="V1006" s="181"/>
      <c r="W1006" s="181"/>
      <c r="X1006" s="181"/>
      <c r="Y1006" s="181">
        <f t="shared" si="187"/>
        <v>5066</v>
      </c>
      <c r="Z1006" s="181">
        <f t="shared" si="186"/>
        <v>0</v>
      </c>
      <c r="AA1006" s="181"/>
      <c r="AB1006" s="181"/>
      <c r="AC1006" s="181"/>
      <c r="AD1006" s="181"/>
    </row>
    <row r="1007" spans="1:44" ht="16.5" customHeight="1" x14ac:dyDescent="0.2">
      <c r="A1007" s="180"/>
      <c r="C1007" s="165" t="s">
        <v>53</v>
      </c>
      <c r="D1007" s="181">
        <f>1271889/1000</f>
        <v>1271.8889999999999</v>
      </c>
      <c r="E1007" s="181">
        <f>TOBEPAID!E762/1000</f>
        <v>0</v>
      </c>
      <c r="F1007" s="181">
        <f>TOBEPAID!F762/1000</f>
        <v>0</v>
      </c>
      <c r="G1007" s="181">
        <f>TOBEPAID!G762/1000</f>
        <v>0</v>
      </c>
      <c r="H1007" s="181">
        <v>0</v>
      </c>
      <c r="I1007" s="181">
        <f>TOBEPAID!I762/1000</f>
        <v>0</v>
      </c>
      <c r="J1007" s="181">
        <f>TOBEPAID!J762/1000</f>
        <v>0</v>
      </c>
      <c r="K1007" s="181">
        <f>TOBEPAID!K762/1000</f>
        <v>0</v>
      </c>
      <c r="L1007" s="181">
        <f>TOBEPAID!L762/1000</f>
        <v>0</v>
      </c>
      <c r="M1007" s="181">
        <f>TOBEPAID!M762/1000</f>
        <v>0</v>
      </c>
      <c r="N1007" s="181">
        <f>TOBEPAID!N762/1000</f>
        <v>0</v>
      </c>
      <c r="O1007" s="181">
        <f>TOBEPAID!O762/1000</f>
        <v>1271.88951</v>
      </c>
      <c r="P1007" s="181">
        <f>TOBEPAID!P762/1000</f>
        <v>0</v>
      </c>
      <c r="Q1007" s="181">
        <f>TOBEPAID!Q762/1000</f>
        <v>0</v>
      </c>
      <c r="R1007" s="181">
        <f>1275992/1000</f>
        <v>1275.992</v>
      </c>
      <c r="S1007" s="181">
        <f>TOBEPAID!S762/1000</f>
        <v>0</v>
      </c>
      <c r="T1007" s="181">
        <f>TOBEPAID!T762/1000</f>
        <v>0</v>
      </c>
      <c r="U1007" s="181">
        <f>TOBEPAID!U762/1000</f>
        <v>0</v>
      </c>
      <c r="V1007" s="181">
        <f>TOBEPAID!V762/1000</f>
        <v>0</v>
      </c>
      <c r="W1007" s="181">
        <f>TOBEPAID!W762/1000</f>
        <v>0</v>
      </c>
      <c r="X1007" s="181">
        <f>TOBEPAID!X762/1000</f>
        <v>1271.88951</v>
      </c>
      <c r="Y1007" s="181">
        <f t="shared" si="187"/>
        <v>1275.992</v>
      </c>
      <c r="Z1007" s="181">
        <f t="shared" si="186"/>
        <v>-4.1030000000000655</v>
      </c>
      <c r="AA1007" s="181">
        <f>TOBEPAID!AA762/1000</f>
        <v>1271.88951</v>
      </c>
      <c r="AB1007" s="181">
        <f>TOBEPAID!AB762/1000</f>
        <v>11666.401519999999</v>
      </c>
      <c r="AC1007" s="181" t="s">
        <v>452</v>
      </c>
      <c r="AD1007" s="181"/>
    </row>
    <row r="1008" spans="1:44" x14ac:dyDescent="0.2">
      <c r="A1008" s="180"/>
      <c r="C1008" s="165" t="s">
        <v>54</v>
      </c>
      <c r="D1008" s="181">
        <f>15796629/1000</f>
        <v>15796.629000000001</v>
      </c>
      <c r="E1008" s="181">
        <f>TOBEPAID!E763/1000</f>
        <v>0</v>
      </c>
      <c r="F1008" s="181">
        <f>TOBEPAID!F763/1000</f>
        <v>0</v>
      </c>
      <c r="G1008" s="181">
        <f>TOBEPAID!G763/1000</f>
        <v>0</v>
      </c>
      <c r="H1008" s="181">
        <v>0</v>
      </c>
      <c r="I1008" s="181">
        <f>TOBEPAID!I763/1000</f>
        <v>0</v>
      </c>
      <c r="J1008" s="181">
        <f>TOBEPAID!J763/1000</f>
        <v>0</v>
      </c>
      <c r="K1008" s="181">
        <f>TOBEPAID!K763/1000</f>
        <v>0</v>
      </c>
      <c r="L1008" s="181">
        <f>TOBEPAID!L763/1000</f>
        <v>0</v>
      </c>
      <c r="M1008" s="181">
        <f>TOBEPAID!M763/1000</f>
        <v>0</v>
      </c>
      <c r="N1008" s="181">
        <f>TOBEPAID!N763/1000</f>
        <v>0</v>
      </c>
      <c r="O1008" s="181">
        <f>TOBEPAID!O763/1000</f>
        <v>16105.12997</v>
      </c>
      <c r="P1008" s="181">
        <f>TOBEPAID!P763/1000</f>
        <v>0</v>
      </c>
      <c r="Q1008" s="181">
        <f>TOBEPAID!Q763/1000</f>
        <v>0</v>
      </c>
      <c r="R1008" s="181">
        <f>16105129/1000</f>
        <v>16105.129000000001</v>
      </c>
      <c r="S1008" s="181">
        <f>TOBEPAID!S763/1000</f>
        <v>0</v>
      </c>
      <c r="T1008" s="181">
        <f>TOBEPAID!T763/1000</f>
        <v>0</v>
      </c>
      <c r="U1008" s="181">
        <f>TOBEPAID!U763/1000</f>
        <v>0</v>
      </c>
      <c r="V1008" s="181">
        <f>TOBEPAID!V763/1000</f>
        <v>0</v>
      </c>
      <c r="W1008" s="181">
        <f>TOBEPAID!W763/1000</f>
        <v>0</v>
      </c>
      <c r="X1008" s="181">
        <f>TOBEPAID!X763/1000</f>
        <v>16105.12997</v>
      </c>
      <c r="Y1008" s="181">
        <f t="shared" si="187"/>
        <v>16105.129000000001</v>
      </c>
      <c r="Z1008" s="181">
        <f t="shared" si="186"/>
        <v>-308.5</v>
      </c>
      <c r="AA1008" s="181">
        <f>TOBEPAID!AA763/1000</f>
        <v>16105.12997</v>
      </c>
      <c r="AB1008" s="181">
        <f>TOBEPAID!AB763/1000</f>
        <v>-308.50016999999991</v>
      </c>
      <c r="AC1008" s="181" t="s">
        <v>321</v>
      </c>
      <c r="AD1008" s="181"/>
      <c r="AE1008" s="165" t="s">
        <v>321</v>
      </c>
    </row>
    <row r="1009" spans="1:30" x14ac:dyDescent="0.2">
      <c r="A1009" s="180"/>
      <c r="D1009" s="182" t="s">
        <v>40</v>
      </c>
      <c r="E1009" s="182" t="s">
        <v>40</v>
      </c>
      <c r="F1009" s="182" t="s">
        <v>40</v>
      </c>
      <c r="G1009" s="182"/>
      <c r="H1009" s="182" t="s">
        <v>40</v>
      </c>
      <c r="I1009" s="182" t="s">
        <v>40</v>
      </c>
      <c r="J1009" s="182" t="s">
        <v>40</v>
      </c>
      <c r="K1009" s="182" t="s">
        <v>40</v>
      </c>
      <c r="L1009" s="182" t="s">
        <v>40</v>
      </c>
      <c r="M1009" s="182"/>
      <c r="N1009" s="182" t="s">
        <v>40</v>
      </c>
      <c r="O1009" s="182" t="s">
        <v>40</v>
      </c>
      <c r="P1009" s="182" t="s">
        <v>40</v>
      </c>
      <c r="Q1009" s="182"/>
      <c r="R1009" s="182" t="s">
        <v>40</v>
      </c>
      <c r="S1009" s="182" t="s">
        <v>40</v>
      </c>
      <c r="T1009" s="182" t="s">
        <v>40</v>
      </c>
      <c r="U1009" s="182" t="s">
        <v>40</v>
      </c>
      <c r="V1009" s="182" t="s">
        <v>40</v>
      </c>
      <c r="W1009" s="182"/>
      <c r="X1009" s="182" t="s">
        <v>40</v>
      </c>
      <c r="Y1009" s="182" t="s">
        <v>40</v>
      </c>
      <c r="Z1009" s="182" t="s">
        <v>40</v>
      </c>
      <c r="AA1009" s="182" t="s">
        <v>40</v>
      </c>
      <c r="AB1009" s="182" t="s">
        <v>40</v>
      </c>
      <c r="AC1009" s="182"/>
      <c r="AD1009" s="182"/>
    </row>
    <row r="1010" spans="1:30" x14ac:dyDescent="0.2">
      <c r="A1010" s="180"/>
      <c r="D1010" s="191">
        <f>SUM(D999:D1008)</f>
        <v>253208.27106</v>
      </c>
      <c r="E1010" s="191">
        <f>SUM(E999:E1008)</f>
        <v>71365.297059999997</v>
      </c>
      <c r="F1010" s="191">
        <f>SUM(F999:F1008)</f>
        <v>10000</v>
      </c>
      <c r="G1010" s="191"/>
      <c r="H1010" s="191">
        <f>SUM(H999:H1008)</f>
        <v>236139.753</v>
      </c>
      <c r="I1010" s="191">
        <f>SUM(I999:I1008)</f>
        <v>0</v>
      </c>
      <c r="J1010" s="191">
        <f>SUM(J999:J1008)</f>
        <v>0</v>
      </c>
      <c r="K1010" s="191">
        <f>SUM(K999:K1008)</f>
        <v>0</v>
      </c>
      <c r="L1010" s="191">
        <f>SUM(L999:L1008)</f>
        <v>0</v>
      </c>
      <c r="M1010" s="191"/>
      <c r="N1010" s="191">
        <f>SUM(N999:N1008)</f>
        <v>81365.297059999997</v>
      </c>
      <c r="O1010" s="191">
        <f>SUM(O999:O1008)</f>
        <v>17377.019479999999</v>
      </c>
      <c r="P1010" s="191">
        <f>SUM(P999:P1008)</f>
        <v>0</v>
      </c>
      <c r="Q1010" s="191"/>
      <c r="R1010" s="191">
        <f>SUM(R999:R1008)</f>
        <v>17381.120999999999</v>
      </c>
      <c r="S1010" s="191">
        <f>SUM(S999:S1008)</f>
        <v>0</v>
      </c>
      <c r="T1010" s="191">
        <f>SUM(T999:T1008)</f>
        <v>0</v>
      </c>
      <c r="U1010" s="191">
        <f>SUM(U999:U1008)</f>
        <v>0</v>
      </c>
      <c r="V1010" s="191">
        <f>SUM(V999:V1008)</f>
        <v>0</v>
      </c>
      <c r="W1010" s="191"/>
      <c r="X1010" s="191">
        <f>SUM(X999:X1008)</f>
        <v>17377.019479999999</v>
      </c>
      <c r="Y1010" s="191">
        <f>SUM(Y999:Y1008)</f>
        <v>253520.87400000001</v>
      </c>
      <c r="Z1010" s="191">
        <f>SUM(Z999:Z1008)</f>
        <v>-312.60293999997975</v>
      </c>
      <c r="AA1010" s="191">
        <f>SUM(AA999:AA1008)</f>
        <v>98742.316539999985</v>
      </c>
      <c r="AB1010" s="191">
        <f>SUM(AB999:AB1008)</f>
        <v>11357.90135</v>
      </c>
      <c r="AC1010" s="191"/>
      <c r="AD1010" s="191"/>
    </row>
    <row r="1011" spans="1:30" x14ac:dyDescent="0.2">
      <c r="A1011" s="180"/>
      <c r="D1011" s="182" t="s">
        <v>40</v>
      </c>
      <c r="E1011" s="182" t="s">
        <v>40</v>
      </c>
      <c r="F1011" s="182" t="s">
        <v>40</v>
      </c>
      <c r="G1011" s="182"/>
      <c r="H1011" s="182" t="s">
        <v>40</v>
      </c>
      <c r="I1011" s="182" t="s">
        <v>40</v>
      </c>
      <c r="J1011" s="182" t="s">
        <v>40</v>
      </c>
      <c r="K1011" s="182" t="s">
        <v>40</v>
      </c>
      <c r="L1011" s="182" t="s">
        <v>40</v>
      </c>
      <c r="M1011" s="182"/>
      <c r="N1011" s="182" t="s">
        <v>40</v>
      </c>
      <c r="O1011" s="182" t="s">
        <v>40</v>
      </c>
      <c r="P1011" s="182" t="s">
        <v>40</v>
      </c>
      <c r="Q1011" s="182"/>
      <c r="R1011" s="182" t="s">
        <v>40</v>
      </c>
      <c r="S1011" s="182" t="s">
        <v>40</v>
      </c>
      <c r="T1011" s="182" t="s">
        <v>40</v>
      </c>
      <c r="U1011" s="182" t="s">
        <v>40</v>
      </c>
      <c r="V1011" s="182" t="s">
        <v>40</v>
      </c>
      <c r="W1011" s="182"/>
      <c r="X1011" s="182" t="s">
        <v>40</v>
      </c>
      <c r="Y1011" s="182" t="s">
        <v>40</v>
      </c>
      <c r="Z1011" s="182" t="s">
        <v>40</v>
      </c>
      <c r="AA1011" s="182" t="s">
        <v>40</v>
      </c>
      <c r="AB1011" s="182" t="s">
        <v>40</v>
      </c>
      <c r="AC1011" s="182"/>
      <c r="AD1011" s="182"/>
    </row>
    <row r="1012" spans="1:30" ht="15.75" thickBot="1" x14ac:dyDescent="0.25">
      <c r="D1012" s="191"/>
      <c r="E1012" s="191"/>
      <c r="F1012" s="191"/>
      <c r="G1012" s="191"/>
      <c r="H1012" s="191"/>
      <c r="I1012" s="191"/>
      <c r="J1012" s="191"/>
      <c r="K1012" s="191"/>
      <c r="L1012" s="191"/>
      <c r="M1012" s="191"/>
      <c r="N1012" s="191"/>
      <c r="O1012" s="191"/>
      <c r="P1012" s="191"/>
      <c r="Q1012" s="191"/>
      <c r="R1012" s="191"/>
      <c r="S1012" s="191"/>
      <c r="T1012" s="191"/>
      <c r="U1012" s="191"/>
      <c r="V1012" s="191"/>
      <c r="W1012" s="191"/>
      <c r="X1012" s="191"/>
      <c r="Y1012" s="251" t="s">
        <v>453</v>
      </c>
      <c r="Z1012" s="199" t="s">
        <v>395</v>
      </c>
      <c r="AA1012" s="198"/>
      <c r="AB1012" s="199"/>
      <c r="AC1012" s="199"/>
      <c r="AD1012" s="199"/>
    </row>
    <row r="1013" spans="1:30" ht="40.5" customHeight="1" thickTop="1" x14ac:dyDescent="0.2">
      <c r="A1013" s="180">
        <v>77</v>
      </c>
      <c r="B1013" s="165" t="s">
        <v>212</v>
      </c>
      <c r="C1013" s="166" t="s">
        <v>35</v>
      </c>
      <c r="D1013" s="181">
        <f>34526520/1000</f>
        <v>34526.519999999997</v>
      </c>
      <c r="E1013" s="181">
        <f>TOBEPAID!E768/1000</f>
        <v>0</v>
      </c>
      <c r="F1013" s="181">
        <f>TOBEPAID!F768/1000</f>
        <v>0</v>
      </c>
      <c r="G1013" s="181">
        <f>TOBEPAID!G768/1000</f>
        <v>0</v>
      </c>
      <c r="H1013" s="181">
        <v>0</v>
      </c>
      <c r="I1013" s="181">
        <f>TOBEPAID!I768/1000</f>
        <v>0</v>
      </c>
      <c r="J1013" s="181">
        <f>TOBEPAID!J768/1000</f>
        <v>0</v>
      </c>
      <c r="K1013" s="181">
        <f>TOBEPAID!K768/1000</f>
        <v>0</v>
      </c>
      <c r="L1013" s="181">
        <f>TOBEPAID!L768/1000</f>
        <v>0</v>
      </c>
      <c r="M1013" s="181">
        <f>TOBEPAID!M768/1000</f>
        <v>0</v>
      </c>
      <c r="N1013" s="181">
        <f>TOBEPAID!N768/1000</f>
        <v>0</v>
      </c>
      <c r="O1013" s="181">
        <f>TOBEPAID!O768/1000</f>
        <v>56.072000000000003</v>
      </c>
      <c r="P1013" s="181">
        <f>TOBEPAID!P768/1000</f>
        <v>0</v>
      </c>
      <c r="Q1013" s="181">
        <f>TOBEPAID!Q768/1000</f>
        <v>0</v>
      </c>
      <c r="R1013" s="181">
        <f>56072/1000</f>
        <v>56.072000000000003</v>
      </c>
      <c r="S1013" s="181">
        <f>TOBEPAID!S768/1000</f>
        <v>0</v>
      </c>
      <c r="T1013" s="181">
        <f>TOBEPAID!T768/1000</f>
        <v>0</v>
      </c>
      <c r="U1013" s="181">
        <f>TOBEPAID!U768/1000</f>
        <v>0</v>
      </c>
      <c r="V1013" s="181">
        <f>TOBEPAID!V768/1000</f>
        <v>0</v>
      </c>
      <c r="W1013" s="181">
        <f>TOBEPAID!W768/1000</f>
        <v>0</v>
      </c>
      <c r="X1013" s="181">
        <f>TOBEPAID!X768/1000</f>
        <v>56.072000000000003</v>
      </c>
      <c r="Y1013" s="181">
        <f>+H1013+R1013</f>
        <v>56.072000000000003</v>
      </c>
      <c r="Z1013" s="181">
        <f>+D1013-Y1013</f>
        <v>34470.447999999997</v>
      </c>
      <c r="AA1013" s="181">
        <f>TOBEPAID!AA768/1000</f>
        <v>56.072000000000003</v>
      </c>
      <c r="AB1013" s="181">
        <f>TOBEPAID!AB768/1000</f>
        <v>34470.448799999998</v>
      </c>
      <c r="AC1013" s="181"/>
      <c r="AD1013" s="181"/>
    </row>
    <row r="1014" spans="1:30" x14ac:dyDescent="0.2">
      <c r="A1014" s="180"/>
      <c r="C1014" s="165" t="s">
        <v>36</v>
      </c>
      <c r="D1014" s="181">
        <f>564161/1000</f>
        <v>564.16099999999994</v>
      </c>
      <c r="E1014" s="181">
        <f>TOBEPAID!E769/1000</f>
        <v>564.16099999999994</v>
      </c>
      <c r="F1014" s="181">
        <f>TOBEPAID!F769/1000</f>
        <v>0</v>
      </c>
      <c r="G1014" s="181">
        <f>TOBEPAID!G769/1000</f>
        <v>0</v>
      </c>
      <c r="H1014" s="181">
        <f>564161/1000</f>
        <v>564.16099999999994</v>
      </c>
      <c r="I1014" s="181">
        <f>TOBEPAID!I769/1000</f>
        <v>0</v>
      </c>
      <c r="J1014" s="181">
        <f>TOBEPAID!J769/1000</f>
        <v>0</v>
      </c>
      <c r="K1014" s="181">
        <f>TOBEPAID!K769/1000</f>
        <v>0</v>
      </c>
      <c r="L1014" s="181">
        <f>TOBEPAID!L769/1000</f>
        <v>0</v>
      </c>
      <c r="M1014" s="181">
        <f>TOBEPAID!M769/1000</f>
        <v>0</v>
      </c>
      <c r="N1014" s="181">
        <f>TOBEPAID!N769/1000</f>
        <v>564.16099999999994</v>
      </c>
      <c r="O1014" s="181">
        <f>TOBEPAID!O769/1000</f>
        <v>0</v>
      </c>
      <c r="P1014" s="181">
        <f>TOBEPAID!P769/1000</f>
        <v>0</v>
      </c>
      <c r="Q1014" s="181">
        <f>TOBEPAID!Q769/1000</f>
        <v>0</v>
      </c>
      <c r="R1014" s="181">
        <v>0</v>
      </c>
      <c r="S1014" s="181">
        <f>TOBEPAID!S769/1000</f>
        <v>0</v>
      </c>
      <c r="T1014" s="181">
        <f>TOBEPAID!T769/1000</f>
        <v>0</v>
      </c>
      <c r="U1014" s="181">
        <f>TOBEPAID!U769/1000</f>
        <v>0</v>
      </c>
      <c r="V1014" s="181">
        <f>TOBEPAID!V769/1000</f>
        <v>0</v>
      </c>
      <c r="W1014" s="181">
        <f>TOBEPAID!W769/1000</f>
        <v>0</v>
      </c>
      <c r="X1014" s="181">
        <f>TOBEPAID!X769/1000</f>
        <v>0</v>
      </c>
      <c r="Y1014" s="181">
        <f>+H1014+R1014</f>
        <v>564.16099999999994</v>
      </c>
      <c r="Z1014" s="181">
        <f>+D1014-Y1014</f>
        <v>0</v>
      </c>
      <c r="AA1014" s="181">
        <f>TOBEPAID!AA769/1000</f>
        <v>564.16099999999994</v>
      </c>
      <c r="AB1014" s="181">
        <f>TOBEPAID!AB769/1000</f>
        <v>0</v>
      </c>
      <c r="AC1014" s="181"/>
      <c r="AD1014" s="181"/>
    </row>
    <row r="1015" spans="1:30" x14ac:dyDescent="0.2">
      <c r="A1015" s="180"/>
      <c r="C1015" s="165" t="s">
        <v>53</v>
      </c>
      <c r="D1015" s="181">
        <f>2507017/1000</f>
        <v>2507.0169999999998</v>
      </c>
      <c r="E1015" s="181">
        <f>TOBEPAID!E770/1000</f>
        <v>0</v>
      </c>
      <c r="F1015" s="181">
        <f>TOBEPAID!F770/1000</f>
        <v>0</v>
      </c>
      <c r="G1015" s="181">
        <f>TOBEPAID!G770/1000</f>
        <v>0</v>
      </c>
      <c r="H1015" s="181">
        <v>0</v>
      </c>
      <c r="I1015" s="181">
        <f>TOBEPAID!I770/1000</f>
        <v>0</v>
      </c>
      <c r="J1015" s="181">
        <f>TOBEPAID!J770/1000</f>
        <v>0</v>
      </c>
      <c r="K1015" s="181">
        <f>TOBEPAID!K770/1000</f>
        <v>0</v>
      </c>
      <c r="L1015" s="181">
        <f>TOBEPAID!L770/1000</f>
        <v>0</v>
      </c>
      <c r="M1015" s="181">
        <f>TOBEPAID!M770/1000</f>
        <v>0</v>
      </c>
      <c r="N1015" s="181">
        <f>TOBEPAID!N770/1000</f>
        <v>0</v>
      </c>
      <c r="O1015" s="181">
        <f>TOBEPAID!O770/1000</f>
        <v>2507.0174499999998</v>
      </c>
      <c r="P1015" s="181">
        <f>TOBEPAID!P770/1000</f>
        <v>0</v>
      </c>
      <c r="Q1015" s="181">
        <f>TOBEPAID!Q770/1000</f>
        <v>0</v>
      </c>
      <c r="R1015" s="181">
        <f>2507017/1000</f>
        <v>2507.0169999999998</v>
      </c>
      <c r="S1015" s="181">
        <f>TOBEPAID!S770/1000</f>
        <v>0</v>
      </c>
      <c r="T1015" s="181">
        <f>TOBEPAID!T770/1000</f>
        <v>0</v>
      </c>
      <c r="U1015" s="181">
        <f>TOBEPAID!U770/1000</f>
        <v>0</v>
      </c>
      <c r="V1015" s="181">
        <f>TOBEPAID!V770/1000</f>
        <v>0</v>
      </c>
      <c r="W1015" s="181">
        <f>TOBEPAID!W770/1000</f>
        <v>0</v>
      </c>
      <c r="X1015" s="181">
        <f>TOBEPAID!X770/1000</f>
        <v>2507.0174499999998</v>
      </c>
      <c r="Y1015" s="181">
        <f>+H1015+R1015</f>
        <v>2507.0169999999998</v>
      </c>
      <c r="Z1015" s="181">
        <f>+D1015-Y1015</f>
        <v>0</v>
      </c>
      <c r="AA1015" s="181">
        <f>TOBEPAID!AA770/1000</f>
        <v>2507.0174499999998</v>
      </c>
      <c r="AB1015" s="181">
        <f>TOBEPAID!AB770/1000</f>
        <v>0</v>
      </c>
      <c r="AC1015" s="181"/>
      <c r="AD1015" s="181"/>
    </row>
    <row r="1016" spans="1:30" x14ac:dyDescent="0.2">
      <c r="A1016" s="180"/>
      <c r="C1016" s="165" t="s">
        <v>54</v>
      </c>
      <c r="D1016" s="181">
        <f>16304159/1000</f>
        <v>16304.159</v>
      </c>
      <c r="E1016" s="181">
        <f>TOBEPAID!E771/1000</f>
        <v>0</v>
      </c>
      <c r="F1016" s="181">
        <f>TOBEPAID!F771/1000</f>
        <v>0</v>
      </c>
      <c r="G1016" s="181">
        <f>TOBEPAID!G771/1000</f>
        <v>0</v>
      </c>
      <c r="H1016" s="181">
        <v>0</v>
      </c>
      <c r="I1016" s="181">
        <f>TOBEPAID!I771/1000</f>
        <v>0</v>
      </c>
      <c r="J1016" s="181">
        <f>TOBEPAID!J771/1000</f>
        <v>0</v>
      </c>
      <c r="K1016" s="181">
        <f>TOBEPAID!K771/1000</f>
        <v>0</v>
      </c>
      <c r="L1016" s="181">
        <f>TOBEPAID!L771/1000</f>
        <v>0</v>
      </c>
      <c r="M1016" s="181">
        <f>TOBEPAID!M771/1000</f>
        <v>0</v>
      </c>
      <c r="N1016" s="181">
        <f>TOBEPAID!N771/1000</f>
        <v>0</v>
      </c>
      <c r="O1016" s="181">
        <f>TOBEPAID!O771/1000</f>
        <v>16304.15929</v>
      </c>
      <c r="P1016" s="181">
        <f>TOBEPAID!P771/1000</f>
        <v>0</v>
      </c>
      <c r="Q1016" s="181">
        <f>TOBEPAID!Q771/1000</f>
        <v>0</v>
      </c>
      <c r="R1016" s="181">
        <f>16304159/1000</f>
        <v>16304.159</v>
      </c>
      <c r="S1016" s="181">
        <f>TOBEPAID!S771/1000</f>
        <v>0</v>
      </c>
      <c r="T1016" s="181">
        <f>TOBEPAID!T771/1000</f>
        <v>0</v>
      </c>
      <c r="U1016" s="181">
        <f>TOBEPAID!U771/1000</f>
        <v>0</v>
      </c>
      <c r="V1016" s="181">
        <f>TOBEPAID!V771/1000</f>
        <v>0</v>
      </c>
      <c r="W1016" s="181">
        <f>TOBEPAID!W771/1000</f>
        <v>0</v>
      </c>
      <c r="X1016" s="181">
        <f>TOBEPAID!X771/1000</f>
        <v>16304.15929</v>
      </c>
      <c r="Y1016" s="181">
        <f>+H1016+R1016</f>
        <v>16304.159</v>
      </c>
      <c r="Z1016" s="181">
        <f>+D1016-Y1016</f>
        <v>0</v>
      </c>
      <c r="AA1016" s="181">
        <f>TOBEPAID!AA771/1000</f>
        <v>16304.15929</v>
      </c>
      <c r="AB1016" s="181">
        <f>TOBEPAID!AB771/1000</f>
        <v>0</v>
      </c>
      <c r="AC1016" s="181"/>
      <c r="AD1016" s="181"/>
    </row>
    <row r="1017" spans="1:30" x14ac:dyDescent="0.2">
      <c r="A1017" s="180"/>
      <c r="D1017" s="182" t="s">
        <v>40</v>
      </c>
      <c r="E1017" s="182" t="s">
        <v>40</v>
      </c>
      <c r="F1017" s="182" t="s">
        <v>40</v>
      </c>
      <c r="G1017" s="182"/>
      <c r="H1017" s="182" t="s">
        <v>40</v>
      </c>
      <c r="I1017" s="182" t="s">
        <v>40</v>
      </c>
      <c r="J1017" s="182" t="s">
        <v>40</v>
      </c>
      <c r="K1017" s="182" t="s">
        <v>40</v>
      </c>
      <c r="L1017" s="182" t="s">
        <v>40</v>
      </c>
      <c r="M1017" s="182"/>
      <c r="N1017" s="182" t="s">
        <v>40</v>
      </c>
      <c r="O1017" s="182" t="s">
        <v>40</v>
      </c>
      <c r="P1017" s="182" t="s">
        <v>40</v>
      </c>
      <c r="Q1017" s="182"/>
      <c r="R1017" s="182" t="s">
        <v>40</v>
      </c>
      <c r="S1017" s="182" t="s">
        <v>40</v>
      </c>
      <c r="T1017" s="182" t="s">
        <v>40</v>
      </c>
      <c r="U1017" s="182" t="s">
        <v>40</v>
      </c>
      <c r="V1017" s="182" t="s">
        <v>40</v>
      </c>
      <c r="W1017" s="182"/>
      <c r="X1017" s="182" t="s">
        <v>40</v>
      </c>
      <c r="Y1017" s="182" t="s">
        <v>40</v>
      </c>
      <c r="Z1017" s="182" t="s">
        <v>40</v>
      </c>
      <c r="AA1017" s="182" t="s">
        <v>40</v>
      </c>
      <c r="AB1017" s="182" t="s">
        <v>40</v>
      </c>
      <c r="AC1017" s="182"/>
      <c r="AD1017" s="182"/>
    </row>
    <row r="1018" spans="1:30" x14ac:dyDescent="0.2">
      <c r="A1018" s="180"/>
      <c r="D1018" s="191">
        <f>SUM(D1013:D1016)</f>
        <v>53901.856999999996</v>
      </c>
      <c r="E1018" s="191">
        <f>SUM(E1013:E1016)</f>
        <v>564.16099999999994</v>
      </c>
      <c r="F1018" s="191">
        <f>SUM(F1013:F1016)</f>
        <v>0</v>
      </c>
      <c r="G1018" s="191"/>
      <c r="H1018" s="191">
        <f>SUM(H1013:H1016)</f>
        <v>564.16099999999994</v>
      </c>
      <c r="I1018" s="191">
        <f>SUM(I1013:I1016)</f>
        <v>0</v>
      </c>
      <c r="J1018" s="191">
        <f>SUM(J1013:J1016)</f>
        <v>0</v>
      </c>
      <c r="K1018" s="191">
        <f>SUM(K1013:K1016)</f>
        <v>0</v>
      </c>
      <c r="L1018" s="191">
        <f>SUM(L1013:L1016)</f>
        <v>0</v>
      </c>
      <c r="M1018" s="191"/>
      <c r="N1018" s="191">
        <f>SUM(N1013:N1016)</f>
        <v>564.16099999999994</v>
      </c>
      <c r="O1018" s="191">
        <f>SUM(O1013:O1016)</f>
        <v>18867.248739999999</v>
      </c>
      <c r="P1018" s="191">
        <f>SUM(P1013:P1016)</f>
        <v>0</v>
      </c>
      <c r="Q1018" s="191"/>
      <c r="R1018" s="191">
        <f>SUM(R1013:R1016)</f>
        <v>18867.248</v>
      </c>
      <c r="S1018" s="191">
        <f>SUM(S1013:S1016)</f>
        <v>0</v>
      </c>
      <c r="T1018" s="191">
        <f>SUM(T1013:T1016)</f>
        <v>0</v>
      </c>
      <c r="U1018" s="191">
        <f>SUM(U1013:U1016)</f>
        <v>0</v>
      </c>
      <c r="V1018" s="191">
        <f>SUM(V1013:V1016)</f>
        <v>0</v>
      </c>
      <c r="W1018" s="191"/>
      <c r="X1018" s="191">
        <f>SUM(X1013:X1016)</f>
        <v>18867.248739999999</v>
      </c>
      <c r="Y1018" s="191">
        <f>SUM(Y1013:Y1016)</f>
        <v>19431.409</v>
      </c>
      <c r="Z1018" s="191">
        <f>SUM(Z1013:Z1016)</f>
        <v>34470.447999999997</v>
      </c>
      <c r="AA1018" s="191">
        <f>SUM(AA1013:AA1016)</f>
        <v>19431.409739999999</v>
      </c>
      <c r="AB1018" s="191">
        <f>SUM(AB1013:AB1016)</f>
        <v>34470.448799999998</v>
      </c>
      <c r="AC1018" s="191"/>
      <c r="AD1018" s="191"/>
    </row>
    <row r="1019" spans="1:30" x14ac:dyDescent="0.2">
      <c r="A1019" s="180"/>
      <c r="D1019" s="182" t="s">
        <v>40</v>
      </c>
      <c r="E1019" s="182" t="s">
        <v>40</v>
      </c>
      <c r="F1019" s="182" t="s">
        <v>40</v>
      </c>
      <c r="G1019" s="182"/>
      <c r="H1019" s="182" t="s">
        <v>40</v>
      </c>
      <c r="I1019" s="182" t="s">
        <v>40</v>
      </c>
      <c r="J1019" s="182" t="s">
        <v>40</v>
      </c>
      <c r="K1019" s="182" t="s">
        <v>40</v>
      </c>
      <c r="L1019" s="182" t="s">
        <v>40</v>
      </c>
      <c r="M1019" s="182"/>
      <c r="N1019" s="182" t="s">
        <v>40</v>
      </c>
      <c r="O1019" s="182" t="s">
        <v>40</v>
      </c>
      <c r="P1019" s="182" t="s">
        <v>40</v>
      </c>
      <c r="Q1019" s="182"/>
      <c r="R1019" s="182" t="s">
        <v>40</v>
      </c>
      <c r="S1019" s="182" t="s">
        <v>40</v>
      </c>
      <c r="T1019" s="182" t="s">
        <v>40</v>
      </c>
      <c r="U1019" s="182" t="s">
        <v>40</v>
      </c>
      <c r="V1019" s="182" t="s">
        <v>40</v>
      </c>
      <c r="W1019" s="182"/>
      <c r="X1019" s="182" t="s">
        <v>40</v>
      </c>
      <c r="Y1019" s="182" t="s">
        <v>40</v>
      </c>
      <c r="Z1019" s="182" t="s">
        <v>40</v>
      </c>
      <c r="AA1019" s="182" t="s">
        <v>40</v>
      </c>
      <c r="AB1019" s="182" t="s">
        <v>40</v>
      </c>
      <c r="AC1019" s="182"/>
      <c r="AD1019" s="182"/>
    </row>
    <row r="1020" spans="1:30" x14ac:dyDescent="0.2">
      <c r="A1020" s="180"/>
      <c r="D1020" s="182"/>
      <c r="E1020" s="182"/>
      <c r="F1020" s="182"/>
      <c r="G1020" s="182"/>
      <c r="H1020" s="182"/>
      <c r="I1020" s="182"/>
      <c r="J1020" s="182"/>
      <c r="K1020" s="182"/>
      <c r="L1020" s="182"/>
      <c r="M1020" s="182"/>
      <c r="N1020" s="182"/>
      <c r="O1020" s="182"/>
      <c r="P1020" s="182"/>
      <c r="Q1020" s="182"/>
      <c r="R1020" s="182"/>
      <c r="S1020" s="182"/>
      <c r="T1020" s="182"/>
      <c r="U1020" s="182"/>
      <c r="V1020" s="182"/>
      <c r="W1020" s="182"/>
      <c r="X1020" s="182"/>
      <c r="Y1020" s="182"/>
      <c r="Z1020" s="182"/>
      <c r="AA1020" s="182"/>
      <c r="AB1020" s="182"/>
      <c r="AC1020" s="182"/>
      <c r="AD1020" s="182"/>
    </row>
    <row r="1021" spans="1:30" x14ac:dyDescent="0.2">
      <c r="A1021" s="180"/>
      <c r="D1021" s="182"/>
      <c r="E1021" s="182"/>
      <c r="F1021" s="182"/>
      <c r="G1021" s="182"/>
      <c r="H1021" s="182"/>
      <c r="I1021" s="182"/>
      <c r="J1021" s="182"/>
      <c r="K1021" s="182"/>
      <c r="L1021" s="182"/>
      <c r="M1021" s="182"/>
      <c r="N1021" s="182"/>
      <c r="O1021" s="182"/>
      <c r="P1021" s="182"/>
      <c r="Q1021" s="182"/>
      <c r="R1021" s="182"/>
      <c r="S1021" s="182"/>
      <c r="T1021" s="182"/>
      <c r="U1021" s="182"/>
      <c r="V1021" s="182"/>
      <c r="W1021" s="182"/>
      <c r="X1021" s="182"/>
      <c r="Y1021" s="182"/>
      <c r="Z1021" s="182"/>
      <c r="AA1021" s="182"/>
      <c r="AB1021" s="182"/>
      <c r="AC1021" s="182"/>
      <c r="AD1021" s="182"/>
    </row>
    <row r="1022" spans="1:30" x14ac:dyDescent="0.2">
      <c r="A1022" s="180">
        <v>78</v>
      </c>
      <c r="B1022" s="165" t="s">
        <v>213</v>
      </c>
      <c r="C1022" s="166" t="s">
        <v>35</v>
      </c>
      <c r="D1022" s="181">
        <f>4798291.66/1000</f>
        <v>4798.2916599999999</v>
      </c>
      <c r="E1022" s="181">
        <f>TOBEPAID!E775/1000</f>
        <v>0</v>
      </c>
      <c r="F1022" s="181">
        <f>TOBEPAID!F775/1000</f>
        <v>0</v>
      </c>
      <c r="G1022" s="181">
        <f>TOBEPAID!G775/1000</f>
        <v>0</v>
      </c>
      <c r="H1022" s="181">
        <f>4798000/1000</f>
        <v>4798</v>
      </c>
      <c r="I1022" s="181">
        <f>TOBEPAID!I775/1000</f>
        <v>0</v>
      </c>
      <c r="J1022" s="181">
        <f>TOBEPAID!J775/1000</f>
        <v>0</v>
      </c>
      <c r="K1022" s="181">
        <f>TOBEPAID!K775/1000</f>
        <v>0</v>
      </c>
      <c r="L1022" s="181">
        <f>TOBEPAID!L775/1000</f>
        <v>0</v>
      </c>
      <c r="M1022" s="181">
        <f>TOBEPAID!M775/1000</f>
        <v>0</v>
      </c>
      <c r="N1022" s="181">
        <f>TOBEPAID!N775/1000</f>
        <v>0</v>
      </c>
      <c r="O1022" s="181">
        <f>TOBEPAID!O775/1000</f>
        <v>0</v>
      </c>
      <c r="P1022" s="181">
        <f>TOBEPAID!P775/1000</f>
        <v>0</v>
      </c>
      <c r="Q1022" s="181">
        <f>TOBEPAID!Q775/1000</f>
        <v>0</v>
      </c>
      <c r="R1022" s="181">
        <v>0</v>
      </c>
      <c r="S1022" s="181">
        <f>TOBEPAID!S775/1000</f>
        <v>0</v>
      </c>
      <c r="T1022" s="181">
        <f>TOBEPAID!T775/1000</f>
        <v>0</v>
      </c>
      <c r="U1022" s="181">
        <f>TOBEPAID!U775/1000</f>
        <v>0</v>
      </c>
      <c r="V1022" s="181">
        <f>TOBEPAID!V775/1000</f>
        <v>0</v>
      </c>
      <c r="W1022" s="181">
        <f>TOBEPAID!W775/1000</f>
        <v>0</v>
      </c>
      <c r="X1022" s="181">
        <f>TOBEPAID!X775/1000</f>
        <v>0</v>
      </c>
      <c r="Y1022" s="181">
        <f t="shared" ref="Y1022:Y1028" si="188">+H1022+R1022</f>
        <v>4798</v>
      </c>
      <c r="Z1022" s="181">
        <f t="shared" ref="Z1022:Z1028" si="189">+D1022-Y1022</f>
        <v>0.29165999999986525</v>
      </c>
      <c r="AA1022" s="181">
        <f>TOBEPAID!AA775/1000</f>
        <v>0</v>
      </c>
      <c r="AB1022" s="181">
        <f>TOBEPAID!AB775/1000</f>
        <v>2557.6198300000001</v>
      </c>
      <c r="AC1022" s="181"/>
      <c r="AD1022" s="181"/>
    </row>
    <row r="1023" spans="1:30" x14ac:dyDescent="0.2">
      <c r="A1023" s="180"/>
      <c r="C1023" s="165" t="s">
        <v>437</v>
      </c>
      <c r="D1023" s="181">
        <f>12000000/1000</f>
        <v>12000</v>
      </c>
      <c r="E1023" s="181"/>
      <c r="F1023" s="181"/>
      <c r="G1023" s="181"/>
      <c r="H1023" s="181">
        <f>12000000/1000</f>
        <v>12000</v>
      </c>
      <c r="I1023" s="181"/>
      <c r="J1023" s="181"/>
      <c r="K1023" s="181"/>
      <c r="L1023" s="181"/>
      <c r="M1023" s="181"/>
      <c r="N1023" s="181"/>
      <c r="O1023" s="181"/>
      <c r="P1023" s="181"/>
      <c r="Q1023" s="181"/>
      <c r="R1023" s="181">
        <v>0</v>
      </c>
      <c r="S1023" s="181"/>
      <c r="T1023" s="181"/>
      <c r="U1023" s="181"/>
      <c r="V1023" s="181"/>
      <c r="W1023" s="181"/>
      <c r="X1023" s="181"/>
      <c r="Y1023" s="181">
        <f t="shared" si="188"/>
        <v>12000</v>
      </c>
      <c r="Z1023" s="181">
        <f t="shared" si="189"/>
        <v>0</v>
      </c>
      <c r="AA1023" s="181"/>
      <c r="AB1023" s="181"/>
      <c r="AC1023" s="181"/>
      <c r="AD1023" s="181"/>
    </row>
    <row r="1024" spans="1:30" x14ac:dyDescent="0.2">
      <c r="A1024" s="180"/>
      <c r="C1024" s="165" t="s">
        <v>450</v>
      </c>
      <c r="D1024" s="181">
        <f>12000000/1000</f>
        <v>12000</v>
      </c>
      <c r="E1024" s="181"/>
      <c r="F1024" s="181"/>
      <c r="G1024" s="181"/>
      <c r="H1024" s="181">
        <f>12000000/1000</f>
        <v>12000</v>
      </c>
      <c r="I1024" s="181"/>
      <c r="J1024" s="181"/>
      <c r="K1024" s="181"/>
      <c r="L1024" s="181"/>
      <c r="M1024" s="181"/>
      <c r="N1024" s="181"/>
      <c r="O1024" s="181"/>
      <c r="P1024" s="181"/>
      <c r="Q1024" s="181"/>
      <c r="R1024" s="181">
        <v>0</v>
      </c>
      <c r="S1024" s="181"/>
      <c r="T1024" s="181"/>
      <c r="U1024" s="181"/>
      <c r="V1024" s="181"/>
      <c r="W1024" s="181"/>
      <c r="X1024" s="181"/>
      <c r="Y1024" s="181">
        <f t="shared" si="188"/>
        <v>12000</v>
      </c>
      <c r="Z1024" s="181">
        <f t="shared" si="189"/>
        <v>0</v>
      </c>
      <c r="AA1024" s="181"/>
      <c r="AB1024" s="181"/>
      <c r="AC1024" s="181"/>
      <c r="AD1024" s="181"/>
    </row>
    <row r="1025" spans="1:30" x14ac:dyDescent="0.2">
      <c r="A1025" s="180"/>
      <c r="C1025" s="165" t="s">
        <v>473</v>
      </c>
      <c r="D1025" s="181">
        <f>12000000/1000</f>
        <v>12000</v>
      </c>
      <c r="E1025" s="181"/>
      <c r="F1025" s="181"/>
      <c r="G1025" s="181"/>
      <c r="H1025" s="181">
        <f>12000000/1000</f>
        <v>12000</v>
      </c>
      <c r="I1025" s="181"/>
      <c r="J1025" s="181"/>
      <c r="K1025" s="181"/>
      <c r="L1025" s="181"/>
      <c r="M1025" s="181"/>
      <c r="N1025" s="181"/>
      <c r="O1025" s="181"/>
      <c r="P1025" s="181"/>
      <c r="Q1025" s="181"/>
      <c r="R1025" s="181">
        <v>0</v>
      </c>
      <c r="S1025" s="181"/>
      <c r="T1025" s="181"/>
      <c r="U1025" s="181"/>
      <c r="V1025" s="181"/>
      <c r="W1025" s="181"/>
      <c r="X1025" s="181"/>
      <c r="Y1025" s="181">
        <f>+H1025+R1025</f>
        <v>12000</v>
      </c>
      <c r="Z1025" s="181">
        <f>+D1025-Y1025</f>
        <v>0</v>
      </c>
      <c r="AA1025" s="181"/>
      <c r="AB1025" s="181"/>
      <c r="AC1025" s="181"/>
      <c r="AD1025" s="181"/>
    </row>
    <row r="1026" spans="1:30" x14ac:dyDescent="0.2">
      <c r="A1026" s="180"/>
      <c r="C1026" s="165" t="s">
        <v>36</v>
      </c>
      <c r="D1026" s="181">
        <f>1697084/1000</f>
        <v>1697.0840000000001</v>
      </c>
      <c r="E1026" s="181">
        <f>TOBEPAID!E776/1000</f>
        <v>1697.0840000000001</v>
      </c>
      <c r="F1026" s="181">
        <f>TOBEPAID!F776/1000</f>
        <v>0</v>
      </c>
      <c r="G1026" s="181">
        <f>TOBEPAID!G776/1000</f>
        <v>0</v>
      </c>
      <c r="H1026" s="181">
        <f>1697084/1000</f>
        <v>1697.0840000000001</v>
      </c>
      <c r="I1026" s="181">
        <f>TOBEPAID!I776/1000</f>
        <v>0</v>
      </c>
      <c r="J1026" s="181">
        <f>TOBEPAID!J776/1000</f>
        <v>0</v>
      </c>
      <c r="K1026" s="181">
        <f>TOBEPAID!K776/1000</f>
        <v>0</v>
      </c>
      <c r="L1026" s="181">
        <f>TOBEPAID!L776/1000</f>
        <v>0</v>
      </c>
      <c r="M1026" s="181">
        <f>TOBEPAID!M776/1000</f>
        <v>0</v>
      </c>
      <c r="N1026" s="181">
        <f>TOBEPAID!N776/1000</f>
        <v>1697.0840000000001</v>
      </c>
      <c r="O1026" s="181">
        <f>TOBEPAID!O776/1000</f>
        <v>0</v>
      </c>
      <c r="P1026" s="181">
        <f>TOBEPAID!P776/1000</f>
        <v>0</v>
      </c>
      <c r="Q1026" s="181">
        <f>TOBEPAID!Q776/1000</f>
        <v>0</v>
      </c>
      <c r="R1026" s="181">
        <v>0</v>
      </c>
      <c r="S1026" s="181">
        <f>TOBEPAID!S776/1000</f>
        <v>0</v>
      </c>
      <c r="T1026" s="181">
        <f>TOBEPAID!T776/1000</f>
        <v>0</v>
      </c>
      <c r="U1026" s="181">
        <f>TOBEPAID!U776/1000</f>
        <v>0</v>
      </c>
      <c r="V1026" s="181">
        <f>TOBEPAID!V776/1000</f>
        <v>0</v>
      </c>
      <c r="W1026" s="181">
        <f>TOBEPAID!W776/1000</f>
        <v>0</v>
      </c>
      <c r="X1026" s="181">
        <f>TOBEPAID!X776/1000</f>
        <v>0</v>
      </c>
      <c r="Y1026" s="181">
        <f t="shared" si="188"/>
        <v>1697.0840000000001</v>
      </c>
      <c r="Z1026" s="181">
        <f t="shared" si="189"/>
        <v>0</v>
      </c>
      <c r="AA1026" s="181">
        <f>TOBEPAID!AA776/1000</f>
        <v>1697.0840000000001</v>
      </c>
      <c r="AB1026" s="181">
        <f>TOBEPAID!AB776/1000</f>
        <v>0</v>
      </c>
      <c r="AC1026" s="181"/>
      <c r="AD1026" s="181"/>
    </row>
    <row r="1027" spans="1:30" x14ac:dyDescent="0.2">
      <c r="A1027" s="180"/>
      <c r="C1027" s="165" t="s">
        <v>38</v>
      </c>
      <c r="D1027" s="181">
        <v>0</v>
      </c>
      <c r="E1027" s="181">
        <f>TOBEPAID!E777/1000</f>
        <v>0</v>
      </c>
      <c r="F1027" s="181">
        <f>TOBEPAID!F777/1000</f>
        <v>0</v>
      </c>
      <c r="G1027" s="181">
        <f>TOBEPAID!G777/1000</f>
        <v>0</v>
      </c>
      <c r="H1027" s="181">
        <v>0</v>
      </c>
      <c r="I1027" s="181">
        <f>TOBEPAID!I777/1000</f>
        <v>0</v>
      </c>
      <c r="J1027" s="181">
        <f>TOBEPAID!J777/1000</f>
        <v>0</v>
      </c>
      <c r="K1027" s="181">
        <f>TOBEPAID!K777/1000</f>
        <v>0</v>
      </c>
      <c r="L1027" s="181">
        <f>TOBEPAID!L777/1000</f>
        <v>0</v>
      </c>
      <c r="M1027" s="181">
        <f>TOBEPAID!M777/1000</f>
        <v>0</v>
      </c>
      <c r="N1027" s="181">
        <f>TOBEPAID!N777/1000</f>
        <v>0</v>
      </c>
      <c r="O1027" s="181">
        <f>TOBEPAID!O777/1000</f>
        <v>0</v>
      </c>
      <c r="P1027" s="181">
        <f>TOBEPAID!P777/1000</f>
        <v>0</v>
      </c>
      <c r="Q1027" s="181">
        <f>TOBEPAID!Q777/1000</f>
        <v>0</v>
      </c>
      <c r="R1027" s="181">
        <v>0</v>
      </c>
      <c r="S1027" s="181">
        <f>TOBEPAID!S777/1000</f>
        <v>0</v>
      </c>
      <c r="T1027" s="181">
        <f>TOBEPAID!T777/1000</f>
        <v>0</v>
      </c>
      <c r="U1027" s="181">
        <f>TOBEPAID!U777/1000</f>
        <v>0</v>
      </c>
      <c r="V1027" s="181">
        <f>TOBEPAID!V777/1000</f>
        <v>0</v>
      </c>
      <c r="W1027" s="181">
        <f>TOBEPAID!W777/1000</f>
        <v>0</v>
      </c>
      <c r="X1027" s="181">
        <f>TOBEPAID!X777/1000</f>
        <v>0</v>
      </c>
      <c r="Y1027" s="181">
        <f t="shared" si="188"/>
        <v>0</v>
      </c>
      <c r="Z1027" s="181">
        <f t="shared" si="189"/>
        <v>0</v>
      </c>
      <c r="AA1027" s="181">
        <f>TOBEPAID!AA777/1000</f>
        <v>0</v>
      </c>
      <c r="AB1027" s="181">
        <f>TOBEPAID!AB777/1000</f>
        <v>457.5</v>
      </c>
      <c r="AC1027" s="181"/>
      <c r="AD1027" s="181"/>
    </row>
    <row r="1028" spans="1:30" x14ac:dyDescent="0.2">
      <c r="A1028" s="180"/>
      <c r="C1028" s="165" t="s">
        <v>133</v>
      </c>
      <c r="D1028" s="181">
        <v>0</v>
      </c>
      <c r="E1028" s="181">
        <f>TOBEPAID!E778/1000</f>
        <v>0</v>
      </c>
      <c r="F1028" s="181">
        <f>TOBEPAID!F778/1000</f>
        <v>0</v>
      </c>
      <c r="G1028" s="181">
        <f>TOBEPAID!G778/1000</f>
        <v>0</v>
      </c>
      <c r="H1028" s="181">
        <v>0</v>
      </c>
      <c r="I1028" s="181">
        <f>TOBEPAID!I778/1000</f>
        <v>0</v>
      </c>
      <c r="J1028" s="181">
        <f>TOBEPAID!J778/1000</f>
        <v>0</v>
      </c>
      <c r="K1028" s="181">
        <f>TOBEPAID!K778/1000</f>
        <v>0</v>
      </c>
      <c r="L1028" s="181">
        <f>TOBEPAID!L778/1000</f>
        <v>0</v>
      </c>
      <c r="M1028" s="181">
        <f>TOBEPAID!M778/1000</f>
        <v>0</v>
      </c>
      <c r="N1028" s="181">
        <f>TOBEPAID!N778/1000</f>
        <v>0</v>
      </c>
      <c r="O1028" s="181">
        <f>TOBEPAID!O778/1000</f>
        <v>0</v>
      </c>
      <c r="P1028" s="181">
        <f>TOBEPAID!P778/1000</f>
        <v>0</v>
      </c>
      <c r="Q1028" s="181">
        <f>TOBEPAID!Q778/1000</f>
        <v>0</v>
      </c>
      <c r="R1028" s="181">
        <v>0</v>
      </c>
      <c r="S1028" s="181">
        <f>TOBEPAID!S778/1000</f>
        <v>0</v>
      </c>
      <c r="T1028" s="181">
        <f>TOBEPAID!T778/1000</f>
        <v>0</v>
      </c>
      <c r="U1028" s="181">
        <f>TOBEPAID!U778/1000</f>
        <v>0</v>
      </c>
      <c r="V1028" s="181">
        <f>TOBEPAID!V778/1000</f>
        <v>0</v>
      </c>
      <c r="W1028" s="181">
        <f>TOBEPAID!W778/1000</f>
        <v>0</v>
      </c>
      <c r="X1028" s="181">
        <f>TOBEPAID!X778/1000</f>
        <v>0</v>
      </c>
      <c r="Y1028" s="181">
        <f t="shared" si="188"/>
        <v>0</v>
      </c>
      <c r="Z1028" s="181">
        <f t="shared" si="189"/>
        <v>0</v>
      </c>
      <c r="AA1028" s="181">
        <f>TOBEPAID!AA778/1000</f>
        <v>0</v>
      </c>
      <c r="AB1028" s="181">
        <f>TOBEPAID!AB778/1000</f>
        <v>1783.17183</v>
      </c>
      <c r="AC1028" s="181"/>
      <c r="AD1028" s="181"/>
    </row>
    <row r="1029" spans="1:30" x14ac:dyDescent="0.2">
      <c r="A1029" s="180"/>
      <c r="D1029" s="182" t="s">
        <v>40</v>
      </c>
      <c r="E1029" s="182" t="s">
        <v>40</v>
      </c>
      <c r="F1029" s="182" t="s">
        <v>40</v>
      </c>
      <c r="G1029" s="182"/>
      <c r="H1029" s="182" t="s">
        <v>40</v>
      </c>
      <c r="I1029" s="182" t="s">
        <v>40</v>
      </c>
      <c r="J1029" s="182" t="s">
        <v>40</v>
      </c>
      <c r="K1029" s="182" t="s">
        <v>40</v>
      </c>
      <c r="L1029" s="182" t="s">
        <v>40</v>
      </c>
      <c r="M1029" s="182"/>
      <c r="N1029" s="182" t="s">
        <v>40</v>
      </c>
      <c r="O1029" s="182" t="s">
        <v>40</v>
      </c>
      <c r="P1029" s="182" t="s">
        <v>40</v>
      </c>
      <c r="Q1029" s="182"/>
      <c r="R1029" s="182" t="s">
        <v>40</v>
      </c>
      <c r="S1029" s="182" t="s">
        <v>40</v>
      </c>
      <c r="T1029" s="182" t="s">
        <v>40</v>
      </c>
      <c r="U1029" s="182" t="s">
        <v>40</v>
      </c>
      <c r="V1029" s="182" t="s">
        <v>40</v>
      </c>
      <c r="W1029" s="182"/>
      <c r="X1029" s="182" t="s">
        <v>40</v>
      </c>
      <c r="Y1029" s="182" t="s">
        <v>40</v>
      </c>
      <c r="Z1029" s="182" t="s">
        <v>40</v>
      </c>
      <c r="AA1029" s="182" t="s">
        <v>40</v>
      </c>
      <c r="AB1029" s="182" t="s">
        <v>40</v>
      </c>
      <c r="AC1029" s="182"/>
      <c r="AD1029" s="182"/>
    </row>
    <row r="1030" spans="1:30" x14ac:dyDescent="0.2">
      <c r="A1030" s="180"/>
      <c r="D1030" s="191">
        <f>SUM(D1022:D1028)</f>
        <v>42495.375660000005</v>
      </c>
      <c r="E1030" s="191">
        <f>SUM(E1022:E1028)</f>
        <v>1697.0840000000001</v>
      </c>
      <c r="F1030" s="191">
        <f>SUM(F1022:F1028)</f>
        <v>0</v>
      </c>
      <c r="G1030" s="191"/>
      <c r="H1030" s="191">
        <f>SUM(H1022:H1028)</f>
        <v>42495.084000000003</v>
      </c>
      <c r="I1030" s="191">
        <f>SUM(I1022:I1028)</f>
        <v>0</v>
      </c>
      <c r="J1030" s="191">
        <f>SUM(J1022:J1028)</f>
        <v>0</v>
      </c>
      <c r="K1030" s="191">
        <f>SUM(K1022:K1028)</f>
        <v>0</v>
      </c>
      <c r="L1030" s="191">
        <f>SUM(L1022:L1028)</f>
        <v>0</v>
      </c>
      <c r="M1030" s="191"/>
      <c r="N1030" s="191">
        <f>SUM(N1022:N1028)</f>
        <v>1697.0840000000001</v>
      </c>
      <c r="O1030" s="191">
        <f>SUM(O1022:O1028)</f>
        <v>0</v>
      </c>
      <c r="P1030" s="191">
        <f>SUM(P1022:P1028)</f>
        <v>0</v>
      </c>
      <c r="Q1030" s="191"/>
      <c r="R1030" s="191">
        <f>SUM(R1022:R1028)</f>
        <v>0</v>
      </c>
      <c r="S1030" s="191">
        <f>SUM(S1022:S1028)</f>
        <v>0</v>
      </c>
      <c r="T1030" s="191">
        <f>SUM(T1022:T1028)</f>
        <v>0</v>
      </c>
      <c r="U1030" s="191">
        <f>SUM(U1022:U1028)</f>
        <v>0</v>
      </c>
      <c r="V1030" s="191">
        <f>SUM(V1022:V1028)</f>
        <v>0</v>
      </c>
      <c r="W1030" s="191"/>
      <c r="X1030" s="191">
        <f>SUM(X1022:X1028)</f>
        <v>0</v>
      </c>
      <c r="Y1030" s="191">
        <f>SUM(Y1022:Y1028)</f>
        <v>42495.084000000003</v>
      </c>
      <c r="Z1030" s="191">
        <f>SUM(Z1022:Z1028)</f>
        <v>0.29165999999986525</v>
      </c>
      <c r="AA1030" s="191">
        <f>SUM(AA1022:AA1028)</f>
        <v>1697.0840000000001</v>
      </c>
      <c r="AB1030" s="191">
        <f>SUM(AB1022:AB1028)</f>
        <v>4798.2916599999999</v>
      </c>
      <c r="AC1030" s="191"/>
      <c r="AD1030" s="191"/>
    </row>
    <row r="1031" spans="1:30" x14ac:dyDescent="0.2">
      <c r="A1031" s="180"/>
      <c r="D1031" s="182" t="s">
        <v>40</v>
      </c>
      <c r="E1031" s="182" t="s">
        <v>40</v>
      </c>
      <c r="F1031" s="182" t="s">
        <v>40</v>
      </c>
      <c r="G1031" s="182"/>
      <c r="H1031" s="182" t="s">
        <v>40</v>
      </c>
      <c r="I1031" s="182" t="s">
        <v>40</v>
      </c>
      <c r="J1031" s="182" t="s">
        <v>40</v>
      </c>
      <c r="K1031" s="182" t="s">
        <v>40</v>
      </c>
      <c r="L1031" s="182" t="s">
        <v>40</v>
      </c>
      <c r="M1031" s="182"/>
      <c r="N1031" s="182" t="s">
        <v>40</v>
      </c>
      <c r="O1031" s="182" t="s">
        <v>40</v>
      </c>
      <c r="P1031" s="182" t="s">
        <v>40</v>
      </c>
      <c r="Q1031" s="182"/>
      <c r="R1031" s="182" t="s">
        <v>40</v>
      </c>
      <c r="S1031" s="182" t="s">
        <v>40</v>
      </c>
      <c r="T1031" s="182" t="s">
        <v>40</v>
      </c>
      <c r="U1031" s="182" t="s">
        <v>40</v>
      </c>
      <c r="V1031" s="182" t="s">
        <v>40</v>
      </c>
      <c r="W1031" s="182"/>
      <c r="X1031" s="182" t="s">
        <v>40</v>
      </c>
      <c r="Y1031" s="182" t="s">
        <v>40</v>
      </c>
      <c r="Z1031" s="182" t="s">
        <v>40</v>
      </c>
      <c r="AA1031" s="182" t="s">
        <v>40</v>
      </c>
      <c r="AB1031" s="182" t="s">
        <v>40</v>
      </c>
      <c r="AC1031" s="182"/>
      <c r="AD1031" s="182"/>
    </row>
    <row r="1032" spans="1:30" x14ac:dyDescent="0.2">
      <c r="A1032" s="180"/>
      <c r="D1032" s="182"/>
      <c r="E1032" s="182"/>
      <c r="F1032" s="182"/>
      <c r="G1032" s="182"/>
      <c r="H1032" s="182"/>
      <c r="I1032" s="182"/>
      <c r="J1032" s="182"/>
      <c r="K1032" s="182"/>
      <c r="L1032" s="182"/>
      <c r="M1032" s="182"/>
      <c r="N1032" s="182"/>
      <c r="O1032" s="182"/>
      <c r="P1032" s="182"/>
      <c r="Q1032" s="182"/>
      <c r="R1032" s="182"/>
      <c r="S1032" s="182"/>
      <c r="T1032" s="182"/>
      <c r="U1032" s="182"/>
      <c r="V1032" s="182"/>
      <c r="W1032" s="182"/>
      <c r="X1032" s="182"/>
      <c r="Y1032" s="182"/>
      <c r="Z1032" s="182"/>
      <c r="AA1032" s="182"/>
      <c r="AB1032" s="182"/>
      <c r="AC1032" s="182"/>
      <c r="AD1032" s="182"/>
    </row>
    <row r="1033" spans="1:30" x14ac:dyDescent="0.2">
      <c r="A1033" s="180"/>
      <c r="D1033" s="182"/>
      <c r="E1033" s="182"/>
      <c r="F1033" s="182"/>
      <c r="G1033" s="182"/>
      <c r="H1033" s="182"/>
      <c r="I1033" s="182"/>
      <c r="J1033" s="182"/>
      <c r="K1033" s="182"/>
      <c r="L1033" s="182"/>
      <c r="M1033" s="182"/>
      <c r="N1033" s="182"/>
      <c r="O1033" s="182"/>
      <c r="P1033" s="182"/>
      <c r="Q1033" s="182"/>
      <c r="R1033" s="182"/>
      <c r="S1033" s="182"/>
      <c r="T1033" s="182"/>
      <c r="U1033" s="182"/>
      <c r="V1033" s="182"/>
      <c r="W1033" s="182"/>
      <c r="X1033" s="182"/>
      <c r="Y1033" s="182"/>
      <c r="Z1033" s="182"/>
      <c r="AA1033" s="182"/>
      <c r="AB1033" s="182"/>
      <c r="AC1033" s="182"/>
      <c r="AD1033" s="182"/>
    </row>
    <row r="1034" spans="1:30" x14ac:dyDescent="0.2">
      <c r="A1034" s="180">
        <v>79</v>
      </c>
      <c r="B1034" s="165" t="s">
        <v>214</v>
      </c>
      <c r="C1034" s="166" t="s">
        <v>35</v>
      </c>
      <c r="D1034" s="181">
        <f>21080663/1000</f>
        <v>21080.663</v>
      </c>
      <c r="E1034" s="181">
        <f>TOBEPAID!E782/1000</f>
        <v>0</v>
      </c>
      <c r="F1034" s="181">
        <f>TOBEPAID!F782/1000</f>
        <v>0</v>
      </c>
      <c r="G1034" s="181">
        <f>TOBEPAID!G782/1000</f>
        <v>0</v>
      </c>
      <c r="H1034" s="181">
        <f>20349490.03/1000</f>
        <v>20349.490030000001</v>
      </c>
      <c r="I1034" s="181">
        <f>TOBEPAID!I782/1000</f>
        <v>0</v>
      </c>
      <c r="J1034" s="181">
        <f>TOBEPAID!J782/1000</f>
        <v>0</v>
      </c>
      <c r="K1034" s="181">
        <f>TOBEPAID!K782/1000</f>
        <v>0</v>
      </c>
      <c r="L1034" s="181">
        <f>TOBEPAID!L782/1000</f>
        <v>0</v>
      </c>
      <c r="M1034" s="181">
        <f>TOBEPAID!M782/1000</f>
        <v>0</v>
      </c>
      <c r="N1034" s="181">
        <f>TOBEPAID!N782/1000</f>
        <v>0</v>
      </c>
      <c r="O1034" s="181">
        <f>TOBEPAID!O782/1000</f>
        <v>0</v>
      </c>
      <c r="P1034" s="181">
        <f>TOBEPAID!P782/1000</f>
        <v>0</v>
      </c>
      <c r="Q1034" s="181">
        <f>TOBEPAID!Q782/1000</f>
        <v>0</v>
      </c>
      <c r="R1034" s="181">
        <v>2.82</v>
      </c>
      <c r="S1034" s="181">
        <f>TOBEPAID!S782/1000</f>
        <v>0</v>
      </c>
      <c r="T1034" s="181">
        <f>TOBEPAID!T782/1000</f>
        <v>0</v>
      </c>
      <c r="U1034" s="181">
        <f>TOBEPAID!U782/1000</f>
        <v>0</v>
      </c>
      <c r="V1034" s="181">
        <f>TOBEPAID!V782/1000</f>
        <v>0</v>
      </c>
      <c r="W1034" s="181">
        <f>TOBEPAID!W782/1000</f>
        <v>0</v>
      </c>
      <c r="X1034" s="181">
        <f>TOBEPAID!X782/1000</f>
        <v>0</v>
      </c>
      <c r="Y1034" s="181">
        <f t="shared" ref="Y1034:Y1039" si="190">+H1034+R1034</f>
        <v>20352.310030000001</v>
      </c>
      <c r="Z1034" s="181">
        <f t="shared" ref="Z1034:Z1039" si="191">+D1034-Y1034</f>
        <v>728.35296999999991</v>
      </c>
      <c r="AA1034" s="181">
        <f>TOBEPAID!AA782/1000</f>
        <v>0</v>
      </c>
      <c r="AB1034" s="181">
        <f>TOBEPAID!AB782/1000</f>
        <v>8934.0538800000013</v>
      </c>
      <c r="AC1034" s="181"/>
      <c r="AD1034" s="181"/>
    </row>
    <row r="1035" spans="1:30" x14ac:dyDescent="0.2">
      <c r="A1035" s="180"/>
      <c r="C1035" s="165" t="s">
        <v>36</v>
      </c>
      <c r="D1035" s="181">
        <f>189662/1000</f>
        <v>189.66200000000001</v>
      </c>
      <c r="E1035" s="181">
        <f>TOBEPAID!E783/1000</f>
        <v>189.66200000000001</v>
      </c>
      <c r="F1035" s="181">
        <f>TOBEPAID!F783/1000</f>
        <v>0</v>
      </c>
      <c r="G1035" s="181">
        <f>TOBEPAID!G783/1000</f>
        <v>0</v>
      </c>
      <c r="H1035" s="181">
        <f>189662/1000</f>
        <v>189.66200000000001</v>
      </c>
      <c r="I1035" s="181">
        <f>TOBEPAID!I783/1000</f>
        <v>0</v>
      </c>
      <c r="J1035" s="181">
        <f>TOBEPAID!J783/1000</f>
        <v>0</v>
      </c>
      <c r="K1035" s="181">
        <f>TOBEPAID!K783/1000</f>
        <v>0</v>
      </c>
      <c r="L1035" s="181">
        <f>TOBEPAID!L783/1000</f>
        <v>0</v>
      </c>
      <c r="M1035" s="181">
        <f>TOBEPAID!M783/1000</f>
        <v>0</v>
      </c>
      <c r="N1035" s="181">
        <f>TOBEPAID!N783/1000</f>
        <v>189.66200000000001</v>
      </c>
      <c r="O1035" s="181">
        <f>TOBEPAID!O783/1000</f>
        <v>0</v>
      </c>
      <c r="P1035" s="181">
        <f>TOBEPAID!P783/1000</f>
        <v>0</v>
      </c>
      <c r="Q1035" s="181">
        <f>TOBEPAID!Q783/1000</f>
        <v>0</v>
      </c>
      <c r="R1035" s="181">
        <v>0</v>
      </c>
      <c r="S1035" s="181">
        <f>TOBEPAID!S783/1000</f>
        <v>0</v>
      </c>
      <c r="T1035" s="181">
        <f>TOBEPAID!T783/1000</f>
        <v>0</v>
      </c>
      <c r="U1035" s="181">
        <f>TOBEPAID!U783/1000</f>
        <v>0</v>
      </c>
      <c r="V1035" s="181">
        <f>TOBEPAID!V783/1000</f>
        <v>0</v>
      </c>
      <c r="W1035" s="181">
        <f>TOBEPAID!W783/1000</f>
        <v>0</v>
      </c>
      <c r="X1035" s="181">
        <f>TOBEPAID!X783/1000</f>
        <v>0</v>
      </c>
      <c r="Y1035" s="181">
        <f t="shared" si="190"/>
        <v>189.66200000000001</v>
      </c>
      <c r="Z1035" s="181">
        <f t="shared" si="191"/>
        <v>0</v>
      </c>
      <c r="AA1035" s="181">
        <f>TOBEPAID!AA783/1000</f>
        <v>189.66200000000001</v>
      </c>
      <c r="AB1035" s="181">
        <f>TOBEPAID!AB783/1000</f>
        <v>0</v>
      </c>
      <c r="AC1035" s="181"/>
      <c r="AD1035" s="181"/>
    </row>
    <row r="1036" spans="1:30" x14ac:dyDescent="0.2">
      <c r="A1036" s="180"/>
      <c r="C1036" s="165" t="s">
        <v>450</v>
      </c>
      <c r="D1036" s="181">
        <f>12000000/1000</f>
        <v>12000</v>
      </c>
      <c r="E1036" s="181"/>
      <c r="F1036" s="181"/>
      <c r="G1036" s="181"/>
      <c r="H1036" s="181">
        <f>12000000/1000</f>
        <v>12000</v>
      </c>
      <c r="I1036" s="181"/>
      <c r="J1036" s="181"/>
      <c r="K1036" s="181"/>
      <c r="L1036" s="181"/>
      <c r="M1036" s="181"/>
      <c r="N1036" s="181"/>
      <c r="O1036" s="181"/>
      <c r="P1036" s="181"/>
      <c r="Q1036" s="181"/>
      <c r="R1036" s="181">
        <v>0</v>
      </c>
      <c r="S1036" s="181"/>
      <c r="T1036" s="181"/>
      <c r="U1036" s="181"/>
      <c r="V1036" s="181"/>
      <c r="W1036" s="181"/>
      <c r="X1036" s="181"/>
      <c r="Y1036" s="181">
        <f t="shared" si="190"/>
        <v>12000</v>
      </c>
      <c r="Z1036" s="181">
        <f t="shared" si="191"/>
        <v>0</v>
      </c>
      <c r="AA1036" s="181"/>
      <c r="AB1036" s="181"/>
      <c r="AC1036" s="181"/>
      <c r="AD1036" s="181"/>
    </row>
    <row r="1037" spans="1:30" x14ac:dyDescent="0.2">
      <c r="A1037" s="180"/>
      <c r="C1037" s="165" t="s">
        <v>53</v>
      </c>
      <c r="D1037" s="181">
        <f>5995171/1000</f>
        <v>5995.1710000000003</v>
      </c>
      <c r="E1037" s="181">
        <f>TOBEPAID!E784/1000</f>
        <v>0</v>
      </c>
      <c r="F1037" s="181">
        <f>TOBEPAID!F784/1000</f>
        <v>0</v>
      </c>
      <c r="G1037" s="181">
        <f>TOBEPAID!G784/1000</f>
        <v>0</v>
      </c>
      <c r="H1037" s="181">
        <v>0</v>
      </c>
      <c r="I1037" s="181">
        <f>TOBEPAID!I784/1000</f>
        <v>0</v>
      </c>
      <c r="J1037" s="181">
        <f>TOBEPAID!J784/1000</f>
        <v>0</v>
      </c>
      <c r="K1037" s="181">
        <f>TOBEPAID!K784/1000</f>
        <v>0</v>
      </c>
      <c r="L1037" s="181">
        <f>TOBEPAID!L784/1000</f>
        <v>0</v>
      </c>
      <c r="M1037" s="181">
        <f>TOBEPAID!M784/1000</f>
        <v>0</v>
      </c>
      <c r="N1037" s="181">
        <f>TOBEPAID!N784/1000</f>
        <v>0</v>
      </c>
      <c r="O1037" s="181">
        <f>TOBEPAID!O784/1000</f>
        <v>5995.1717699999999</v>
      </c>
      <c r="P1037" s="181">
        <f>TOBEPAID!P784/1000</f>
        <v>0</v>
      </c>
      <c r="Q1037" s="181">
        <f>TOBEPAID!Q784/1000</f>
        <v>0</v>
      </c>
      <c r="R1037" s="181">
        <f>5995171/1000</f>
        <v>5995.1710000000003</v>
      </c>
      <c r="S1037" s="181">
        <f>TOBEPAID!S784/1000</f>
        <v>0</v>
      </c>
      <c r="T1037" s="181">
        <f>TOBEPAID!T784/1000</f>
        <v>0</v>
      </c>
      <c r="U1037" s="181">
        <f>TOBEPAID!U784/1000</f>
        <v>0</v>
      </c>
      <c r="V1037" s="181">
        <f>TOBEPAID!V784/1000</f>
        <v>0</v>
      </c>
      <c r="W1037" s="181">
        <f>TOBEPAID!W784/1000</f>
        <v>0</v>
      </c>
      <c r="X1037" s="181">
        <f>TOBEPAID!X784/1000</f>
        <v>5995.1717699999999</v>
      </c>
      <c r="Y1037" s="181">
        <f t="shared" si="190"/>
        <v>5995.1710000000003</v>
      </c>
      <c r="Z1037" s="181">
        <f t="shared" si="191"/>
        <v>0</v>
      </c>
      <c r="AA1037" s="181">
        <f>TOBEPAID!AA784/1000</f>
        <v>5995.1717699999999</v>
      </c>
      <c r="AB1037" s="181">
        <f>TOBEPAID!AB784/1000</f>
        <v>3495.3147300000005</v>
      </c>
      <c r="AC1037" s="181"/>
      <c r="AD1037" s="181"/>
    </row>
    <row r="1038" spans="1:30" x14ac:dyDescent="0.2">
      <c r="A1038" s="180"/>
      <c r="C1038" s="165" t="s">
        <v>38</v>
      </c>
      <c r="D1038" s="181">
        <v>0</v>
      </c>
      <c r="E1038" s="181">
        <f>TOBEPAID!E785/1000</f>
        <v>0</v>
      </c>
      <c r="F1038" s="181">
        <f>TOBEPAID!F785/1000</f>
        <v>0</v>
      </c>
      <c r="G1038" s="181">
        <f>TOBEPAID!G785/1000</f>
        <v>0</v>
      </c>
      <c r="H1038" s="181">
        <v>0</v>
      </c>
      <c r="I1038" s="181">
        <f>TOBEPAID!I785/1000</f>
        <v>0</v>
      </c>
      <c r="J1038" s="181">
        <f>TOBEPAID!J785/1000</f>
        <v>0</v>
      </c>
      <c r="K1038" s="181">
        <f>TOBEPAID!K785/1000</f>
        <v>0</v>
      </c>
      <c r="L1038" s="181">
        <f>TOBEPAID!L785/1000</f>
        <v>0</v>
      </c>
      <c r="M1038" s="181">
        <f>TOBEPAID!M785/1000</f>
        <v>0</v>
      </c>
      <c r="N1038" s="181">
        <f>TOBEPAID!N785/1000</f>
        <v>0</v>
      </c>
      <c r="O1038" s="181">
        <f>TOBEPAID!O785/1000</f>
        <v>0</v>
      </c>
      <c r="P1038" s="181">
        <f>TOBEPAID!P785/1000</f>
        <v>0</v>
      </c>
      <c r="Q1038" s="181">
        <f>TOBEPAID!Q785/1000</f>
        <v>0</v>
      </c>
      <c r="R1038" s="181">
        <v>0</v>
      </c>
      <c r="S1038" s="181">
        <f>TOBEPAID!S785/1000</f>
        <v>0</v>
      </c>
      <c r="T1038" s="181">
        <f>TOBEPAID!T785/1000</f>
        <v>0</v>
      </c>
      <c r="U1038" s="181">
        <f>TOBEPAID!U785/1000</f>
        <v>0</v>
      </c>
      <c r="V1038" s="181">
        <f>TOBEPAID!V785/1000</f>
        <v>0</v>
      </c>
      <c r="W1038" s="181">
        <f>TOBEPAID!W785/1000</f>
        <v>0</v>
      </c>
      <c r="X1038" s="181">
        <f>TOBEPAID!X785/1000</f>
        <v>0</v>
      </c>
      <c r="Y1038" s="181">
        <f t="shared" si="190"/>
        <v>0</v>
      </c>
      <c r="Z1038" s="181">
        <f t="shared" si="191"/>
        <v>0</v>
      </c>
      <c r="AA1038" s="181">
        <f>TOBEPAID!AA785/1000</f>
        <v>0</v>
      </c>
      <c r="AB1038" s="181">
        <f>TOBEPAID!AB785/1000</f>
        <v>7038</v>
      </c>
      <c r="AC1038" s="181"/>
      <c r="AD1038" s="181"/>
    </row>
    <row r="1039" spans="1:30" x14ac:dyDescent="0.2">
      <c r="A1039" s="180"/>
      <c r="C1039" s="165" t="s">
        <v>54</v>
      </c>
      <c r="D1039" s="181">
        <v>0</v>
      </c>
      <c r="E1039" s="181">
        <f>TOBEPAID!E786/1000</f>
        <v>0</v>
      </c>
      <c r="F1039" s="181">
        <f>TOBEPAID!F786/1000</f>
        <v>0</v>
      </c>
      <c r="G1039" s="181">
        <f>TOBEPAID!G786/1000</f>
        <v>0</v>
      </c>
      <c r="H1039" s="181">
        <v>0</v>
      </c>
      <c r="I1039" s="181">
        <f>TOBEPAID!I786/1000</f>
        <v>0</v>
      </c>
      <c r="J1039" s="181">
        <f>TOBEPAID!J786/1000</f>
        <v>0</v>
      </c>
      <c r="K1039" s="181">
        <f>TOBEPAID!K786/1000</f>
        <v>0</v>
      </c>
      <c r="L1039" s="181">
        <f>TOBEPAID!L786/1000</f>
        <v>0</v>
      </c>
      <c r="M1039" s="181">
        <f>TOBEPAID!M786/1000</f>
        <v>0</v>
      </c>
      <c r="N1039" s="181">
        <f>TOBEPAID!N786/1000</f>
        <v>0</v>
      </c>
      <c r="O1039" s="181">
        <f>TOBEPAID!O786/1000</f>
        <v>0</v>
      </c>
      <c r="P1039" s="181">
        <f>TOBEPAID!P786/1000</f>
        <v>0</v>
      </c>
      <c r="Q1039" s="181">
        <f>TOBEPAID!Q786/1000</f>
        <v>0</v>
      </c>
      <c r="R1039" s="181">
        <v>0</v>
      </c>
      <c r="S1039" s="181">
        <f>TOBEPAID!S786/1000</f>
        <v>0</v>
      </c>
      <c r="T1039" s="181">
        <f>TOBEPAID!T786/1000</f>
        <v>0</v>
      </c>
      <c r="U1039" s="181">
        <f>TOBEPAID!U786/1000</f>
        <v>0</v>
      </c>
      <c r="V1039" s="181">
        <f>TOBEPAID!V786/1000</f>
        <v>0</v>
      </c>
      <c r="W1039" s="181">
        <f>TOBEPAID!W786/1000</f>
        <v>0</v>
      </c>
      <c r="X1039" s="181">
        <f>TOBEPAID!X786/1000</f>
        <v>0</v>
      </c>
      <c r="Y1039" s="181">
        <f t="shared" si="190"/>
        <v>0</v>
      </c>
      <c r="Z1039" s="181">
        <f t="shared" si="191"/>
        <v>0</v>
      </c>
      <c r="AA1039" s="181">
        <f>TOBEPAID!AA786/1000</f>
        <v>0</v>
      </c>
      <c r="AB1039" s="181">
        <f>TOBEPAID!AB786/1000</f>
        <v>1613.2946000000002</v>
      </c>
      <c r="AC1039" s="181"/>
      <c r="AD1039" s="181"/>
    </row>
    <row r="1040" spans="1:30" x14ac:dyDescent="0.2">
      <c r="A1040" s="180"/>
      <c r="D1040" s="182" t="s">
        <v>40</v>
      </c>
      <c r="E1040" s="182" t="s">
        <v>40</v>
      </c>
      <c r="F1040" s="182" t="s">
        <v>40</v>
      </c>
      <c r="G1040" s="182"/>
      <c r="H1040" s="182" t="s">
        <v>40</v>
      </c>
      <c r="I1040" s="182" t="s">
        <v>40</v>
      </c>
      <c r="J1040" s="182" t="s">
        <v>40</v>
      </c>
      <c r="K1040" s="182" t="s">
        <v>40</v>
      </c>
      <c r="L1040" s="182" t="s">
        <v>40</v>
      </c>
      <c r="M1040" s="182"/>
      <c r="N1040" s="182" t="s">
        <v>40</v>
      </c>
      <c r="O1040" s="182" t="s">
        <v>40</v>
      </c>
      <c r="P1040" s="182" t="s">
        <v>40</v>
      </c>
      <c r="Q1040" s="182"/>
      <c r="R1040" s="182" t="s">
        <v>40</v>
      </c>
      <c r="S1040" s="182" t="s">
        <v>40</v>
      </c>
      <c r="T1040" s="182" t="s">
        <v>40</v>
      </c>
      <c r="U1040" s="182" t="s">
        <v>40</v>
      </c>
      <c r="V1040" s="182" t="s">
        <v>40</v>
      </c>
      <c r="W1040" s="182"/>
      <c r="X1040" s="182" t="s">
        <v>40</v>
      </c>
      <c r="Y1040" s="182" t="s">
        <v>40</v>
      </c>
      <c r="Z1040" s="182" t="s">
        <v>40</v>
      </c>
      <c r="AA1040" s="182" t="s">
        <v>40</v>
      </c>
      <c r="AB1040" s="182" t="s">
        <v>40</v>
      </c>
      <c r="AC1040" s="182"/>
      <c r="AD1040" s="182"/>
    </row>
    <row r="1041" spans="1:30" x14ac:dyDescent="0.2">
      <c r="A1041" s="180"/>
      <c r="D1041" s="191">
        <f>SUM(D1034:D1039)</f>
        <v>39265.495999999999</v>
      </c>
      <c r="E1041" s="191">
        <f>SUM(E1034:E1039)</f>
        <v>189.66200000000001</v>
      </c>
      <c r="F1041" s="191">
        <f>SUM(F1034:F1039)</f>
        <v>0</v>
      </c>
      <c r="G1041" s="191"/>
      <c r="H1041" s="191">
        <f>SUM(H1034:H1039)</f>
        <v>32539.152030000001</v>
      </c>
      <c r="I1041" s="191">
        <f>SUM(I1034:I1039)</f>
        <v>0</v>
      </c>
      <c r="J1041" s="191">
        <f>SUM(J1034:J1039)</f>
        <v>0</v>
      </c>
      <c r="K1041" s="191">
        <f>SUM(K1034:K1039)</f>
        <v>0</v>
      </c>
      <c r="L1041" s="191">
        <f>SUM(L1034:L1039)</f>
        <v>0</v>
      </c>
      <c r="M1041" s="191"/>
      <c r="N1041" s="191">
        <f>SUM(N1034:N1039)</f>
        <v>189.66200000000001</v>
      </c>
      <c r="O1041" s="191">
        <f>SUM(O1034:O1039)</f>
        <v>5995.1717699999999</v>
      </c>
      <c r="P1041" s="191">
        <f>SUM(P1034:P1039)</f>
        <v>0</v>
      </c>
      <c r="Q1041" s="191"/>
      <c r="R1041" s="191">
        <f>SUM(R1034:R1039)</f>
        <v>5997.991</v>
      </c>
      <c r="S1041" s="191">
        <f>SUM(S1034:S1039)</f>
        <v>0</v>
      </c>
      <c r="T1041" s="191">
        <f>SUM(T1034:T1039)</f>
        <v>0</v>
      </c>
      <c r="U1041" s="191">
        <f>SUM(U1034:U1039)</f>
        <v>0</v>
      </c>
      <c r="V1041" s="191">
        <f>SUM(V1034:V1039)</f>
        <v>0</v>
      </c>
      <c r="W1041" s="191"/>
      <c r="X1041" s="191">
        <f>SUM(X1034:X1039)</f>
        <v>5995.1717699999999</v>
      </c>
      <c r="Y1041" s="191">
        <f>SUM(Y1034:Y1039)</f>
        <v>38537.143029999999</v>
      </c>
      <c r="Z1041" s="191">
        <f>SUM(Z1034:Z1039)</f>
        <v>728.35296999999991</v>
      </c>
      <c r="AA1041" s="191">
        <f>SUM(AA1034:AA1039)</f>
        <v>6184.8337700000002</v>
      </c>
      <c r="AB1041" s="191">
        <f>SUM(AB1034:AB1039)</f>
        <v>21080.663210000002</v>
      </c>
      <c r="AC1041" s="191"/>
      <c r="AD1041" s="191"/>
    </row>
    <row r="1042" spans="1:30" x14ac:dyDescent="0.2">
      <c r="A1042" s="180"/>
      <c r="D1042" s="182" t="s">
        <v>40</v>
      </c>
      <c r="E1042" s="182" t="s">
        <v>40</v>
      </c>
      <c r="F1042" s="182" t="s">
        <v>40</v>
      </c>
      <c r="G1042" s="182"/>
      <c r="H1042" s="182" t="s">
        <v>40</v>
      </c>
      <c r="I1042" s="182" t="s">
        <v>40</v>
      </c>
      <c r="J1042" s="182" t="s">
        <v>40</v>
      </c>
      <c r="K1042" s="182" t="s">
        <v>40</v>
      </c>
      <c r="L1042" s="182" t="s">
        <v>40</v>
      </c>
      <c r="M1042" s="182"/>
      <c r="N1042" s="182" t="s">
        <v>40</v>
      </c>
      <c r="O1042" s="182" t="s">
        <v>40</v>
      </c>
      <c r="P1042" s="182" t="s">
        <v>40</v>
      </c>
      <c r="Q1042" s="182"/>
      <c r="R1042" s="182" t="s">
        <v>40</v>
      </c>
      <c r="S1042" s="182" t="s">
        <v>40</v>
      </c>
      <c r="T1042" s="182" t="s">
        <v>40</v>
      </c>
      <c r="U1042" s="182" t="s">
        <v>40</v>
      </c>
      <c r="V1042" s="182" t="s">
        <v>40</v>
      </c>
      <c r="W1042" s="182"/>
      <c r="X1042" s="182" t="s">
        <v>40</v>
      </c>
      <c r="Y1042" s="182" t="s">
        <v>40</v>
      </c>
      <c r="Z1042" s="182" t="s">
        <v>40</v>
      </c>
      <c r="AA1042" s="182" t="s">
        <v>40</v>
      </c>
      <c r="AB1042" s="182" t="s">
        <v>40</v>
      </c>
      <c r="AC1042" s="182"/>
      <c r="AD1042" s="182"/>
    </row>
    <row r="1043" spans="1:30" x14ac:dyDescent="0.2">
      <c r="A1043" s="180">
        <v>80</v>
      </c>
      <c r="B1043" s="165" t="s">
        <v>215</v>
      </c>
      <c r="C1043" s="166" t="s">
        <v>35</v>
      </c>
      <c r="D1043" s="181">
        <v>0</v>
      </c>
      <c r="E1043" s="181">
        <f>TOBEPAID!E790/1000</f>
        <v>0</v>
      </c>
      <c r="F1043" s="181">
        <f>TOBEPAID!F790/1000</f>
        <v>0</v>
      </c>
      <c r="G1043" s="181">
        <f>TOBEPAID!G790/1000</f>
        <v>0</v>
      </c>
      <c r="H1043" s="181">
        <v>0</v>
      </c>
      <c r="I1043" s="181">
        <f>TOBEPAID!I790/1000</f>
        <v>0</v>
      </c>
      <c r="J1043" s="181">
        <f>TOBEPAID!J790/1000</f>
        <v>0</v>
      </c>
      <c r="K1043" s="181">
        <f>TOBEPAID!K790/1000</f>
        <v>0</v>
      </c>
      <c r="L1043" s="181">
        <f>TOBEPAID!L790/1000</f>
        <v>0</v>
      </c>
      <c r="M1043" s="181">
        <f>TOBEPAID!M790/1000</f>
        <v>0</v>
      </c>
      <c r="N1043" s="181">
        <f>TOBEPAID!N790/1000</f>
        <v>0</v>
      </c>
      <c r="O1043" s="181">
        <f>TOBEPAID!O790/1000</f>
        <v>0</v>
      </c>
      <c r="P1043" s="181">
        <f>TOBEPAID!P790/1000</f>
        <v>0</v>
      </c>
      <c r="Q1043" s="181">
        <f>TOBEPAID!Q790/1000</f>
        <v>0</v>
      </c>
      <c r="R1043" s="181">
        <f>202413/1000</f>
        <v>202.41300000000001</v>
      </c>
      <c r="S1043" s="181">
        <f>TOBEPAID!S790/1000</f>
        <v>0</v>
      </c>
      <c r="T1043" s="181">
        <f>TOBEPAID!T790/1000</f>
        <v>0</v>
      </c>
      <c r="U1043" s="181">
        <f>TOBEPAID!U790/1000</f>
        <v>0</v>
      </c>
      <c r="V1043" s="181">
        <f>TOBEPAID!V790/1000</f>
        <v>0</v>
      </c>
      <c r="W1043" s="181">
        <f>TOBEPAID!W790/1000</f>
        <v>0</v>
      </c>
      <c r="X1043" s="181">
        <f>TOBEPAID!X790/1000</f>
        <v>0</v>
      </c>
      <c r="Y1043" s="181">
        <f>+H1043+R1043</f>
        <v>202.41300000000001</v>
      </c>
      <c r="Z1043" s="181">
        <f t="shared" ref="Z1043:Z1049" si="192">+D1043-Y1043</f>
        <v>-202.41300000000001</v>
      </c>
      <c r="AA1043" s="181">
        <f>TOBEPAID!AA790/1000</f>
        <v>0</v>
      </c>
      <c r="AB1043" s="181">
        <f>TOBEPAID!AB790/1000</f>
        <v>0</v>
      </c>
      <c r="AC1043" s="181" t="s">
        <v>321</v>
      </c>
      <c r="AD1043" s="181"/>
    </row>
    <row r="1044" spans="1:30" x14ac:dyDescent="0.2">
      <c r="A1044" s="180"/>
      <c r="C1044" s="165" t="s">
        <v>36</v>
      </c>
      <c r="D1044" s="181">
        <v>21</v>
      </c>
      <c r="E1044" s="181">
        <f>TOBEPAID!E791/1000</f>
        <v>21</v>
      </c>
      <c r="F1044" s="181">
        <f>TOBEPAID!F791/1000</f>
        <v>0</v>
      </c>
      <c r="G1044" s="181">
        <f>TOBEPAID!G791/1000</f>
        <v>0</v>
      </c>
      <c r="H1044" s="181">
        <v>21</v>
      </c>
      <c r="I1044" s="181">
        <f>TOBEPAID!I791/1000</f>
        <v>0</v>
      </c>
      <c r="J1044" s="181">
        <f>TOBEPAID!J791/1000</f>
        <v>0</v>
      </c>
      <c r="K1044" s="181">
        <f>TOBEPAID!K791/1000</f>
        <v>0</v>
      </c>
      <c r="L1044" s="181">
        <f>TOBEPAID!L791/1000</f>
        <v>0</v>
      </c>
      <c r="M1044" s="181">
        <f>TOBEPAID!M791/1000</f>
        <v>0</v>
      </c>
      <c r="N1044" s="181">
        <f>TOBEPAID!N791/1000</f>
        <v>21</v>
      </c>
      <c r="O1044" s="181">
        <f>TOBEPAID!O791/1000</f>
        <v>0</v>
      </c>
      <c r="P1044" s="181">
        <f>TOBEPAID!P791/1000</f>
        <v>0</v>
      </c>
      <c r="Q1044" s="181">
        <f>TOBEPAID!Q791/1000</f>
        <v>0</v>
      </c>
      <c r="R1044" s="181">
        <v>0</v>
      </c>
      <c r="S1044" s="181">
        <f>TOBEPAID!S791/1000</f>
        <v>0</v>
      </c>
      <c r="T1044" s="181">
        <f>TOBEPAID!T791/1000</f>
        <v>0</v>
      </c>
      <c r="U1044" s="181">
        <f>TOBEPAID!U791/1000</f>
        <v>0</v>
      </c>
      <c r="V1044" s="181">
        <f>TOBEPAID!V791/1000</f>
        <v>0</v>
      </c>
      <c r="W1044" s="181">
        <f>TOBEPAID!W791/1000</f>
        <v>0</v>
      </c>
      <c r="X1044" s="181">
        <f>TOBEPAID!X791/1000</f>
        <v>0</v>
      </c>
      <c r="Y1044" s="181">
        <f t="shared" ref="Y1044:Y1049" si="193">+H1044+R1044</f>
        <v>21</v>
      </c>
      <c r="Z1044" s="181">
        <f t="shared" si="192"/>
        <v>0</v>
      </c>
      <c r="AA1044" s="181">
        <f>TOBEPAID!AA791/1000</f>
        <v>21</v>
      </c>
      <c r="AB1044" s="181">
        <f>TOBEPAID!AB791/1000</f>
        <v>0</v>
      </c>
      <c r="AC1044" s="181"/>
      <c r="AD1044" s="181"/>
    </row>
    <row r="1045" spans="1:30" x14ac:dyDescent="0.2">
      <c r="C1045" s="165" t="s">
        <v>290</v>
      </c>
      <c r="D1045" s="181">
        <f>5000000/1000</f>
        <v>5000</v>
      </c>
      <c r="E1045" s="181">
        <f>TOBEPAID!E792/1000</f>
        <v>5000</v>
      </c>
      <c r="F1045" s="181">
        <f>TOBEPAID!F792/1000</f>
        <v>0</v>
      </c>
      <c r="G1045" s="181">
        <f>TOBEPAID!G792/1000</f>
        <v>0</v>
      </c>
      <c r="H1045" s="181">
        <f>5000000/1000</f>
        <v>5000</v>
      </c>
      <c r="I1045" s="181">
        <f>TOBEPAID!I792/1000</f>
        <v>0</v>
      </c>
      <c r="J1045" s="181">
        <f>TOBEPAID!J792/1000</f>
        <v>0</v>
      </c>
      <c r="K1045" s="181">
        <f>TOBEPAID!K792/1000</f>
        <v>0</v>
      </c>
      <c r="L1045" s="181">
        <f>TOBEPAID!L792/1000</f>
        <v>0</v>
      </c>
      <c r="M1045" s="181">
        <f>TOBEPAID!M792/1000</f>
        <v>0</v>
      </c>
      <c r="N1045" s="181">
        <f>TOBEPAID!N792/1000</f>
        <v>5000</v>
      </c>
      <c r="O1045" s="181">
        <f>TOBEPAID!O792/1000</f>
        <v>0</v>
      </c>
      <c r="P1045" s="181">
        <f>TOBEPAID!P792/1000</f>
        <v>0</v>
      </c>
      <c r="Q1045" s="181">
        <f>TOBEPAID!Q792/1000</f>
        <v>0</v>
      </c>
      <c r="R1045" s="181">
        <v>0</v>
      </c>
      <c r="S1045" s="181">
        <f>TOBEPAID!S792/1000</f>
        <v>0</v>
      </c>
      <c r="T1045" s="181">
        <f>TOBEPAID!T792/1000</f>
        <v>0</v>
      </c>
      <c r="U1045" s="181">
        <f>TOBEPAID!U792/1000</f>
        <v>0</v>
      </c>
      <c r="V1045" s="181">
        <f>TOBEPAID!V792/1000</f>
        <v>0</v>
      </c>
      <c r="W1045" s="181">
        <f>TOBEPAID!W792/1000</f>
        <v>0</v>
      </c>
      <c r="X1045" s="181">
        <f>TOBEPAID!X792/1000</f>
        <v>0</v>
      </c>
      <c r="Y1045" s="181">
        <f t="shared" si="193"/>
        <v>5000</v>
      </c>
      <c r="Z1045" s="181">
        <f t="shared" si="192"/>
        <v>0</v>
      </c>
      <c r="AA1045" s="181">
        <f>TOBEPAID!AA792/1000</f>
        <v>5000</v>
      </c>
      <c r="AB1045" s="181">
        <f>TOBEPAID!AB792/1000</f>
        <v>0</v>
      </c>
      <c r="AC1045" s="181"/>
      <c r="AD1045" s="181"/>
    </row>
    <row r="1046" spans="1:30" x14ac:dyDescent="0.2">
      <c r="C1046" s="165" t="s">
        <v>366</v>
      </c>
      <c r="D1046" s="165">
        <f>1250000/1000</f>
        <v>1250</v>
      </c>
      <c r="H1046" s="165">
        <f>1250000/1000</f>
        <v>1250</v>
      </c>
      <c r="R1046" s="181">
        <v>0</v>
      </c>
      <c r="Y1046" s="181">
        <f t="shared" si="193"/>
        <v>1250</v>
      </c>
      <c r="Z1046" s="181">
        <f t="shared" si="192"/>
        <v>0</v>
      </c>
    </row>
    <row r="1047" spans="1:30" x14ac:dyDescent="0.2">
      <c r="A1047" s="180"/>
      <c r="C1047" s="165" t="s">
        <v>53</v>
      </c>
      <c r="D1047" s="181">
        <f>22943067/1000</f>
        <v>22943.066999999999</v>
      </c>
      <c r="E1047" s="181">
        <f>TOBEPAID!E793/1000</f>
        <v>0</v>
      </c>
      <c r="F1047" s="181">
        <f>TOBEPAID!F793/1000</f>
        <v>0</v>
      </c>
      <c r="G1047" s="181">
        <f>TOBEPAID!G793/1000</f>
        <v>0</v>
      </c>
      <c r="H1047" s="181">
        <v>0</v>
      </c>
      <c r="I1047" s="181">
        <f>TOBEPAID!I793/1000</f>
        <v>0</v>
      </c>
      <c r="J1047" s="181">
        <f>TOBEPAID!J793/1000</f>
        <v>0</v>
      </c>
      <c r="K1047" s="181">
        <f>TOBEPAID!K793/1000</f>
        <v>0</v>
      </c>
      <c r="L1047" s="181">
        <f>TOBEPAID!L793/1000</f>
        <v>0</v>
      </c>
      <c r="M1047" s="181">
        <f>TOBEPAID!M793/1000</f>
        <v>0</v>
      </c>
      <c r="N1047" s="181">
        <f>TOBEPAID!N793/1000</f>
        <v>0</v>
      </c>
      <c r="O1047" s="181">
        <f>TOBEPAID!O793/1000</f>
        <v>22943.06711</v>
      </c>
      <c r="P1047" s="181">
        <f>TOBEPAID!P793/1000</f>
        <v>0</v>
      </c>
      <c r="Q1047" s="181">
        <f>TOBEPAID!Q793/1000</f>
        <v>0</v>
      </c>
      <c r="R1047" s="181">
        <f>22980520/1000</f>
        <v>22980.52</v>
      </c>
      <c r="S1047" s="181">
        <f>TOBEPAID!S793/1000</f>
        <v>0</v>
      </c>
      <c r="T1047" s="181">
        <f>TOBEPAID!T793/1000</f>
        <v>0</v>
      </c>
      <c r="U1047" s="181">
        <f>TOBEPAID!U793/1000</f>
        <v>0</v>
      </c>
      <c r="V1047" s="181">
        <f>TOBEPAID!V793/1000</f>
        <v>0</v>
      </c>
      <c r="W1047" s="181">
        <f>TOBEPAID!W793/1000</f>
        <v>0</v>
      </c>
      <c r="X1047" s="181">
        <f>TOBEPAID!X793/1000</f>
        <v>22943.06711</v>
      </c>
      <c r="Y1047" s="181">
        <f t="shared" si="193"/>
        <v>22980.52</v>
      </c>
      <c r="Z1047" s="181">
        <f t="shared" si="192"/>
        <v>-37.453000000001339</v>
      </c>
      <c r="AA1047" s="181">
        <f>TOBEPAID!AA793/1000</f>
        <v>22943.06711</v>
      </c>
      <c r="AB1047" s="181">
        <f>TOBEPAID!AB793/1000</f>
        <v>0</v>
      </c>
      <c r="AC1047" s="181" t="s">
        <v>321</v>
      </c>
      <c r="AD1047" s="181"/>
    </row>
    <row r="1048" spans="1:30" x14ac:dyDescent="0.2">
      <c r="A1048" s="180"/>
      <c r="C1048" s="165" t="s">
        <v>54</v>
      </c>
      <c r="D1048" s="181">
        <f>16667019/1000</f>
        <v>16667.019</v>
      </c>
      <c r="E1048" s="181">
        <f>TOBEPAID!E794/1000</f>
        <v>0</v>
      </c>
      <c r="F1048" s="181">
        <f>TOBEPAID!F794/1000</f>
        <v>0</v>
      </c>
      <c r="G1048" s="181">
        <f>TOBEPAID!G794/1000</f>
        <v>0</v>
      </c>
      <c r="H1048" s="181">
        <v>0</v>
      </c>
      <c r="I1048" s="181">
        <f>TOBEPAID!I794/1000</f>
        <v>0</v>
      </c>
      <c r="J1048" s="181">
        <f>TOBEPAID!J794/1000</f>
        <v>0</v>
      </c>
      <c r="K1048" s="181">
        <f>TOBEPAID!K794/1000</f>
        <v>0</v>
      </c>
      <c r="L1048" s="181">
        <f>TOBEPAID!L794/1000</f>
        <v>0</v>
      </c>
      <c r="M1048" s="181">
        <f>TOBEPAID!M794/1000</f>
        <v>0</v>
      </c>
      <c r="N1048" s="181">
        <f>TOBEPAID!N794/1000</f>
        <v>0</v>
      </c>
      <c r="O1048" s="181">
        <f>TOBEPAID!O794/1000</f>
        <v>16667.019049999999</v>
      </c>
      <c r="P1048" s="181">
        <f>TOBEPAID!P794/1000</f>
        <v>0</v>
      </c>
      <c r="Q1048" s="181">
        <f>TOBEPAID!Q794/1000</f>
        <v>0</v>
      </c>
      <c r="R1048" s="181">
        <f>16667019/1000</f>
        <v>16667.019</v>
      </c>
      <c r="S1048" s="181">
        <f>TOBEPAID!S794/1000</f>
        <v>0</v>
      </c>
      <c r="T1048" s="181">
        <f>TOBEPAID!T794/1000</f>
        <v>0</v>
      </c>
      <c r="U1048" s="181">
        <f>TOBEPAID!U794/1000</f>
        <v>0</v>
      </c>
      <c r="V1048" s="181">
        <f>TOBEPAID!V794/1000</f>
        <v>0</v>
      </c>
      <c r="W1048" s="181">
        <f>TOBEPAID!W794/1000</f>
        <v>0</v>
      </c>
      <c r="X1048" s="181">
        <f>TOBEPAID!X794/1000</f>
        <v>16667.019049999999</v>
      </c>
      <c r="Y1048" s="181">
        <f t="shared" si="193"/>
        <v>16667.019</v>
      </c>
      <c r="Z1048" s="181">
        <f t="shared" si="192"/>
        <v>0</v>
      </c>
      <c r="AA1048" s="181">
        <f>TOBEPAID!AA794/1000</f>
        <v>16667.019049999999</v>
      </c>
      <c r="AB1048" s="181">
        <f>TOBEPAID!AB794/1000</f>
        <v>0</v>
      </c>
      <c r="AC1048" s="181"/>
      <c r="AD1048" s="181"/>
    </row>
    <row r="1049" spans="1:30" x14ac:dyDescent="0.2">
      <c r="A1049" s="180"/>
      <c r="C1049" s="165" t="str">
        <f>+C1028</f>
        <v>EL-CONCESSIONAL</v>
      </c>
      <c r="D1049" s="181">
        <f>254999/1000</f>
        <v>254.999</v>
      </c>
      <c r="E1049" s="181">
        <f>TOBEPAID!E795/1000</f>
        <v>0</v>
      </c>
      <c r="F1049" s="181">
        <f>TOBEPAID!F795/1000</f>
        <v>0</v>
      </c>
      <c r="G1049" s="181">
        <f>TOBEPAID!G795/1000</f>
        <v>0</v>
      </c>
      <c r="H1049" s="181">
        <v>0</v>
      </c>
      <c r="I1049" s="181">
        <f>TOBEPAID!I795/1000</f>
        <v>0</v>
      </c>
      <c r="J1049" s="181">
        <f>TOBEPAID!J795/1000</f>
        <v>0</v>
      </c>
      <c r="K1049" s="181">
        <f>TOBEPAID!K795/1000</f>
        <v>0</v>
      </c>
      <c r="L1049" s="181">
        <f>TOBEPAID!L795/1000</f>
        <v>0</v>
      </c>
      <c r="M1049" s="181">
        <f>TOBEPAID!M795/1000</f>
        <v>0</v>
      </c>
      <c r="N1049" s="181">
        <f>TOBEPAID!N795/1000</f>
        <v>0</v>
      </c>
      <c r="O1049" s="181">
        <f>TOBEPAID!O795/1000</f>
        <v>0</v>
      </c>
      <c r="P1049" s="181">
        <f>TOBEPAID!P795/1000</f>
        <v>0</v>
      </c>
      <c r="Q1049" s="181">
        <f>TOBEPAID!Q795/1000</f>
        <v>0</v>
      </c>
      <c r="R1049" s="181">
        <v>0</v>
      </c>
      <c r="S1049" s="181">
        <f>TOBEPAID!S795/1000</f>
        <v>0</v>
      </c>
      <c r="T1049" s="181">
        <f>TOBEPAID!T795/1000</f>
        <v>0</v>
      </c>
      <c r="U1049" s="181">
        <f>TOBEPAID!U795/1000</f>
        <v>0</v>
      </c>
      <c r="V1049" s="181">
        <f>TOBEPAID!V795/1000</f>
        <v>0</v>
      </c>
      <c r="W1049" s="181">
        <f>TOBEPAID!W795/1000</f>
        <v>0</v>
      </c>
      <c r="X1049" s="181">
        <f>TOBEPAID!X795/1000</f>
        <v>0</v>
      </c>
      <c r="Y1049" s="181">
        <f t="shared" si="193"/>
        <v>0</v>
      </c>
      <c r="Z1049" s="181">
        <f t="shared" si="192"/>
        <v>254.999</v>
      </c>
      <c r="AA1049" s="181">
        <f>TOBEPAID!AA795/1000</f>
        <v>0</v>
      </c>
      <c r="AB1049" s="181">
        <f>TOBEPAID!AB795/1000</f>
        <v>254.99903</v>
      </c>
      <c r="AC1049" s="181"/>
      <c r="AD1049" s="181"/>
    </row>
    <row r="1050" spans="1:30" x14ac:dyDescent="0.2">
      <c r="A1050" s="180"/>
      <c r="D1050" s="182" t="s">
        <v>40</v>
      </c>
      <c r="E1050" s="182" t="s">
        <v>40</v>
      </c>
      <c r="F1050" s="182" t="s">
        <v>40</v>
      </c>
      <c r="G1050" s="182"/>
      <c r="H1050" s="182" t="s">
        <v>40</v>
      </c>
      <c r="I1050" s="182" t="s">
        <v>40</v>
      </c>
      <c r="J1050" s="182" t="s">
        <v>40</v>
      </c>
      <c r="K1050" s="182" t="s">
        <v>40</v>
      </c>
      <c r="L1050" s="182" t="s">
        <v>40</v>
      </c>
      <c r="M1050" s="182"/>
      <c r="N1050" s="182" t="s">
        <v>40</v>
      </c>
      <c r="O1050" s="182" t="s">
        <v>40</v>
      </c>
      <c r="P1050" s="182" t="s">
        <v>40</v>
      </c>
      <c r="Q1050" s="182"/>
      <c r="R1050" s="182" t="s">
        <v>40</v>
      </c>
      <c r="S1050" s="182" t="s">
        <v>40</v>
      </c>
      <c r="T1050" s="182" t="s">
        <v>40</v>
      </c>
      <c r="U1050" s="182" t="s">
        <v>40</v>
      </c>
      <c r="V1050" s="182" t="s">
        <v>40</v>
      </c>
      <c r="W1050" s="182"/>
      <c r="X1050" s="182" t="s">
        <v>40</v>
      </c>
      <c r="Y1050" s="182" t="s">
        <v>40</v>
      </c>
      <c r="Z1050" s="182" t="s">
        <v>40</v>
      </c>
      <c r="AA1050" s="182" t="s">
        <v>40</v>
      </c>
      <c r="AB1050" s="182" t="s">
        <v>40</v>
      </c>
      <c r="AC1050" s="182"/>
      <c r="AD1050" s="182"/>
    </row>
    <row r="1051" spans="1:30" x14ac:dyDescent="0.2">
      <c r="A1051" s="180"/>
      <c r="D1051" s="191">
        <f>SUM(D1043:D1049)</f>
        <v>46136.084999999999</v>
      </c>
      <c r="E1051" s="191">
        <f>SUM(E1043:E1049)</f>
        <v>5021</v>
      </c>
      <c r="F1051" s="191">
        <f>SUM(F1043:F1049)</f>
        <v>0</v>
      </c>
      <c r="G1051" s="191"/>
      <c r="H1051" s="191">
        <f>SUM(H1043:H1049)</f>
        <v>6271</v>
      </c>
      <c r="I1051" s="191">
        <f>SUM(I1043:I1049)</f>
        <v>0</v>
      </c>
      <c r="J1051" s="191">
        <f>SUM(J1043:J1049)</f>
        <v>0</v>
      </c>
      <c r="K1051" s="191">
        <f>SUM(K1043:K1049)</f>
        <v>0</v>
      </c>
      <c r="L1051" s="191">
        <f>SUM(L1043:L1049)</f>
        <v>0</v>
      </c>
      <c r="M1051" s="191"/>
      <c r="N1051" s="191">
        <f>SUM(N1043:N1049)</f>
        <v>5021</v>
      </c>
      <c r="O1051" s="191">
        <f>SUM(O1043:O1049)</f>
        <v>39610.086159999999</v>
      </c>
      <c r="P1051" s="191">
        <f>SUM(P1043:P1049)</f>
        <v>0</v>
      </c>
      <c r="Q1051" s="191"/>
      <c r="R1051" s="191">
        <f>SUM(R1043:R1049)</f>
        <v>39849.952000000005</v>
      </c>
      <c r="S1051" s="191">
        <f>SUM(S1043:S1049)</f>
        <v>0</v>
      </c>
      <c r="T1051" s="191">
        <f>SUM(T1043:T1049)</f>
        <v>0</v>
      </c>
      <c r="U1051" s="191">
        <f>SUM(U1043:U1049)</f>
        <v>0</v>
      </c>
      <c r="V1051" s="191">
        <f>SUM(V1043:V1049)</f>
        <v>0</v>
      </c>
      <c r="W1051" s="191"/>
      <c r="X1051" s="191">
        <f>SUM(X1043:X1049)</f>
        <v>39610.086159999999</v>
      </c>
      <c r="Y1051" s="191">
        <f>SUM(Y1043:Y1049)</f>
        <v>46120.952000000005</v>
      </c>
      <c r="Z1051" s="191">
        <f>SUM(Z1043:Z1049)</f>
        <v>15.132999999998646</v>
      </c>
      <c r="AA1051" s="191">
        <f>SUM(AA1043:AA1049)</f>
        <v>44631.086159999999</v>
      </c>
      <c r="AB1051" s="191">
        <f>SUM(AB1043:AB1049)</f>
        <v>254.99903</v>
      </c>
      <c r="AC1051" s="191"/>
      <c r="AD1051" s="191"/>
    </row>
    <row r="1052" spans="1:30" x14ac:dyDescent="0.2">
      <c r="A1052" s="180"/>
      <c r="D1052" s="182" t="s">
        <v>40</v>
      </c>
      <c r="E1052" s="182" t="s">
        <v>40</v>
      </c>
      <c r="F1052" s="182" t="s">
        <v>40</v>
      </c>
      <c r="G1052" s="182"/>
      <c r="H1052" s="182" t="s">
        <v>40</v>
      </c>
      <c r="I1052" s="182" t="s">
        <v>40</v>
      </c>
      <c r="J1052" s="182" t="s">
        <v>40</v>
      </c>
      <c r="K1052" s="182" t="s">
        <v>40</v>
      </c>
      <c r="L1052" s="182" t="s">
        <v>40</v>
      </c>
      <c r="M1052" s="182"/>
      <c r="N1052" s="182" t="s">
        <v>40</v>
      </c>
      <c r="O1052" s="182" t="s">
        <v>40</v>
      </c>
      <c r="P1052" s="182" t="s">
        <v>40</v>
      </c>
      <c r="Q1052" s="182"/>
      <c r="R1052" s="182" t="s">
        <v>40</v>
      </c>
      <c r="S1052" s="182" t="s">
        <v>40</v>
      </c>
      <c r="T1052" s="182" t="s">
        <v>40</v>
      </c>
      <c r="U1052" s="182" t="s">
        <v>40</v>
      </c>
      <c r="V1052" s="182" t="s">
        <v>40</v>
      </c>
      <c r="W1052" s="182"/>
      <c r="X1052" s="182" t="s">
        <v>40</v>
      </c>
      <c r="Y1052" s="182" t="s">
        <v>40</v>
      </c>
      <c r="Z1052" s="182" t="s">
        <v>40</v>
      </c>
      <c r="AA1052" s="182" t="s">
        <v>40</v>
      </c>
      <c r="AB1052" s="182" t="s">
        <v>40</v>
      </c>
      <c r="AC1052" s="182"/>
      <c r="AD1052" s="182"/>
    </row>
    <row r="1053" spans="1:30" ht="15.75" thickBot="1" x14ac:dyDescent="0.25">
      <c r="R1053" s="215" t="s">
        <v>442</v>
      </c>
      <c r="S1053" s="215"/>
      <c r="T1053" s="215"/>
      <c r="U1053" s="215"/>
      <c r="V1053" s="215"/>
      <c r="W1053" s="215"/>
      <c r="X1053" s="215"/>
      <c r="Y1053" s="215"/>
      <c r="Z1053" s="215"/>
    </row>
    <row r="1054" spans="1:30" ht="56.25" customHeight="1" thickTop="1" x14ac:dyDescent="0.2">
      <c r="A1054" s="180">
        <v>81</v>
      </c>
      <c r="B1054" s="165" t="s">
        <v>216</v>
      </c>
      <c r="C1054" s="166" t="s">
        <v>35</v>
      </c>
      <c r="D1054" s="181">
        <f>38431551/1000</f>
        <v>38431.550999999999</v>
      </c>
      <c r="E1054" s="181">
        <f>TOBEPAID!E799/1000</f>
        <v>0</v>
      </c>
      <c r="F1054" s="181">
        <f>TOBEPAID!F799/1000</f>
        <v>0</v>
      </c>
      <c r="G1054" s="181">
        <f>TOBEPAID!G799/1000</f>
        <v>0</v>
      </c>
      <c r="H1054" s="181">
        <f>19153203.99/1000</f>
        <v>19153.203989999998</v>
      </c>
      <c r="I1054" s="181">
        <f>TOBEPAID!I799/1000</f>
        <v>0</v>
      </c>
      <c r="J1054" s="181">
        <f>TOBEPAID!J799/1000</f>
        <v>0</v>
      </c>
      <c r="K1054" s="181">
        <f>TOBEPAID!K799/1000</f>
        <v>0</v>
      </c>
      <c r="L1054" s="181">
        <f>TOBEPAID!L799/1000</f>
        <v>0</v>
      </c>
      <c r="M1054" s="181">
        <f>TOBEPAID!M799/1000</f>
        <v>0</v>
      </c>
      <c r="N1054" s="181">
        <f>TOBEPAID!N799/1000</f>
        <v>0</v>
      </c>
      <c r="O1054" s="181">
        <f>TOBEPAID!O799/1000</f>
        <v>0</v>
      </c>
      <c r="P1054" s="181">
        <f>TOBEPAID!P799/1000</f>
        <v>0</v>
      </c>
      <c r="Q1054" s="181">
        <f>TOBEPAID!Q799/1000</f>
        <v>0</v>
      </c>
      <c r="R1054" s="181">
        <v>0</v>
      </c>
      <c r="S1054" s="181">
        <f>TOBEPAID!S799/1000</f>
        <v>0</v>
      </c>
      <c r="T1054" s="181">
        <f>TOBEPAID!T799/1000</f>
        <v>0</v>
      </c>
      <c r="U1054" s="181">
        <f>TOBEPAID!U799/1000</f>
        <v>0</v>
      </c>
      <c r="V1054" s="181">
        <f>TOBEPAID!V799/1000</f>
        <v>0</v>
      </c>
      <c r="W1054" s="181">
        <f>TOBEPAID!W799/1000</f>
        <v>0</v>
      </c>
      <c r="X1054" s="181">
        <f>TOBEPAID!X799/1000</f>
        <v>0</v>
      </c>
      <c r="Y1054" s="181">
        <f>+H1054+R1054</f>
        <v>19153.203989999998</v>
      </c>
      <c r="Z1054" s="181">
        <f>+D1054-Y1054</f>
        <v>19278.347010000001</v>
      </c>
      <c r="AA1054" s="181">
        <f>TOBEPAID!AA799/1000</f>
        <v>0</v>
      </c>
      <c r="AB1054" s="181">
        <f>TOBEPAID!AB799/1000</f>
        <v>38431.551149999999</v>
      </c>
      <c r="AC1054" s="181"/>
      <c r="AD1054" s="181"/>
    </row>
    <row r="1055" spans="1:30" x14ac:dyDescent="0.2">
      <c r="A1055" s="180"/>
      <c r="C1055" s="165" t="s">
        <v>36</v>
      </c>
      <c r="D1055" s="181">
        <f>2291138/1000</f>
        <v>2291.1379999999999</v>
      </c>
      <c r="E1055" s="181">
        <f>TOBEPAID!E800/1000</f>
        <v>2291.1379999999999</v>
      </c>
      <c r="F1055" s="181">
        <f>TOBEPAID!F800/1000</f>
        <v>0</v>
      </c>
      <c r="G1055" s="181">
        <f>TOBEPAID!G800/1000</f>
        <v>0</v>
      </c>
      <c r="H1055" s="181">
        <f>2291138/1000</f>
        <v>2291.1379999999999</v>
      </c>
      <c r="I1055" s="181">
        <f>TOBEPAID!I800/1000</f>
        <v>0</v>
      </c>
      <c r="J1055" s="181">
        <f>TOBEPAID!J800/1000</f>
        <v>0</v>
      </c>
      <c r="K1055" s="181">
        <f>TOBEPAID!K800/1000</f>
        <v>0</v>
      </c>
      <c r="L1055" s="181">
        <f>TOBEPAID!L800/1000</f>
        <v>0</v>
      </c>
      <c r="M1055" s="181">
        <f>TOBEPAID!M800/1000</f>
        <v>0</v>
      </c>
      <c r="N1055" s="181">
        <f>TOBEPAID!N800/1000</f>
        <v>2291.1379999999999</v>
      </c>
      <c r="O1055" s="181">
        <f>TOBEPAID!O800/1000</f>
        <v>0</v>
      </c>
      <c r="P1055" s="181">
        <f>TOBEPAID!P800/1000</f>
        <v>0</v>
      </c>
      <c r="Q1055" s="181">
        <f>TOBEPAID!Q800/1000</f>
        <v>0</v>
      </c>
      <c r="R1055" s="181">
        <v>0</v>
      </c>
      <c r="S1055" s="181">
        <f>TOBEPAID!S800/1000</f>
        <v>0</v>
      </c>
      <c r="T1055" s="181">
        <f>TOBEPAID!T800/1000</f>
        <v>0</v>
      </c>
      <c r="U1055" s="181">
        <f>TOBEPAID!U800/1000</f>
        <v>0</v>
      </c>
      <c r="V1055" s="181">
        <f>TOBEPAID!V800/1000</f>
        <v>0</v>
      </c>
      <c r="W1055" s="181">
        <f>TOBEPAID!W800/1000</f>
        <v>0</v>
      </c>
      <c r="X1055" s="181">
        <f>TOBEPAID!X800/1000</f>
        <v>0</v>
      </c>
      <c r="Y1055" s="181">
        <f>+H1055+R1055</f>
        <v>2291.1379999999999</v>
      </c>
      <c r="Z1055" s="181">
        <f>+D1055-Y1055</f>
        <v>0</v>
      </c>
      <c r="AA1055" s="181">
        <f>TOBEPAID!AA800/1000</f>
        <v>2291.1379999999999</v>
      </c>
      <c r="AB1055" s="181">
        <f>TOBEPAID!AB800/1000</f>
        <v>0</v>
      </c>
      <c r="AC1055" s="181"/>
      <c r="AD1055" s="181"/>
    </row>
    <row r="1056" spans="1:30" x14ac:dyDescent="0.2">
      <c r="A1056" s="180"/>
      <c r="C1056" s="165" t="s">
        <v>53</v>
      </c>
      <c r="D1056" s="181">
        <f>2361326/1000</f>
        <v>2361.326</v>
      </c>
      <c r="E1056" s="181">
        <f>TOBEPAID!E801/1000</f>
        <v>0</v>
      </c>
      <c r="F1056" s="181">
        <f>TOBEPAID!F801/1000</f>
        <v>0</v>
      </c>
      <c r="G1056" s="181">
        <f>TOBEPAID!G801/1000</f>
        <v>0</v>
      </c>
      <c r="H1056" s="181">
        <v>0</v>
      </c>
      <c r="I1056" s="181">
        <f>TOBEPAID!I801/1000</f>
        <v>0</v>
      </c>
      <c r="J1056" s="181">
        <f>TOBEPAID!J801/1000</f>
        <v>0</v>
      </c>
      <c r="K1056" s="181">
        <f>TOBEPAID!K801/1000</f>
        <v>0</v>
      </c>
      <c r="L1056" s="181">
        <f>TOBEPAID!L801/1000</f>
        <v>0</v>
      </c>
      <c r="M1056" s="181">
        <f>TOBEPAID!M801/1000</f>
        <v>0</v>
      </c>
      <c r="N1056" s="181">
        <f>TOBEPAID!N801/1000</f>
        <v>0</v>
      </c>
      <c r="O1056" s="181">
        <f>TOBEPAID!O801/1000</f>
        <v>2361.3261400000001</v>
      </c>
      <c r="P1056" s="181">
        <f>TOBEPAID!P801/1000</f>
        <v>0</v>
      </c>
      <c r="Q1056" s="181">
        <f>TOBEPAID!Q801/1000</f>
        <v>0</v>
      </c>
      <c r="R1056" s="181">
        <f>2361326/1000</f>
        <v>2361.326</v>
      </c>
      <c r="S1056" s="181">
        <f>TOBEPAID!S801/1000</f>
        <v>0</v>
      </c>
      <c r="T1056" s="181">
        <f>TOBEPAID!T801/1000</f>
        <v>0</v>
      </c>
      <c r="U1056" s="181">
        <f>TOBEPAID!U801/1000</f>
        <v>0</v>
      </c>
      <c r="V1056" s="181">
        <f>TOBEPAID!V801/1000</f>
        <v>0</v>
      </c>
      <c r="W1056" s="181">
        <f>TOBEPAID!W801/1000</f>
        <v>0</v>
      </c>
      <c r="X1056" s="181">
        <f>TOBEPAID!X801/1000</f>
        <v>2361.3261400000001</v>
      </c>
      <c r="Y1056" s="181">
        <f>+H1056+R1056</f>
        <v>2361.326</v>
      </c>
      <c r="Z1056" s="181">
        <f>+D1056-Y1056</f>
        <v>0</v>
      </c>
      <c r="AA1056" s="181">
        <f>TOBEPAID!AA801/1000</f>
        <v>2361.3261400000001</v>
      </c>
      <c r="AB1056" s="181">
        <f>TOBEPAID!AB801/1000</f>
        <v>0</v>
      </c>
      <c r="AC1056" s="181"/>
      <c r="AD1056" s="181"/>
    </row>
    <row r="1057" spans="1:31" x14ac:dyDescent="0.2">
      <c r="A1057" s="180"/>
      <c r="C1057" s="165" t="s">
        <v>54</v>
      </c>
      <c r="D1057" s="181">
        <f>1355997/1000</f>
        <v>1355.9970000000001</v>
      </c>
      <c r="E1057" s="181">
        <f>TOBEPAID!E802/1000</f>
        <v>0</v>
      </c>
      <c r="F1057" s="181">
        <f>TOBEPAID!F802/1000</f>
        <v>0</v>
      </c>
      <c r="G1057" s="181">
        <f>TOBEPAID!G802/1000</f>
        <v>0</v>
      </c>
      <c r="H1057" s="181">
        <v>0</v>
      </c>
      <c r="I1057" s="181">
        <f>TOBEPAID!I802/1000</f>
        <v>0</v>
      </c>
      <c r="J1057" s="181">
        <f>TOBEPAID!J802/1000</f>
        <v>0</v>
      </c>
      <c r="K1057" s="181">
        <f>TOBEPAID!K802/1000</f>
        <v>0</v>
      </c>
      <c r="L1057" s="181">
        <f>TOBEPAID!L802/1000</f>
        <v>0</v>
      </c>
      <c r="M1057" s="181">
        <f>TOBEPAID!M802/1000</f>
        <v>0</v>
      </c>
      <c r="N1057" s="181">
        <f>TOBEPAID!N802/1000</f>
        <v>0</v>
      </c>
      <c r="O1057" s="181">
        <f>TOBEPAID!O802/1000</f>
        <v>0</v>
      </c>
      <c r="P1057" s="181">
        <f>TOBEPAID!P802/1000</f>
        <v>0</v>
      </c>
      <c r="Q1057" s="181">
        <f>TOBEPAID!Q802/1000</f>
        <v>0</v>
      </c>
      <c r="R1057" s="181">
        <v>0</v>
      </c>
      <c r="S1057" s="181">
        <f>TOBEPAID!S802/1000</f>
        <v>0</v>
      </c>
      <c r="T1057" s="181">
        <f>TOBEPAID!T802/1000</f>
        <v>0</v>
      </c>
      <c r="U1057" s="181">
        <f>TOBEPAID!U802/1000</f>
        <v>0</v>
      </c>
      <c r="V1057" s="181">
        <f>TOBEPAID!V802/1000</f>
        <v>0</v>
      </c>
      <c r="W1057" s="181">
        <f>TOBEPAID!W802/1000</f>
        <v>0</v>
      </c>
      <c r="X1057" s="181">
        <f>TOBEPAID!X802/1000</f>
        <v>0</v>
      </c>
      <c r="Y1057" s="181">
        <f>+H1057+R1057</f>
        <v>0</v>
      </c>
      <c r="Z1057" s="181">
        <f>+D1057-Y1057</f>
        <v>1355.9970000000001</v>
      </c>
      <c r="AA1057" s="181">
        <f>TOBEPAID!AA802/1000</f>
        <v>0</v>
      </c>
      <c r="AB1057" s="181">
        <f>TOBEPAID!AB802/1000</f>
        <v>1355.9975900000002</v>
      </c>
      <c r="AC1057" s="181"/>
      <c r="AD1057" s="181"/>
    </row>
    <row r="1058" spans="1:31" x14ac:dyDescent="0.2">
      <c r="A1058" s="180"/>
      <c r="D1058" s="182" t="s">
        <v>40</v>
      </c>
      <c r="E1058" s="182" t="s">
        <v>40</v>
      </c>
      <c r="F1058" s="182" t="s">
        <v>40</v>
      </c>
      <c r="G1058" s="182"/>
      <c r="H1058" s="182" t="s">
        <v>40</v>
      </c>
      <c r="I1058" s="182" t="s">
        <v>40</v>
      </c>
      <c r="J1058" s="182" t="s">
        <v>40</v>
      </c>
      <c r="K1058" s="182" t="s">
        <v>40</v>
      </c>
      <c r="L1058" s="182" t="s">
        <v>40</v>
      </c>
      <c r="M1058" s="182"/>
      <c r="N1058" s="182" t="s">
        <v>40</v>
      </c>
      <c r="O1058" s="182" t="s">
        <v>40</v>
      </c>
      <c r="P1058" s="182" t="s">
        <v>40</v>
      </c>
      <c r="Q1058" s="182"/>
      <c r="R1058" s="182" t="s">
        <v>40</v>
      </c>
      <c r="S1058" s="182" t="s">
        <v>40</v>
      </c>
      <c r="T1058" s="182" t="s">
        <v>40</v>
      </c>
      <c r="U1058" s="182" t="s">
        <v>40</v>
      </c>
      <c r="V1058" s="182" t="s">
        <v>40</v>
      </c>
      <c r="W1058" s="182"/>
      <c r="X1058" s="182" t="s">
        <v>40</v>
      </c>
      <c r="Y1058" s="182" t="s">
        <v>40</v>
      </c>
      <c r="Z1058" s="182" t="s">
        <v>40</v>
      </c>
      <c r="AA1058" s="182" t="s">
        <v>40</v>
      </c>
      <c r="AB1058" s="182" t="s">
        <v>40</v>
      </c>
      <c r="AC1058" s="182"/>
      <c r="AD1058" s="182"/>
    </row>
    <row r="1059" spans="1:31" x14ac:dyDescent="0.2">
      <c r="A1059" s="180"/>
      <c r="D1059" s="191">
        <f>SUM(D1054:D1057)</f>
        <v>44440.012000000002</v>
      </c>
      <c r="E1059" s="191">
        <f>SUM(E1054:E1057)</f>
        <v>2291.1379999999999</v>
      </c>
      <c r="F1059" s="191">
        <f>SUM(F1054:F1057)</f>
        <v>0</v>
      </c>
      <c r="G1059" s="191"/>
      <c r="H1059" s="191">
        <f>SUM(H1054:H1057)</f>
        <v>21444.341989999997</v>
      </c>
      <c r="I1059" s="191">
        <f>SUM(I1054:I1057)</f>
        <v>0</v>
      </c>
      <c r="J1059" s="191">
        <f>SUM(J1054:J1057)</f>
        <v>0</v>
      </c>
      <c r="K1059" s="191">
        <f>SUM(K1054:K1057)</f>
        <v>0</v>
      </c>
      <c r="L1059" s="191">
        <f>SUM(L1054:L1057)</f>
        <v>0</v>
      </c>
      <c r="M1059" s="191"/>
      <c r="N1059" s="191">
        <f>SUM(N1054:N1057)</f>
        <v>2291.1379999999999</v>
      </c>
      <c r="O1059" s="191">
        <f>SUM(O1054:O1057)</f>
        <v>2361.3261400000001</v>
      </c>
      <c r="P1059" s="191">
        <f>SUM(P1054:P1057)</f>
        <v>0</v>
      </c>
      <c r="Q1059" s="191"/>
      <c r="R1059" s="191">
        <f>SUM(R1054:R1057)</f>
        <v>2361.326</v>
      </c>
      <c r="S1059" s="191">
        <f>SUM(S1054:S1057)</f>
        <v>0</v>
      </c>
      <c r="T1059" s="191">
        <f>SUM(T1054:T1057)</f>
        <v>0</v>
      </c>
      <c r="U1059" s="191">
        <f>SUM(U1054:U1057)</f>
        <v>0</v>
      </c>
      <c r="V1059" s="191">
        <f>SUM(V1054:V1057)</f>
        <v>0</v>
      </c>
      <c r="W1059" s="191"/>
      <c r="X1059" s="191">
        <f>SUM(X1054:X1057)</f>
        <v>2361.3261400000001</v>
      </c>
      <c r="Y1059" s="191">
        <f>SUM(Y1054:Y1057)</f>
        <v>23805.667989999998</v>
      </c>
      <c r="Z1059" s="191">
        <f>SUM(Z1054:Z1057)</f>
        <v>20634.344010000001</v>
      </c>
      <c r="AA1059" s="191">
        <f>SUM(AA1054:AA1057)</f>
        <v>4652.46414</v>
      </c>
      <c r="AB1059" s="191">
        <f>SUM(AB1054:AB1057)</f>
        <v>39787.548739999998</v>
      </c>
      <c r="AC1059" s="191"/>
      <c r="AD1059" s="191"/>
    </row>
    <row r="1060" spans="1:31" x14ac:dyDescent="0.2">
      <c r="A1060" s="180"/>
      <c r="D1060" s="182" t="s">
        <v>40</v>
      </c>
      <c r="E1060" s="182" t="s">
        <v>40</v>
      </c>
      <c r="F1060" s="182" t="s">
        <v>40</v>
      </c>
      <c r="G1060" s="182"/>
      <c r="H1060" s="182" t="s">
        <v>40</v>
      </c>
      <c r="I1060" s="182" t="s">
        <v>40</v>
      </c>
      <c r="J1060" s="182" t="s">
        <v>40</v>
      </c>
      <c r="K1060" s="182" t="s">
        <v>40</v>
      </c>
      <c r="L1060" s="182" t="s">
        <v>40</v>
      </c>
      <c r="M1060" s="182"/>
      <c r="N1060" s="182" t="s">
        <v>40</v>
      </c>
      <c r="O1060" s="182" t="s">
        <v>40</v>
      </c>
      <c r="P1060" s="182" t="s">
        <v>40</v>
      </c>
      <c r="Q1060" s="182"/>
      <c r="R1060" s="182" t="s">
        <v>40</v>
      </c>
      <c r="S1060" s="182" t="s">
        <v>40</v>
      </c>
      <c r="T1060" s="182" t="s">
        <v>40</v>
      </c>
      <c r="U1060" s="182" t="s">
        <v>40</v>
      </c>
      <c r="V1060" s="182" t="s">
        <v>40</v>
      </c>
      <c r="W1060" s="182"/>
      <c r="X1060" s="182" t="s">
        <v>40</v>
      </c>
      <c r="Y1060" s="182" t="s">
        <v>40</v>
      </c>
      <c r="Z1060" s="182" t="s">
        <v>40</v>
      </c>
      <c r="AA1060" s="182" t="s">
        <v>40</v>
      </c>
      <c r="AB1060" s="182" t="s">
        <v>40</v>
      </c>
      <c r="AC1060" s="182"/>
      <c r="AD1060" s="182"/>
    </row>
    <row r="1061" spans="1:31" x14ac:dyDescent="0.2">
      <c r="A1061" s="180">
        <v>82</v>
      </c>
      <c r="B1061" s="165" t="s">
        <v>217</v>
      </c>
      <c r="C1061" s="166" t="s">
        <v>35</v>
      </c>
      <c r="D1061" s="181">
        <v>0</v>
      </c>
      <c r="E1061" s="181">
        <f>TOBEPAID!E806/1000</f>
        <v>0</v>
      </c>
      <c r="F1061" s="181">
        <f>TOBEPAID!F806/1000</f>
        <v>0</v>
      </c>
      <c r="G1061" s="181">
        <f>TOBEPAID!G806/1000</f>
        <v>0</v>
      </c>
      <c r="H1061" s="181">
        <v>0</v>
      </c>
      <c r="I1061" s="181">
        <f>TOBEPAID!I806/1000</f>
        <v>0</v>
      </c>
      <c r="J1061" s="181">
        <f>TOBEPAID!J806/1000</f>
        <v>0</v>
      </c>
      <c r="K1061" s="181">
        <f>TOBEPAID!K806/1000</f>
        <v>0</v>
      </c>
      <c r="L1061" s="181">
        <f>TOBEPAID!L806/1000</f>
        <v>0</v>
      </c>
      <c r="M1061" s="181">
        <f>TOBEPAID!M806/1000</f>
        <v>0</v>
      </c>
      <c r="N1061" s="181">
        <f>TOBEPAID!N806/1000</f>
        <v>0</v>
      </c>
      <c r="O1061" s="181">
        <f>TOBEPAID!O806/1000</f>
        <v>0</v>
      </c>
      <c r="P1061" s="181">
        <f>TOBEPAID!P806/1000</f>
        <v>0</v>
      </c>
      <c r="Q1061" s="181">
        <f>TOBEPAID!Q806/1000</f>
        <v>0</v>
      </c>
      <c r="R1061" s="181">
        <v>0</v>
      </c>
      <c r="S1061" s="181">
        <f>TOBEPAID!S806/1000</f>
        <v>0</v>
      </c>
      <c r="T1061" s="181">
        <f>TOBEPAID!T806/1000</f>
        <v>0</v>
      </c>
      <c r="U1061" s="181">
        <f>TOBEPAID!U806/1000</f>
        <v>0</v>
      </c>
      <c r="V1061" s="181">
        <f>TOBEPAID!V806/1000</f>
        <v>0</v>
      </c>
      <c r="W1061" s="181">
        <f>TOBEPAID!W806/1000</f>
        <v>0</v>
      </c>
      <c r="X1061" s="181">
        <f>TOBEPAID!X806/1000</f>
        <v>0</v>
      </c>
      <c r="Y1061" s="181">
        <f t="shared" ref="Y1061:Y1066" si="194">+H1061+R1061</f>
        <v>0</v>
      </c>
      <c r="Z1061" s="181">
        <f t="shared" ref="Z1061:Z1066" si="195">+D1061-Y1061</f>
        <v>0</v>
      </c>
      <c r="AA1061" s="181">
        <f>TOBEPAID!AA806/1000</f>
        <v>0</v>
      </c>
      <c r="AB1061" s="181">
        <f>TOBEPAID!AB806/1000</f>
        <v>0</v>
      </c>
      <c r="AC1061" s="181"/>
      <c r="AD1061" s="181"/>
    </row>
    <row r="1062" spans="1:31" x14ac:dyDescent="0.2">
      <c r="A1062" s="180"/>
      <c r="C1062" s="165" t="s">
        <v>36</v>
      </c>
      <c r="D1062" s="181">
        <f>2743490/1000</f>
        <v>2743.49</v>
      </c>
      <c r="E1062" s="181">
        <f>TOBEPAID!E807/1000</f>
        <v>2743.49</v>
      </c>
      <c r="F1062" s="181">
        <f>TOBEPAID!F807/1000</f>
        <v>0</v>
      </c>
      <c r="G1062" s="181">
        <f>TOBEPAID!G807/1000</f>
        <v>0</v>
      </c>
      <c r="H1062" s="181">
        <f>2743490/1000</f>
        <v>2743.49</v>
      </c>
      <c r="I1062" s="181">
        <f>TOBEPAID!I807/1000</f>
        <v>0</v>
      </c>
      <c r="J1062" s="181">
        <f>TOBEPAID!J807/1000</f>
        <v>0</v>
      </c>
      <c r="K1062" s="181">
        <f>TOBEPAID!K807/1000</f>
        <v>0</v>
      </c>
      <c r="L1062" s="181">
        <f>TOBEPAID!L807/1000</f>
        <v>0</v>
      </c>
      <c r="M1062" s="181">
        <f>TOBEPAID!M807/1000</f>
        <v>0</v>
      </c>
      <c r="N1062" s="181">
        <f>TOBEPAID!N807/1000</f>
        <v>2743.49</v>
      </c>
      <c r="O1062" s="181">
        <f>TOBEPAID!O807/1000</f>
        <v>0</v>
      </c>
      <c r="P1062" s="181">
        <f>TOBEPAID!P807/1000</f>
        <v>0</v>
      </c>
      <c r="Q1062" s="181">
        <f>TOBEPAID!Q807/1000</f>
        <v>0</v>
      </c>
      <c r="R1062" s="181">
        <v>0</v>
      </c>
      <c r="S1062" s="181">
        <f>TOBEPAID!S807/1000</f>
        <v>0</v>
      </c>
      <c r="T1062" s="181">
        <f>TOBEPAID!T807/1000</f>
        <v>0</v>
      </c>
      <c r="U1062" s="181">
        <f>TOBEPAID!U807/1000</f>
        <v>0</v>
      </c>
      <c r="V1062" s="181">
        <f>TOBEPAID!V807/1000</f>
        <v>0</v>
      </c>
      <c r="W1062" s="181">
        <f>TOBEPAID!W807/1000</f>
        <v>0</v>
      </c>
      <c r="X1062" s="181">
        <f>TOBEPAID!X807/1000</f>
        <v>0</v>
      </c>
      <c r="Y1062" s="181">
        <f t="shared" si="194"/>
        <v>2743.49</v>
      </c>
      <c r="Z1062" s="181">
        <f t="shared" si="195"/>
        <v>0</v>
      </c>
      <c r="AA1062" s="181">
        <f>TOBEPAID!AA807/1000</f>
        <v>2743.49</v>
      </c>
      <c r="AB1062" s="181">
        <f>TOBEPAID!AB807/1000</f>
        <v>0</v>
      </c>
      <c r="AC1062" s="181"/>
      <c r="AD1062" s="181"/>
    </row>
    <row r="1063" spans="1:31" x14ac:dyDescent="0.2">
      <c r="A1063" s="180"/>
      <c r="C1063" s="165" t="s">
        <v>387</v>
      </c>
      <c r="D1063" s="181">
        <f>12000000/1000</f>
        <v>12000</v>
      </c>
      <c r="E1063" s="181"/>
      <c r="F1063" s="181"/>
      <c r="G1063" s="181"/>
      <c r="H1063" s="181">
        <f>12000000/1000</f>
        <v>12000</v>
      </c>
      <c r="I1063" s="181"/>
      <c r="J1063" s="181"/>
      <c r="K1063" s="181"/>
      <c r="L1063" s="181"/>
      <c r="M1063" s="181"/>
      <c r="N1063" s="181"/>
      <c r="O1063" s="181"/>
      <c r="P1063" s="181"/>
      <c r="Q1063" s="181"/>
      <c r="R1063" s="181">
        <v>0</v>
      </c>
      <c r="S1063" s="181"/>
      <c r="T1063" s="181"/>
      <c r="U1063" s="181"/>
      <c r="V1063" s="181"/>
      <c r="W1063" s="181"/>
      <c r="X1063" s="181"/>
      <c r="Y1063" s="181">
        <f>+H1063+R1063</f>
        <v>12000</v>
      </c>
      <c r="Z1063" s="181">
        <f t="shared" si="195"/>
        <v>0</v>
      </c>
      <c r="AA1063" s="181"/>
      <c r="AB1063" s="181"/>
      <c r="AC1063" s="181"/>
      <c r="AD1063" s="181"/>
    </row>
    <row r="1064" spans="1:31" x14ac:dyDescent="0.2">
      <c r="A1064" s="180"/>
      <c r="C1064" s="165" t="s">
        <v>53</v>
      </c>
      <c r="D1064" s="181">
        <f>6671517/1000</f>
        <v>6671.5169999999998</v>
      </c>
      <c r="E1064" s="181">
        <f>TOBEPAID!E808/1000</f>
        <v>0</v>
      </c>
      <c r="F1064" s="181">
        <f>TOBEPAID!F808/1000</f>
        <v>0</v>
      </c>
      <c r="G1064" s="181">
        <f>TOBEPAID!G808/1000</f>
        <v>0</v>
      </c>
      <c r="H1064" s="181">
        <v>0</v>
      </c>
      <c r="I1064" s="181">
        <f>TOBEPAID!I808/1000</f>
        <v>0</v>
      </c>
      <c r="J1064" s="181">
        <f>TOBEPAID!J808/1000</f>
        <v>0</v>
      </c>
      <c r="K1064" s="181">
        <f>TOBEPAID!K808/1000</f>
        <v>0</v>
      </c>
      <c r="L1064" s="181">
        <f>TOBEPAID!L808/1000</f>
        <v>0</v>
      </c>
      <c r="M1064" s="181">
        <f>TOBEPAID!M808/1000</f>
        <v>0</v>
      </c>
      <c r="N1064" s="181">
        <f>TOBEPAID!N808/1000</f>
        <v>0</v>
      </c>
      <c r="O1064" s="181">
        <f>TOBEPAID!O808/1000</f>
        <v>6493.5310100000006</v>
      </c>
      <c r="P1064" s="181">
        <f>TOBEPAID!P808/1000</f>
        <v>0</v>
      </c>
      <c r="Q1064" s="181">
        <f>TOBEPAID!Q808/1000</f>
        <v>0</v>
      </c>
      <c r="R1064" s="181">
        <f>6609774.68/1000</f>
        <v>6609.7746799999995</v>
      </c>
      <c r="S1064" s="181">
        <f>TOBEPAID!S808/1000</f>
        <v>0</v>
      </c>
      <c r="T1064" s="181">
        <f>TOBEPAID!T808/1000</f>
        <v>0</v>
      </c>
      <c r="U1064" s="181">
        <f>TOBEPAID!U808/1000</f>
        <v>0</v>
      </c>
      <c r="V1064" s="181">
        <f>TOBEPAID!V808/1000</f>
        <v>0</v>
      </c>
      <c r="W1064" s="181">
        <f>TOBEPAID!W808/1000</f>
        <v>0</v>
      </c>
      <c r="X1064" s="181">
        <f>TOBEPAID!X808/1000</f>
        <v>6493.5310100000006</v>
      </c>
      <c r="Y1064" s="181">
        <f t="shared" si="194"/>
        <v>6609.7746799999995</v>
      </c>
      <c r="Z1064" s="181">
        <f t="shared" si="195"/>
        <v>61.742320000000291</v>
      </c>
      <c r="AA1064" s="181">
        <f>TOBEPAID!AA808/1000</f>
        <v>6493.5310100000006</v>
      </c>
      <c r="AB1064" s="181">
        <f>TOBEPAID!AB808/1000</f>
        <v>0</v>
      </c>
      <c r="AC1064" s="181"/>
      <c r="AD1064" s="181"/>
      <c r="AE1064" s="165" t="s">
        <v>307</v>
      </c>
    </row>
    <row r="1065" spans="1:31" x14ac:dyDescent="0.2">
      <c r="A1065" s="180"/>
      <c r="C1065" s="165" t="s">
        <v>299</v>
      </c>
      <c r="D1065" s="181">
        <v>0</v>
      </c>
      <c r="E1065" s="181">
        <f>TOBEPAID!E809/1000</f>
        <v>0</v>
      </c>
      <c r="F1065" s="181">
        <f>TOBEPAID!F809/1000</f>
        <v>0</v>
      </c>
      <c r="G1065" s="181">
        <f>TOBEPAID!G809/1000</f>
        <v>0</v>
      </c>
      <c r="H1065" s="181">
        <v>0</v>
      </c>
      <c r="I1065" s="181">
        <f>TOBEPAID!I809/1000</f>
        <v>0</v>
      </c>
      <c r="J1065" s="181">
        <f>TOBEPAID!J809/1000</f>
        <v>0</v>
      </c>
      <c r="K1065" s="181">
        <f>TOBEPAID!K809/1000</f>
        <v>0</v>
      </c>
      <c r="L1065" s="181">
        <f>TOBEPAID!L809/1000</f>
        <v>0</v>
      </c>
      <c r="M1065" s="181">
        <f>TOBEPAID!M809/1000</f>
        <v>0</v>
      </c>
      <c r="N1065" s="181">
        <f>TOBEPAID!N809/1000</f>
        <v>0</v>
      </c>
      <c r="O1065" s="181">
        <f>TOBEPAID!O809/1000</f>
        <v>0</v>
      </c>
      <c r="P1065" s="181">
        <f>TOBEPAID!P809/1000</f>
        <v>0</v>
      </c>
      <c r="Q1065" s="181">
        <f>TOBEPAID!Q809/1000</f>
        <v>0</v>
      </c>
      <c r="R1065" s="181">
        <v>0</v>
      </c>
      <c r="S1065" s="181">
        <f>TOBEPAID!S809/1000</f>
        <v>0</v>
      </c>
      <c r="T1065" s="181">
        <f>TOBEPAID!T809/1000</f>
        <v>0</v>
      </c>
      <c r="U1065" s="181">
        <f>TOBEPAID!U809/1000</f>
        <v>0</v>
      </c>
      <c r="V1065" s="181">
        <f>TOBEPAID!V809/1000</f>
        <v>0</v>
      </c>
      <c r="W1065" s="181">
        <f>TOBEPAID!W809/1000</f>
        <v>0</v>
      </c>
      <c r="X1065" s="181">
        <f>TOBEPAID!X809/1000</f>
        <v>0</v>
      </c>
      <c r="Y1065" s="181">
        <f t="shared" si="194"/>
        <v>0</v>
      </c>
      <c r="Z1065" s="181">
        <f t="shared" si="195"/>
        <v>0</v>
      </c>
      <c r="AA1065" s="181">
        <f>TOBEPAID!AA809/1000</f>
        <v>0</v>
      </c>
      <c r="AB1065" s="181">
        <f>TOBEPAID!AB809/1000</f>
        <v>177.98660999999998</v>
      </c>
      <c r="AC1065" s="181"/>
      <c r="AD1065" s="181"/>
    </row>
    <row r="1066" spans="1:31" x14ac:dyDescent="0.2">
      <c r="A1066" s="180"/>
      <c r="C1066" s="165" t="s">
        <v>300</v>
      </c>
      <c r="D1066" s="181">
        <f>15796629/1000</f>
        <v>15796.629000000001</v>
      </c>
      <c r="E1066" s="181">
        <f>TOBEPAID!E810/1000</f>
        <v>0</v>
      </c>
      <c r="F1066" s="181">
        <f>TOBEPAID!F810/1000</f>
        <v>0</v>
      </c>
      <c r="G1066" s="181">
        <f>TOBEPAID!G810/1000</f>
        <v>0</v>
      </c>
      <c r="H1066" s="181">
        <v>0</v>
      </c>
      <c r="I1066" s="181">
        <f>TOBEPAID!I810/1000</f>
        <v>0</v>
      </c>
      <c r="J1066" s="181">
        <f>TOBEPAID!J810/1000</f>
        <v>0</v>
      </c>
      <c r="K1066" s="181">
        <f>TOBEPAID!K810/1000</f>
        <v>0</v>
      </c>
      <c r="L1066" s="181">
        <f>TOBEPAID!L810/1000</f>
        <v>0</v>
      </c>
      <c r="M1066" s="181">
        <f>TOBEPAID!M810/1000</f>
        <v>0</v>
      </c>
      <c r="N1066" s="181">
        <f>TOBEPAID!N810/1000</f>
        <v>0</v>
      </c>
      <c r="O1066" s="181">
        <f>TOBEPAID!O810/1000</f>
        <v>15796.629800000001</v>
      </c>
      <c r="P1066" s="181">
        <f>TOBEPAID!P810/1000</f>
        <v>0</v>
      </c>
      <c r="Q1066" s="181">
        <f>TOBEPAID!Q810/1000</f>
        <v>0</v>
      </c>
      <c r="R1066" s="181">
        <f>15796629/1000</f>
        <v>15796.629000000001</v>
      </c>
      <c r="S1066" s="181">
        <f>TOBEPAID!S810/1000</f>
        <v>0</v>
      </c>
      <c r="T1066" s="181">
        <f>TOBEPAID!T810/1000</f>
        <v>0</v>
      </c>
      <c r="U1066" s="181">
        <f>TOBEPAID!U810/1000</f>
        <v>0</v>
      </c>
      <c r="V1066" s="181">
        <f>TOBEPAID!V810/1000</f>
        <v>0</v>
      </c>
      <c r="W1066" s="181">
        <f>TOBEPAID!W810/1000</f>
        <v>0</v>
      </c>
      <c r="X1066" s="181">
        <f>TOBEPAID!X810/1000</f>
        <v>15796.629800000001</v>
      </c>
      <c r="Y1066" s="181">
        <f t="shared" si="194"/>
        <v>15796.629000000001</v>
      </c>
      <c r="Z1066" s="181">
        <f t="shared" si="195"/>
        <v>0</v>
      </c>
      <c r="AA1066" s="181">
        <f>TOBEPAID!AA810/1000</f>
        <v>15796.629800000001</v>
      </c>
      <c r="AB1066" s="181">
        <f>TOBEPAID!AB810/1000</f>
        <v>0</v>
      </c>
      <c r="AC1066" s="181"/>
      <c r="AD1066" s="181"/>
    </row>
    <row r="1067" spans="1:31" x14ac:dyDescent="0.2">
      <c r="A1067" s="180"/>
      <c r="D1067" s="182" t="s">
        <v>40</v>
      </c>
      <c r="E1067" s="182" t="s">
        <v>40</v>
      </c>
      <c r="F1067" s="182" t="s">
        <v>40</v>
      </c>
      <c r="G1067" s="182"/>
      <c r="H1067" s="182" t="s">
        <v>40</v>
      </c>
      <c r="I1067" s="182" t="s">
        <v>40</v>
      </c>
      <c r="J1067" s="182" t="s">
        <v>40</v>
      </c>
      <c r="K1067" s="182" t="s">
        <v>40</v>
      </c>
      <c r="L1067" s="182" t="s">
        <v>40</v>
      </c>
      <c r="M1067" s="182"/>
      <c r="N1067" s="182" t="s">
        <v>40</v>
      </c>
      <c r="O1067" s="182" t="s">
        <v>40</v>
      </c>
      <c r="P1067" s="182" t="s">
        <v>40</v>
      </c>
      <c r="Q1067" s="182"/>
      <c r="R1067" s="182" t="s">
        <v>40</v>
      </c>
      <c r="S1067" s="182" t="s">
        <v>40</v>
      </c>
      <c r="T1067" s="182" t="s">
        <v>40</v>
      </c>
      <c r="U1067" s="182" t="s">
        <v>40</v>
      </c>
      <c r="V1067" s="182" t="s">
        <v>40</v>
      </c>
      <c r="W1067" s="182"/>
      <c r="X1067" s="182" t="s">
        <v>40</v>
      </c>
      <c r="Y1067" s="182" t="s">
        <v>40</v>
      </c>
      <c r="Z1067" s="182" t="s">
        <v>40</v>
      </c>
      <c r="AA1067" s="182" t="s">
        <v>40</v>
      </c>
      <c r="AB1067" s="182" t="s">
        <v>40</v>
      </c>
      <c r="AC1067" s="182"/>
      <c r="AD1067" s="182"/>
    </row>
    <row r="1068" spans="1:31" x14ac:dyDescent="0.2">
      <c r="A1068" s="180"/>
      <c r="D1068" s="191">
        <f>SUM(D1061:D1066)</f>
        <v>37211.635999999999</v>
      </c>
      <c r="E1068" s="191">
        <f>SUM(E1061:E1066)</f>
        <v>2743.49</v>
      </c>
      <c r="F1068" s="191">
        <f>SUM(F1061:F1066)</f>
        <v>0</v>
      </c>
      <c r="G1068" s="191"/>
      <c r="H1068" s="191">
        <f>SUM(H1061:H1066)</f>
        <v>14743.49</v>
      </c>
      <c r="I1068" s="191">
        <f>SUM(I1061:I1066)</f>
        <v>0</v>
      </c>
      <c r="J1068" s="191">
        <f>SUM(J1061:J1066)</f>
        <v>0</v>
      </c>
      <c r="K1068" s="191">
        <f>SUM(K1061:K1066)</f>
        <v>0</v>
      </c>
      <c r="L1068" s="191">
        <f>SUM(L1061:L1066)</f>
        <v>0</v>
      </c>
      <c r="M1068" s="191"/>
      <c r="N1068" s="191">
        <f>SUM(N1061:N1066)</f>
        <v>2743.49</v>
      </c>
      <c r="O1068" s="191">
        <f>SUM(O1061:O1066)</f>
        <v>22290.160810000001</v>
      </c>
      <c r="P1068" s="191">
        <f>SUM(P1061:P1066)</f>
        <v>0</v>
      </c>
      <c r="Q1068" s="191"/>
      <c r="R1068" s="191">
        <f>SUM(R1061:R1066)</f>
        <v>22406.403679999999</v>
      </c>
      <c r="S1068" s="191">
        <f>SUM(S1061:S1066)</f>
        <v>0</v>
      </c>
      <c r="T1068" s="191">
        <f>SUM(T1061:T1066)</f>
        <v>0</v>
      </c>
      <c r="U1068" s="191">
        <f>SUM(U1061:U1066)</f>
        <v>0</v>
      </c>
      <c r="V1068" s="191">
        <f>SUM(V1061:V1066)</f>
        <v>0</v>
      </c>
      <c r="W1068" s="191"/>
      <c r="X1068" s="191">
        <f>SUM(X1061:X1066)</f>
        <v>22290.160810000001</v>
      </c>
      <c r="Y1068" s="191">
        <f>SUM(Y1061:Y1066)</f>
        <v>37149.893680000001</v>
      </c>
      <c r="Z1068" s="191">
        <f>SUM(Z1061:Z1066)</f>
        <v>61.742320000000291</v>
      </c>
      <c r="AA1068" s="191">
        <f>SUM(AA1061:AA1066)</f>
        <v>25033.650809999999</v>
      </c>
      <c r="AB1068" s="191">
        <f>SUM(AB1061:AB1066)</f>
        <v>177.98660999999998</v>
      </c>
      <c r="AC1068" s="191"/>
      <c r="AD1068" s="191"/>
    </row>
    <row r="1069" spans="1:31" x14ac:dyDescent="0.2">
      <c r="A1069" s="180"/>
      <c r="D1069" s="182" t="s">
        <v>40</v>
      </c>
      <c r="E1069" s="182" t="s">
        <v>40</v>
      </c>
      <c r="F1069" s="182" t="s">
        <v>40</v>
      </c>
      <c r="G1069" s="182"/>
      <c r="H1069" s="182" t="s">
        <v>40</v>
      </c>
      <c r="I1069" s="182" t="s">
        <v>40</v>
      </c>
      <c r="J1069" s="182" t="s">
        <v>40</v>
      </c>
      <c r="K1069" s="182" t="s">
        <v>40</v>
      </c>
      <c r="L1069" s="182" t="s">
        <v>40</v>
      </c>
      <c r="M1069" s="182"/>
      <c r="N1069" s="182" t="s">
        <v>40</v>
      </c>
      <c r="O1069" s="182" t="s">
        <v>40</v>
      </c>
      <c r="P1069" s="182" t="s">
        <v>40</v>
      </c>
      <c r="Q1069" s="182"/>
      <c r="R1069" s="182" t="s">
        <v>40</v>
      </c>
      <c r="S1069" s="182" t="s">
        <v>40</v>
      </c>
      <c r="T1069" s="182" t="s">
        <v>40</v>
      </c>
      <c r="U1069" s="182" t="s">
        <v>40</v>
      </c>
      <c r="V1069" s="182" t="s">
        <v>40</v>
      </c>
      <c r="W1069" s="182"/>
      <c r="X1069" s="182" t="s">
        <v>40</v>
      </c>
      <c r="Y1069" s="182" t="s">
        <v>40</v>
      </c>
      <c r="Z1069" s="182" t="s">
        <v>40</v>
      </c>
      <c r="AA1069" s="182" t="s">
        <v>40</v>
      </c>
      <c r="AB1069" s="182" t="s">
        <v>40</v>
      </c>
      <c r="AC1069" s="182"/>
      <c r="AD1069" s="182"/>
    </row>
    <row r="1070" spans="1:31" x14ac:dyDescent="0.2">
      <c r="A1070" s="180">
        <v>83</v>
      </c>
      <c r="B1070" s="165" t="s">
        <v>218</v>
      </c>
      <c r="C1070" s="166" t="s">
        <v>35</v>
      </c>
      <c r="D1070" s="181">
        <f>272604.84/1000</f>
        <v>272.60484000000002</v>
      </c>
      <c r="E1070" s="181">
        <f>TOBEPAID!E816/1000</f>
        <v>0</v>
      </c>
      <c r="F1070" s="181">
        <f>TOBEPAID!F816/1000</f>
        <v>0</v>
      </c>
      <c r="G1070" s="181">
        <f>TOBEPAID!G816/1000</f>
        <v>0</v>
      </c>
      <c r="H1070" s="181">
        <f>272000/1000</f>
        <v>272</v>
      </c>
      <c r="I1070" s="181">
        <f>TOBEPAID!I816/1000</f>
        <v>0</v>
      </c>
      <c r="J1070" s="181">
        <f>TOBEPAID!J816/1000</f>
        <v>0</v>
      </c>
      <c r="K1070" s="181">
        <f>TOBEPAID!K816/1000</f>
        <v>0</v>
      </c>
      <c r="L1070" s="181">
        <f>TOBEPAID!L816/1000</f>
        <v>0</v>
      </c>
      <c r="M1070" s="181">
        <f>TOBEPAID!M816/1000</f>
        <v>0</v>
      </c>
      <c r="N1070" s="181">
        <f>TOBEPAID!N816/1000</f>
        <v>0</v>
      </c>
      <c r="O1070" s="181">
        <f>TOBEPAID!O816/1000</f>
        <v>0</v>
      </c>
      <c r="P1070" s="181">
        <f>TOBEPAID!P816/1000</f>
        <v>0</v>
      </c>
      <c r="Q1070" s="181">
        <f>TOBEPAID!Q816/1000</f>
        <v>0</v>
      </c>
      <c r="R1070" s="181">
        <v>0</v>
      </c>
      <c r="S1070" s="181">
        <f>TOBEPAID!S816/1000</f>
        <v>0</v>
      </c>
      <c r="T1070" s="181">
        <f>TOBEPAID!T816/1000</f>
        <v>0</v>
      </c>
      <c r="U1070" s="181">
        <f>TOBEPAID!U816/1000</f>
        <v>0</v>
      </c>
      <c r="V1070" s="181">
        <f>TOBEPAID!V816/1000</f>
        <v>0</v>
      </c>
      <c r="W1070" s="181">
        <f>TOBEPAID!W816/1000</f>
        <v>0</v>
      </c>
      <c r="X1070" s="181">
        <f>TOBEPAID!X816/1000</f>
        <v>0</v>
      </c>
      <c r="Y1070" s="181">
        <f>+H1070+R1070</f>
        <v>272</v>
      </c>
      <c r="Z1070" s="181">
        <f>+D1070-Y1070</f>
        <v>0.60484000000002425</v>
      </c>
      <c r="AA1070" s="181">
        <f>TOBEPAID!AA816/1000</f>
        <v>0</v>
      </c>
      <c r="AB1070" s="181">
        <f>TOBEPAID!AB816/1000</f>
        <v>0</v>
      </c>
      <c r="AC1070" s="181"/>
      <c r="AD1070" s="181"/>
    </row>
    <row r="1071" spans="1:31" x14ac:dyDescent="0.2">
      <c r="A1071" s="180"/>
      <c r="C1071" s="166" t="s">
        <v>413</v>
      </c>
      <c r="D1071" s="181">
        <f>12000000/1000</f>
        <v>12000</v>
      </c>
      <c r="E1071" s="181"/>
      <c r="F1071" s="181"/>
      <c r="G1071" s="181"/>
      <c r="H1071" s="181">
        <f>12000000/1000</f>
        <v>12000</v>
      </c>
      <c r="I1071" s="181"/>
      <c r="J1071" s="181"/>
      <c r="K1071" s="181"/>
      <c r="L1071" s="181"/>
      <c r="M1071" s="181"/>
      <c r="N1071" s="181"/>
      <c r="O1071" s="181"/>
      <c r="P1071" s="181"/>
      <c r="Q1071" s="181"/>
      <c r="R1071" s="181">
        <v>0</v>
      </c>
      <c r="S1071" s="181"/>
      <c r="T1071" s="181"/>
      <c r="U1071" s="181"/>
      <c r="V1071" s="181"/>
      <c r="W1071" s="181"/>
      <c r="X1071" s="181"/>
      <c r="Y1071" s="181">
        <f>+H1071+R1071</f>
        <v>12000</v>
      </c>
      <c r="Z1071" s="181">
        <f>+D1071-Y1071</f>
        <v>0</v>
      </c>
      <c r="AA1071" s="181"/>
      <c r="AB1071" s="181"/>
      <c r="AC1071" s="181"/>
      <c r="AD1071" s="181"/>
    </row>
    <row r="1072" spans="1:31" x14ac:dyDescent="0.2">
      <c r="A1072" s="180"/>
      <c r="C1072" s="165" t="s">
        <v>36</v>
      </c>
      <c r="D1072" s="181">
        <f>1760413/1000</f>
        <v>1760.413</v>
      </c>
      <c r="E1072" s="181">
        <f>TOBEPAID!E817/1000</f>
        <v>1760.413</v>
      </c>
      <c r="F1072" s="181">
        <f>TOBEPAID!F817/1000</f>
        <v>0</v>
      </c>
      <c r="G1072" s="181">
        <f>TOBEPAID!G817/1000</f>
        <v>0</v>
      </c>
      <c r="H1072" s="181">
        <f>1760413/1000</f>
        <v>1760.413</v>
      </c>
      <c r="I1072" s="181">
        <f>TOBEPAID!I817/1000</f>
        <v>0</v>
      </c>
      <c r="J1072" s="181">
        <f>TOBEPAID!J817/1000</f>
        <v>0</v>
      </c>
      <c r="K1072" s="181">
        <f>TOBEPAID!K817/1000</f>
        <v>0</v>
      </c>
      <c r="L1072" s="181">
        <f>TOBEPAID!L817/1000</f>
        <v>0</v>
      </c>
      <c r="M1072" s="181">
        <f>TOBEPAID!M817/1000</f>
        <v>0</v>
      </c>
      <c r="N1072" s="181">
        <f>TOBEPAID!N817/1000</f>
        <v>1760.413</v>
      </c>
      <c r="O1072" s="181">
        <f>TOBEPAID!O817/1000</f>
        <v>0</v>
      </c>
      <c r="P1072" s="181">
        <f>TOBEPAID!P817/1000</f>
        <v>0</v>
      </c>
      <c r="Q1072" s="181">
        <f>TOBEPAID!Q817/1000</f>
        <v>0</v>
      </c>
      <c r="R1072" s="181">
        <v>0</v>
      </c>
      <c r="S1072" s="181">
        <f>TOBEPAID!S817/1000</f>
        <v>0</v>
      </c>
      <c r="T1072" s="181">
        <f>TOBEPAID!T817/1000</f>
        <v>0</v>
      </c>
      <c r="U1072" s="181">
        <f>TOBEPAID!U817/1000</f>
        <v>0</v>
      </c>
      <c r="V1072" s="181">
        <f>TOBEPAID!V817/1000</f>
        <v>0</v>
      </c>
      <c r="W1072" s="181">
        <f>TOBEPAID!W817/1000</f>
        <v>0</v>
      </c>
      <c r="X1072" s="181">
        <f>TOBEPAID!X817/1000</f>
        <v>0</v>
      </c>
      <c r="Y1072" s="181">
        <f>+H1072+R1072</f>
        <v>1760.413</v>
      </c>
      <c r="Z1072" s="181">
        <f>+D1072-Y1072</f>
        <v>0</v>
      </c>
      <c r="AA1072" s="181">
        <f>TOBEPAID!AA817/1000</f>
        <v>1760.413</v>
      </c>
      <c r="AB1072" s="181">
        <f>TOBEPAID!AB817/1000</f>
        <v>0</v>
      </c>
      <c r="AC1072" s="181"/>
      <c r="AD1072" s="181"/>
    </row>
    <row r="1073" spans="1:30" x14ac:dyDescent="0.2">
      <c r="A1073" s="180"/>
      <c r="C1073" s="165" t="s">
        <v>208</v>
      </c>
      <c r="D1073" s="181">
        <v>0</v>
      </c>
      <c r="E1073" s="181">
        <f>TOBEPAID!E818/1000</f>
        <v>0</v>
      </c>
      <c r="F1073" s="181">
        <f>TOBEPAID!F818/1000</f>
        <v>0</v>
      </c>
      <c r="G1073" s="181">
        <f>TOBEPAID!G818/1000</f>
        <v>0</v>
      </c>
      <c r="H1073" s="181">
        <v>0</v>
      </c>
      <c r="I1073" s="181">
        <f>TOBEPAID!I818/1000</f>
        <v>0</v>
      </c>
      <c r="J1073" s="181">
        <f>TOBEPAID!J818/1000</f>
        <v>0</v>
      </c>
      <c r="K1073" s="181">
        <f>TOBEPAID!K818/1000</f>
        <v>0</v>
      </c>
      <c r="L1073" s="181">
        <f>TOBEPAID!L818/1000</f>
        <v>0</v>
      </c>
      <c r="M1073" s="181">
        <f>TOBEPAID!M818/1000</f>
        <v>0</v>
      </c>
      <c r="N1073" s="181">
        <f>TOBEPAID!N818/1000</f>
        <v>0</v>
      </c>
      <c r="O1073" s="181">
        <f>TOBEPAID!O818/1000</f>
        <v>0</v>
      </c>
      <c r="P1073" s="181">
        <f>TOBEPAID!P818/1000</f>
        <v>0</v>
      </c>
      <c r="Q1073" s="181">
        <f>TOBEPAID!Q818/1000</f>
        <v>0</v>
      </c>
      <c r="R1073" s="181">
        <v>0</v>
      </c>
      <c r="S1073" s="181">
        <f>TOBEPAID!S818/1000</f>
        <v>0</v>
      </c>
      <c r="T1073" s="181">
        <f>TOBEPAID!T818/1000</f>
        <v>0</v>
      </c>
      <c r="U1073" s="181">
        <f>TOBEPAID!U818/1000</f>
        <v>0</v>
      </c>
      <c r="V1073" s="181">
        <f>TOBEPAID!V818/1000</f>
        <v>0</v>
      </c>
      <c r="W1073" s="181">
        <f>TOBEPAID!W818/1000</f>
        <v>0</v>
      </c>
      <c r="X1073" s="181">
        <f>TOBEPAID!X818/1000</f>
        <v>0</v>
      </c>
      <c r="Y1073" s="181">
        <f>+H1073+R1073</f>
        <v>0</v>
      </c>
      <c r="Z1073" s="181">
        <f>+D1073-Y1073</f>
        <v>0</v>
      </c>
      <c r="AA1073" s="181">
        <f>TOBEPAID!AA818/1000</f>
        <v>0</v>
      </c>
      <c r="AB1073" s="181">
        <f>TOBEPAID!AB818/1000</f>
        <v>240.15484000000001</v>
      </c>
      <c r="AC1073" s="181"/>
      <c r="AD1073" s="181"/>
    </row>
    <row r="1074" spans="1:30" x14ac:dyDescent="0.2">
      <c r="A1074" s="180"/>
      <c r="C1074" s="165" t="s">
        <v>38</v>
      </c>
      <c r="D1074" s="181">
        <f>44400/1000</f>
        <v>44.4</v>
      </c>
      <c r="E1074" s="181">
        <f>TOBEPAID!E819/1000</f>
        <v>0</v>
      </c>
      <c r="F1074" s="181">
        <f>TOBEPAID!F819/1000</f>
        <v>0</v>
      </c>
      <c r="G1074" s="181">
        <f>TOBEPAID!G819/1000</f>
        <v>0</v>
      </c>
      <c r="H1074" s="181">
        <v>0</v>
      </c>
      <c r="I1074" s="181">
        <f>TOBEPAID!I819/1000</f>
        <v>0</v>
      </c>
      <c r="J1074" s="181">
        <f>TOBEPAID!J819/1000</f>
        <v>0</v>
      </c>
      <c r="K1074" s="181">
        <f>TOBEPAID!K819/1000</f>
        <v>0</v>
      </c>
      <c r="L1074" s="181">
        <f>TOBEPAID!L819/1000</f>
        <v>0</v>
      </c>
      <c r="M1074" s="181">
        <f>TOBEPAID!M819/1000</f>
        <v>0</v>
      </c>
      <c r="N1074" s="181">
        <f>TOBEPAID!N819/1000</f>
        <v>0</v>
      </c>
      <c r="O1074" s="181">
        <f>TOBEPAID!O819/1000</f>
        <v>0</v>
      </c>
      <c r="P1074" s="181">
        <f>TOBEPAID!P819/1000</f>
        <v>0</v>
      </c>
      <c r="Q1074" s="181">
        <f>TOBEPAID!Q819/1000</f>
        <v>0</v>
      </c>
      <c r="R1074" s="181">
        <f>44400/1000</f>
        <v>44.4</v>
      </c>
      <c r="S1074" s="181">
        <f>TOBEPAID!S819/1000</f>
        <v>0</v>
      </c>
      <c r="T1074" s="181">
        <f>TOBEPAID!T819/1000</f>
        <v>0</v>
      </c>
      <c r="U1074" s="181">
        <f>TOBEPAID!U819/1000</f>
        <v>0</v>
      </c>
      <c r="V1074" s="181">
        <f>TOBEPAID!V819/1000</f>
        <v>0</v>
      </c>
      <c r="W1074" s="181">
        <f>TOBEPAID!W819/1000</f>
        <v>0</v>
      </c>
      <c r="X1074" s="181">
        <f>TOBEPAID!X819/1000</f>
        <v>0</v>
      </c>
      <c r="Y1074" s="181">
        <f>+H1074+R1074</f>
        <v>44.4</v>
      </c>
      <c r="Z1074" s="181">
        <f>+D1074-Y1074</f>
        <v>0</v>
      </c>
      <c r="AA1074" s="181">
        <f>TOBEPAID!AA819/1000</f>
        <v>0</v>
      </c>
      <c r="AB1074" s="181">
        <f>TOBEPAID!AB819/1000</f>
        <v>76.849999999999994</v>
      </c>
      <c r="AC1074" s="181"/>
      <c r="AD1074" s="181"/>
    </row>
    <row r="1075" spans="1:30" x14ac:dyDescent="0.2">
      <c r="A1075" s="180"/>
      <c r="D1075" s="182" t="s">
        <v>40</v>
      </c>
      <c r="E1075" s="182" t="s">
        <v>40</v>
      </c>
      <c r="F1075" s="182" t="s">
        <v>40</v>
      </c>
      <c r="G1075" s="182"/>
      <c r="H1075" s="182" t="s">
        <v>40</v>
      </c>
      <c r="I1075" s="182" t="s">
        <v>40</v>
      </c>
      <c r="J1075" s="182" t="s">
        <v>40</v>
      </c>
      <c r="K1075" s="182" t="s">
        <v>40</v>
      </c>
      <c r="L1075" s="182" t="s">
        <v>40</v>
      </c>
      <c r="M1075" s="182"/>
      <c r="N1075" s="182" t="s">
        <v>40</v>
      </c>
      <c r="O1075" s="182" t="s">
        <v>40</v>
      </c>
      <c r="P1075" s="182" t="s">
        <v>40</v>
      </c>
      <c r="Q1075" s="182"/>
      <c r="R1075" s="182" t="s">
        <v>40</v>
      </c>
      <c r="S1075" s="182" t="s">
        <v>40</v>
      </c>
      <c r="T1075" s="182" t="s">
        <v>40</v>
      </c>
      <c r="U1075" s="182" t="s">
        <v>40</v>
      </c>
      <c r="V1075" s="182" t="s">
        <v>40</v>
      </c>
      <c r="W1075" s="182"/>
      <c r="X1075" s="182" t="s">
        <v>40</v>
      </c>
      <c r="Y1075" s="182" t="s">
        <v>40</v>
      </c>
      <c r="Z1075" s="182" t="s">
        <v>40</v>
      </c>
      <c r="AA1075" s="182" t="s">
        <v>40</v>
      </c>
      <c r="AB1075" s="182" t="s">
        <v>40</v>
      </c>
      <c r="AC1075" s="182"/>
      <c r="AD1075" s="182"/>
    </row>
    <row r="1076" spans="1:30" x14ac:dyDescent="0.2">
      <c r="A1076" s="180"/>
      <c r="D1076" s="191">
        <f>SUM(D1070:D1074)</f>
        <v>14077.41784</v>
      </c>
      <c r="E1076" s="191">
        <f>SUM(E1070:E1074)</f>
        <v>1760.413</v>
      </c>
      <c r="F1076" s="191">
        <f>SUM(F1070:F1074)</f>
        <v>0</v>
      </c>
      <c r="G1076" s="191"/>
      <c r="H1076" s="191">
        <f>SUM(H1070:H1074)</f>
        <v>14032.413</v>
      </c>
      <c r="I1076" s="191">
        <f>SUM(I1070:I1074)</f>
        <v>0</v>
      </c>
      <c r="J1076" s="191">
        <f>SUM(J1070:J1074)</f>
        <v>0</v>
      </c>
      <c r="K1076" s="191">
        <f>SUM(K1070:K1074)</f>
        <v>0</v>
      </c>
      <c r="L1076" s="191">
        <f>SUM(L1070:L1074)</f>
        <v>0</v>
      </c>
      <c r="M1076" s="191"/>
      <c r="N1076" s="191">
        <f>SUM(N1070:N1074)</f>
        <v>1760.413</v>
      </c>
      <c r="O1076" s="191">
        <f>SUM(O1070:O1074)</f>
        <v>0</v>
      </c>
      <c r="P1076" s="191">
        <f>SUM(P1070:P1074)</f>
        <v>0</v>
      </c>
      <c r="Q1076" s="191"/>
      <c r="R1076" s="191">
        <f>SUM(R1070:R1074)</f>
        <v>44.4</v>
      </c>
      <c r="S1076" s="191">
        <f>SUM(S1070:S1074)</f>
        <v>0</v>
      </c>
      <c r="T1076" s="191">
        <f>SUM(T1070:T1074)</f>
        <v>0</v>
      </c>
      <c r="U1076" s="191">
        <f>SUM(U1070:U1074)</f>
        <v>0</v>
      </c>
      <c r="V1076" s="191">
        <f>SUM(V1070:V1074)</f>
        <v>0</v>
      </c>
      <c r="W1076" s="191"/>
      <c r="X1076" s="191">
        <f>SUM(X1070:X1074)</f>
        <v>0</v>
      </c>
      <c r="Y1076" s="191">
        <f>SUM(Y1070:Y1074)</f>
        <v>14076.813</v>
      </c>
      <c r="Z1076" s="191">
        <f>SUM(Z1070:Z1074)</f>
        <v>0.60484000000002425</v>
      </c>
      <c r="AA1076" s="191">
        <f>SUM(AA1070:AA1074)</f>
        <v>1760.413</v>
      </c>
      <c r="AB1076" s="191">
        <f>SUM(AB1070:AB1074)</f>
        <v>317.00484</v>
      </c>
      <c r="AC1076" s="191"/>
      <c r="AD1076" s="191"/>
    </row>
    <row r="1077" spans="1:30" x14ac:dyDescent="0.2">
      <c r="A1077" s="180"/>
      <c r="D1077" s="182" t="s">
        <v>40</v>
      </c>
      <c r="E1077" s="182" t="s">
        <v>40</v>
      </c>
      <c r="F1077" s="182" t="s">
        <v>40</v>
      </c>
      <c r="G1077" s="182"/>
      <c r="H1077" s="182" t="s">
        <v>40</v>
      </c>
      <c r="I1077" s="182" t="s">
        <v>40</v>
      </c>
      <c r="J1077" s="182" t="s">
        <v>40</v>
      </c>
      <c r="K1077" s="182" t="s">
        <v>40</v>
      </c>
      <c r="L1077" s="182" t="s">
        <v>40</v>
      </c>
      <c r="M1077" s="182"/>
      <c r="N1077" s="182" t="s">
        <v>40</v>
      </c>
      <c r="O1077" s="182" t="s">
        <v>40</v>
      </c>
      <c r="P1077" s="182" t="s">
        <v>40</v>
      </c>
      <c r="Q1077" s="182"/>
      <c r="R1077" s="182" t="s">
        <v>40</v>
      </c>
      <c r="S1077" s="182" t="s">
        <v>40</v>
      </c>
      <c r="T1077" s="182" t="s">
        <v>40</v>
      </c>
      <c r="U1077" s="182" t="s">
        <v>40</v>
      </c>
      <c r="V1077" s="182" t="s">
        <v>40</v>
      </c>
      <c r="W1077" s="182"/>
      <c r="X1077" s="182" t="s">
        <v>40</v>
      </c>
      <c r="Y1077" s="182" t="s">
        <v>40</v>
      </c>
      <c r="Z1077" s="182" t="s">
        <v>40</v>
      </c>
      <c r="AA1077" s="182" t="s">
        <v>40</v>
      </c>
      <c r="AB1077" s="182" t="s">
        <v>40</v>
      </c>
      <c r="AC1077" s="182"/>
      <c r="AD1077" s="182"/>
    </row>
    <row r="1078" spans="1:30" x14ac:dyDescent="0.2">
      <c r="A1078" s="180"/>
      <c r="D1078" s="182"/>
      <c r="E1078" s="182"/>
      <c r="F1078" s="182"/>
      <c r="G1078" s="182"/>
      <c r="H1078" s="182"/>
      <c r="I1078" s="182"/>
      <c r="J1078" s="182"/>
      <c r="K1078" s="182"/>
      <c r="L1078" s="182"/>
      <c r="M1078" s="182"/>
      <c r="N1078" s="182"/>
      <c r="O1078" s="182"/>
      <c r="P1078" s="182"/>
      <c r="Q1078" s="182"/>
      <c r="R1078" s="182"/>
      <c r="S1078" s="182"/>
      <c r="T1078" s="182"/>
      <c r="U1078" s="182"/>
      <c r="V1078" s="182"/>
      <c r="W1078" s="182"/>
      <c r="X1078" s="182"/>
      <c r="Y1078" s="182"/>
      <c r="Z1078" s="182"/>
      <c r="AA1078" s="182"/>
      <c r="AB1078" s="182"/>
      <c r="AC1078" s="182"/>
      <c r="AD1078" s="182"/>
    </row>
    <row r="1079" spans="1:30" x14ac:dyDescent="0.2">
      <c r="A1079" s="180"/>
      <c r="D1079" s="182"/>
      <c r="E1079" s="182"/>
      <c r="F1079" s="182"/>
      <c r="G1079" s="182"/>
      <c r="H1079" s="182"/>
      <c r="I1079" s="182"/>
      <c r="J1079" s="182"/>
      <c r="K1079" s="182"/>
      <c r="L1079" s="182"/>
      <c r="M1079" s="182"/>
      <c r="N1079" s="182"/>
      <c r="O1079" s="182"/>
      <c r="P1079" s="182"/>
      <c r="Q1079" s="182"/>
      <c r="R1079" s="182"/>
      <c r="S1079" s="182"/>
      <c r="T1079" s="182"/>
      <c r="U1079" s="182"/>
      <c r="V1079" s="182"/>
      <c r="W1079" s="182"/>
      <c r="X1079" s="182"/>
      <c r="Y1079" s="182"/>
      <c r="Z1079" s="182"/>
      <c r="AA1079" s="182"/>
      <c r="AB1079" s="182"/>
      <c r="AC1079" s="182"/>
      <c r="AD1079" s="182"/>
    </row>
    <row r="1080" spans="1:30" x14ac:dyDescent="0.2">
      <c r="A1080" s="180">
        <v>84</v>
      </c>
      <c r="B1080" s="165" t="s">
        <v>219</v>
      </c>
      <c r="C1080" s="166" t="s">
        <v>35</v>
      </c>
      <c r="D1080" s="181">
        <v>0</v>
      </c>
      <c r="E1080" s="181">
        <f>TOBEPAID!E823/1000</f>
        <v>0</v>
      </c>
      <c r="F1080" s="181">
        <f>TOBEPAID!F823/1000</f>
        <v>0</v>
      </c>
      <c r="G1080" s="181">
        <f>TOBEPAID!G823/1000</f>
        <v>0</v>
      </c>
      <c r="H1080" s="181">
        <v>0</v>
      </c>
      <c r="I1080" s="181">
        <f>TOBEPAID!I823/1000</f>
        <v>0</v>
      </c>
      <c r="J1080" s="181">
        <f>TOBEPAID!J823/1000</f>
        <v>0</v>
      </c>
      <c r="K1080" s="181">
        <f>TOBEPAID!K823/1000</f>
        <v>0</v>
      </c>
      <c r="L1080" s="181">
        <f>TOBEPAID!L823/1000</f>
        <v>0</v>
      </c>
      <c r="M1080" s="181">
        <f>TOBEPAID!M823/1000</f>
        <v>0</v>
      </c>
      <c r="N1080" s="181">
        <f>TOBEPAID!N823/1000</f>
        <v>0</v>
      </c>
      <c r="O1080" s="181">
        <f>TOBEPAID!O823/1000</f>
        <v>0</v>
      </c>
      <c r="P1080" s="181">
        <f>TOBEPAID!P823/1000</f>
        <v>0</v>
      </c>
      <c r="Q1080" s="181">
        <f>TOBEPAID!Q823/1000</f>
        <v>0</v>
      </c>
      <c r="R1080" s="181">
        <v>0</v>
      </c>
      <c r="S1080" s="181">
        <f>TOBEPAID!S823/1000</f>
        <v>0</v>
      </c>
      <c r="T1080" s="181">
        <f>TOBEPAID!T823/1000</f>
        <v>0</v>
      </c>
      <c r="U1080" s="181">
        <f>TOBEPAID!U823/1000</f>
        <v>0</v>
      </c>
      <c r="V1080" s="181">
        <f>TOBEPAID!V823/1000</f>
        <v>0</v>
      </c>
      <c r="W1080" s="181">
        <f>TOBEPAID!W823/1000</f>
        <v>0</v>
      </c>
      <c r="X1080" s="181">
        <f>TOBEPAID!X823/1000</f>
        <v>0</v>
      </c>
      <c r="Y1080" s="181">
        <f t="shared" ref="Y1080:Y1086" si="196">+H1080+R1080</f>
        <v>0</v>
      </c>
      <c r="Z1080" s="181">
        <f t="shared" ref="Z1080:Z1086" si="197">+D1080-Y1080</f>
        <v>0</v>
      </c>
      <c r="AA1080" s="181">
        <f>TOBEPAID!AA823/1000</f>
        <v>0</v>
      </c>
      <c r="AB1080" s="181">
        <f>TOBEPAID!AB823/1000</f>
        <v>0</v>
      </c>
      <c r="AC1080" s="181"/>
      <c r="AD1080" s="181"/>
    </row>
    <row r="1081" spans="1:30" x14ac:dyDescent="0.2">
      <c r="A1081" s="180"/>
      <c r="C1081" s="165" t="s">
        <v>36</v>
      </c>
      <c r="D1081" s="181">
        <f>4070993/1000</f>
        <v>4070.9929999999999</v>
      </c>
      <c r="E1081" s="181">
        <f>TOBEPAID!E824/1000</f>
        <v>4070.9929999999999</v>
      </c>
      <c r="F1081" s="181">
        <f>TOBEPAID!F824/1000</f>
        <v>0</v>
      </c>
      <c r="G1081" s="181">
        <f>TOBEPAID!G824/1000</f>
        <v>0</v>
      </c>
      <c r="H1081" s="181">
        <f>4070993/1000</f>
        <v>4070.9929999999999</v>
      </c>
      <c r="I1081" s="181">
        <f>TOBEPAID!I824/1000</f>
        <v>0</v>
      </c>
      <c r="J1081" s="181">
        <f>TOBEPAID!J824/1000</f>
        <v>0</v>
      </c>
      <c r="K1081" s="181">
        <f>TOBEPAID!K824/1000</f>
        <v>0</v>
      </c>
      <c r="L1081" s="181">
        <f>TOBEPAID!L824/1000</f>
        <v>0</v>
      </c>
      <c r="M1081" s="181">
        <f>TOBEPAID!M824/1000</f>
        <v>0</v>
      </c>
      <c r="N1081" s="181">
        <f>TOBEPAID!N824/1000</f>
        <v>4070.9929999999999</v>
      </c>
      <c r="O1081" s="181">
        <f>TOBEPAID!O824/1000</f>
        <v>0</v>
      </c>
      <c r="P1081" s="181">
        <f>TOBEPAID!P824/1000</f>
        <v>0</v>
      </c>
      <c r="Q1081" s="181">
        <f>TOBEPAID!Q824/1000</f>
        <v>0</v>
      </c>
      <c r="R1081" s="181">
        <v>0</v>
      </c>
      <c r="S1081" s="181">
        <f>TOBEPAID!S824/1000</f>
        <v>0</v>
      </c>
      <c r="T1081" s="181">
        <f>TOBEPAID!T824/1000</f>
        <v>0</v>
      </c>
      <c r="U1081" s="181">
        <f>TOBEPAID!U824/1000</f>
        <v>0</v>
      </c>
      <c r="V1081" s="181">
        <f>TOBEPAID!V824/1000</f>
        <v>0</v>
      </c>
      <c r="W1081" s="181">
        <f>TOBEPAID!W824/1000</f>
        <v>0</v>
      </c>
      <c r="X1081" s="181">
        <f>TOBEPAID!X824/1000</f>
        <v>0</v>
      </c>
      <c r="Y1081" s="181">
        <f t="shared" si="196"/>
        <v>4070.9929999999999</v>
      </c>
      <c r="Z1081" s="181">
        <f t="shared" si="197"/>
        <v>0</v>
      </c>
      <c r="AA1081" s="181">
        <f>TOBEPAID!AA824/1000</f>
        <v>4070.9929999999999</v>
      </c>
      <c r="AB1081" s="181">
        <f>TOBEPAID!AB824/1000</f>
        <v>0</v>
      </c>
      <c r="AC1081" s="181"/>
      <c r="AD1081" s="181"/>
    </row>
    <row r="1082" spans="1:30" x14ac:dyDescent="0.2">
      <c r="C1082" s="165" t="s">
        <v>290</v>
      </c>
      <c r="D1082" s="181">
        <f>240400000/1000</f>
        <v>240400</v>
      </c>
      <c r="E1082" s="181">
        <f>TOBEPAID!E825/1000</f>
        <v>49000</v>
      </c>
      <c r="F1082" s="181">
        <f>TOBEPAID!F825/1000</f>
        <v>7000</v>
      </c>
      <c r="G1082" s="181">
        <f>TOBEPAID!G825/1000</f>
        <v>0</v>
      </c>
      <c r="H1082" s="181">
        <f>240400000/1000</f>
        <v>240400</v>
      </c>
      <c r="I1082" s="181">
        <f>TOBEPAID!I825/1000</f>
        <v>0</v>
      </c>
      <c r="J1082" s="181">
        <f>TOBEPAID!J825/1000</f>
        <v>0</v>
      </c>
      <c r="K1082" s="181">
        <f>TOBEPAID!K825/1000</f>
        <v>0</v>
      </c>
      <c r="L1082" s="181">
        <f>TOBEPAID!L825/1000</f>
        <v>0</v>
      </c>
      <c r="M1082" s="181">
        <f>TOBEPAID!M825/1000</f>
        <v>0</v>
      </c>
      <c r="N1082" s="181">
        <f>TOBEPAID!N825/1000</f>
        <v>56000</v>
      </c>
      <c r="O1082" s="181">
        <f>TOBEPAID!O825/1000</f>
        <v>0</v>
      </c>
      <c r="P1082" s="181">
        <f>TOBEPAID!P825/1000</f>
        <v>0</v>
      </c>
      <c r="Q1082" s="181">
        <f>TOBEPAID!Q825/1000</f>
        <v>0</v>
      </c>
      <c r="R1082" s="181">
        <v>0</v>
      </c>
      <c r="S1082" s="181">
        <f>TOBEPAID!S825/1000</f>
        <v>0</v>
      </c>
      <c r="T1082" s="181">
        <f>TOBEPAID!T825/1000</f>
        <v>0</v>
      </c>
      <c r="U1082" s="181">
        <f>TOBEPAID!U825/1000</f>
        <v>0</v>
      </c>
      <c r="V1082" s="181">
        <f>TOBEPAID!V825/1000</f>
        <v>0</v>
      </c>
      <c r="W1082" s="181">
        <f>TOBEPAID!W825/1000</f>
        <v>0</v>
      </c>
      <c r="X1082" s="181">
        <f>TOBEPAID!X825/1000</f>
        <v>0</v>
      </c>
      <c r="Y1082" s="181">
        <f t="shared" si="196"/>
        <v>240400</v>
      </c>
      <c r="Z1082" s="181">
        <f t="shared" si="197"/>
        <v>0</v>
      </c>
      <c r="AA1082" s="181">
        <f>TOBEPAID!AA825/1000</f>
        <v>56000</v>
      </c>
      <c r="AB1082" s="181">
        <f>TOBEPAID!AB825/1000</f>
        <v>0</v>
      </c>
      <c r="AC1082" s="181"/>
      <c r="AD1082" s="181"/>
    </row>
    <row r="1083" spans="1:30" x14ac:dyDescent="0.2">
      <c r="C1083" s="165" t="s">
        <v>413</v>
      </c>
      <c r="D1083" s="181">
        <f>9000000/1000</f>
        <v>9000</v>
      </c>
      <c r="E1083" s="181"/>
      <c r="F1083" s="181"/>
      <c r="G1083" s="181"/>
      <c r="H1083" s="181">
        <f>9000000/1000</f>
        <v>9000</v>
      </c>
      <c r="I1083" s="181"/>
      <c r="J1083" s="181"/>
      <c r="K1083" s="181"/>
      <c r="L1083" s="181"/>
      <c r="M1083" s="181"/>
      <c r="N1083" s="181"/>
      <c r="O1083" s="181"/>
      <c r="P1083" s="181"/>
      <c r="Q1083" s="181"/>
      <c r="R1083" s="181">
        <v>0</v>
      </c>
      <c r="S1083" s="181"/>
      <c r="T1083" s="181"/>
      <c r="U1083" s="181"/>
      <c r="V1083" s="181"/>
      <c r="W1083" s="181"/>
      <c r="X1083" s="181"/>
      <c r="Y1083" s="181">
        <f t="shared" si="196"/>
        <v>9000</v>
      </c>
      <c r="Z1083" s="181">
        <f t="shared" si="197"/>
        <v>0</v>
      </c>
      <c r="AA1083" s="181"/>
      <c r="AB1083" s="181"/>
      <c r="AC1083" s="181"/>
      <c r="AD1083" s="181"/>
    </row>
    <row r="1084" spans="1:30" x14ac:dyDescent="0.2">
      <c r="C1084" s="165" t="s">
        <v>437</v>
      </c>
      <c r="D1084" s="181">
        <f>5350497/1000</f>
        <v>5350.4970000000003</v>
      </c>
      <c r="E1084" s="181"/>
      <c r="F1084" s="181"/>
      <c r="G1084" s="181"/>
      <c r="H1084" s="181">
        <f>5350497/1000</f>
        <v>5350.4970000000003</v>
      </c>
      <c r="I1084" s="181"/>
      <c r="J1084" s="181"/>
      <c r="K1084" s="181"/>
      <c r="L1084" s="181"/>
      <c r="M1084" s="181"/>
      <c r="N1084" s="181"/>
      <c r="O1084" s="181"/>
      <c r="P1084" s="181"/>
      <c r="Q1084" s="181"/>
      <c r="R1084" s="181">
        <v>0</v>
      </c>
      <c r="S1084" s="181"/>
      <c r="T1084" s="181"/>
      <c r="U1084" s="181"/>
      <c r="V1084" s="181"/>
      <c r="W1084" s="181"/>
      <c r="X1084" s="181"/>
      <c r="Y1084" s="181">
        <f t="shared" si="196"/>
        <v>5350.4970000000003</v>
      </c>
      <c r="Z1084" s="181">
        <f t="shared" si="197"/>
        <v>0</v>
      </c>
      <c r="AA1084" s="181"/>
      <c r="AB1084" s="181"/>
      <c r="AC1084" s="181"/>
      <c r="AD1084" s="181"/>
    </row>
    <row r="1085" spans="1:30" x14ac:dyDescent="0.2">
      <c r="C1085" s="165" t="s">
        <v>405</v>
      </c>
      <c r="D1085" s="181">
        <f>15370771/1000</f>
        <v>15370.771000000001</v>
      </c>
      <c r="E1085" s="181"/>
      <c r="F1085" s="181"/>
      <c r="G1085" s="181"/>
      <c r="H1085" s="181">
        <f>15370771/1000</f>
        <v>15370.771000000001</v>
      </c>
      <c r="I1085" s="181"/>
      <c r="J1085" s="181"/>
      <c r="K1085" s="181"/>
      <c r="L1085" s="181"/>
      <c r="M1085" s="181"/>
      <c r="N1085" s="181"/>
      <c r="O1085" s="181"/>
      <c r="P1085" s="181"/>
      <c r="Q1085" s="181"/>
      <c r="R1085" s="181">
        <v>0</v>
      </c>
      <c r="S1085" s="181"/>
      <c r="T1085" s="181"/>
      <c r="U1085" s="181"/>
      <c r="V1085" s="181"/>
      <c r="W1085" s="181"/>
      <c r="X1085" s="181"/>
      <c r="Y1085" s="181">
        <f t="shared" si="196"/>
        <v>15370.771000000001</v>
      </c>
      <c r="Z1085" s="181">
        <f t="shared" si="197"/>
        <v>0</v>
      </c>
      <c r="AA1085" s="181"/>
      <c r="AB1085" s="181"/>
      <c r="AC1085" s="181"/>
      <c r="AD1085" s="181"/>
    </row>
    <row r="1086" spans="1:30" x14ac:dyDescent="0.2">
      <c r="A1086" s="180"/>
      <c r="C1086" s="165" t="s">
        <v>282</v>
      </c>
      <c r="D1086" s="181">
        <f>1300000/1000</f>
        <v>1300</v>
      </c>
      <c r="E1086" s="181">
        <f>TOBEPAID!E826/1000</f>
        <v>1300</v>
      </c>
      <c r="F1086" s="181">
        <f>TOBEPAID!F826/1000</f>
        <v>0</v>
      </c>
      <c r="G1086" s="181">
        <f>TOBEPAID!G826/1000</f>
        <v>0</v>
      </c>
      <c r="H1086" s="181">
        <f>1300000/1000</f>
        <v>1300</v>
      </c>
      <c r="I1086" s="181">
        <f>TOBEPAID!I826/1000</f>
        <v>0</v>
      </c>
      <c r="J1086" s="181">
        <f>TOBEPAID!J826/1000</f>
        <v>0</v>
      </c>
      <c r="K1086" s="181">
        <f>TOBEPAID!K826/1000</f>
        <v>0</v>
      </c>
      <c r="L1086" s="181">
        <f>TOBEPAID!L826/1000</f>
        <v>0</v>
      </c>
      <c r="M1086" s="181">
        <f>TOBEPAID!M826/1000</f>
        <v>0</v>
      </c>
      <c r="N1086" s="181">
        <f>TOBEPAID!N826/1000</f>
        <v>1300</v>
      </c>
      <c r="O1086" s="181">
        <f>TOBEPAID!O826/1000</f>
        <v>0</v>
      </c>
      <c r="P1086" s="181">
        <f>TOBEPAID!P826/1000</f>
        <v>0</v>
      </c>
      <c r="Q1086" s="181">
        <f>TOBEPAID!Q826/1000</f>
        <v>0</v>
      </c>
      <c r="R1086" s="181">
        <v>0</v>
      </c>
      <c r="S1086" s="181">
        <f>TOBEPAID!S826/1000</f>
        <v>0</v>
      </c>
      <c r="T1086" s="181">
        <f>TOBEPAID!T826/1000</f>
        <v>0</v>
      </c>
      <c r="U1086" s="181">
        <f>TOBEPAID!U826/1000</f>
        <v>0</v>
      </c>
      <c r="V1086" s="181">
        <f>TOBEPAID!V826/1000</f>
        <v>0</v>
      </c>
      <c r="W1086" s="181">
        <f>TOBEPAID!W826/1000</f>
        <v>0</v>
      </c>
      <c r="X1086" s="181">
        <f>TOBEPAID!X826/1000</f>
        <v>0</v>
      </c>
      <c r="Y1086" s="181">
        <f t="shared" si="196"/>
        <v>1300</v>
      </c>
      <c r="Z1086" s="181">
        <f t="shared" si="197"/>
        <v>0</v>
      </c>
      <c r="AA1086" s="181">
        <f>TOBEPAID!AA826/1000</f>
        <v>1300</v>
      </c>
      <c r="AB1086" s="181">
        <f>TOBEPAID!AB826/1000</f>
        <v>0</v>
      </c>
      <c r="AC1086" s="181"/>
      <c r="AD1086" s="181"/>
    </row>
    <row r="1087" spans="1:30" x14ac:dyDescent="0.2">
      <c r="A1087" s="180"/>
      <c r="D1087" s="182" t="s">
        <v>40</v>
      </c>
      <c r="E1087" s="182" t="s">
        <v>40</v>
      </c>
      <c r="F1087" s="182" t="s">
        <v>40</v>
      </c>
      <c r="G1087" s="182"/>
      <c r="H1087" s="182" t="s">
        <v>40</v>
      </c>
      <c r="I1087" s="182" t="s">
        <v>40</v>
      </c>
      <c r="J1087" s="182" t="s">
        <v>40</v>
      </c>
      <c r="K1087" s="182" t="s">
        <v>40</v>
      </c>
      <c r="L1087" s="182" t="s">
        <v>40</v>
      </c>
      <c r="M1087" s="182"/>
      <c r="N1087" s="182" t="s">
        <v>40</v>
      </c>
      <c r="O1087" s="182" t="s">
        <v>40</v>
      </c>
      <c r="P1087" s="182" t="s">
        <v>40</v>
      </c>
      <c r="Q1087" s="182"/>
      <c r="R1087" s="182" t="s">
        <v>40</v>
      </c>
      <c r="S1087" s="182" t="s">
        <v>40</v>
      </c>
      <c r="T1087" s="182" t="s">
        <v>40</v>
      </c>
      <c r="U1087" s="182" t="s">
        <v>40</v>
      </c>
      <c r="V1087" s="182" t="s">
        <v>40</v>
      </c>
      <c r="W1087" s="182"/>
      <c r="X1087" s="182" t="s">
        <v>40</v>
      </c>
      <c r="Y1087" s="182" t="s">
        <v>40</v>
      </c>
      <c r="Z1087" s="182" t="s">
        <v>40</v>
      </c>
      <c r="AA1087" s="182" t="s">
        <v>40</v>
      </c>
      <c r="AB1087" s="182" t="s">
        <v>40</v>
      </c>
      <c r="AC1087" s="182"/>
      <c r="AD1087" s="182"/>
    </row>
    <row r="1088" spans="1:30" x14ac:dyDescent="0.2">
      <c r="A1088" s="180"/>
      <c r="D1088" s="191">
        <f>SUM(D1080:D1086)</f>
        <v>275492.261</v>
      </c>
      <c r="E1088" s="191">
        <f>SUM(E1080:E1086)</f>
        <v>54370.993000000002</v>
      </c>
      <c r="F1088" s="191">
        <f>SUM(F1080:F1086)</f>
        <v>7000</v>
      </c>
      <c r="G1088" s="191"/>
      <c r="H1088" s="191">
        <f>SUM(H1080:H1086)</f>
        <v>275492.261</v>
      </c>
      <c r="I1088" s="191">
        <f>SUM(I1080:I1086)</f>
        <v>0</v>
      </c>
      <c r="J1088" s="191">
        <f>SUM(J1080:J1086)</f>
        <v>0</v>
      </c>
      <c r="K1088" s="191">
        <f>SUM(K1080:K1086)</f>
        <v>0</v>
      </c>
      <c r="L1088" s="191">
        <f>SUM(L1080:L1086)</f>
        <v>0</v>
      </c>
      <c r="M1088" s="191"/>
      <c r="N1088" s="191">
        <f>SUM(N1080:N1086)</f>
        <v>61370.993000000002</v>
      </c>
      <c r="O1088" s="191">
        <f>SUM(O1080:O1086)</f>
        <v>0</v>
      </c>
      <c r="P1088" s="191">
        <f>SUM(P1080:P1086)</f>
        <v>0</v>
      </c>
      <c r="Q1088" s="191"/>
      <c r="R1088" s="191">
        <f>SUM(R1080:R1086)</f>
        <v>0</v>
      </c>
      <c r="S1088" s="191">
        <f>SUM(S1080:S1086)</f>
        <v>0</v>
      </c>
      <c r="T1088" s="191">
        <f>SUM(T1080:T1086)</f>
        <v>0</v>
      </c>
      <c r="U1088" s="191">
        <f>SUM(U1080:U1086)</f>
        <v>0</v>
      </c>
      <c r="V1088" s="191">
        <f>SUM(V1080:V1086)</f>
        <v>0</v>
      </c>
      <c r="W1088" s="191"/>
      <c r="X1088" s="191">
        <f>SUM(X1080:X1086)</f>
        <v>0</v>
      </c>
      <c r="Y1088" s="191">
        <f>SUM(Y1080:Y1086)</f>
        <v>275492.261</v>
      </c>
      <c r="Z1088" s="191">
        <f>SUM(Z1080:Z1086)</f>
        <v>0</v>
      </c>
      <c r="AA1088" s="191">
        <f>SUM(AA1080:AA1086)</f>
        <v>61370.993000000002</v>
      </c>
      <c r="AB1088" s="191">
        <f>SUM(AB1080:AB1086)</f>
        <v>0</v>
      </c>
      <c r="AC1088" s="191"/>
      <c r="AD1088" s="191"/>
    </row>
    <row r="1089" spans="1:45" x14ac:dyDescent="0.2">
      <c r="A1089" s="180"/>
      <c r="D1089" s="182" t="s">
        <v>40</v>
      </c>
      <c r="E1089" s="182" t="s">
        <v>40</v>
      </c>
      <c r="F1089" s="182" t="s">
        <v>40</v>
      </c>
      <c r="G1089" s="182"/>
      <c r="H1089" s="182" t="s">
        <v>40</v>
      </c>
      <c r="I1089" s="182" t="s">
        <v>40</v>
      </c>
      <c r="J1089" s="182" t="s">
        <v>40</v>
      </c>
      <c r="K1089" s="182" t="s">
        <v>40</v>
      </c>
      <c r="L1089" s="182" t="s">
        <v>40</v>
      </c>
      <c r="M1089" s="182"/>
      <c r="N1089" s="182" t="s">
        <v>40</v>
      </c>
      <c r="O1089" s="182" t="s">
        <v>40</v>
      </c>
      <c r="P1089" s="182" t="s">
        <v>40</v>
      </c>
      <c r="Q1089" s="182"/>
      <c r="R1089" s="182" t="s">
        <v>40</v>
      </c>
      <c r="S1089" s="182" t="s">
        <v>40</v>
      </c>
      <c r="T1089" s="182" t="s">
        <v>40</v>
      </c>
      <c r="U1089" s="182" t="s">
        <v>40</v>
      </c>
      <c r="V1089" s="182" t="s">
        <v>40</v>
      </c>
      <c r="W1089" s="182"/>
      <c r="X1089" s="182" t="s">
        <v>40</v>
      </c>
      <c r="Y1089" s="182" t="s">
        <v>40</v>
      </c>
      <c r="Z1089" s="182" t="s">
        <v>40</v>
      </c>
      <c r="AA1089" s="182" t="s">
        <v>40</v>
      </c>
      <c r="AB1089" s="182" t="s">
        <v>40</v>
      </c>
      <c r="AC1089" s="182"/>
      <c r="AD1089" s="182"/>
    </row>
    <row r="1090" spans="1:45" x14ac:dyDescent="0.2">
      <c r="A1090" s="180">
        <v>85</v>
      </c>
      <c r="B1090" s="165" t="s">
        <v>220</v>
      </c>
      <c r="C1090" s="166" t="s">
        <v>35</v>
      </c>
      <c r="D1090" s="181">
        <f>14768052/1000</f>
        <v>14768.052</v>
      </c>
      <c r="E1090" s="181">
        <f>TOBEPAID!E830/1000</f>
        <v>0</v>
      </c>
      <c r="F1090" s="181">
        <f>TOBEPAID!F830/1000</f>
        <v>0</v>
      </c>
      <c r="G1090" s="181">
        <f>TOBEPAID!G830/1000</f>
        <v>0</v>
      </c>
      <c r="H1090" s="181">
        <v>0</v>
      </c>
      <c r="I1090" s="181">
        <f>TOBEPAID!I830/1000</f>
        <v>0</v>
      </c>
      <c r="J1090" s="181">
        <f>TOBEPAID!J830/1000</f>
        <v>0</v>
      </c>
      <c r="K1090" s="181">
        <f>TOBEPAID!K830/1000</f>
        <v>0</v>
      </c>
      <c r="L1090" s="181">
        <f>TOBEPAID!L830/1000</f>
        <v>0</v>
      </c>
      <c r="M1090" s="181">
        <f>TOBEPAID!M830/1000</f>
        <v>0</v>
      </c>
      <c r="N1090" s="181">
        <f>TOBEPAID!N830/1000</f>
        <v>0</v>
      </c>
      <c r="O1090" s="181">
        <f>TOBEPAID!O830/1000</f>
        <v>0</v>
      </c>
      <c r="P1090" s="181">
        <f>TOBEPAID!P830/1000</f>
        <v>0</v>
      </c>
      <c r="Q1090" s="181">
        <f>TOBEPAID!Q830/1000</f>
        <v>0</v>
      </c>
      <c r="R1090" s="181">
        <v>0</v>
      </c>
      <c r="S1090" s="181">
        <f>TOBEPAID!S830/1000</f>
        <v>0</v>
      </c>
      <c r="T1090" s="181">
        <f>TOBEPAID!T830/1000</f>
        <v>0</v>
      </c>
      <c r="U1090" s="181">
        <f>TOBEPAID!U830/1000</f>
        <v>0</v>
      </c>
      <c r="V1090" s="181">
        <f>TOBEPAID!V830/1000</f>
        <v>0</v>
      </c>
      <c r="W1090" s="181">
        <f>TOBEPAID!W830/1000</f>
        <v>0</v>
      </c>
      <c r="X1090" s="181">
        <f>TOBEPAID!X830/1000</f>
        <v>0</v>
      </c>
      <c r="Y1090" s="181">
        <f>+H1090+R1090</f>
        <v>0</v>
      </c>
      <c r="Z1090" s="181">
        <f>+D1090-Y1090</f>
        <v>14768.052</v>
      </c>
      <c r="AA1090" s="181">
        <f>TOBEPAID!AA830/1000</f>
        <v>0</v>
      </c>
      <c r="AB1090" s="181">
        <f>TOBEPAID!AB830/1000</f>
        <v>14768.052300000001</v>
      </c>
      <c r="AC1090" s="181"/>
      <c r="AD1090" s="181"/>
    </row>
    <row r="1091" spans="1:45" x14ac:dyDescent="0.2">
      <c r="A1091" s="180"/>
      <c r="C1091" s="165" t="s">
        <v>36</v>
      </c>
      <c r="D1091" s="181">
        <f>3333153/1000</f>
        <v>3333.1529999999998</v>
      </c>
      <c r="E1091" s="181">
        <f>TOBEPAID!E831/1000</f>
        <v>3333.1529999999998</v>
      </c>
      <c r="F1091" s="181">
        <f>TOBEPAID!F831/1000</f>
        <v>0</v>
      </c>
      <c r="G1091" s="181">
        <f>TOBEPAID!G831/1000</f>
        <v>0</v>
      </c>
      <c r="H1091" s="181">
        <f>3333153/1000</f>
        <v>3333.1529999999998</v>
      </c>
      <c r="I1091" s="181">
        <f>TOBEPAID!I831/1000</f>
        <v>0</v>
      </c>
      <c r="J1091" s="181">
        <f>TOBEPAID!J831/1000</f>
        <v>0</v>
      </c>
      <c r="K1091" s="181">
        <f>TOBEPAID!K831/1000</f>
        <v>0</v>
      </c>
      <c r="L1091" s="181">
        <f>TOBEPAID!L831/1000</f>
        <v>0</v>
      </c>
      <c r="M1091" s="181">
        <f>TOBEPAID!M831/1000</f>
        <v>0</v>
      </c>
      <c r="N1091" s="181">
        <f>TOBEPAID!N831/1000</f>
        <v>3333.1529999999998</v>
      </c>
      <c r="O1091" s="181">
        <f>TOBEPAID!O831/1000</f>
        <v>0</v>
      </c>
      <c r="P1091" s="181">
        <f>TOBEPAID!P831/1000</f>
        <v>0</v>
      </c>
      <c r="Q1091" s="181">
        <f>TOBEPAID!Q831/1000</f>
        <v>0</v>
      </c>
      <c r="R1091" s="181">
        <v>0</v>
      </c>
      <c r="S1091" s="181">
        <f>TOBEPAID!S831/1000</f>
        <v>0</v>
      </c>
      <c r="T1091" s="181">
        <f>TOBEPAID!T831/1000</f>
        <v>0</v>
      </c>
      <c r="U1091" s="181">
        <f>TOBEPAID!U831/1000</f>
        <v>0</v>
      </c>
      <c r="V1091" s="181">
        <f>TOBEPAID!V831/1000</f>
        <v>0</v>
      </c>
      <c r="W1091" s="181">
        <f>TOBEPAID!W831/1000</f>
        <v>0</v>
      </c>
      <c r="X1091" s="181">
        <f>TOBEPAID!X831/1000</f>
        <v>0</v>
      </c>
      <c r="Y1091" s="181">
        <f>+H1091+R1091</f>
        <v>3333.1529999999998</v>
      </c>
      <c r="Z1091" s="181">
        <f>+D1091-Y1091</f>
        <v>0</v>
      </c>
      <c r="AA1091" s="181">
        <f>TOBEPAID!AA831/1000</f>
        <v>3333.1529999999998</v>
      </c>
      <c r="AB1091" s="181">
        <f>TOBEPAID!AB831/1000</f>
        <v>0</v>
      </c>
      <c r="AC1091" s="181"/>
      <c r="AD1091" s="181"/>
    </row>
    <row r="1092" spans="1:45" x14ac:dyDescent="0.2">
      <c r="C1092" s="165" t="s">
        <v>290</v>
      </c>
      <c r="D1092" s="181">
        <f>7368000/1000</f>
        <v>7368</v>
      </c>
      <c r="E1092" s="181">
        <f>TOBEPAID!E832/1000</f>
        <v>7368</v>
      </c>
      <c r="F1092" s="181">
        <f>TOBEPAID!F832/1000</f>
        <v>0</v>
      </c>
      <c r="G1092" s="181">
        <f>TOBEPAID!G832/1000</f>
        <v>0</v>
      </c>
      <c r="H1092" s="181">
        <f>7368000/1000</f>
        <v>7368</v>
      </c>
      <c r="I1092" s="181">
        <f>TOBEPAID!I832/1000</f>
        <v>0</v>
      </c>
      <c r="J1092" s="181">
        <f>TOBEPAID!J832/1000</f>
        <v>0</v>
      </c>
      <c r="K1092" s="181">
        <f>TOBEPAID!K832/1000</f>
        <v>0</v>
      </c>
      <c r="L1092" s="181">
        <f>TOBEPAID!L832/1000</f>
        <v>0</v>
      </c>
      <c r="M1092" s="181">
        <f>TOBEPAID!M832/1000</f>
        <v>0</v>
      </c>
      <c r="N1092" s="181">
        <f>TOBEPAID!N832/1000</f>
        <v>7368</v>
      </c>
      <c r="O1092" s="181">
        <f>TOBEPAID!O832/1000</f>
        <v>0</v>
      </c>
      <c r="P1092" s="181">
        <f>TOBEPAID!P832/1000</f>
        <v>0</v>
      </c>
      <c r="Q1092" s="181">
        <f>TOBEPAID!Q832/1000</f>
        <v>0</v>
      </c>
      <c r="R1092" s="181">
        <v>0</v>
      </c>
      <c r="S1092" s="181">
        <f>TOBEPAID!S832/1000</f>
        <v>0</v>
      </c>
      <c r="T1092" s="181">
        <f>TOBEPAID!T832/1000</f>
        <v>0</v>
      </c>
      <c r="U1092" s="181">
        <f>TOBEPAID!U832/1000</f>
        <v>0</v>
      </c>
      <c r="V1092" s="181">
        <f>TOBEPAID!V832/1000</f>
        <v>0</v>
      </c>
      <c r="W1092" s="181">
        <f>TOBEPAID!W832/1000</f>
        <v>0</v>
      </c>
      <c r="X1092" s="181">
        <f>TOBEPAID!X832/1000</f>
        <v>0</v>
      </c>
      <c r="Y1092" s="181">
        <f>+H1092+R1092</f>
        <v>7368</v>
      </c>
      <c r="Z1092" s="181">
        <f>+D1092-Y1092</f>
        <v>0</v>
      </c>
      <c r="AA1092" s="181">
        <f>TOBEPAID!AA832/1000</f>
        <v>7368</v>
      </c>
      <c r="AB1092" s="181">
        <f>TOBEPAID!AB832/1000</f>
        <v>0</v>
      </c>
      <c r="AC1092" s="181"/>
      <c r="AD1092" s="181"/>
    </row>
    <row r="1093" spans="1:45" x14ac:dyDescent="0.2">
      <c r="A1093" s="180"/>
      <c r="C1093" s="165" t="s">
        <v>53</v>
      </c>
      <c r="D1093" s="181">
        <f>25517706/1000</f>
        <v>25517.705999999998</v>
      </c>
      <c r="E1093" s="181">
        <f>TOBEPAID!E833/1000</f>
        <v>0</v>
      </c>
      <c r="F1093" s="181">
        <f>TOBEPAID!F833/1000</f>
        <v>0</v>
      </c>
      <c r="G1093" s="181">
        <f>TOBEPAID!G833/1000</f>
        <v>0</v>
      </c>
      <c r="H1093" s="181">
        <v>0</v>
      </c>
      <c r="I1093" s="181">
        <f>TOBEPAID!I833/1000</f>
        <v>0</v>
      </c>
      <c r="J1093" s="181">
        <f>TOBEPAID!J833/1000</f>
        <v>0</v>
      </c>
      <c r="K1093" s="181">
        <f>TOBEPAID!K833/1000</f>
        <v>0</v>
      </c>
      <c r="L1093" s="181">
        <f>TOBEPAID!L833/1000</f>
        <v>0</v>
      </c>
      <c r="M1093" s="181">
        <f>TOBEPAID!M833/1000</f>
        <v>0</v>
      </c>
      <c r="N1093" s="181">
        <f>TOBEPAID!N833/1000</f>
        <v>0</v>
      </c>
      <c r="O1093" s="181">
        <f>TOBEPAID!O833/1000</f>
        <v>7100.8744999999999</v>
      </c>
      <c r="P1093" s="181">
        <f>TOBEPAID!P833/1000</f>
        <v>0</v>
      </c>
      <c r="Q1093" s="181">
        <f>TOBEPAID!Q833/1000</f>
        <v>0</v>
      </c>
      <c r="R1093" s="181">
        <f>7100874/1000</f>
        <v>7100.8739999999998</v>
      </c>
      <c r="S1093" s="181">
        <f>TOBEPAID!S833/1000</f>
        <v>0</v>
      </c>
      <c r="T1093" s="181">
        <f>TOBEPAID!T833/1000</f>
        <v>0</v>
      </c>
      <c r="U1093" s="181">
        <f>TOBEPAID!U833/1000</f>
        <v>0</v>
      </c>
      <c r="V1093" s="181">
        <f>TOBEPAID!V833/1000</f>
        <v>0</v>
      </c>
      <c r="W1093" s="181">
        <f>TOBEPAID!W833/1000</f>
        <v>0</v>
      </c>
      <c r="X1093" s="181">
        <f>TOBEPAID!X833/1000</f>
        <v>7100.8744999999999</v>
      </c>
      <c r="Y1093" s="181">
        <f>+H1093+R1093</f>
        <v>7100.8739999999998</v>
      </c>
      <c r="Z1093" s="181">
        <f>+D1093-Y1093</f>
        <v>18416.831999999999</v>
      </c>
      <c r="AA1093" s="181">
        <f>TOBEPAID!AA833/1000</f>
        <v>7100.8744999999999</v>
      </c>
      <c r="AB1093" s="181">
        <f>TOBEPAID!AB833/1000</f>
        <v>18416.831989999999</v>
      </c>
      <c r="AC1093" s="181"/>
      <c r="AD1093" s="181"/>
    </row>
    <row r="1094" spans="1:45" x14ac:dyDescent="0.2">
      <c r="A1094" s="180"/>
      <c r="C1094" s="165" t="s">
        <v>221</v>
      </c>
      <c r="D1094" s="181">
        <f>6039271/1000</f>
        <v>6039.2709999999997</v>
      </c>
      <c r="E1094" s="181">
        <f>TOBEPAID!E834/1000</f>
        <v>0</v>
      </c>
      <c r="F1094" s="181">
        <f>TOBEPAID!F834/1000</f>
        <v>0</v>
      </c>
      <c r="G1094" s="181">
        <f>TOBEPAID!G834/1000</f>
        <v>0</v>
      </c>
      <c r="H1094" s="181">
        <v>0</v>
      </c>
      <c r="I1094" s="181">
        <f>TOBEPAID!I834/1000</f>
        <v>0</v>
      </c>
      <c r="J1094" s="181">
        <f>TOBEPAID!J834/1000</f>
        <v>0</v>
      </c>
      <c r="K1094" s="181">
        <f>TOBEPAID!K834/1000</f>
        <v>0</v>
      </c>
      <c r="L1094" s="181">
        <f>TOBEPAID!L834/1000</f>
        <v>0</v>
      </c>
      <c r="M1094" s="181">
        <f>TOBEPAID!M834/1000</f>
        <v>0</v>
      </c>
      <c r="N1094" s="181">
        <f>TOBEPAID!N834/1000</f>
        <v>0</v>
      </c>
      <c r="O1094" s="181">
        <f>TOBEPAID!O834/1000</f>
        <v>6039.2714599999999</v>
      </c>
      <c r="P1094" s="181">
        <f>TOBEPAID!P834/1000</f>
        <v>0</v>
      </c>
      <c r="Q1094" s="181">
        <f>TOBEPAID!Q834/1000</f>
        <v>0</v>
      </c>
      <c r="R1094" s="181">
        <f>6039271/1000</f>
        <v>6039.2709999999997</v>
      </c>
      <c r="S1094" s="181">
        <f>TOBEPAID!S834/1000</f>
        <v>0</v>
      </c>
      <c r="T1094" s="181">
        <f>TOBEPAID!T834/1000</f>
        <v>0</v>
      </c>
      <c r="U1094" s="181">
        <f>TOBEPAID!U834/1000</f>
        <v>0</v>
      </c>
      <c r="V1094" s="181">
        <f>TOBEPAID!V834/1000</f>
        <v>0</v>
      </c>
      <c r="W1094" s="181">
        <f>TOBEPAID!W834/1000</f>
        <v>0</v>
      </c>
      <c r="X1094" s="181">
        <f>TOBEPAID!X834/1000</f>
        <v>6039.2714599999999</v>
      </c>
      <c r="Y1094" s="181">
        <f>+H1094+R1094</f>
        <v>6039.2709999999997</v>
      </c>
      <c r="Z1094" s="181">
        <f>+D1094-Y1094</f>
        <v>0</v>
      </c>
      <c r="AA1094" s="181">
        <f>TOBEPAID!AA834/1000</f>
        <v>6039.2714599999999</v>
      </c>
      <c r="AB1094" s="181">
        <f>TOBEPAID!AB834/1000</f>
        <v>0</v>
      </c>
      <c r="AC1094" s="181"/>
      <c r="AD1094" s="181"/>
    </row>
    <row r="1095" spans="1:45" x14ac:dyDescent="0.2">
      <c r="A1095" s="180"/>
      <c r="D1095" s="182" t="s">
        <v>40</v>
      </c>
      <c r="E1095" s="182" t="s">
        <v>40</v>
      </c>
      <c r="F1095" s="182" t="s">
        <v>40</v>
      </c>
      <c r="G1095" s="182"/>
      <c r="H1095" s="182" t="s">
        <v>40</v>
      </c>
      <c r="I1095" s="182" t="s">
        <v>40</v>
      </c>
      <c r="J1095" s="182" t="s">
        <v>40</v>
      </c>
      <c r="K1095" s="182" t="s">
        <v>40</v>
      </c>
      <c r="L1095" s="182" t="s">
        <v>40</v>
      </c>
      <c r="M1095" s="182"/>
      <c r="N1095" s="182" t="s">
        <v>40</v>
      </c>
      <c r="O1095" s="182" t="s">
        <v>40</v>
      </c>
      <c r="P1095" s="182" t="s">
        <v>40</v>
      </c>
      <c r="Q1095" s="182"/>
      <c r="R1095" s="182" t="s">
        <v>40</v>
      </c>
      <c r="S1095" s="182" t="s">
        <v>40</v>
      </c>
      <c r="T1095" s="182" t="s">
        <v>40</v>
      </c>
      <c r="U1095" s="182" t="s">
        <v>40</v>
      </c>
      <c r="V1095" s="182" t="s">
        <v>40</v>
      </c>
      <c r="W1095" s="182"/>
      <c r="X1095" s="182" t="s">
        <v>40</v>
      </c>
      <c r="Y1095" s="182" t="s">
        <v>40</v>
      </c>
      <c r="Z1095" s="182" t="s">
        <v>40</v>
      </c>
      <c r="AA1095" s="182" t="s">
        <v>40</v>
      </c>
      <c r="AB1095" s="182" t="s">
        <v>40</v>
      </c>
      <c r="AC1095" s="182"/>
      <c r="AD1095" s="182"/>
      <c r="AS1095" s="195">
        <f t="shared" ref="AS1095:AS1105" si="198">+AF1096-AK1096-AP1096</f>
        <v>281900</v>
      </c>
    </row>
    <row r="1096" spans="1:45" x14ac:dyDescent="0.2">
      <c r="A1096" s="180"/>
      <c r="D1096" s="191">
        <f>SUM(D1090:D1094)</f>
        <v>57026.181999999993</v>
      </c>
      <c r="E1096" s="191">
        <f>SUM(E1090:E1094)</f>
        <v>10701.153</v>
      </c>
      <c r="F1096" s="191">
        <f>SUM(F1090:F1094)</f>
        <v>0</v>
      </c>
      <c r="G1096" s="191"/>
      <c r="H1096" s="191">
        <f>SUM(H1090:H1094)</f>
        <v>10701.153</v>
      </c>
      <c r="I1096" s="191">
        <f>SUM(I1090:I1094)</f>
        <v>0</v>
      </c>
      <c r="J1096" s="191">
        <f>SUM(J1090:J1094)</f>
        <v>0</v>
      </c>
      <c r="K1096" s="191">
        <f>SUM(K1090:K1094)</f>
        <v>0</v>
      </c>
      <c r="L1096" s="191">
        <f>SUM(L1090:L1094)</f>
        <v>0</v>
      </c>
      <c r="M1096" s="191"/>
      <c r="N1096" s="191">
        <f>SUM(N1090:N1094)</f>
        <v>10701.153</v>
      </c>
      <c r="O1096" s="191">
        <f>SUM(O1090:O1094)</f>
        <v>13140.14596</v>
      </c>
      <c r="P1096" s="191">
        <f>SUM(P1090:P1094)</f>
        <v>0</v>
      </c>
      <c r="Q1096" s="191"/>
      <c r="R1096" s="191">
        <f>SUM(R1090:R1094)</f>
        <v>13140.145</v>
      </c>
      <c r="S1096" s="191">
        <f>SUM(S1090:S1094)</f>
        <v>0</v>
      </c>
      <c r="T1096" s="191">
        <f>SUM(T1090:T1094)</f>
        <v>0</v>
      </c>
      <c r="U1096" s="191">
        <f>SUM(U1090:U1094)</f>
        <v>0</v>
      </c>
      <c r="V1096" s="191">
        <f>SUM(V1090:V1094)</f>
        <v>0</v>
      </c>
      <c r="W1096" s="191"/>
      <c r="X1096" s="191">
        <f>SUM(X1090:X1094)</f>
        <v>13140.14596</v>
      </c>
      <c r="Y1096" s="191">
        <f>SUM(Y1090:Y1094)</f>
        <v>23841.298000000003</v>
      </c>
      <c r="Z1096" s="191">
        <f>SUM(Z1090:Z1094)</f>
        <v>33184.883999999998</v>
      </c>
      <c r="AA1096" s="191">
        <f>SUM(AA1090:AA1094)</f>
        <v>23841.29896</v>
      </c>
      <c r="AB1096" s="191">
        <f>SUM(AB1090:AB1094)</f>
        <v>33184.884290000002</v>
      </c>
      <c r="AC1096" s="191"/>
      <c r="AD1096" s="191"/>
      <c r="AF1096" s="195">
        <f>+D1092+D1002+D1082+D1045</f>
        <v>429762.35106000002</v>
      </c>
      <c r="AG1096" s="195">
        <f>+E1092+E1002+E1082+E1045</f>
        <v>130862.35106</v>
      </c>
      <c r="AH1096" s="195">
        <f>+F1092+F1002+F1082+F1045</f>
        <v>17000</v>
      </c>
      <c r="AI1096" s="195">
        <f>+AG1096+AH1096</f>
        <v>147862.35106000002</v>
      </c>
      <c r="AJ1096" s="195">
        <f>+L1092+L1002+L1082+L1045</f>
        <v>0</v>
      </c>
      <c r="AK1096" s="195">
        <f>+AI1096+AJ1096</f>
        <v>147862.35106000002</v>
      </c>
      <c r="AL1096" s="195">
        <f>+O1092+O1002+O1082+O1045</f>
        <v>0</v>
      </c>
      <c r="AM1096" s="195">
        <f>+P1092+P1002+P1082+P1045</f>
        <v>0</v>
      </c>
      <c r="AN1096" s="195">
        <f>+AL1096+AM1096</f>
        <v>0</v>
      </c>
      <c r="AO1096" s="195">
        <f>+V1092+V1002+V1082+V1045</f>
        <v>0</v>
      </c>
      <c r="AP1096" s="195">
        <f>+AN1096+AO1096</f>
        <v>0</v>
      </c>
      <c r="AQ1096" s="195">
        <f>+AI1096+AN1096</f>
        <v>147862.35106000002</v>
      </c>
      <c r="AR1096" s="195">
        <f>+AF1096-AQ1096</f>
        <v>281900</v>
      </c>
      <c r="AS1096" s="195">
        <f t="shared" si="198"/>
        <v>155024.0655</v>
      </c>
    </row>
    <row r="1097" spans="1:45" x14ac:dyDescent="0.2">
      <c r="A1097" s="180"/>
      <c r="D1097" s="182" t="s">
        <v>40</v>
      </c>
      <c r="E1097" s="182" t="s">
        <v>40</v>
      </c>
      <c r="F1097" s="182" t="s">
        <v>40</v>
      </c>
      <c r="G1097" s="182"/>
      <c r="H1097" s="182" t="s">
        <v>40</v>
      </c>
      <c r="I1097" s="182" t="s">
        <v>40</v>
      </c>
      <c r="J1097" s="182" t="s">
        <v>40</v>
      </c>
      <c r="K1097" s="182" t="s">
        <v>40</v>
      </c>
      <c r="L1097" s="182" t="s">
        <v>40</v>
      </c>
      <c r="M1097" s="182"/>
      <c r="N1097" s="182" t="s">
        <v>40</v>
      </c>
      <c r="O1097" s="182" t="s">
        <v>40</v>
      </c>
      <c r="P1097" s="182" t="s">
        <v>40</v>
      </c>
      <c r="Q1097" s="182"/>
      <c r="R1097" s="182" t="s">
        <v>40</v>
      </c>
      <c r="S1097" s="182" t="s">
        <v>40</v>
      </c>
      <c r="T1097" s="182" t="s">
        <v>40</v>
      </c>
      <c r="U1097" s="182" t="s">
        <v>40</v>
      </c>
      <c r="V1097" s="182" t="s">
        <v>40</v>
      </c>
      <c r="W1097" s="182"/>
      <c r="X1097" s="182" t="s">
        <v>40</v>
      </c>
      <c r="Y1097" s="182" t="s">
        <v>40</v>
      </c>
      <c r="Z1097" s="182" t="s">
        <v>40</v>
      </c>
      <c r="AA1097" s="182" t="s">
        <v>40</v>
      </c>
      <c r="AB1097" s="182" t="s">
        <v>40</v>
      </c>
      <c r="AC1097" s="182"/>
      <c r="AD1097" s="182"/>
      <c r="AE1097" s="194" t="s">
        <v>303</v>
      </c>
      <c r="AF1097" s="195">
        <f>D999+D1013+D1022+D1034+D1043+D1054+D1061+D1070+D1080+D1090+D1100</f>
        <v>155080.13749999998</v>
      </c>
      <c r="AG1097" s="195">
        <f>E999+E1013+E1022+E1034+E1043+E1054+E1061+E1070+E1080+E1090+E1100</f>
        <v>0</v>
      </c>
      <c r="AH1097" s="195">
        <f>F999+F1013+F1022+F1034+F1043+F1054+F1061+F1070+F1080+F1090+F1100</f>
        <v>0</v>
      </c>
      <c r="AI1097" s="195">
        <f>+AG1097+AH1097</f>
        <v>0</v>
      </c>
      <c r="AJ1097" s="195">
        <f>L999+L1013+L1022+L1034+L1043+L1054+L1061+L1070+L1080+L1090+L1100</f>
        <v>0</v>
      </c>
      <c r="AK1097" s="195">
        <f>+AI1097+AJ1097</f>
        <v>0</v>
      </c>
      <c r="AL1097" s="195">
        <f>O999+O1013+O1022+O1034+O1043+O1054+O1061+O1070+O1080+O1090+O1100</f>
        <v>56.072000000000003</v>
      </c>
      <c r="AM1097" s="195">
        <f>P999+P1013+P1022+P1034+P1043+P1054+P1061+P1070+P1080+P1090+P1100</f>
        <v>0</v>
      </c>
      <c r="AN1097" s="195">
        <f>+AL1097+AM1097</f>
        <v>56.072000000000003</v>
      </c>
      <c r="AO1097" s="195">
        <f>V999+V1013+V1022+V1034+V1043+V1054+V1061+V1070+V1080+V1090+V1100</f>
        <v>0</v>
      </c>
      <c r="AP1097" s="195">
        <f>+AN1097+AO1097</f>
        <v>56.072000000000003</v>
      </c>
      <c r="AQ1097" s="195">
        <f>+AI1097+AN1097</f>
        <v>56.072000000000003</v>
      </c>
      <c r="AR1097" s="195">
        <f>+AF1097-AQ1097</f>
        <v>155024.0655</v>
      </c>
      <c r="AS1097" s="195">
        <f t="shared" si="198"/>
        <v>0</v>
      </c>
    </row>
    <row r="1098" spans="1:45" x14ac:dyDescent="0.2">
      <c r="A1098" s="180"/>
      <c r="D1098" s="182"/>
      <c r="E1098" s="182"/>
      <c r="F1098" s="182"/>
      <c r="G1098" s="182"/>
      <c r="H1098" s="182"/>
      <c r="I1098" s="182"/>
      <c r="J1098" s="182"/>
      <c r="K1098" s="182"/>
      <c r="L1098" s="182"/>
      <c r="M1098" s="182"/>
      <c r="N1098" s="182"/>
      <c r="O1098" s="182"/>
      <c r="P1098" s="182"/>
      <c r="Q1098" s="225"/>
      <c r="R1098" s="191"/>
      <c r="S1098" s="182"/>
      <c r="T1098" s="182"/>
      <c r="U1098" s="182"/>
      <c r="V1098" s="191"/>
      <c r="W1098" s="182"/>
      <c r="X1098" s="182"/>
      <c r="Y1098" s="182"/>
      <c r="Z1098" s="182"/>
      <c r="AA1098" s="182"/>
      <c r="AB1098" s="182"/>
      <c r="AC1098" s="182"/>
      <c r="AD1098" s="182"/>
      <c r="AE1098" s="186" t="s">
        <v>47</v>
      </c>
      <c r="AF1098" s="195">
        <f>D1000+D1014+D1026+D1035+D1044+D1055+D1062+D1072+D1081+D1091+D1101</f>
        <v>18595.144</v>
      </c>
      <c r="AG1098" s="195">
        <f>E1000+E1014+E1026+E1035+E1044+E1055+E1062+E1072+E1081+E1091+E1101</f>
        <v>18595.144</v>
      </c>
      <c r="AH1098" s="195">
        <f>F1000+F1014+F1026+F1035+F1044+F1055+F1062+F1072+F1081+F1091+F1101</f>
        <v>0</v>
      </c>
      <c r="AI1098" s="195">
        <f t="shared" ref="AI1098:AI1106" si="199">+AG1098+AH1098</f>
        <v>18595.144</v>
      </c>
      <c r="AJ1098" s="195">
        <f>L1000+L1014+L1026+L1035+L1044+L1055+L1062+L1072+L1081+L1091+L1101</f>
        <v>0</v>
      </c>
      <c r="AK1098" s="195">
        <f t="shared" ref="AK1098:AK1106" si="200">+AI1098+AJ1098</f>
        <v>18595.144</v>
      </c>
      <c r="AL1098" s="195">
        <f>O1000+O1014+O1026+O1035+O1044+O1055+O1062+O1072+O1081+O1091+O1101</f>
        <v>0</v>
      </c>
      <c r="AM1098" s="195">
        <f>P1000+P1014+P1026+P1035+P1044+P1055+P1062+P1072+P1081+P1091+P1101</f>
        <v>0</v>
      </c>
      <c r="AN1098" s="195">
        <f t="shared" ref="AN1098:AN1106" si="201">+AL1098+AM1098</f>
        <v>0</v>
      </c>
      <c r="AO1098" s="195">
        <f>V1000+V1014+V1026+V1035+V1044+V1055+V1062+V1072+V1081+V1091+V1101</f>
        <v>0</v>
      </c>
      <c r="AP1098" s="195">
        <f t="shared" ref="AP1098:AP1106" si="202">+AN1098+AO1098</f>
        <v>0</v>
      </c>
      <c r="AQ1098" s="195">
        <f t="shared" ref="AQ1098:AQ1106" si="203">+AI1098+AN1098</f>
        <v>18595.144</v>
      </c>
      <c r="AR1098" s="195">
        <f t="shared" ref="AR1098:AR1106" si="204">+AF1098-AQ1098</f>
        <v>0</v>
      </c>
      <c r="AS1098" s="195">
        <f t="shared" si="198"/>
        <v>18594.815510000008</v>
      </c>
    </row>
    <row r="1099" spans="1:45" x14ac:dyDescent="0.2">
      <c r="A1099" s="180"/>
      <c r="D1099" s="182"/>
      <c r="E1099" s="182"/>
      <c r="F1099" s="182"/>
      <c r="G1099" s="182"/>
      <c r="H1099" s="182"/>
      <c r="I1099" s="182"/>
      <c r="J1099" s="182"/>
      <c r="K1099" s="182"/>
      <c r="L1099" s="182"/>
      <c r="M1099" s="182"/>
      <c r="N1099" s="182"/>
      <c r="O1099" s="182"/>
      <c r="P1099" s="182"/>
      <c r="Q1099" s="182"/>
      <c r="R1099" s="182"/>
      <c r="S1099" s="182"/>
      <c r="T1099" s="182"/>
      <c r="U1099" s="182"/>
      <c r="V1099" s="182"/>
      <c r="W1099" s="182"/>
      <c r="X1099" s="182"/>
      <c r="Y1099" s="182"/>
      <c r="Z1099" s="182"/>
      <c r="AA1099" s="182"/>
      <c r="AB1099" s="182"/>
      <c r="AC1099" s="182"/>
      <c r="AD1099" s="182"/>
      <c r="AE1099" s="186" t="s">
        <v>36</v>
      </c>
      <c r="AF1099" s="195">
        <f>D1007+D1015+D1037+D1047+D1056+D1064+D1093</f>
        <v>67267.692999999999</v>
      </c>
      <c r="AG1099" s="195">
        <f>E1007+E1015+E1037+E1047+E1056+E1064+E1093</f>
        <v>0</v>
      </c>
      <c r="AH1099" s="195">
        <f>F1007+F1015+F1037+F1047+F1056+F1064+F1093</f>
        <v>0</v>
      </c>
      <c r="AI1099" s="195">
        <f t="shared" si="199"/>
        <v>0</v>
      </c>
      <c r="AJ1099" s="195">
        <f>L1007+L1015+L1037+L1047+L1056+L1064+L1093</f>
        <v>0</v>
      </c>
      <c r="AK1099" s="195">
        <f t="shared" si="200"/>
        <v>0</v>
      </c>
      <c r="AL1099" s="195">
        <f>O1007+O1015+O1037+O1047+O1056+O1064+O1093</f>
        <v>48672.877489999992</v>
      </c>
      <c r="AM1099" s="195">
        <f>P1007+P1015+P1037+P1047+P1056+P1064+P1093</f>
        <v>0</v>
      </c>
      <c r="AN1099" s="195">
        <f t="shared" si="201"/>
        <v>48672.877489999992</v>
      </c>
      <c r="AO1099" s="195">
        <f>V1007+V1015+V1037+V1047+V1056+V1064+V1093</f>
        <v>0</v>
      </c>
      <c r="AP1099" s="195">
        <f t="shared" si="202"/>
        <v>48672.877489999992</v>
      </c>
      <c r="AQ1099" s="195">
        <f t="shared" si="203"/>
        <v>48672.877489999992</v>
      </c>
      <c r="AR1099" s="195">
        <f t="shared" si="204"/>
        <v>18594.815510000008</v>
      </c>
      <c r="AS1099" s="195">
        <f t="shared" si="198"/>
        <v>1047.4944300000061</v>
      </c>
    </row>
    <row r="1100" spans="1:45" x14ac:dyDescent="0.2">
      <c r="A1100" s="180">
        <v>86</v>
      </c>
      <c r="B1100" s="165" t="s">
        <v>222</v>
      </c>
      <c r="C1100" s="166" t="s">
        <v>35</v>
      </c>
      <c r="D1100" s="181">
        <f>29536054/1000</f>
        <v>29536.054</v>
      </c>
      <c r="E1100" s="181">
        <f>TOBEPAID!E840/1000</f>
        <v>0</v>
      </c>
      <c r="F1100" s="181">
        <f>TOBEPAID!F840/1000</f>
        <v>0</v>
      </c>
      <c r="G1100" s="181">
        <f>TOBEPAID!G840/1000</f>
        <v>0</v>
      </c>
      <c r="H1100" s="181">
        <f>23400000/1000</f>
        <v>23400</v>
      </c>
      <c r="I1100" s="181">
        <f>TOBEPAID!I840/1000</f>
        <v>0</v>
      </c>
      <c r="J1100" s="181">
        <f>TOBEPAID!J840/1000</f>
        <v>0</v>
      </c>
      <c r="K1100" s="181">
        <f>TOBEPAID!K840/1000</f>
        <v>0</v>
      </c>
      <c r="L1100" s="181">
        <f>TOBEPAID!L840/1000</f>
        <v>0</v>
      </c>
      <c r="M1100" s="181">
        <f>TOBEPAID!M840/1000</f>
        <v>0</v>
      </c>
      <c r="N1100" s="181">
        <f>TOBEPAID!N840/1000</f>
        <v>0</v>
      </c>
      <c r="O1100" s="181">
        <f>TOBEPAID!O840/1000</f>
        <v>0</v>
      </c>
      <c r="P1100" s="181">
        <f>TOBEPAID!P840/1000</f>
        <v>0</v>
      </c>
      <c r="Q1100" s="181">
        <f>TOBEPAID!Q840/1000</f>
        <v>0</v>
      </c>
      <c r="R1100" s="181">
        <v>0</v>
      </c>
      <c r="S1100" s="181">
        <f>TOBEPAID!S840/1000</f>
        <v>0</v>
      </c>
      <c r="T1100" s="181">
        <f>TOBEPAID!T840/1000</f>
        <v>0</v>
      </c>
      <c r="U1100" s="181">
        <f>TOBEPAID!U840/1000</f>
        <v>0</v>
      </c>
      <c r="V1100" s="181">
        <f>TOBEPAID!V840/1000</f>
        <v>0</v>
      </c>
      <c r="W1100" s="181">
        <f>TOBEPAID!W840/1000</f>
        <v>0</v>
      </c>
      <c r="X1100" s="181">
        <f>TOBEPAID!X840/1000</f>
        <v>0</v>
      </c>
      <c r="Y1100" s="181">
        <f>+H1100+R1100</f>
        <v>23400</v>
      </c>
      <c r="Z1100" s="181">
        <f>+D1100-Y1100</f>
        <v>6136.0540000000001</v>
      </c>
      <c r="AA1100" s="181">
        <f>TOBEPAID!AA840/1000</f>
        <v>0</v>
      </c>
      <c r="AB1100" s="181">
        <f>TOBEPAID!AB840/1000</f>
        <v>23411.354460000002</v>
      </c>
      <c r="AC1100" s="181"/>
      <c r="AD1100" s="181"/>
      <c r="AE1100" s="186" t="s">
        <v>53</v>
      </c>
      <c r="AF1100" s="195">
        <f>D1008+D1016+D1039+D1048+D1057+D1066+D1094</f>
        <v>71959.703999999998</v>
      </c>
      <c r="AG1100" s="195">
        <f>E1008+E1016+E1039+E1048+E1057+E1066+E1094</f>
        <v>0</v>
      </c>
      <c r="AH1100" s="195">
        <f>F1008+F1016+F1039+F1048+F1057+F1066+F1094</f>
        <v>0</v>
      </c>
      <c r="AI1100" s="195">
        <f t="shared" si="199"/>
        <v>0</v>
      </c>
      <c r="AJ1100" s="195">
        <f>L1008+L1016+L1039+L1048+L1057+L1066+L1094</f>
        <v>0</v>
      </c>
      <c r="AK1100" s="195">
        <f t="shared" si="200"/>
        <v>0</v>
      </c>
      <c r="AL1100" s="195">
        <f>O1008+O1016+O1039+O1048+O1057+O1066+O1094</f>
        <v>70912.209569999992</v>
      </c>
      <c r="AM1100" s="195">
        <f>P1008+P1016+P1039+P1048+P1057+P1066+P1094</f>
        <v>0</v>
      </c>
      <c r="AN1100" s="195">
        <f t="shared" si="201"/>
        <v>70912.209569999992</v>
      </c>
      <c r="AO1100" s="195">
        <f>V1008+V1016+V1039+V1048+V1057+V1066+V1094</f>
        <v>0</v>
      </c>
      <c r="AP1100" s="195">
        <f t="shared" si="202"/>
        <v>70912.209569999992</v>
      </c>
      <c r="AQ1100" s="195">
        <f t="shared" si="203"/>
        <v>70912.209569999992</v>
      </c>
      <c r="AR1100" s="195">
        <f t="shared" si="204"/>
        <v>1047.4944300000061</v>
      </c>
      <c r="AS1100" s="195">
        <f t="shared" si="198"/>
        <v>44.4</v>
      </c>
    </row>
    <row r="1101" spans="1:45" x14ac:dyDescent="0.2">
      <c r="A1101" s="180"/>
      <c r="C1101" s="165" t="s">
        <v>36</v>
      </c>
      <c r="D1101" s="181">
        <f>53104/1000</f>
        <v>53.103999999999999</v>
      </c>
      <c r="E1101" s="181">
        <f>TOBEPAID!E841/1000</f>
        <v>53.103999999999999</v>
      </c>
      <c r="F1101" s="181">
        <f>TOBEPAID!F841/1000</f>
        <v>0</v>
      </c>
      <c r="G1101" s="181">
        <f>TOBEPAID!G841/1000</f>
        <v>0</v>
      </c>
      <c r="H1101" s="181">
        <f>53104/1000</f>
        <v>53.103999999999999</v>
      </c>
      <c r="I1101" s="181">
        <f>TOBEPAID!I841/1000</f>
        <v>0</v>
      </c>
      <c r="J1101" s="181">
        <f>TOBEPAID!J841/1000</f>
        <v>0</v>
      </c>
      <c r="K1101" s="181">
        <f>TOBEPAID!K841/1000</f>
        <v>0</v>
      </c>
      <c r="L1101" s="181">
        <f>TOBEPAID!L841/1000</f>
        <v>0</v>
      </c>
      <c r="M1101" s="181">
        <f>TOBEPAID!M841/1000</f>
        <v>0</v>
      </c>
      <c r="N1101" s="181">
        <f>TOBEPAID!N841/1000</f>
        <v>53.103999999999999</v>
      </c>
      <c r="O1101" s="181">
        <f>TOBEPAID!O841/1000</f>
        <v>0</v>
      </c>
      <c r="P1101" s="181">
        <f>TOBEPAID!P841/1000</f>
        <v>0</v>
      </c>
      <c r="Q1101" s="181">
        <f>TOBEPAID!Q841/1000</f>
        <v>0</v>
      </c>
      <c r="R1101" s="181">
        <v>0</v>
      </c>
      <c r="S1101" s="181">
        <f>TOBEPAID!S841/1000</f>
        <v>0</v>
      </c>
      <c r="T1101" s="181">
        <f>TOBEPAID!T841/1000</f>
        <v>0</v>
      </c>
      <c r="U1101" s="181">
        <f>TOBEPAID!U841/1000</f>
        <v>0</v>
      </c>
      <c r="V1101" s="181">
        <f>TOBEPAID!V841/1000</f>
        <v>0</v>
      </c>
      <c r="W1101" s="181">
        <f>TOBEPAID!W841/1000</f>
        <v>0</v>
      </c>
      <c r="X1101" s="181">
        <f>TOBEPAID!X841/1000</f>
        <v>0</v>
      </c>
      <c r="Y1101" s="181">
        <f>+H1101+R1101</f>
        <v>53.103999999999999</v>
      </c>
      <c r="Z1101" s="181">
        <f>+D1101-Y1101</f>
        <v>0</v>
      </c>
      <c r="AA1101" s="181">
        <f>TOBEPAID!AA841/1000</f>
        <v>53.103999999999999</v>
      </c>
      <c r="AB1101" s="181">
        <f>TOBEPAID!AB841/1000</f>
        <v>0</v>
      </c>
      <c r="AC1101" s="181"/>
      <c r="AD1101" s="181"/>
      <c r="AE1101" s="186" t="s">
        <v>54</v>
      </c>
      <c r="AF1101" s="195">
        <f>D1027+D1038+D1065+D1074+D1104</f>
        <v>44.4</v>
      </c>
      <c r="AG1101" s="195">
        <f>E1027+E1038+E1065+E1074+E1104</f>
        <v>0</v>
      </c>
      <c r="AH1101" s="195">
        <f>F1027+F1038+F1065+F1074+F1104</f>
        <v>0</v>
      </c>
      <c r="AI1101" s="195">
        <f t="shared" si="199"/>
        <v>0</v>
      </c>
      <c r="AJ1101" s="195">
        <f>L1027+L1038+L1065+L1074+L1104</f>
        <v>0</v>
      </c>
      <c r="AK1101" s="195">
        <f t="shared" si="200"/>
        <v>0</v>
      </c>
      <c r="AL1101" s="195">
        <f>O1027+O1038+O1065+O1074+O1104</f>
        <v>0</v>
      </c>
      <c r="AM1101" s="195">
        <f>P1027+P1038+P1065+P1074+P1104</f>
        <v>0</v>
      </c>
      <c r="AN1101" s="195">
        <f t="shared" si="201"/>
        <v>0</v>
      </c>
      <c r="AO1101" s="195">
        <f>V1027+V1038+V1065+V1074+V1104</f>
        <v>0</v>
      </c>
      <c r="AP1101" s="195">
        <f t="shared" si="202"/>
        <v>0</v>
      </c>
      <c r="AQ1101" s="195">
        <f t="shared" si="203"/>
        <v>0</v>
      </c>
      <c r="AR1101" s="195">
        <f t="shared" si="204"/>
        <v>44.4</v>
      </c>
      <c r="AS1101" s="195">
        <f>+AF1104-AK1104-AP1104</f>
        <v>254.999</v>
      </c>
    </row>
    <row r="1102" spans="1:45" x14ac:dyDescent="0.2">
      <c r="A1102" s="180"/>
      <c r="C1102" s="165" t="s">
        <v>413</v>
      </c>
      <c r="D1102" s="181">
        <f>12000000/1000</f>
        <v>12000</v>
      </c>
      <c r="E1102" s="181"/>
      <c r="F1102" s="181"/>
      <c r="G1102" s="181"/>
      <c r="H1102" s="181">
        <f>12000000/1000</f>
        <v>12000</v>
      </c>
      <c r="I1102" s="181"/>
      <c r="J1102" s="181"/>
      <c r="K1102" s="181"/>
      <c r="L1102" s="181"/>
      <c r="M1102" s="181"/>
      <c r="N1102" s="181"/>
      <c r="O1102" s="181"/>
      <c r="P1102" s="181"/>
      <c r="Q1102" s="181"/>
      <c r="R1102" s="181">
        <v>0</v>
      </c>
      <c r="S1102" s="181"/>
      <c r="T1102" s="181"/>
      <c r="U1102" s="181"/>
      <c r="V1102" s="181"/>
      <c r="W1102" s="181"/>
      <c r="X1102" s="181"/>
      <c r="Y1102" s="181">
        <f>+H1102+R1102</f>
        <v>12000</v>
      </c>
      <c r="Z1102" s="181">
        <f>+D1102-Y1102</f>
        <v>0</v>
      </c>
      <c r="AA1102" s="181"/>
      <c r="AB1102" s="181"/>
      <c r="AC1102" s="181"/>
      <c r="AD1102" s="181"/>
      <c r="AE1102" s="186"/>
      <c r="AF1102" s="195"/>
      <c r="AG1102" s="195"/>
      <c r="AH1102" s="195"/>
      <c r="AI1102" s="195"/>
      <c r="AJ1102" s="195"/>
      <c r="AK1102" s="195"/>
      <c r="AL1102" s="195"/>
      <c r="AM1102" s="195"/>
      <c r="AN1102" s="195"/>
      <c r="AO1102" s="195"/>
      <c r="AP1102" s="195"/>
      <c r="AQ1102" s="195"/>
      <c r="AR1102" s="195"/>
      <c r="AS1102" s="195"/>
    </row>
    <row r="1103" spans="1:45" x14ac:dyDescent="0.2">
      <c r="A1103" s="180"/>
      <c r="C1103" s="165" t="s">
        <v>398</v>
      </c>
      <c r="D1103" s="181">
        <f>9253549/1000</f>
        <v>9253.5490000000009</v>
      </c>
      <c r="E1103" s="181"/>
      <c r="F1103" s="181"/>
      <c r="G1103" s="181"/>
      <c r="H1103" s="181">
        <f>9253549/1000</f>
        <v>9253.5490000000009</v>
      </c>
      <c r="I1103" s="181"/>
      <c r="J1103" s="181"/>
      <c r="K1103" s="181"/>
      <c r="L1103" s="181"/>
      <c r="M1103" s="181"/>
      <c r="N1103" s="181"/>
      <c r="O1103" s="181"/>
      <c r="P1103" s="181"/>
      <c r="Q1103" s="181"/>
      <c r="R1103" s="181">
        <v>0</v>
      </c>
      <c r="S1103" s="181"/>
      <c r="T1103" s="181"/>
      <c r="U1103" s="181"/>
      <c r="V1103" s="181"/>
      <c r="W1103" s="181"/>
      <c r="X1103" s="181"/>
      <c r="Y1103" s="181">
        <f>+H1103+R1103</f>
        <v>9253.5490000000009</v>
      </c>
      <c r="Z1103" s="181">
        <f>+D1103-Y1103</f>
        <v>0</v>
      </c>
      <c r="AA1103" s="181"/>
      <c r="AB1103" s="181"/>
      <c r="AC1103" s="181"/>
      <c r="AD1103" s="181"/>
      <c r="AE1103" s="186"/>
      <c r="AF1103" s="195"/>
      <c r="AG1103" s="195"/>
      <c r="AH1103" s="195"/>
      <c r="AI1103" s="195"/>
      <c r="AJ1103" s="195"/>
      <c r="AK1103" s="195"/>
      <c r="AL1103" s="195"/>
      <c r="AM1103" s="195"/>
      <c r="AN1103" s="195"/>
      <c r="AO1103" s="195"/>
      <c r="AP1103" s="195"/>
      <c r="AQ1103" s="195"/>
      <c r="AR1103" s="195"/>
      <c r="AS1103" s="195"/>
    </row>
    <row r="1104" spans="1:45" x14ac:dyDescent="0.2">
      <c r="A1104" s="180"/>
      <c r="C1104" s="165" t="s">
        <v>38</v>
      </c>
      <c r="D1104" s="181">
        <v>0</v>
      </c>
      <c r="E1104" s="181">
        <f>TOBEPAID!E842/1000</f>
        <v>0</v>
      </c>
      <c r="F1104" s="181">
        <f>TOBEPAID!F842/1000</f>
        <v>0</v>
      </c>
      <c r="G1104" s="181">
        <f>TOBEPAID!G842/1000</f>
        <v>0</v>
      </c>
      <c r="H1104" s="181">
        <v>0</v>
      </c>
      <c r="I1104" s="181">
        <f>TOBEPAID!I842/1000</f>
        <v>0</v>
      </c>
      <c r="J1104" s="181">
        <f>TOBEPAID!J842/1000</f>
        <v>0</v>
      </c>
      <c r="K1104" s="181">
        <f>TOBEPAID!K842/1000</f>
        <v>0</v>
      </c>
      <c r="L1104" s="181">
        <f>TOBEPAID!L842/1000</f>
        <v>0</v>
      </c>
      <c r="M1104" s="181">
        <f>TOBEPAID!M842/1000</f>
        <v>0</v>
      </c>
      <c r="N1104" s="181">
        <f>TOBEPAID!N842/1000</f>
        <v>0</v>
      </c>
      <c r="O1104" s="181">
        <f>TOBEPAID!O842/1000</f>
        <v>0</v>
      </c>
      <c r="P1104" s="181">
        <f>TOBEPAID!P842/1000</f>
        <v>0</v>
      </c>
      <c r="Q1104" s="181">
        <f>TOBEPAID!Q842/1000</f>
        <v>0</v>
      </c>
      <c r="R1104" s="181">
        <v>0</v>
      </c>
      <c r="S1104" s="181">
        <f>TOBEPAID!S842/1000</f>
        <v>0</v>
      </c>
      <c r="T1104" s="181">
        <f>TOBEPAID!T842/1000</f>
        <v>0</v>
      </c>
      <c r="U1104" s="181">
        <f>TOBEPAID!U842/1000</f>
        <v>0</v>
      </c>
      <c r="V1104" s="181">
        <f>TOBEPAID!V842/1000</f>
        <v>0</v>
      </c>
      <c r="W1104" s="181">
        <f>TOBEPAID!W842/1000</f>
        <v>0</v>
      </c>
      <c r="X1104" s="181">
        <f>TOBEPAID!X842/1000</f>
        <v>0</v>
      </c>
      <c r="Y1104" s="181">
        <f>+H1104+R1104</f>
        <v>0</v>
      </c>
      <c r="Z1104" s="181">
        <f>+D1104-Y1104</f>
        <v>0</v>
      </c>
      <c r="AA1104" s="181">
        <f>TOBEPAID!AA842/1000</f>
        <v>0</v>
      </c>
      <c r="AB1104" s="181">
        <f>TOBEPAID!AB842/1000</f>
        <v>6124.7</v>
      </c>
      <c r="AC1104" s="181"/>
      <c r="AD1104" s="181"/>
      <c r="AE1104" s="186" t="s">
        <v>38</v>
      </c>
      <c r="AF1104" s="195">
        <f>D1028+D1049</f>
        <v>254.999</v>
      </c>
      <c r="AG1104" s="195">
        <f>E1028+E1049</f>
        <v>0</v>
      </c>
      <c r="AH1104" s="195">
        <f>F1028+F1049</f>
        <v>0</v>
      </c>
      <c r="AI1104" s="195">
        <f t="shared" si="199"/>
        <v>0</v>
      </c>
      <c r="AJ1104" s="195">
        <f>L1028+L1049</f>
        <v>0</v>
      </c>
      <c r="AK1104" s="195">
        <f t="shared" si="200"/>
        <v>0</v>
      </c>
      <c r="AL1104" s="195">
        <f>O1028+O1049</f>
        <v>0</v>
      </c>
      <c r="AM1104" s="195">
        <f>P1028+P1049</f>
        <v>0</v>
      </c>
      <c r="AN1104" s="195">
        <f t="shared" si="201"/>
        <v>0</v>
      </c>
      <c r="AO1104" s="195">
        <f>V1028+V1049</f>
        <v>0</v>
      </c>
      <c r="AP1104" s="195">
        <f t="shared" si="202"/>
        <v>0</v>
      </c>
      <c r="AQ1104" s="195">
        <f t="shared" si="203"/>
        <v>0</v>
      </c>
      <c r="AR1104" s="195">
        <f t="shared" si="204"/>
        <v>254.999</v>
      </c>
      <c r="AS1104" s="195">
        <f t="shared" si="198"/>
        <v>0</v>
      </c>
    </row>
    <row r="1105" spans="1:45" x14ac:dyDescent="0.2">
      <c r="A1105" s="180"/>
      <c r="D1105" s="182" t="s">
        <v>40</v>
      </c>
      <c r="E1105" s="182" t="s">
        <v>40</v>
      </c>
      <c r="F1105" s="182" t="s">
        <v>40</v>
      </c>
      <c r="G1105" s="182"/>
      <c r="H1105" s="182" t="s">
        <v>40</v>
      </c>
      <c r="I1105" s="182" t="s">
        <v>40</v>
      </c>
      <c r="J1105" s="182" t="s">
        <v>40</v>
      </c>
      <c r="K1105" s="182" t="s">
        <v>40</v>
      </c>
      <c r="L1105" s="182" t="s">
        <v>40</v>
      </c>
      <c r="M1105" s="182"/>
      <c r="N1105" s="182" t="s">
        <v>40</v>
      </c>
      <c r="O1105" s="182" t="s">
        <v>40</v>
      </c>
      <c r="P1105" s="182" t="s">
        <v>40</v>
      </c>
      <c r="Q1105" s="182"/>
      <c r="R1105" s="182" t="s">
        <v>40</v>
      </c>
      <c r="S1105" s="182" t="s">
        <v>40</v>
      </c>
      <c r="T1105" s="182" t="s">
        <v>40</v>
      </c>
      <c r="U1105" s="182" t="s">
        <v>40</v>
      </c>
      <c r="V1105" s="182" t="s">
        <v>40</v>
      </c>
      <c r="W1105" s="182"/>
      <c r="X1105" s="182" t="s">
        <v>40</v>
      </c>
      <c r="Y1105" s="182" t="s">
        <v>40</v>
      </c>
      <c r="Z1105" s="182" t="s">
        <v>40</v>
      </c>
      <c r="AA1105" s="182" t="s">
        <v>40</v>
      </c>
      <c r="AB1105" s="182" t="s">
        <v>40</v>
      </c>
      <c r="AC1105" s="182"/>
      <c r="AD1105" s="182"/>
      <c r="AE1105" s="186" t="s">
        <v>261</v>
      </c>
      <c r="AF1105" s="195">
        <f>+D1073</f>
        <v>0</v>
      </c>
      <c r="AG1105" s="195">
        <f>+E1073</f>
        <v>0</v>
      </c>
      <c r="AH1105" s="195">
        <f>+F1073</f>
        <v>0</v>
      </c>
      <c r="AI1105" s="195">
        <f t="shared" si="199"/>
        <v>0</v>
      </c>
      <c r="AJ1105" s="195">
        <f>+L1073</f>
        <v>0</v>
      </c>
      <c r="AK1105" s="195">
        <f t="shared" si="200"/>
        <v>0</v>
      </c>
      <c r="AL1105" s="195">
        <f>+O1073</f>
        <v>0</v>
      </c>
      <c r="AM1105" s="195">
        <f>+P1073</f>
        <v>0</v>
      </c>
      <c r="AN1105" s="195">
        <f t="shared" si="201"/>
        <v>0</v>
      </c>
      <c r="AO1105" s="195">
        <f>+V1073</f>
        <v>0</v>
      </c>
      <c r="AP1105" s="195">
        <f t="shared" si="202"/>
        <v>0</v>
      </c>
      <c r="AQ1105" s="195">
        <f t="shared" si="203"/>
        <v>0</v>
      </c>
      <c r="AR1105" s="195">
        <f t="shared" si="204"/>
        <v>0</v>
      </c>
      <c r="AS1105" s="195">
        <f t="shared" si="198"/>
        <v>0</v>
      </c>
    </row>
    <row r="1106" spans="1:45" x14ac:dyDescent="0.2">
      <c r="A1106" s="180"/>
      <c r="D1106" s="191">
        <f>SUM(D1100:D1104)</f>
        <v>50842.706999999995</v>
      </c>
      <c r="E1106" s="191">
        <f>SUM(E1100:E1104)</f>
        <v>53.103999999999999</v>
      </c>
      <c r="F1106" s="191">
        <f>SUM(F1100:F1104)</f>
        <v>0</v>
      </c>
      <c r="G1106" s="191"/>
      <c r="H1106" s="191">
        <f>SUM(H1100:H1104)</f>
        <v>44706.652999999998</v>
      </c>
      <c r="I1106" s="191">
        <f>SUM(I1100:I1104)</f>
        <v>0</v>
      </c>
      <c r="J1106" s="191">
        <f>SUM(J1100:J1104)</f>
        <v>0</v>
      </c>
      <c r="K1106" s="191">
        <f>SUM(K1100:K1104)</f>
        <v>0</v>
      </c>
      <c r="L1106" s="191">
        <f>SUM(L1100:L1104)</f>
        <v>0</v>
      </c>
      <c r="M1106" s="191"/>
      <c r="N1106" s="191">
        <f>SUM(N1100:N1104)</f>
        <v>53.103999999999999</v>
      </c>
      <c r="O1106" s="191">
        <f>SUM(O1100:O1104)</f>
        <v>0</v>
      </c>
      <c r="P1106" s="191">
        <f>SUM(P1100:P1104)</f>
        <v>0</v>
      </c>
      <c r="Q1106" s="191"/>
      <c r="R1106" s="191">
        <f>SUM(R1100:R1104)</f>
        <v>0</v>
      </c>
      <c r="S1106" s="191">
        <f>SUM(S1100:S1104)</f>
        <v>0</v>
      </c>
      <c r="T1106" s="191">
        <f>SUM(T1100:T1104)</f>
        <v>0</v>
      </c>
      <c r="U1106" s="191">
        <f>SUM(U1100:U1104)</f>
        <v>0</v>
      </c>
      <c r="V1106" s="191">
        <f>SUM(V1100:V1104)</f>
        <v>0</v>
      </c>
      <c r="W1106" s="191"/>
      <c r="X1106" s="191">
        <f>SUM(X1100:X1104)</f>
        <v>0</v>
      </c>
      <c r="Y1106" s="191">
        <f>SUM(Y1100:Y1104)</f>
        <v>44706.652999999998</v>
      </c>
      <c r="Z1106" s="191">
        <f>SUM(Z1100:Z1104)</f>
        <v>6136.0540000000001</v>
      </c>
      <c r="AA1106" s="191">
        <f>SUM(AA1100:AA1104)</f>
        <v>53.103999999999999</v>
      </c>
      <c r="AB1106" s="191">
        <f>SUM(AB1100:AB1104)</f>
        <v>29536.054460000003</v>
      </c>
      <c r="AC1106" s="191"/>
      <c r="AD1106" s="191"/>
      <c r="AE1106" s="186" t="s">
        <v>208</v>
      </c>
      <c r="AF1106" s="195">
        <f>+D1086</f>
        <v>1300</v>
      </c>
      <c r="AG1106" s="195">
        <f>+E1086</f>
        <v>1300</v>
      </c>
      <c r="AH1106" s="195">
        <f>+F1086</f>
        <v>0</v>
      </c>
      <c r="AI1106" s="195">
        <f t="shared" si="199"/>
        <v>1300</v>
      </c>
      <c r="AJ1106" s="195">
        <f>+L1086</f>
        <v>0</v>
      </c>
      <c r="AK1106" s="195">
        <f t="shared" si="200"/>
        <v>1300</v>
      </c>
      <c r="AL1106" s="195">
        <f>+O1086</f>
        <v>0</v>
      </c>
      <c r="AM1106" s="195">
        <f>+P1086</f>
        <v>0</v>
      </c>
      <c r="AN1106" s="195">
        <f t="shared" si="201"/>
        <v>0</v>
      </c>
      <c r="AO1106" s="195">
        <f>+V1086</f>
        <v>0</v>
      </c>
      <c r="AP1106" s="195">
        <f t="shared" si="202"/>
        <v>0</v>
      </c>
      <c r="AQ1106" s="195">
        <f t="shared" si="203"/>
        <v>1300</v>
      </c>
      <c r="AR1106" s="195">
        <f t="shared" si="204"/>
        <v>0</v>
      </c>
      <c r="AS1106" s="195">
        <f>SUM(AS1095:AS1105)</f>
        <v>456865.77444000007</v>
      </c>
    </row>
    <row r="1107" spans="1:45" x14ac:dyDescent="0.2">
      <c r="A1107" s="180" t="s">
        <v>145</v>
      </c>
      <c r="B1107" s="202" t="s">
        <v>3</v>
      </c>
      <c r="D1107" s="182" t="s">
        <v>40</v>
      </c>
      <c r="E1107" s="182" t="s">
        <v>40</v>
      </c>
      <c r="F1107" s="182" t="s">
        <v>40</v>
      </c>
      <c r="G1107" s="182"/>
      <c r="H1107" s="182" t="s">
        <v>40</v>
      </c>
      <c r="I1107" s="182" t="s">
        <v>40</v>
      </c>
      <c r="J1107" s="182" t="s">
        <v>40</v>
      </c>
      <c r="K1107" s="182" t="s">
        <v>40</v>
      </c>
      <c r="L1107" s="182" t="s">
        <v>40</v>
      </c>
      <c r="M1107" s="182"/>
      <c r="N1107" s="182" t="s">
        <v>40</v>
      </c>
      <c r="O1107" s="182" t="s">
        <v>40</v>
      </c>
      <c r="P1107" s="182" t="s">
        <v>40</v>
      </c>
      <c r="Q1107" s="182"/>
      <c r="R1107" s="182" t="s">
        <v>40</v>
      </c>
      <c r="S1107" s="182" t="s">
        <v>40</v>
      </c>
      <c r="T1107" s="182" t="s">
        <v>40</v>
      </c>
      <c r="U1107" s="182" t="s">
        <v>40</v>
      </c>
      <c r="V1107" s="182" t="s">
        <v>40</v>
      </c>
      <c r="W1107" s="182"/>
      <c r="X1107" s="182" t="s">
        <v>40</v>
      </c>
      <c r="Y1107" s="182" t="s">
        <v>40</v>
      </c>
      <c r="Z1107" s="182" t="s">
        <v>40</v>
      </c>
      <c r="AA1107" s="182" t="s">
        <v>40</v>
      </c>
      <c r="AB1107" s="182" t="s">
        <v>40</v>
      </c>
      <c r="AC1107" s="182"/>
      <c r="AD1107" s="182"/>
      <c r="AE1107" s="186" t="s">
        <v>274</v>
      </c>
      <c r="AF1107" s="195">
        <f t="shared" ref="AF1107:AR1107" si="205">SUM(AF1096:AF1106)</f>
        <v>744264.42855999991</v>
      </c>
      <c r="AG1107" s="195">
        <f t="shared" si="205"/>
        <v>150757.49505999999</v>
      </c>
      <c r="AH1107" s="195">
        <f t="shared" si="205"/>
        <v>17000</v>
      </c>
      <c r="AI1107" s="195">
        <f t="shared" si="205"/>
        <v>167757.49506000002</v>
      </c>
      <c r="AJ1107" s="195">
        <f t="shared" si="205"/>
        <v>0</v>
      </c>
      <c r="AK1107" s="195">
        <f t="shared" si="205"/>
        <v>167757.49506000002</v>
      </c>
      <c r="AL1107" s="195">
        <f t="shared" si="205"/>
        <v>119641.15905999998</v>
      </c>
      <c r="AM1107" s="195">
        <f t="shared" si="205"/>
        <v>0</v>
      </c>
      <c r="AN1107" s="195">
        <f t="shared" si="205"/>
        <v>119641.15905999998</v>
      </c>
      <c r="AO1107" s="195">
        <f t="shared" si="205"/>
        <v>0</v>
      </c>
      <c r="AP1107" s="195">
        <f t="shared" si="205"/>
        <v>119641.15905999998</v>
      </c>
      <c r="AQ1107" s="195">
        <f t="shared" si="205"/>
        <v>287398.65411999996</v>
      </c>
      <c r="AR1107" s="195">
        <f t="shared" si="205"/>
        <v>456865.77444000007</v>
      </c>
    </row>
    <row r="1108" spans="1:45" x14ac:dyDescent="0.2">
      <c r="A1108" s="180"/>
      <c r="C1108" s="202" t="s">
        <v>210</v>
      </c>
      <c r="D1108" s="191">
        <f>D1010+D1018+D1030+D1041+D1051+D1059+D1068+D1076+D1088+D1096+D1106</f>
        <v>914097.30055999989</v>
      </c>
      <c r="E1108" s="191">
        <f>E1010+E1018+E1030+E1041+E1051+E1059+E1068+E1076+E1088+E1096+E1106</f>
        <v>150757.49505999999</v>
      </c>
      <c r="F1108" s="191">
        <f>F1010+F1018+F1030+F1041+F1051+F1059+F1068+F1076+F1088+F1096+F1106</f>
        <v>17000</v>
      </c>
      <c r="G1108" s="191"/>
      <c r="H1108" s="191">
        <f>H1010+H1018+H1030+H1041+H1051+H1059+H1068+H1076+H1088+H1096+H1106</f>
        <v>699129.46202000009</v>
      </c>
      <c r="I1108" s="191">
        <f>I1010+I1018+I1030+I1041+I1051+I1059+I1068+I1076+I1088+I1096+I1106</f>
        <v>0</v>
      </c>
      <c r="J1108" s="191">
        <f>J1010+J1018+J1030+J1041+J1051+J1059+J1068+J1076+J1088+J1096+J1106</f>
        <v>0</v>
      </c>
      <c r="K1108" s="191">
        <f>K1010+K1018+K1030+K1041+K1051+K1059+K1068+K1076+K1088+K1096+K1106</f>
        <v>0</v>
      </c>
      <c r="L1108" s="191">
        <f>L1010+L1018+L1030+L1041+L1051+L1059+L1068+L1076+L1088+L1096+L1106</f>
        <v>0</v>
      </c>
      <c r="M1108" s="191"/>
      <c r="N1108" s="191">
        <f>N1010+N1018+N1030+N1041+N1051+N1059+N1068+N1076+N1088+N1096+N1106</f>
        <v>167757.49505999999</v>
      </c>
      <c r="O1108" s="191">
        <f>O1010+O1018+O1030+O1041+O1051+O1059+O1068+O1076+O1088+O1096+O1106</f>
        <v>119641.15905999999</v>
      </c>
      <c r="P1108" s="191">
        <f>P1010+P1018+P1030+P1041+P1051+P1059+P1068+P1076+P1088+P1096+P1106</f>
        <v>0</v>
      </c>
      <c r="Q1108" s="191"/>
      <c r="R1108" s="191">
        <f>R1010+R1018+R1030+R1041+R1051+R1059+R1068+R1076+R1088+R1096+R1106</f>
        <v>120048.58668000001</v>
      </c>
      <c r="S1108" s="191">
        <f>S1010+S1018+S1030+S1041+S1051+S1059+S1068+S1076+S1088+S1096+S1106</f>
        <v>0</v>
      </c>
      <c r="T1108" s="191">
        <f>T1010+T1018+T1030+T1041+T1051+T1059+T1068+T1076+T1088+T1096+T1106</f>
        <v>0</v>
      </c>
      <c r="U1108" s="191">
        <f>U1010+U1018+U1030+U1041+U1051+U1059+U1068+U1076+U1088+U1096+U1106</f>
        <v>0</v>
      </c>
      <c r="V1108" s="191">
        <f>V1010+V1018+V1030+V1041+V1051+V1059+V1068+V1076+V1088+V1096+V1106</f>
        <v>0</v>
      </c>
      <c r="W1108" s="191"/>
      <c r="X1108" s="191">
        <f>X1010+X1018+X1030+X1041+X1051+X1059+X1068+X1076+X1088+X1096+X1106</f>
        <v>119641.15905999999</v>
      </c>
      <c r="Y1108" s="191">
        <f>Y1010+Y1018+Y1030+Y1041+Y1051+Y1059+Y1068+Y1076+Y1088+Y1096+Y1106</f>
        <v>819178.04869999993</v>
      </c>
      <c r="Z1108" s="191">
        <f>Z1010+Z1018+Z1030+Z1041+Z1051+Z1059+Z1068+Z1076+Z1088+Z1096+Z1106</f>
        <v>94919.251860000018</v>
      </c>
      <c r="AA1108" s="191">
        <f>AA1010+AA1018+AA1030+AA1041+AA1051+AA1059+AA1068+AA1076+AA1088+AA1096+AA1106</f>
        <v>287398.65411999996</v>
      </c>
      <c r="AB1108" s="191">
        <f>AB1010+AB1018+AB1030+AB1041+AB1051+AB1059+AB1068+AB1076+AB1088+AB1096+AB1106</f>
        <v>174965.78299000004</v>
      </c>
      <c r="AC1108" s="191"/>
      <c r="AD1108" s="191"/>
    </row>
    <row r="1109" spans="1:45" ht="16.5" customHeight="1" x14ac:dyDescent="0.2">
      <c r="A1109" s="180"/>
      <c r="D1109" s="182" t="s">
        <v>50</v>
      </c>
      <c r="E1109" s="182" t="s">
        <v>50</v>
      </c>
      <c r="F1109" s="182" t="s">
        <v>50</v>
      </c>
      <c r="G1109" s="182"/>
      <c r="H1109" s="182" t="s">
        <v>50</v>
      </c>
      <c r="I1109" s="182" t="s">
        <v>50</v>
      </c>
      <c r="J1109" s="182" t="s">
        <v>50</v>
      </c>
      <c r="K1109" s="182" t="s">
        <v>50</v>
      </c>
      <c r="L1109" s="182" t="s">
        <v>50</v>
      </c>
      <c r="M1109" s="182"/>
      <c r="N1109" s="182" t="s">
        <v>50</v>
      </c>
      <c r="O1109" s="182" t="s">
        <v>50</v>
      </c>
      <c r="P1109" s="182" t="s">
        <v>50</v>
      </c>
      <c r="Q1109" s="182"/>
      <c r="R1109" s="182" t="s">
        <v>50</v>
      </c>
      <c r="S1109" s="182" t="s">
        <v>50</v>
      </c>
      <c r="T1109" s="182" t="s">
        <v>50</v>
      </c>
      <c r="U1109" s="182" t="s">
        <v>50</v>
      </c>
      <c r="V1109" s="182" t="s">
        <v>50</v>
      </c>
      <c r="W1109" s="182"/>
      <c r="X1109" s="182" t="s">
        <v>50</v>
      </c>
      <c r="Y1109" s="182" t="s">
        <v>50</v>
      </c>
      <c r="Z1109" s="182" t="s">
        <v>50</v>
      </c>
      <c r="AA1109" s="182" t="s">
        <v>50</v>
      </c>
      <c r="AB1109" s="182" t="s">
        <v>50</v>
      </c>
      <c r="AC1109" s="182"/>
      <c r="AD1109" s="182"/>
    </row>
    <row r="1110" spans="1:45" ht="14.25" customHeight="1" x14ac:dyDescent="0.2">
      <c r="A1110" s="180"/>
      <c r="C1110" s="186"/>
      <c r="D1110" s="191"/>
      <c r="E1110" s="191"/>
      <c r="F1110" s="191"/>
      <c r="G1110" s="191"/>
      <c r="H1110" s="191"/>
      <c r="I1110" s="191"/>
      <c r="J1110" s="191"/>
      <c r="K1110" s="191"/>
      <c r="L1110" s="191"/>
      <c r="M1110" s="191"/>
      <c r="N1110" s="191"/>
      <c r="O1110" s="191"/>
      <c r="P1110" s="191"/>
      <c r="Q1110" s="191"/>
      <c r="R1110" s="191"/>
      <c r="S1110" s="191"/>
      <c r="T1110" s="191"/>
      <c r="U1110" s="191"/>
      <c r="V1110" s="191"/>
      <c r="W1110" s="191"/>
      <c r="X1110" s="191"/>
      <c r="Y1110" s="191"/>
      <c r="Z1110" s="191"/>
      <c r="AA1110" s="191"/>
      <c r="AB1110" s="191"/>
      <c r="AC1110" s="191"/>
      <c r="AD1110" s="191"/>
    </row>
    <row r="1111" spans="1:45" ht="19.5" customHeight="1" x14ac:dyDescent="0.2">
      <c r="D1111" s="191"/>
      <c r="E1111" s="191"/>
      <c r="F1111" s="191"/>
      <c r="G1111" s="191"/>
      <c r="H1111" s="191"/>
      <c r="I1111" s="191"/>
      <c r="J1111" s="191"/>
      <c r="K1111" s="191"/>
      <c r="L1111" s="191"/>
      <c r="M1111" s="191"/>
      <c r="N1111" s="191"/>
      <c r="O1111" s="191"/>
      <c r="P1111" s="191"/>
      <c r="Q1111" s="191"/>
      <c r="R1111" s="191"/>
      <c r="S1111" s="191"/>
      <c r="T1111" s="191"/>
      <c r="U1111" s="191"/>
      <c r="V1111" s="191"/>
      <c r="W1111" s="191"/>
      <c r="X1111" s="191"/>
      <c r="Y1111" s="191"/>
      <c r="Z1111" s="191"/>
      <c r="AA1111" s="191"/>
      <c r="AB1111" s="191"/>
      <c r="AC1111" s="191"/>
      <c r="AD1111" s="191"/>
    </row>
    <row r="1112" spans="1:45" ht="15.75" customHeight="1" x14ac:dyDescent="0.2">
      <c r="A1112" s="180"/>
      <c r="B1112" s="166" t="s">
        <v>105</v>
      </c>
      <c r="D1112" s="191"/>
      <c r="E1112" s="191"/>
      <c r="F1112" s="191"/>
      <c r="G1112" s="191"/>
      <c r="H1112" s="191"/>
      <c r="I1112" s="191"/>
      <c r="J1112" s="191"/>
      <c r="K1112" s="191"/>
      <c r="L1112" s="191"/>
      <c r="M1112" s="191"/>
      <c r="N1112" s="191"/>
      <c r="O1112" s="191"/>
      <c r="P1112" s="191"/>
      <c r="Q1112" s="191"/>
      <c r="R1112" s="191"/>
      <c r="S1112" s="191"/>
      <c r="T1112" s="191"/>
      <c r="U1112" s="191"/>
      <c r="V1112" s="191"/>
      <c r="W1112" s="191"/>
      <c r="X1112" s="191"/>
      <c r="Y1112" s="191"/>
      <c r="Z1112" s="191"/>
      <c r="AA1112" s="191"/>
      <c r="AB1112" s="191"/>
      <c r="AC1112" s="191"/>
      <c r="AD1112" s="191"/>
    </row>
    <row r="1113" spans="1:45" ht="16.5" customHeight="1" x14ac:dyDescent="0.2">
      <c r="A1113" s="180"/>
      <c r="B1113" s="166"/>
      <c r="D1113" s="191"/>
      <c r="E1113" s="191"/>
      <c r="F1113" s="191"/>
      <c r="G1113" s="191"/>
      <c r="H1113" s="191"/>
      <c r="I1113" s="191"/>
      <c r="J1113" s="191"/>
      <c r="K1113" s="191"/>
      <c r="L1113" s="191"/>
      <c r="M1113" s="191"/>
      <c r="N1113" s="191"/>
      <c r="O1113" s="191"/>
      <c r="P1113" s="191"/>
      <c r="Q1113" s="191"/>
      <c r="R1113" s="191"/>
      <c r="S1113" s="191"/>
      <c r="T1113" s="191"/>
      <c r="U1113" s="191"/>
      <c r="V1113" s="191"/>
      <c r="W1113" s="191"/>
      <c r="X1113" s="191"/>
      <c r="Y1113" s="191"/>
      <c r="Z1113" s="191"/>
      <c r="AA1113" s="191"/>
      <c r="AB1113" s="191"/>
      <c r="AC1113" s="191"/>
      <c r="AD1113" s="191"/>
    </row>
    <row r="1114" spans="1:45" ht="17.25" customHeight="1" x14ac:dyDescent="0.2">
      <c r="A1114" s="180">
        <v>87</v>
      </c>
      <c r="B1114" s="166" t="s">
        <v>106</v>
      </c>
      <c r="C1114" s="166" t="s">
        <v>35</v>
      </c>
      <c r="D1114" s="181">
        <f>79155797/1000</f>
        <v>79155.797000000006</v>
      </c>
      <c r="E1114" s="181">
        <f>TOBEPAID!E852/1000</f>
        <v>0</v>
      </c>
      <c r="F1114" s="181">
        <f>TOBEPAID!F852/1000</f>
        <v>0</v>
      </c>
      <c r="G1114" s="181">
        <f>TOBEPAID!G852/1000</f>
        <v>0</v>
      </c>
      <c r="H1114" s="181">
        <f>79111592/1000</f>
        <v>79111.592000000004</v>
      </c>
      <c r="I1114" s="181">
        <f>TOBEPAID!I852/1000</f>
        <v>0</v>
      </c>
      <c r="J1114" s="181">
        <f>TOBEPAID!J852/1000</f>
        <v>0</v>
      </c>
      <c r="K1114" s="181">
        <f>TOBEPAID!K852/1000</f>
        <v>0</v>
      </c>
      <c r="L1114" s="181">
        <f>TOBEPAID!L852/1000</f>
        <v>0</v>
      </c>
      <c r="M1114" s="181">
        <f>TOBEPAID!M852/1000</f>
        <v>0</v>
      </c>
      <c r="N1114" s="181">
        <f>TOBEPAID!N852/1000</f>
        <v>0</v>
      </c>
      <c r="O1114" s="181">
        <f>TOBEPAID!O852/1000</f>
        <v>0</v>
      </c>
      <c r="P1114" s="181">
        <f>TOBEPAID!P852/1000</f>
        <v>0</v>
      </c>
      <c r="Q1114" s="181">
        <f>TOBEPAID!Q852/1000</f>
        <v>0</v>
      </c>
      <c r="R1114" s="181">
        <v>0</v>
      </c>
      <c r="S1114" s="181">
        <f>TOBEPAID!S852/1000</f>
        <v>0</v>
      </c>
      <c r="T1114" s="181">
        <f>TOBEPAID!T852/1000</f>
        <v>0</v>
      </c>
      <c r="U1114" s="181">
        <f>TOBEPAID!U852/1000</f>
        <v>0</v>
      </c>
      <c r="V1114" s="181">
        <f>TOBEPAID!V852/1000</f>
        <v>0</v>
      </c>
      <c r="W1114" s="181">
        <f>TOBEPAID!W852/1000</f>
        <v>0</v>
      </c>
      <c r="X1114" s="181">
        <f>TOBEPAID!X852/1000</f>
        <v>0</v>
      </c>
      <c r="Y1114" s="181">
        <f>+H1114+R1114</f>
        <v>79111.592000000004</v>
      </c>
      <c r="Z1114" s="181">
        <f t="shared" ref="Z1114:Z1121" si="206">+D1114-Y1114</f>
        <v>44.205000000001746</v>
      </c>
      <c r="AA1114" s="181">
        <f>TOBEPAID!AA852/1000</f>
        <v>0</v>
      </c>
      <c r="AB1114" s="181">
        <f>TOBEPAID!AB852/1000</f>
        <v>51304.065710000003</v>
      </c>
      <c r="AC1114" s="181"/>
      <c r="AD1114" s="181"/>
    </row>
    <row r="1115" spans="1:45" x14ac:dyDescent="0.2">
      <c r="A1115" s="180"/>
      <c r="C1115" s="168" t="s">
        <v>36</v>
      </c>
      <c r="D1115" s="181">
        <f>2794439/1000</f>
        <v>2794.4389999999999</v>
      </c>
      <c r="E1115" s="181">
        <f>TOBEPAID!E853/1000</f>
        <v>2794.4396900000002</v>
      </c>
      <c r="F1115" s="181">
        <f>TOBEPAID!F853/1000</f>
        <v>0</v>
      </c>
      <c r="G1115" s="181">
        <f>TOBEPAID!G853/1000</f>
        <v>0</v>
      </c>
      <c r="H1115" s="181">
        <f>2794439/1000</f>
        <v>2794.4389999999999</v>
      </c>
      <c r="I1115" s="181">
        <f>TOBEPAID!I853/1000</f>
        <v>0</v>
      </c>
      <c r="J1115" s="181">
        <f>TOBEPAID!J853/1000</f>
        <v>0</v>
      </c>
      <c r="K1115" s="181">
        <f>TOBEPAID!K853/1000</f>
        <v>0</v>
      </c>
      <c r="L1115" s="181">
        <f>TOBEPAID!L853/1000</f>
        <v>0</v>
      </c>
      <c r="M1115" s="181">
        <f>TOBEPAID!M853/1000</f>
        <v>0</v>
      </c>
      <c r="N1115" s="181">
        <f>TOBEPAID!N853/1000</f>
        <v>2794.4396900000002</v>
      </c>
      <c r="O1115" s="181">
        <f>TOBEPAID!O853/1000</f>
        <v>0</v>
      </c>
      <c r="P1115" s="181">
        <f>TOBEPAID!P853/1000</f>
        <v>0</v>
      </c>
      <c r="Q1115" s="181">
        <f>TOBEPAID!Q853/1000</f>
        <v>0</v>
      </c>
      <c r="R1115" s="181">
        <v>0</v>
      </c>
      <c r="S1115" s="181">
        <f>TOBEPAID!S853/1000</f>
        <v>0</v>
      </c>
      <c r="T1115" s="181">
        <f>TOBEPAID!T853/1000</f>
        <v>0</v>
      </c>
      <c r="U1115" s="181">
        <f>TOBEPAID!U853/1000</f>
        <v>0</v>
      </c>
      <c r="V1115" s="181">
        <f>TOBEPAID!V853/1000</f>
        <v>0</v>
      </c>
      <c r="W1115" s="181">
        <f>TOBEPAID!W853/1000</f>
        <v>0</v>
      </c>
      <c r="X1115" s="181">
        <f>TOBEPAID!X853/1000</f>
        <v>0</v>
      </c>
      <c r="Y1115" s="181">
        <f t="shared" ref="Y1115:Y1121" si="207">+H1115+R1115</f>
        <v>2794.4389999999999</v>
      </c>
      <c r="Z1115" s="181">
        <f t="shared" si="206"/>
        <v>0</v>
      </c>
      <c r="AA1115" s="181">
        <f>TOBEPAID!AA853/1000</f>
        <v>2794.4396900000002</v>
      </c>
      <c r="AB1115" s="181">
        <f>TOBEPAID!AB853/1000</f>
        <v>0</v>
      </c>
      <c r="AC1115" s="181"/>
      <c r="AD1115" s="181"/>
    </row>
    <row r="1116" spans="1:45" ht="15" customHeight="1" x14ac:dyDescent="0.2">
      <c r="A1116" s="180"/>
      <c r="C1116" s="168" t="s">
        <v>137</v>
      </c>
      <c r="D1116" s="181">
        <v>0</v>
      </c>
      <c r="E1116" s="181">
        <f>TOBEPAID!E854/1000</f>
        <v>0</v>
      </c>
      <c r="F1116" s="181">
        <f>TOBEPAID!F854/1000</f>
        <v>0</v>
      </c>
      <c r="G1116" s="181">
        <f>TOBEPAID!G854/1000</f>
        <v>0</v>
      </c>
      <c r="H1116" s="181">
        <v>0</v>
      </c>
      <c r="I1116" s="181">
        <f>TOBEPAID!I854/1000</f>
        <v>0</v>
      </c>
      <c r="J1116" s="181">
        <f>TOBEPAID!J854/1000</f>
        <v>0</v>
      </c>
      <c r="K1116" s="181">
        <f>TOBEPAID!K854/1000</f>
        <v>0</v>
      </c>
      <c r="L1116" s="181">
        <f>TOBEPAID!L854/1000</f>
        <v>0</v>
      </c>
      <c r="M1116" s="181">
        <f>TOBEPAID!M854/1000</f>
        <v>0</v>
      </c>
      <c r="N1116" s="181">
        <f>TOBEPAID!N854/1000</f>
        <v>0</v>
      </c>
      <c r="O1116" s="181">
        <f>TOBEPAID!O854/1000</f>
        <v>0</v>
      </c>
      <c r="P1116" s="181">
        <f>TOBEPAID!P854/1000</f>
        <v>0</v>
      </c>
      <c r="Q1116" s="181">
        <f>TOBEPAID!Q854/1000</f>
        <v>0</v>
      </c>
      <c r="R1116" s="181">
        <v>0</v>
      </c>
      <c r="S1116" s="181">
        <f>TOBEPAID!S854/1000</f>
        <v>0</v>
      </c>
      <c r="T1116" s="181">
        <f>TOBEPAID!T854/1000</f>
        <v>0</v>
      </c>
      <c r="U1116" s="181">
        <f>TOBEPAID!U854/1000</f>
        <v>0</v>
      </c>
      <c r="V1116" s="181">
        <f>TOBEPAID!V854/1000</f>
        <v>0</v>
      </c>
      <c r="W1116" s="181">
        <f>TOBEPAID!W854/1000</f>
        <v>0</v>
      </c>
      <c r="X1116" s="181">
        <f>TOBEPAID!X854/1000</f>
        <v>0</v>
      </c>
      <c r="Y1116" s="181">
        <f t="shared" si="207"/>
        <v>0</v>
      </c>
      <c r="Z1116" s="181">
        <f t="shared" si="206"/>
        <v>0</v>
      </c>
      <c r="AA1116" s="181">
        <f>TOBEPAID!AA854/1000</f>
        <v>0</v>
      </c>
      <c r="AB1116" s="181">
        <f>TOBEPAID!AB854/1000</f>
        <v>0</v>
      </c>
      <c r="AC1116" s="181"/>
      <c r="AD1116" s="181"/>
    </row>
    <row r="1117" spans="1:45" ht="16.5" customHeight="1" x14ac:dyDescent="0.2">
      <c r="C1117" s="165" t="s">
        <v>290</v>
      </c>
      <c r="D1117" s="181">
        <f>2173239409.26/1000</f>
        <v>2173239.4092600001</v>
      </c>
      <c r="E1117" s="181">
        <f>TOBEPAID!E855/1000</f>
        <v>120000</v>
      </c>
      <c r="F1117" s="181">
        <f>TOBEPAID!F855/1000</f>
        <v>30000</v>
      </c>
      <c r="G1117" s="181">
        <f>TOBEPAID!G855/1000</f>
        <v>0</v>
      </c>
      <c r="H1117" s="181">
        <f>2173239409.26/1000</f>
        <v>2173239.4092600001</v>
      </c>
      <c r="I1117" s="181">
        <f>TOBEPAID!I855/1000</f>
        <v>0</v>
      </c>
      <c r="J1117" s="181">
        <f>TOBEPAID!J855/1000</f>
        <v>0</v>
      </c>
      <c r="K1117" s="181">
        <f>TOBEPAID!K855/1000</f>
        <v>0</v>
      </c>
      <c r="L1117" s="181">
        <f>TOBEPAID!L855/1000</f>
        <v>0</v>
      </c>
      <c r="M1117" s="181">
        <f>TOBEPAID!M855/1000</f>
        <v>0</v>
      </c>
      <c r="N1117" s="181">
        <f>TOBEPAID!N855/1000</f>
        <v>150000</v>
      </c>
      <c r="O1117" s="181">
        <f>TOBEPAID!O855/1000</f>
        <v>0</v>
      </c>
      <c r="P1117" s="181">
        <f>TOBEPAID!P855/1000</f>
        <v>0</v>
      </c>
      <c r="Q1117" s="181">
        <f>TOBEPAID!Q855/1000</f>
        <v>0</v>
      </c>
      <c r="R1117" s="181">
        <v>0</v>
      </c>
      <c r="S1117" s="181">
        <f>TOBEPAID!S855/1000</f>
        <v>0</v>
      </c>
      <c r="T1117" s="181">
        <f>TOBEPAID!T855/1000</f>
        <v>0</v>
      </c>
      <c r="U1117" s="181">
        <f>TOBEPAID!U855/1000</f>
        <v>0</v>
      </c>
      <c r="V1117" s="181">
        <f>TOBEPAID!V855/1000</f>
        <v>0</v>
      </c>
      <c r="W1117" s="181">
        <f>TOBEPAID!W855/1000</f>
        <v>0</v>
      </c>
      <c r="X1117" s="181">
        <f>TOBEPAID!X855/1000</f>
        <v>0</v>
      </c>
      <c r="Y1117" s="181">
        <f t="shared" si="207"/>
        <v>2173239.4092600001</v>
      </c>
      <c r="Z1117" s="181">
        <f t="shared" si="206"/>
        <v>0</v>
      </c>
      <c r="AA1117" s="181">
        <f>TOBEPAID!AA855/1000</f>
        <v>150000</v>
      </c>
      <c r="AB1117" s="181">
        <f>TOBEPAID!AB855/1000</f>
        <v>0</v>
      </c>
      <c r="AC1117" s="181"/>
      <c r="AD1117" s="181"/>
    </row>
    <row r="1118" spans="1:45" ht="16.5" customHeight="1" x14ac:dyDescent="0.2">
      <c r="C1118" s="165" t="s">
        <v>380</v>
      </c>
      <c r="D1118" s="181">
        <f>2722681/1000</f>
        <v>2722.681</v>
      </c>
      <c r="E1118" s="181">
        <f>TOBEPAID!E856/1000</f>
        <v>2722.6815000000001</v>
      </c>
      <c r="F1118" s="181">
        <f>TOBEPAID!F856/1000</f>
        <v>0</v>
      </c>
      <c r="G1118" s="181">
        <f>TOBEPAID!G856/1000</f>
        <v>0</v>
      </c>
      <c r="H1118" s="181">
        <f>2722681/1000</f>
        <v>2722.681</v>
      </c>
      <c r="I1118" s="181">
        <f>TOBEPAID!I856/1000</f>
        <v>0</v>
      </c>
      <c r="J1118" s="181">
        <f>TOBEPAID!J856/1000</f>
        <v>0</v>
      </c>
      <c r="K1118" s="181">
        <f>TOBEPAID!K856/1000</f>
        <v>0</v>
      </c>
      <c r="L1118" s="181">
        <f>TOBEPAID!L856/1000</f>
        <v>0</v>
      </c>
      <c r="M1118" s="181">
        <f>TOBEPAID!M856/1000</f>
        <v>0</v>
      </c>
      <c r="N1118" s="181">
        <f>TOBEPAID!N856/1000</f>
        <v>2722.6815000000001</v>
      </c>
      <c r="O1118" s="181">
        <f>TOBEPAID!O856/1000</f>
        <v>0</v>
      </c>
      <c r="P1118" s="181">
        <f>TOBEPAID!P856/1000</f>
        <v>0</v>
      </c>
      <c r="Q1118" s="181">
        <f>TOBEPAID!Q856/1000</f>
        <v>0</v>
      </c>
      <c r="R1118" s="181">
        <v>0</v>
      </c>
      <c r="S1118" s="181">
        <f>TOBEPAID!S856/1000</f>
        <v>0</v>
      </c>
      <c r="T1118" s="181">
        <f>TOBEPAID!T856/1000</f>
        <v>0</v>
      </c>
      <c r="U1118" s="181">
        <f>TOBEPAID!U856/1000</f>
        <v>0</v>
      </c>
      <c r="V1118" s="181">
        <f>TOBEPAID!V856/1000</f>
        <v>0</v>
      </c>
      <c r="W1118" s="181">
        <f>TOBEPAID!W856/1000</f>
        <v>0</v>
      </c>
      <c r="X1118" s="181">
        <f>TOBEPAID!X856/1000</f>
        <v>0</v>
      </c>
      <c r="Y1118" s="181">
        <f t="shared" si="207"/>
        <v>2722.681</v>
      </c>
      <c r="Z1118" s="181">
        <f t="shared" si="206"/>
        <v>0</v>
      </c>
      <c r="AA1118" s="181">
        <f>TOBEPAID!AA856/1000</f>
        <v>2722.6815000000001</v>
      </c>
      <c r="AB1118" s="181">
        <f>TOBEPAID!AB856/1000</f>
        <v>0</v>
      </c>
      <c r="AC1118" s="181"/>
      <c r="AD1118" s="181"/>
    </row>
    <row r="1119" spans="1:45" ht="15" customHeight="1" x14ac:dyDescent="0.2">
      <c r="C1119" s="165" t="s">
        <v>413</v>
      </c>
      <c r="D1119" s="181">
        <f>12000000/1000</f>
        <v>12000</v>
      </c>
      <c r="E1119" s="181"/>
      <c r="F1119" s="181"/>
      <c r="G1119" s="181"/>
      <c r="H1119" s="181">
        <f>12000000/1000</f>
        <v>12000</v>
      </c>
      <c r="I1119" s="181"/>
      <c r="J1119" s="181"/>
      <c r="K1119" s="181"/>
      <c r="L1119" s="181"/>
      <c r="M1119" s="181"/>
      <c r="N1119" s="181"/>
      <c r="O1119" s="181"/>
      <c r="P1119" s="181"/>
      <c r="Q1119" s="181"/>
      <c r="R1119" s="181">
        <v>0</v>
      </c>
      <c r="S1119" s="181"/>
      <c r="T1119" s="181"/>
      <c r="U1119" s="181"/>
      <c r="V1119" s="181"/>
      <c r="W1119" s="181"/>
      <c r="X1119" s="181"/>
      <c r="Y1119" s="181">
        <f t="shared" si="207"/>
        <v>12000</v>
      </c>
      <c r="Z1119" s="181">
        <f t="shared" si="206"/>
        <v>0</v>
      </c>
      <c r="AA1119" s="181"/>
      <c r="AB1119" s="181"/>
      <c r="AC1119" s="181"/>
      <c r="AD1119" s="181"/>
    </row>
    <row r="1120" spans="1:45" x14ac:dyDescent="0.2">
      <c r="A1120" s="180"/>
      <c r="C1120" s="166" t="s">
        <v>37</v>
      </c>
      <c r="D1120" s="181">
        <v>0</v>
      </c>
      <c r="E1120" s="181">
        <f>TOBEPAID!E857/1000</f>
        <v>0</v>
      </c>
      <c r="F1120" s="181">
        <f>TOBEPAID!F857/1000</f>
        <v>0</v>
      </c>
      <c r="G1120" s="181">
        <f>TOBEPAID!G857/1000</f>
        <v>0</v>
      </c>
      <c r="H1120" s="181">
        <v>0</v>
      </c>
      <c r="I1120" s="181">
        <f>TOBEPAID!I857/1000</f>
        <v>0</v>
      </c>
      <c r="J1120" s="181">
        <f>TOBEPAID!J857/1000</f>
        <v>0</v>
      </c>
      <c r="K1120" s="181">
        <f>TOBEPAID!K857/1000</f>
        <v>0</v>
      </c>
      <c r="L1120" s="181">
        <f>TOBEPAID!L857/1000</f>
        <v>0</v>
      </c>
      <c r="M1120" s="181">
        <f>TOBEPAID!M857/1000</f>
        <v>0</v>
      </c>
      <c r="N1120" s="181">
        <f>TOBEPAID!N857/1000</f>
        <v>0</v>
      </c>
      <c r="O1120" s="181">
        <f>TOBEPAID!O857/1000</f>
        <v>0</v>
      </c>
      <c r="P1120" s="181">
        <f>TOBEPAID!P857/1000</f>
        <v>0</v>
      </c>
      <c r="Q1120" s="181">
        <f>TOBEPAID!Q857/1000</f>
        <v>0</v>
      </c>
      <c r="R1120" s="181">
        <v>0</v>
      </c>
      <c r="S1120" s="181">
        <f>TOBEPAID!S857/1000</f>
        <v>0</v>
      </c>
      <c r="T1120" s="181">
        <f>TOBEPAID!T857/1000</f>
        <v>0</v>
      </c>
      <c r="U1120" s="181">
        <f>TOBEPAID!U857/1000</f>
        <v>0</v>
      </c>
      <c r="V1120" s="181">
        <f>TOBEPAID!V857/1000</f>
        <v>0</v>
      </c>
      <c r="W1120" s="181">
        <f>TOBEPAID!W857/1000</f>
        <v>0</v>
      </c>
      <c r="X1120" s="181">
        <f>TOBEPAID!X857/1000</f>
        <v>0</v>
      </c>
      <c r="Y1120" s="181">
        <f t="shared" si="207"/>
        <v>0</v>
      </c>
      <c r="Z1120" s="181">
        <f t="shared" si="206"/>
        <v>0</v>
      </c>
      <c r="AA1120" s="181">
        <f>TOBEPAID!AA857/1000</f>
        <v>0</v>
      </c>
      <c r="AB1120" s="181">
        <f>TOBEPAID!AB857/1000</f>
        <v>27370.539489999999</v>
      </c>
      <c r="AC1120" s="181"/>
      <c r="AD1120" s="181"/>
    </row>
    <row r="1121" spans="1:30" ht="15" customHeight="1" x14ac:dyDescent="0.2">
      <c r="A1121" s="180"/>
      <c r="C1121" s="192" t="s">
        <v>39</v>
      </c>
      <c r="D1121" s="181">
        <v>0</v>
      </c>
      <c r="E1121" s="181">
        <f>TOBEPAID!E858/1000</f>
        <v>0</v>
      </c>
      <c r="F1121" s="181">
        <f>TOBEPAID!F858/1000</f>
        <v>0</v>
      </c>
      <c r="G1121" s="181">
        <f>TOBEPAID!G858/1000</f>
        <v>0</v>
      </c>
      <c r="H1121" s="181">
        <v>0</v>
      </c>
      <c r="I1121" s="181">
        <f>TOBEPAID!I858/1000</f>
        <v>0</v>
      </c>
      <c r="J1121" s="181">
        <f>TOBEPAID!J858/1000</f>
        <v>0</v>
      </c>
      <c r="K1121" s="181">
        <f>TOBEPAID!K858/1000</f>
        <v>0</v>
      </c>
      <c r="L1121" s="181">
        <f>TOBEPAID!L858/1000</f>
        <v>0</v>
      </c>
      <c r="M1121" s="181">
        <f>TOBEPAID!M858/1000</f>
        <v>0</v>
      </c>
      <c r="N1121" s="181">
        <f>TOBEPAID!N858/1000</f>
        <v>0</v>
      </c>
      <c r="O1121" s="181">
        <f>TOBEPAID!O858/1000</f>
        <v>0</v>
      </c>
      <c r="P1121" s="181">
        <f>TOBEPAID!P858/1000</f>
        <v>0</v>
      </c>
      <c r="Q1121" s="181">
        <f>TOBEPAID!Q858/1000</f>
        <v>0</v>
      </c>
      <c r="R1121" s="181">
        <v>0</v>
      </c>
      <c r="S1121" s="181">
        <f>TOBEPAID!S858/1000</f>
        <v>0</v>
      </c>
      <c r="T1121" s="181">
        <f>TOBEPAID!T858/1000</f>
        <v>0</v>
      </c>
      <c r="U1121" s="181">
        <f>TOBEPAID!U858/1000</f>
        <v>0</v>
      </c>
      <c r="V1121" s="181">
        <f>TOBEPAID!V858/1000</f>
        <v>0</v>
      </c>
      <c r="W1121" s="181">
        <f>TOBEPAID!W858/1000</f>
        <v>0</v>
      </c>
      <c r="X1121" s="181">
        <f>TOBEPAID!X858/1000</f>
        <v>0</v>
      </c>
      <c r="Y1121" s="181">
        <f t="shared" si="207"/>
        <v>0</v>
      </c>
      <c r="Z1121" s="181">
        <f t="shared" si="206"/>
        <v>0</v>
      </c>
      <c r="AA1121" s="181">
        <f>TOBEPAID!AA858/1000</f>
        <v>0</v>
      </c>
      <c r="AB1121" s="181">
        <f>TOBEPAID!AB858/1000</f>
        <v>481.19274999999999</v>
      </c>
      <c r="AC1121" s="181"/>
      <c r="AD1121" s="181"/>
    </row>
    <row r="1122" spans="1:30" ht="17.25" customHeight="1" x14ac:dyDescent="0.2">
      <c r="A1122" s="180"/>
      <c r="D1122" s="182" t="s">
        <v>40</v>
      </c>
      <c r="E1122" s="182" t="s">
        <v>40</v>
      </c>
      <c r="F1122" s="182" t="s">
        <v>40</v>
      </c>
      <c r="G1122" s="182"/>
      <c r="H1122" s="182" t="s">
        <v>40</v>
      </c>
      <c r="I1122" s="182" t="s">
        <v>40</v>
      </c>
      <c r="J1122" s="182" t="s">
        <v>40</v>
      </c>
      <c r="K1122" s="182" t="s">
        <v>40</v>
      </c>
      <c r="L1122" s="182" t="s">
        <v>40</v>
      </c>
      <c r="M1122" s="182"/>
      <c r="N1122" s="182" t="s">
        <v>40</v>
      </c>
      <c r="O1122" s="182" t="s">
        <v>40</v>
      </c>
      <c r="P1122" s="182" t="s">
        <v>40</v>
      </c>
      <c r="Q1122" s="182"/>
      <c r="R1122" s="182" t="s">
        <v>40</v>
      </c>
      <c r="S1122" s="182" t="s">
        <v>40</v>
      </c>
      <c r="T1122" s="182" t="s">
        <v>40</v>
      </c>
      <c r="U1122" s="182" t="s">
        <v>40</v>
      </c>
      <c r="V1122" s="182" t="s">
        <v>40</v>
      </c>
      <c r="W1122" s="182"/>
      <c r="X1122" s="182" t="s">
        <v>40</v>
      </c>
      <c r="Y1122" s="182" t="s">
        <v>40</v>
      </c>
      <c r="Z1122" s="182" t="s">
        <v>40</v>
      </c>
      <c r="AA1122" s="182" t="s">
        <v>40</v>
      </c>
      <c r="AB1122" s="182" t="s">
        <v>40</v>
      </c>
      <c r="AC1122" s="182"/>
      <c r="AD1122" s="182"/>
    </row>
    <row r="1123" spans="1:30" ht="17.25" customHeight="1" x14ac:dyDescent="0.2">
      <c r="A1123" s="180"/>
      <c r="B1123" s="172"/>
      <c r="D1123" s="181">
        <f>SUM(D1114:D1121)</f>
        <v>2269912.32626</v>
      </c>
      <c r="E1123" s="181">
        <f>SUM(E1114:E1121)</f>
        <v>125517.12119000001</v>
      </c>
      <c r="F1123" s="181">
        <f>SUM(F1114:F1121)</f>
        <v>30000</v>
      </c>
      <c r="G1123" s="181"/>
      <c r="H1123" s="181">
        <f>SUM(H1114:H1121)</f>
        <v>2269868.1212599999</v>
      </c>
      <c r="I1123" s="181">
        <f>SUM(I1114:I1121)</f>
        <v>0</v>
      </c>
      <c r="J1123" s="181">
        <f>SUM(J1114:J1121)</f>
        <v>0</v>
      </c>
      <c r="K1123" s="181">
        <f>SUM(K1114:K1121)</f>
        <v>0</v>
      </c>
      <c r="L1123" s="181">
        <f>SUM(L1114:L1121)</f>
        <v>0</v>
      </c>
      <c r="M1123" s="181"/>
      <c r="N1123" s="181">
        <f>SUM(N1114:N1121)</f>
        <v>155517.12119000001</v>
      </c>
      <c r="O1123" s="181">
        <f>SUM(O1114:O1121)</f>
        <v>0</v>
      </c>
      <c r="P1123" s="181">
        <f>SUM(P1114:P1121)</f>
        <v>0</v>
      </c>
      <c r="Q1123" s="181"/>
      <c r="R1123" s="181">
        <f>SUM(R1114:R1121)</f>
        <v>0</v>
      </c>
      <c r="S1123" s="181">
        <f>SUM(S1114:S1121)</f>
        <v>0</v>
      </c>
      <c r="T1123" s="181">
        <f>SUM(T1114:T1121)</f>
        <v>0</v>
      </c>
      <c r="U1123" s="181">
        <f>SUM(U1114:U1121)</f>
        <v>0</v>
      </c>
      <c r="V1123" s="181">
        <f>SUM(V1114:V1121)</f>
        <v>0</v>
      </c>
      <c r="W1123" s="181"/>
      <c r="X1123" s="181">
        <f>SUM(X1114:X1121)</f>
        <v>0</v>
      </c>
      <c r="Y1123" s="181">
        <f>SUM(Y1114:Y1121)</f>
        <v>2269868.1212599999</v>
      </c>
      <c r="Z1123" s="181">
        <f>SUM(Z1114:Z1121)</f>
        <v>44.205000000001746</v>
      </c>
      <c r="AA1123" s="181">
        <f>SUM(AA1114:AA1121)</f>
        <v>155517.12119000001</v>
      </c>
      <c r="AB1123" s="181">
        <f>SUM(AB1114:AB1121)</f>
        <v>79155.797950000007</v>
      </c>
      <c r="AC1123" s="181"/>
      <c r="AD1123" s="181"/>
    </row>
    <row r="1124" spans="1:30" x14ac:dyDescent="0.2">
      <c r="A1124" s="180"/>
      <c r="B1124" s="165" t="s">
        <v>106</v>
      </c>
      <c r="D1124" s="182" t="s">
        <v>40</v>
      </c>
      <c r="E1124" s="182" t="s">
        <v>40</v>
      </c>
      <c r="F1124" s="182" t="s">
        <v>40</v>
      </c>
      <c r="G1124" s="182"/>
      <c r="H1124" s="182" t="s">
        <v>40</v>
      </c>
      <c r="I1124" s="182" t="s">
        <v>40</v>
      </c>
      <c r="J1124" s="182" t="s">
        <v>40</v>
      </c>
      <c r="K1124" s="182" t="s">
        <v>40</v>
      </c>
      <c r="L1124" s="182" t="s">
        <v>40</v>
      </c>
      <c r="M1124" s="182"/>
      <c r="N1124" s="182" t="s">
        <v>40</v>
      </c>
      <c r="O1124" s="182" t="s">
        <v>40</v>
      </c>
      <c r="P1124" s="182" t="s">
        <v>40</v>
      </c>
      <c r="Q1124" s="182"/>
      <c r="R1124" s="182" t="s">
        <v>40</v>
      </c>
      <c r="S1124" s="182" t="s">
        <v>40</v>
      </c>
      <c r="T1124" s="182" t="s">
        <v>40</v>
      </c>
      <c r="U1124" s="182" t="s">
        <v>40</v>
      </c>
      <c r="V1124" s="182" t="s">
        <v>40</v>
      </c>
      <c r="W1124" s="182"/>
      <c r="X1124" s="182" t="s">
        <v>40</v>
      </c>
      <c r="Y1124" s="182" t="s">
        <v>40</v>
      </c>
      <c r="Z1124" s="182" t="s">
        <v>40</v>
      </c>
      <c r="AA1124" s="182" t="s">
        <v>40</v>
      </c>
      <c r="AB1124" s="182" t="s">
        <v>40</v>
      </c>
      <c r="AC1124" s="182"/>
      <c r="AD1124" s="182"/>
    </row>
    <row r="1125" spans="1:30" ht="16.5" customHeight="1" thickBot="1" x14ac:dyDescent="0.25">
      <c r="A1125" s="180"/>
      <c r="B1125" s="183" t="s">
        <v>292</v>
      </c>
      <c r="D1125" s="184">
        <f>TOBEPAID!D862/1000</f>
        <v>4410.7207800000006</v>
      </c>
      <c r="E1125" s="181">
        <f>TOBEPAID!E862/1000</f>
        <v>0</v>
      </c>
      <c r="F1125" s="181">
        <f>TOBEPAID!F862/1000</f>
        <v>0</v>
      </c>
      <c r="G1125" s="181">
        <f>TOBEPAID!G862/1000</f>
        <v>0</v>
      </c>
      <c r="H1125" s="181"/>
      <c r="I1125" s="181">
        <f>TOBEPAID!I862/1000</f>
        <v>0</v>
      </c>
      <c r="J1125" s="181">
        <f>TOBEPAID!J862/1000</f>
        <v>0</v>
      </c>
      <c r="K1125" s="181">
        <f>TOBEPAID!K862/1000</f>
        <v>0</v>
      </c>
      <c r="L1125" s="181">
        <f>TOBEPAID!L862/1000</f>
        <v>0</v>
      </c>
      <c r="M1125" s="181">
        <f>TOBEPAID!M862/1000</f>
        <v>0</v>
      </c>
      <c r="N1125" s="181">
        <f>TOBEPAID!N862/1000</f>
        <v>0</v>
      </c>
      <c r="O1125" s="181">
        <f>TOBEPAID!O862/1000</f>
        <v>4410.7207800000006</v>
      </c>
      <c r="P1125" s="181">
        <f>TOBEPAID!P862/1000</f>
        <v>0</v>
      </c>
      <c r="Q1125" s="181">
        <f>TOBEPAID!Q862/1000</f>
        <v>0</v>
      </c>
      <c r="R1125" s="184">
        <f>TOBEPAID!R862/1000</f>
        <v>4410.7207800000006</v>
      </c>
      <c r="S1125" s="181">
        <f>TOBEPAID!S862/1000</f>
        <v>0</v>
      </c>
      <c r="T1125" s="181">
        <f>TOBEPAID!T862/1000</f>
        <v>0</v>
      </c>
      <c r="U1125" s="181">
        <f>TOBEPAID!U862/1000</f>
        <v>0</v>
      </c>
      <c r="V1125" s="181">
        <f>TOBEPAID!V862/1000</f>
        <v>0</v>
      </c>
      <c r="W1125" s="181">
        <f>TOBEPAID!W862/1000</f>
        <v>0</v>
      </c>
      <c r="X1125" s="181">
        <f>TOBEPAID!X862/1000</f>
        <v>0</v>
      </c>
      <c r="Y1125" s="184">
        <f>+H1125+R1125</f>
        <v>4410.7207800000006</v>
      </c>
      <c r="Z1125" s="184">
        <f>TOBEPAID!Z862/1000</f>
        <v>0</v>
      </c>
      <c r="AA1125" s="181">
        <f>TOBEPAID!AA862/1000</f>
        <v>0</v>
      </c>
      <c r="AB1125" s="181">
        <f>TOBEPAID!AB862/1000</f>
        <v>0</v>
      </c>
      <c r="AC1125" s="181"/>
      <c r="AD1125" s="181"/>
    </row>
    <row r="1126" spans="1:30" ht="55.5" customHeight="1" thickTop="1" x14ac:dyDescent="0.2">
      <c r="A1126" s="180">
        <v>88</v>
      </c>
      <c r="B1126" s="166" t="s">
        <v>107</v>
      </c>
      <c r="C1126" s="166" t="s">
        <v>35</v>
      </c>
      <c r="D1126" s="181">
        <f>53008723/1000</f>
        <v>53008.722999999998</v>
      </c>
      <c r="E1126" s="181">
        <f>TOBEPAID!E863/1000</f>
        <v>0</v>
      </c>
      <c r="F1126" s="181">
        <f>TOBEPAID!F863/1000</f>
        <v>0</v>
      </c>
      <c r="G1126" s="181">
        <f>TOBEPAID!G863/1000</f>
        <v>0</v>
      </c>
      <c r="H1126" s="181">
        <f>50557947/1000</f>
        <v>50557.947</v>
      </c>
      <c r="I1126" s="181">
        <f>TOBEPAID!I863/1000</f>
        <v>0</v>
      </c>
      <c r="J1126" s="181">
        <f>TOBEPAID!J863/1000</f>
        <v>0</v>
      </c>
      <c r="K1126" s="181">
        <f>TOBEPAID!K863/1000</f>
        <v>0</v>
      </c>
      <c r="L1126" s="181">
        <f>TOBEPAID!L863/1000</f>
        <v>0</v>
      </c>
      <c r="M1126" s="181">
        <f>TOBEPAID!M863/1000</f>
        <v>0</v>
      </c>
      <c r="N1126" s="181">
        <f>TOBEPAID!N863/1000</f>
        <v>0</v>
      </c>
      <c r="O1126" s="181">
        <f>TOBEPAID!O863/1000</f>
        <v>0</v>
      </c>
      <c r="P1126" s="181">
        <f>TOBEPAID!P863/1000</f>
        <v>0</v>
      </c>
      <c r="Q1126" s="181">
        <f>TOBEPAID!Q863/1000</f>
        <v>0</v>
      </c>
      <c r="R1126" s="181">
        <f>31889.28/1000</f>
        <v>31.889279999999999</v>
      </c>
      <c r="S1126" s="181">
        <f>TOBEPAID!S863/1000</f>
        <v>0</v>
      </c>
      <c r="T1126" s="181">
        <f>TOBEPAID!T863/1000</f>
        <v>0</v>
      </c>
      <c r="U1126" s="181">
        <f>TOBEPAID!U863/1000</f>
        <v>0</v>
      </c>
      <c r="V1126" s="181">
        <f>TOBEPAID!V863/1000</f>
        <v>0</v>
      </c>
      <c r="W1126" s="181">
        <f>TOBEPAID!W863/1000</f>
        <v>0</v>
      </c>
      <c r="X1126" s="181">
        <f>TOBEPAID!X863/1000</f>
        <v>0</v>
      </c>
      <c r="Y1126" s="181">
        <f>+H1126+R1126</f>
        <v>50589.836280000003</v>
      </c>
      <c r="Z1126" s="181">
        <f>+D1126-Y1126</f>
        <v>2418.886719999995</v>
      </c>
      <c r="AA1126" s="181">
        <f>TOBEPAID!AA863/1000</f>
        <v>0</v>
      </c>
      <c r="AB1126" s="181">
        <f>TOBEPAID!AB863/1000</f>
        <v>23713.938620000001</v>
      </c>
      <c r="AC1126" s="181"/>
      <c r="AD1126" s="181"/>
    </row>
    <row r="1127" spans="1:30" x14ac:dyDescent="0.2">
      <c r="A1127" s="180"/>
      <c r="C1127" s="168" t="s">
        <v>36</v>
      </c>
      <c r="D1127" s="181">
        <f>1371066/1000</f>
        <v>1371.066</v>
      </c>
      <c r="E1127" s="181">
        <f>TOBEPAID!E864/1000</f>
        <v>1371.06655</v>
      </c>
      <c r="F1127" s="181">
        <f>TOBEPAID!F864/1000</f>
        <v>0</v>
      </c>
      <c r="G1127" s="181">
        <f>TOBEPAID!G864/1000</f>
        <v>0</v>
      </c>
      <c r="H1127" s="181">
        <f>1371066/1000</f>
        <v>1371.066</v>
      </c>
      <c r="I1127" s="181">
        <f>TOBEPAID!I864/1000</f>
        <v>0</v>
      </c>
      <c r="J1127" s="181">
        <f>TOBEPAID!J864/1000</f>
        <v>0</v>
      </c>
      <c r="K1127" s="181">
        <f>TOBEPAID!K864/1000</f>
        <v>0</v>
      </c>
      <c r="L1127" s="181">
        <f>TOBEPAID!L864/1000</f>
        <v>0</v>
      </c>
      <c r="M1127" s="181">
        <f>TOBEPAID!M864/1000</f>
        <v>0</v>
      </c>
      <c r="N1127" s="181">
        <f>TOBEPAID!N864/1000</f>
        <v>1371.06655</v>
      </c>
      <c r="O1127" s="181">
        <f>TOBEPAID!O864/1000</f>
        <v>0</v>
      </c>
      <c r="P1127" s="181">
        <f>TOBEPAID!P864/1000</f>
        <v>0</v>
      </c>
      <c r="Q1127" s="181">
        <f>TOBEPAID!Q864/1000</f>
        <v>0</v>
      </c>
      <c r="R1127" s="181">
        <v>0</v>
      </c>
      <c r="S1127" s="181">
        <f>TOBEPAID!S864/1000</f>
        <v>0</v>
      </c>
      <c r="T1127" s="181">
        <f>TOBEPAID!T864/1000</f>
        <v>0</v>
      </c>
      <c r="U1127" s="181">
        <f>TOBEPAID!U864/1000</f>
        <v>0</v>
      </c>
      <c r="V1127" s="181">
        <f>TOBEPAID!V864/1000</f>
        <v>0</v>
      </c>
      <c r="W1127" s="181">
        <f>TOBEPAID!W864/1000</f>
        <v>0</v>
      </c>
      <c r="X1127" s="181">
        <f>TOBEPAID!X864/1000</f>
        <v>0</v>
      </c>
      <c r="Y1127" s="181">
        <f>+H1127+R1127</f>
        <v>1371.066</v>
      </c>
      <c r="Z1127" s="181">
        <f>+D1127-Y1127</f>
        <v>0</v>
      </c>
      <c r="AA1127" s="181">
        <f>TOBEPAID!AA864/1000</f>
        <v>1371.06655</v>
      </c>
      <c r="AB1127" s="181">
        <f>TOBEPAID!AB864/1000</f>
        <v>0</v>
      </c>
      <c r="AC1127" s="181"/>
      <c r="AD1127" s="181"/>
    </row>
    <row r="1128" spans="1:30" x14ac:dyDescent="0.2">
      <c r="A1128" s="180"/>
      <c r="C1128" s="166" t="s">
        <v>37</v>
      </c>
      <c r="D1128" s="181">
        <v>0</v>
      </c>
      <c r="E1128" s="181">
        <f>TOBEPAID!E865/1000</f>
        <v>0</v>
      </c>
      <c r="F1128" s="181">
        <f>TOBEPAID!F865/1000</f>
        <v>0</v>
      </c>
      <c r="G1128" s="181">
        <f>TOBEPAID!G865/1000</f>
        <v>0</v>
      </c>
      <c r="H1128" s="181">
        <v>0</v>
      </c>
      <c r="I1128" s="181">
        <f>TOBEPAID!I865/1000</f>
        <v>0</v>
      </c>
      <c r="J1128" s="181">
        <f>TOBEPAID!J865/1000</f>
        <v>0</v>
      </c>
      <c r="K1128" s="181">
        <f>TOBEPAID!K865/1000</f>
        <v>0</v>
      </c>
      <c r="L1128" s="181">
        <f>TOBEPAID!L865/1000</f>
        <v>0</v>
      </c>
      <c r="M1128" s="181">
        <f>TOBEPAID!M865/1000</f>
        <v>0</v>
      </c>
      <c r="N1128" s="181">
        <f>TOBEPAID!N865/1000</f>
        <v>0</v>
      </c>
      <c r="O1128" s="181">
        <f>TOBEPAID!O865/1000</f>
        <v>0</v>
      </c>
      <c r="P1128" s="181">
        <f>TOBEPAID!P865/1000</f>
        <v>0</v>
      </c>
      <c r="Q1128" s="181">
        <f>TOBEPAID!Q865/1000</f>
        <v>0</v>
      </c>
      <c r="R1128" s="181">
        <v>0</v>
      </c>
      <c r="S1128" s="181">
        <f>TOBEPAID!S865/1000</f>
        <v>0</v>
      </c>
      <c r="T1128" s="181">
        <f>TOBEPAID!T865/1000</f>
        <v>0</v>
      </c>
      <c r="U1128" s="181">
        <f>TOBEPAID!U865/1000</f>
        <v>0</v>
      </c>
      <c r="V1128" s="181">
        <f>TOBEPAID!V865/1000</f>
        <v>0</v>
      </c>
      <c r="W1128" s="181">
        <f>TOBEPAID!W865/1000</f>
        <v>0</v>
      </c>
      <c r="X1128" s="181">
        <f>TOBEPAID!X865/1000</f>
        <v>0</v>
      </c>
      <c r="Y1128" s="181">
        <f>+H1128+R1128</f>
        <v>0</v>
      </c>
      <c r="Z1128" s="181">
        <f>+D1128-Y1128</f>
        <v>0</v>
      </c>
      <c r="AA1128" s="181">
        <f>TOBEPAID!AA865/1000</f>
        <v>0</v>
      </c>
      <c r="AB1128" s="181">
        <f>TOBEPAID!AB865/1000</f>
        <v>25836.691220000004</v>
      </c>
      <c r="AC1128" s="181"/>
      <c r="AD1128" s="181"/>
    </row>
    <row r="1129" spans="1:30" x14ac:dyDescent="0.2">
      <c r="A1129" s="180"/>
      <c r="C1129" s="192" t="s">
        <v>39</v>
      </c>
      <c r="D1129" s="181">
        <v>0</v>
      </c>
      <c r="E1129" s="181">
        <f>TOBEPAID!E866/1000</f>
        <v>0</v>
      </c>
      <c r="F1129" s="181">
        <f>TOBEPAID!F866/1000</f>
        <v>0</v>
      </c>
      <c r="G1129" s="181">
        <f>TOBEPAID!G866/1000</f>
        <v>0</v>
      </c>
      <c r="H1129" s="181">
        <v>0</v>
      </c>
      <c r="I1129" s="181">
        <f>TOBEPAID!I866/1000</f>
        <v>0</v>
      </c>
      <c r="J1129" s="181">
        <f>TOBEPAID!J866/1000</f>
        <v>0</v>
      </c>
      <c r="K1129" s="181">
        <f>TOBEPAID!K866/1000</f>
        <v>0</v>
      </c>
      <c r="L1129" s="181">
        <f>TOBEPAID!L866/1000</f>
        <v>0</v>
      </c>
      <c r="M1129" s="181">
        <f>TOBEPAID!M866/1000</f>
        <v>0</v>
      </c>
      <c r="N1129" s="181">
        <f>TOBEPAID!N866/1000</f>
        <v>0</v>
      </c>
      <c r="O1129" s="181">
        <f>TOBEPAID!O866/1000</f>
        <v>2341.08826</v>
      </c>
      <c r="P1129" s="181">
        <f>TOBEPAID!P866/1000</f>
        <v>0</v>
      </c>
      <c r="Q1129" s="181">
        <f>TOBEPAID!Q866/1000</f>
        <v>0</v>
      </c>
      <c r="R1129" s="181">
        <v>0</v>
      </c>
      <c r="S1129" s="181">
        <f>TOBEPAID!S866/1000</f>
        <v>0</v>
      </c>
      <c r="T1129" s="181">
        <f>TOBEPAID!T866/1000</f>
        <v>0</v>
      </c>
      <c r="U1129" s="181">
        <f>TOBEPAID!U866/1000</f>
        <v>0</v>
      </c>
      <c r="V1129" s="181">
        <f>TOBEPAID!V866/1000</f>
        <v>0</v>
      </c>
      <c r="W1129" s="181">
        <f>TOBEPAID!W866/1000</f>
        <v>0</v>
      </c>
      <c r="X1129" s="181">
        <f>TOBEPAID!X866/1000</f>
        <v>2341.08826</v>
      </c>
      <c r="Y1129" s="181">
        <f>+H1129+R1129</f>
        <v>0</v>
      </c>
      <c r="Z1129" s="181">
        <f>+D1129-Y1129</f>
        <v>0</v>
      </c>
      <c r="AA1129" s="181">
        <f>TOBEPAID!AA866/1000</f>
        <v>2341.08826</v>
      </c>
      <c r="AB1129" s="181">
        <f>TOBEPAID!AB866/1000</f>
        <v>1117.0051600000002</v>
      </c>
      <c r="AC1129" s="181"/>
      <c r="AD1129" s="181"/>
    </row>
    <row r="1130" spans="1:30" x14ac:dyDescent="0.2">
      <c r="A1130" s="180"/>
      <c r="D1130" s="182" t="s">
        <v>40</v>
      </c>
      <c r="E1130" s="182" t="s">
        <v>40</v>
      </c>
      <c r="F1130" s="182" t="s">
        <v>40</v>
      </c>
      <c r="G1130" s="182"/>
      <c r="H1130" s="182" t="s">
        <v>40</v>
      </c>
      <c r="I1130" s="182" t="s">
        <v>40</v>
      </c>
      <c r="J1130" s="182" t="s">
        <v>40</v>
      </c>
      <c r="K1130" s="182" t="s">
        <v>40</v>
      </c>
      <c r="L1130" s="182" t="s">
        <v>40</v>
      </c>
      <c r="M1130" s="182"/>
      <c r="N1130" s="182" t="s">
        <v>40</v>
      </c>
      <c r="O1130" s="182" t="s">
        <v>40</v>
      </c>
      <c r="P1130" s="182" t="s">
        <v>40</v>
      </c>
      <c r="Q1130" s="182"/>
      <c r="R1130" s="182" t="s">
        <v>40</v>
      </c>
      <c r="S1130" s="182" t="s">
        <v>40</v>
      </c>
      <c r="T1130" s="182" t="s">
        <v>40</v>
      </c>
      <c r="U1130" s="182" t="s">
        <v>40</v>
      </c>
      <c r="V1130" s="182" t="s">
        <v>40</v>
      </c>
      <c r="W1130" s="182"/>
      <c r="X1130" s="182" t="s">
        <v>40</v>
      </c>
      <c r="Y1130" s="182" t="s">
        <v>40</v>
      </c>
      <c r="Z1130" s="182" t="s">
        <v>40</v>
      </c>
      <c r="AA1130" s="182" t="s">
        <v>40</v>
      </c>
      <c r="AB1130" s="182" t="s">
        <v>40</v>
      </c>
      <c r="AC1130" s="182"/>
      <c r="AD1130" s="182"/>
    </row>
    <row r="1131" spans="1:30" x14ac:dyDescent="0.2">
      <c r="A1131" s="180"/>
      <c r="D1131" s="181">
        <f>SUM(D1126:D1129)</f>
        <v>54379.788999999997</v>
      </c>
      <c r="E1131" s="181">
        <f>SUM(E1126:E1129)</f>
        <v>1371.06655</v>
      </c>
      <c r="F1131" s="181">
        <f>SUM(F1126:F1129)</f>
        <v>0</v>
      </c>
      <c r="G1131" s="181"/>
      <c r="H1131" s="181">
        <f>SUM(H1126:H1129)</f>
        <v>51929.012999999999</v>
      </c>
      <c r="I1131" s="181">
        <f>SUM(I1126:I1129)</f>
        <v>0</v>
      </c>
      <c r="J1131" s="181">
        <f>SUM(J1126:J1129)</f>
        <v>0</v>
      </c>
      <c r="K1131" s="181">
        <f>SUM(K1126:K1129)</f>
        <v>0</v>
      </c>
      <c r="L1131" s="181">
        <f>SUM(L1126:L1129)</f>
        <v>0</v>
      </c>
      <c r="M1131" s="181"/>
      <c r="N1131" s="181">
        <f>SUM(N1126:N1129)</f>
        <v>1371.06655</v>
      </c>
      <c r="O1131" s="181">
        <f>SUM(O1126:O1129)</f>
        <v>2341.08826</v>
      </c>
      <c r="P1131" s="181">
        <f>SUM(P1126:P1129)</f>
        <v>0</v>
      </c>
      <c r="Q1131" s="181"/>
      <c r="R1131" s="181">
        <f>SUM(R1126:R1129)</f>
        <v>31.889279999999999</v>
      </c>
      <c r="S1131" s="181">
        <f>SUM(S1126:S1129)</f>
        <v>0</v>
      </c>
      <c r="T1131" s="181">
        <f>SUM(T1126:T1129)</f>
        <v>0</v>
      </c>
      <c r="U1131" s="181">
        <f>SUM(U1126:U1129)</f>
        <v>0</v>
      </c>
      <c r="V1131" s="181">
        <f>SUM(V1126:V1129)</f>
        <v>0</v>
      </c>
      <c r="W1131" s="181"/>
      <c r="X1131" s="181">
        <f>SUM(X1126:X1129)</f>
        <v>2341.08826</v>
      </c>
      <c r="Y1131" s="181">
        <f>SUM(Y1126:Y1129)</f>
        <v>51960.902280000002</v>
      </c>
      <c r="Z1131" s="181">
        <f>SUM(Z1126:Z1129)</f>
        <v>2418.886719999995</v>
      </c>
      <c r="AA1131" s="181">
        <f>SUM(AA1126:AA1129)</f>
        <v>3712.15481</v>
      </c>
      <c r="AB1131" s="181">
        <f>SUM(AB1126:AB1129)</f>
        <v>50667.635000000009</v>
      </c>
      <c r="AC1131" s="181"/>
      <c r="AD1131" s="181"/>
    </row>
    <row r="1132" spans="1:30" x14ac:dyDescent="0.2">
      <c r="A1132" s="180"/>
      <c r="B1132" s="165" t="s">
        <v>385</v>
      </c>
      <c r="D1132" s="182" t="s">
        <v>40</v>
      </c>
      <c r="E1132" s="182" t="s">
        <v>40</v>
      </c>
      <c r="F1132" s="182" t="s">
        <v>40</v>
      </c>
      <c r="G1132" s="182"/>
      <c r="H1132" s="182" t="s">
        <v>40</v>
      </c>
      <c r="I1132" s="182" t="s">
        <v>40</v>
      </c>
      <c r="J1132" s="182" t="s">
        <v>40</v>
      </c>
      <c r="K1132" s="182" t="s">
        <v>40</v>
      </c>
      <c r="L1132" s="182" t="s">
        <v>40</v>
      </c>
      <c r="M1132" s="182"/>
      <c r="N1132" s="182" t="s">
        <v>40</v>
      </c>
      <c r="O1132" s="182" t="s">
        <v>40</v>
      </c>
      <c r="P1132" s="182" t="s">
        <v>40</v>
      </c>
      <c r="Q1132" s="182"/>
      <c r="R1132" s="182" t="s">
        <v>40</v>
      </c>
      <c r="S1132" s="182" t="s">
        <v>40</v>
      </c>
      <c r="T1132" s="182" t="s">
        <v>40</v>
      </c>
      <c r="U1132" s="182" t="s">
        <v>40</v>
      </c>
      <c r="V1132" s="182" t="s">
        <v>40</v>
      </c>
      <c r="W1132" s="182"/>
      <c r="X1132" s="182" t="s">
        <v>40</v>
      </c>
      <c r="Y1132" s="182" t="s">
        <v>40</v>
      </c>
      <c r="Z1132" s="182" t="s">
        <v>40</v>
      </c>
      <c r="AA1132" s="182" t="s">
        <v>40</v>
      </c>
      <c r="AB1132" s="182" t="s">
        <v>40</v>
      </c>
      <c r="AC1132" s="182"/>
      <c r="AD1132" s="182"/>
    </row>
    <row r="1133" spans="1:30" ht="15.75" thickBot="1" x14ac:dyDescent="0.25">
      <c r="A1133" s="180"/>
      <c r="B1133" s="183" t="s">
        <v>292</v>
      </c>
      <c r="D1133" s="185">
        <f>3262808/1000</f>
        <v>3262.808</v>
      </c>
      <c r="E1133" s="182"/>
      <c r="F1133" s="182"/>
      <c r="G1133" s="182"/>
      <c r="H1133" s="182"/>
      <c r="I1133" s="182"/>
      <c r="J1133" s="182"/>
      <c r="K1133" s="182"/>
      <c r="L1133" s="182"/>
      <c r="M1133" s="182"/>
      <c r="N1133" s="182"/>
      <c r="O1133" s="182"/>
      <c r="P1133" s="182"/>
      <c r="Q1133" s="182"/>
      <c r="R1133" s="185">
        <f t="shared" ref="R1133:Y1133" si="208">3262808/1000</f>
        <v>3262.808</v>
      </c>
      <c r="S1133" s="185">
        <f t="shared" si="208"/>
        <v>3262.808</v>
      </c>
      <c r="T1133" s="185">
        <f t="shared" si="208"/>
        <v>3262.808</v>
      </c>
      <c r="U1133" s="185">
        <f t="shared" si="208"/>
        <v>3262.808</v>
      </c>
      <c r="V1133" s="185">
        <f t="shared" si="208"/>
        <v>3262.808</v>
      </c>
      <c r="W1133" s="185">
        <f t="shared" si="208"/>
        <v>3262.808</v>
      </c>
      <c r="X1133" s="185">
        <f t="shared" si="208"/>
        <v>3262.808</v>
      </c>
      <c r="Y1133" s="185">
        <f t="shared" si="208"/>
        <v>3262.808</v>
      </c>
      <c r="Z1133" s="185">
        <f>+D1133-Y1133</f>
        <v>0</v>
      </c>
      <c r="AA1133" s="182"/>
      <c r="AB1133" s="182"/>
      <c r="AC1133" s="182"/>
      <c r="AD1133" s="182"/>
    </row>
    <row r="1134" spans="1:30" ht="15.75" thickTop="1" x14ac:dyDescent="0.2">
      <c r="A1134" s="180"/>
      <c r="D1134" s="182"/>
      <c r="E1134" s="182"/>
      <c r="F1134" s="182"/>
      <c r="G1134" s="182"/>
      <c r="H1134" s="182"/>
      <c r="I1134" s="182"/>
      <c r="J1134" s="182"/>
      <c r="K1134" s="182"/>
      <c r="L1134" s="182"/>
      <c r="M1134" s="182"/>
      <c r="N1134" s="182"/>
      <c r="O1134" s="182"/>
      <c r="P1134" s="182"/>
      <c r="Q1134" s="182"/>
      <c r="R1134" s="182"/>
      <c r="S1134" s="182"/>
      <c r="T1134" s="182"/>
      <c r="U1134" s="182"/>
      <c r="V1134" s="182"/>
      <c r="W1134" s="182"/>
      <c r="X1134" s="182"/>
      <c r="Y1134" s="182"/>
      <c r="Z1134" s="182"/>
      <c r="AA1134" s="182"/>
      <c r="AB1134" s="182"/>
      <c r="AC1134" s="182"/>
      <c r="AD1134" s="182"/>
    </row>
    <row r="1135" spans="1:30" x14ac:dyDescent="0.2">
      <c r="A1135" s="180"/>
      <c r="D1135" s="182"/>
      <c r="E1135" s="182"/>
      <c r="F1135" s="182"/>
      <c r="G1135" s="182"/>
      <c r="H1135" s="182"/>
      <c r="I1135" s="182"/>
      <c r="J1135" s="182"/>
      <c r="K1135" s="182"/>
      <c r="L1135" s="182"/>
      <c r="M1135" s="182"/>
      <c r="N1135" s="182"/>
      <c r="O1135" s="182"/>
      <c r="P1135" s="182"/>
      <c r="Q1135" s="182"/>
      <c r="R1135" s="182"/>
      <c r="S1135" s="182"/>
      <c r="T1135" s="182"/>
      <c r="U1135" s="182"/>
      <c r="V1135" s="182"/>
      <c r="W1135" s="182"/>
      <c r="X1135" s="182"/>
      <c r="Y1135" s="182"/>
      <c r="Z1135" s="182"/>
      <c r="AA1135" s="182"/>
      <c r="AB1135" s="182"/>
      <c r="AC1135" s="182"/>
      <c r="AD1135" s="182"/>
    </row>
    <row r="1136" spans="1:30" x14ac:dyDescent="0.2">
      <c r="B1136" s="226"/>
      <c r="C1136" s="174"/>
      <c r="D1136" s="205"/>
      <c r="E1136" s="205"/>
      <c r="F1136" s="205"/>
      <c r="G1136" s="205"/>
      <c r="H1136" s="205"/>
      <c r="I1136" s="205"/>
      <c r="J1136" s="205"/>
      <c r="K1136" s="205"/>
      <c r="L1136" s="205"/>
      <c r="M1136" s="205"/>
      <c r="N1136" s="205"/>
      <c r="O1136" s="205"/>
      <c r="P1136" s="205"/>
      <c r="Q1136" s="205"/>
      <c r="R1136" s="205"/>
      <c r="S1136" s="205"/>
      <c r="T1136" s="205"/>
      <c r="U1136" s="205"/>
      <c r="V1136" s="205"/>
      <c r="W1136" s="205"/>
      <c r="X1136" s="205"/>
      <c r="Y1136" s="205"/>
      <c r="Z1136" s="205"/>
      <c r="AA1136" s="181">
        <f>TOBEPAID!AA870/1000</f>
        <v>0</v>
      </c>
      <c r="AB1136" s="181">
        <f>TOBEPAID!AB870/1000</f>
        <v>0</v>
      </c>
      <c r="AC1136" s="181"/>
      <c r="AD1136" s="181"/>
    </row>
    <row r="1137" spans="1:30" x14ac:dyDescent="0.2">
      <c r="A1137" s="180">
        <v>89</v>
      </c>
      <c r="B1137" s="166" t="s">
        <v>108</v>
      </c>
      <c r="C1137" s="166" t="s">
        <v>35</v>
      </c>
      <c r="D1137" s="181">
        <f>42417732/1000</f>
        <v>42417.732000000004</v>
      </c>
      <c r="E1137" s="181">
        <f>TOBEPAID!E871/1000</f>
        <v>0</v>
      </c>
      <c r="F1137" s="181">
        <f>TOBEPAID!F871/1000</f>
        <v>0</v>
      </c>
      <c r="G1137" s="181">
        <f>TOBEPAID!G871/1000</f>
        <v>0</v>
      </c>
      <c r="H1137" s="181">
        <f>24126850/1000</f>
        <v>24126.85</v>
      </c>
      <c r="I1137" s="181">
        <f>TOBEPAID!I871/1000</f>
        <v>0</v>
      </c>
      <c r="J1137" s="181">
        <f>TOBEPAID!J871/1000</f>
        <v>0</v>
      </c>
      <c r="K1137" s="181">
        <f>TOBEPAID!K871/1000</f>
        <v>0</v>
      </c>
      <c r="L1137" s="181">
        <f>TOBEPAID!L871/1000</f>
        <v>0</v>
      </c>
      <c r="M1137" s="181">
        <f>TOBEPAID!M871/1000</f>
        <v>0</v>
      </c>
      <c r="N1137" s="181">
        <f>TOBEPAID!N871/1000</f>
        <v>0</v>
      </c>
      <c r="O1137" s="181">
        <f>TOBEPAID!O871/1000</f>
        <v>0</v>
      </c>
      <c r="P1137" s="181">
        <f>TOBEPAID!P871/1000</f>
        <v>0</v>
      </c>
      <c r="Q1137" s="181">
        <f>TOBEPAID!Q871/1000</f>
        <v>0</v>
      </c>
      <c r="R1137" s="181">
        <v>0</v>
      </c>
      <c r="S1137" s="181">
        <f>TOBEPAID!S871/1000</f>
        <v>0</v>
      </c>
      <c r="T1137" s="181">
        <f>TOBEPAID!T871/1000</f>
        <v>0</v>
      </c>
      <c r="U1137" s="181">
        <f>TOBEPAID!U871/1000</f>
        <v>0</v>
      </c>
      <c r="V1137" s="181">
        <f>TOBEPAID!V871/1000</f>
        <v>0</v>
      </c>
      <c r="W1137" s="181">
        <f>TOBEPAID!W871/1000</f>
        <v>0</v>
      </c>
      <c r="X1137" s="181">
        <f>TOBEPAID!X871/1000</f>
        <v>0</v>
      </c>
      <c r="Y1137" s="181">
        <f>+H1137+R1137</f>
        <v>24126.85</v>
      </c>
      <c r="Z1137" s="181">
        <f>+D1137-Y1137</f>
        <v>18290.882000000005</v>
      </c>
      <c r="AA1137" s="181">
        <f>TOBEPAID!AA871/1000</f>
        <v>0</v>
      </c>
      <c r="AB1137" s="181">
        <f>TOBEPAID!AB871/1000</f>
        <v>42417.732109999997</v>
      </c>
      <c r="AC1137" s="181"/>
      <c r="AD1137" s="181"/>
    </row>
    <row r="1138" spans="1:30" x14ac:dyDescent="0.2">
      <c r="A1138" s="180"/>
      <c r="C1138" s="168" t="s">
        <v>36</v>
      </c>
      <c r="D1138" s="181">
        <f>2071774/1000</f>
        <v>2071.7739999999999</v>
      </c>
      <c r="E1138" s="181">
        <f>TOBEPAID!E872/1000</f>
        <v>2071.7748300000003</v>
      </c>
      <c r="F1138" s="181">
        <f>TOBEPAID!F872/1000</f>
        <v>0</v>
      </c>
      <c r="G1138" s="181">
        <f>TOBEPAID!G872/1000</f>
        <v>0</v>
      </c>
      <c r="H1138" s="181">
        <f>2071774/1000</f>
        <v>2071.7739999999999</v>
      </c>
      <c r="I1138" s="181">
        <f>TOBEPAID!I872/1000</f>
        <v>0</v>
      </c>
      <c r="J1138" s="181">
        <f>TOBEPAID!J872/1000</f>
        <v>0</v>
      </c>
      <c r="K1138" s="181">
        <f>TOBEPAID!K872/1000</f>
        <v>0</v>
      </c>
      <c r="L1138" s="181">
        <f>TOBEPAID!L872/1000</f>
        <v>0</v>
      </c>
      <c r="M1138" s="181">
        <f>TOBEPAID!M872/1000</f>
        <v>0</v>
      </c>
      <c r="N1138" s="181">
        <f>TOBEPAID!N872/1000</f>
        <v>2071.7748300000003</v>
      </c>
      <c r="O1138" s="181">
        <f>TOBEPAID!O872/1000</f>
        <v>0</v>
      </c>
      <c r="P1138" s="181">
        <f>TOBEPAID!P872/1000</f>
        <v>0</v>
      </c>
      <c r="Q1138" s="181">
        <f>TOBEPAID!Q872/1000</f>
        <v>0</v>
      </c>
      <c r="R1138" s="181">
        <v>0</v>
      </c>
      <c r="S1138" s="181">
        <f>TOBEPAID!S872/1000</f>
        <v>0</v>
      </c>
      <c r="T1138" s="181">
        <f>TOBEPAID!T872/1000</f>
        <v>0</v>
      </c>
      <c r="U1138" s="181">
        <f>TOBEPAID!U872/1000</f>
        <v>0</v>
      </c>
      <c r="V1138" s="181">
        <f>TOBEPAID!V872/1000</f>
        <v>0</v>
      </c>
      <c r="W1138" s="181">
        <f>TOBEPAID!W872/1000</f>
        <v>0</v>
      </c>
      <c r="X1138" s="181">
        <f>TOBEPAID!X872/1000</f>
        <v>0</v>
      </c>
      <c r="Y1138" s="181">
        <f>+H1138+R1138</f>
        <v>2071.7739999999999</v>
      </c>
      <c r="Z1138" s="181">
        <f>+D1138-Y1138</f>
        <v>0</v>
      </c>
      <c r="AA1138" s="181">
        <f>TOBEPAID!AA872/1000</f>
        <v>2071.7748300000003</v>
      </c>
      <c r="AB1138" s="181">
        <f>TOBEPAID!AB872/1000</f>
        <v>0</v>
      </c>
      <c r="AC1138" s="181"/>
      <c r="AD1138" s="181"/>
    </row>
    <row r="1139" spans="1:30" x14ac:dyDescent="0.2">
      <c r="A1139" s="180"/>
      <c r="C1139" s="166" t="s">
        <v>37</v>
      </c>
      <c r="D1139" s="181">
        <f>48918542/1000</f>
        <v>48918.542000000001</v>
      </c>
      <c r="E1139" s="181">
        <f>TOBEPAID!E873/1000</f>
        <v>0</v>
      </c>
      <c r="F1139" s="181">
        <f>TOBEPAID!F873/1000</f>
        <v>0</v>
      </c>
      <c r="G1139" s="181">
        <f>TOBEPAID!G873/1000</f>
        <v>0</v>
      </c>
      <c r="H1139" s="181">
        <v>0</v>
      </c>
      <c r="I1139" s="181">
        <f>TOBEPAID!I873/1000</f>
        <v>0</v>
      </c>
      <c r="J1139" s="181">
        <f>TOBEPAID!J873/1000</f>
        <v>0</v>
      </c>
      <c r="K1139" s="181">
        <f>TOBEPAID!K873/1000</f>
        <v>0</v>
      </c>
      <c r="L1139" s="181">
        <f>TOBEPAID!L873/1000</f>
        <v>0</v>
      </c>
      <c r="M1139" s="181">
        <f>TOBEPAID!M873/1000</f>
        <v>0</v>
      </c>
      <c r="N1139" s="181">
        <f>TOBEPAID!N873/1000</f>
        <v>0</v>
      </c>
      <c r="O1139" s="181">
        <f>TOBEPAID!O873/1000</f>
        <v>0</v>
      </c>
      <c r="P1139" s="181">
        <f>TOBEPAID!P873/1000</f>
        <v>0</v>
      </c>
      <c r="Q1139" s="181">
        <f>TOBEPAID!Q873/1000</f>
        <v>0</v>
      </c>
      <c r="R1139" s="181">
        <v>0</v>
      </c>
      <c r="S1139" s="181">
        <f>TOBEPAID!S873/1000</f>
        <v>0</v>
      </c>
      <c r="T1139" s="181">
        <f>TOBEPAID!T873/1000</f>
        <v>0</v>
      </c>
      <c r="U1139" s="181">
        <f>TOBEPAID!U873/1000</f>
        <v>0</v>
      </c>
      <c r="V1139" s="181">
        <f>TOBEPAID!V873/1000</f>
        <v>0</v>
      </c>
      <c r="W1139" s="181">
        <f>TOBEPAID!W873/1000</f>
        <v>0</v>
      </c>
      <c r="X1139" s="181">
        <f>TOBEPAID!X873/1000</f>
        <v>0</v>
      </c>
      <c r="Y1139" s="181">
        <f>+H1139+R1139</f>
        <v>0</v>
      </c>
      <c r="Z1139" s="181">
        <f>+D1139-Y1139</f>
        <v>48918.542000000001</v>
      </c>
      <c r="AA1139" s="181">
        <f>TOBEPAID!AA873/1000</f>
        <v>0</v>
      </c>
      <c r="AB1139" s="181">
        <f>TOBEPAID!AB873/1000</f>
        <v>48918.542439999997</v>
      </c>
      <c r="AC1139" s="181"/>
      <c r="AD1139" s="181"/>
    </row>
    <row r="1140" spans="1:30" ht="14.25" customHeight="1" x14ac:dyDescent="0.2">
      <c r="A1140" s="180"/>
      <c r="C1140" s="166" t="s">
        <v>38</v>
      </c>
      <c r="D1140" s="181">
        <f>3688000/1000</f>
        <v>3688</v>
      </c>
      <c r="E1140" s="181">
        <f>TOBEPAID!E874/1000</f>
        <v>0</v>
      </c>
      <c r="F1140" s="181">
        <f>TOBEPAID!F874/1000</f>
        <v>0</v>
      </c>
      <c r="G1140" s="181">
        <f>TOBEPAID!G874/1000</f>
        <v>0</v>
      </c>
      <c r="H1140" s="181">
        <v>0</v>
      </c>
      <c r="I1140" s="181">
        <f>TOBEPAID!I874/1000</f>
        <v>0</v>
      </c>
      <c r="J1140" s="181">
        <f>TOBEPAID!J874/1000</f>
        <v>0</v>
      </c>
      <c r="K1140" s="181">
        <f>TOBEPAID!K874/1000</f>
        <v>0</v>
      </c>
      <c r="L1140" s="181">
        <f>TOBEPAID!L874/1000</f>
        <v>0</v>
      </c>
      <c r="M1140" s="181">
        <f>TOBEPAID!M874/1000</f>
        <v>0</v>
      </c>
      <c r="N1140" s="181">
        <f>TOBEPAID!N874/1000</f>
        <v>0</v>
      </c>
      <c r="O1140" s="181">
        <f>TOBEPAID!O874/1000</f>
        <v>0</v>
      </c>
      <c r="P1140" s="181">
        <f>TOBEPAID!P874/1000</f>
        <v>0</v>
      </c>
      <c r="Q1140" s="181">
        <f>TOBEPAID!Q874/1000</f>
        <v>0</v>
      </c>
      <c r="R1140" s="181">
        <v>0</v>
      </c>
      <c r="S1140" s="181">
        <f>TOBEPAID!S874/1000</f>
        <v>0</v>
      </c>
      <c r="T1140" s="181">
        <f>TOBEPAID!T874/1000</f>
        <v>0</v>
      </c>
      <c r="U1140" s="181">
        <f>TOBEPAID!U874/1000</f>
        <v>0</v>
      </c>
      <c r="V1140" s="181">
        <f>TOBEPAID!V874/1000</f>
        <v>0</v>
      </c>
      <c r="W1140" s="181">
        <f>TOBEPAID!W874/1000</f>
        <v>0</v>
      </c>
      <c r="X1140" s="181">
        <f>TOBEPAID!X874/1000</f>
        <v>0</v>
      </c>
      <c r="Y1140" s="181">
        <f>+H1140+R1140</f>
        <v>0</v>
      </c>
      <c r="Z1140" s="181">
        <f>+D1140-Y1140</f>
        <v>3688</v>
      </c>
      <c r="AA1140" s="181">
        <f>TOBEPAID!AA874/1000</f>
        <v>0</v>
      </c>
      <c r="AB1140" s="181">
        <f>TOBEPAID!AB874/1000</f>
        <v>3688</v>
      </c>
      <c r="AC1140" s="181"/>
      <c r="AD1140" s="181"/>
    </row>
    <row r="1141" spans="1:30" ht="13.5" customHeight="1" x14ac:dyDescent="0.2">
      <c r="A1141" s="180"/>
      <c r="C1141" s="192" t="s">
        <v>39</v>
      </c>
      <c r="D1141" s="181">
        <f>4532202/1000</f>
        <v>4532.2020000000002</v>
      </c>
      <c r="E1141" s="181">
        <f>TOBEPAID!E875/1000</f>
        <v>0</v>
      </c>
      <c r="F1141" s="181">
        <f>TOBEPAID!F875/1000</f>
        <v>0</v>
      </c>
      <c r="G1141" s="181">
        <f>TOBEPAID!G875/1000</f>
        <v>0</v>
      </c>
      <c r="H1141" s="181">
        <v>0</v>
      </c>
      <c r="I1141" s="181">
        <f>TOBEPAID!I875/1000</f>
        <v>0</v>
      </c>
      <c r="J1141" s="181">
        <f>TOBEPAID!J875/1000</f>
        <v>0</v>
      </c>
      <c r="K1141" s="181">
        <f>TOBEPAID!K875/1000</f>
        <v>0</v>
      </c>
      <c r="L1141" s="181">
        <f>TOBEPAID!L875/1000</f>
        <v>0</v>
      </c>
      <c r="M1141" s="181">
        <f>TOBEPAID!M875/1000</f>
        <v>0</v>
      </c>
      <c r="N1141" s="181">
        <f>TOBEPAID!N875/1000</f>
        <v>0</v>
      </c>
      <c r="O1141" s="181">
        <f>TOBEPAID!O875/1000</f>
        <v>0</v>
      </c>
      <c r="P1141" s="181">
        <f>TOBEPAID!P875/1000</f>
        <v>0</v>
      </c>
      <c r="Q1141" s="181">
        <f>TOBEPAID!Q875/1000</f>
        <v>0</v>
      </c>
      <c r="R1141" s="181">
        <v>0</v>
      </c>
      <c r="S1141" s="181">
        <f>TOBEPAID!S875/1000</f>
        <v>0</v>
      </c>
      <c r="T1141" s="181">
        <f>TOBEPAID!T875/1000</f>
        <v>0</v>
      </c>
      <c r="U1141" s="181">
        <f>TOBEPAID!U875/1000</f>
        <v>0</v>
      </c>
      <c r="V1141" s="181">
        <f>TOBEPAID!V875/1000</f>
        <v>0</v>
      </c>
      <c r="W1141" s="181">
        <f>TOBEPAID!W875/1000</f>
        <v>0</v>
      </c>
      <c r="X1141" s="181">
        <f>TOBEPAID!X875/1000</f>
        <v>0</v>
      </c>
      <c r="Y1141" s="181">
        <f>+H1141+R1141</f>
        <v>0</v>
      </c>
      <c r="Z1141" s="181">
        <f>+D1141-Y1141</f>
        <v>4532.2020000000002</v>
      </c>
      <c r="AA1141" s="181">
        <f>TOBEPAID!AA875/1000</f>
        <v>0</v>
      </c>
      <c r="AB1141" s="181">
        <f>TOBEPAID!AB875/1000</f>
        <v>4532.20226</v>
      </c>
      <c r="AC1141" s="181"/>
      <c r="AD1141" s="181"/>
    </row>
    <row r="1142" spans="1:30" x14ac:dyDescent="0.2">
      <c r="A1142" s="180"/>
      <c r="D1142" s="182" t="s">
        <v>40</v>
      </c>
      <c r="E1142" s="182" t="s">
        <v>40</v>
      </c>
      <c r="F1142" s="182" t="s">
        <v>40</v>
      </c>
      <c r="G1142" s="182"/>
      <c r="H1142" s="182" t="s">
        <v>40</v>
      </c>
      <c r="I1142" s="182" t="s">
        <v>40</v>
      </c>
      <c r="J1142" s="182" t="s">
        <v>40</v>
      </c>
      <c r="K1142" s="182" t="s">
        <v>40</v>
      </c>
      <c r="L1142" s="182" t="s">
        <v>40</v>
      </c>
      <c r="M1142" s="182"/>
      <c r="N1142" s="182" t="s">
        <v>40</v>
      </c>
      <c r="O1142" s="182" t="s">
        <v>40</v>
      </c>
      <c r="P1142" s="182" t="s">
        <v>40</v>
      </c>
      <c r="Q1142" s="182"/>
      <c r="R1142" s="182" t="s">
        <v>40</v>
      </c>
      <c r="S1142" s="182" t="s">
        <v>40</v>
      </c>
      <c r="T1142" s="182" t="s">
        <v>40</v>
      </c>
      <c r="U1142" s="182" t="s">
        <v>40</v>
      </c>
      <c r="V1142" s="182" t="s">
        <v>40</v>
      </c>
      <c r="W1142" s="182"/>
      <c r="X1142" s="182" t="s">
        <v>40</v>
      </c>
      <c r="Y1142" s="182" t="s">
        <v>40</v>
      </c>
      <c r="Z1142" s="182" t="s">
        <v>40</v>
      </c>
      <c r="AA1142" s="182" t="s">
        <v>40</v>
      </c>
      <c r="AB1142" s="182" t="s">
        <v>40</v>
      </c>
      <c r="AC1142" s="182"/>
      <c r="AD1142" s="182"/>
    </row>
    <row r="1143" spans="1:30" ht="16.5" customHeight="1" x14ac:dyDescent="0.2">
      <c r="A1143" s="180"/>
      <c r="D1143" s="181">
        <f>SUM(D1137:D1141)</f>
        <v>101628.25000000001</v>
      </c>
      <c r="E1143" s="181">
        <f>SUM(E1137:E1141)</f>
        <v>2071.7748300000003</v>
      </c>
      <c r="F1143" s="181">
        <f>SUM(F1137:F1141)</f>
        <v>0</v>
      </c>
      <c r="G1143" s="181"/>
      <c r="H1143" s="181">
        <f>SUM(H1137:H1141)</f>
        <v>26198.624</v>
      </c>
      <c r="I1143" s="181">
        <f>SUM(I1137:I1141)</f>
        <v>0</v>
      </c>
      <c r="J1143" s="181">
        <f>SUM(J1137:J1141)</f>
        <v>0</v>
      </c>
      <c r="K1143" s="181">
        <f>SUM(K1137:K1141)</f>
        <v>0</v>
      </c>
      <c r="L1143" s="181">
        <f>SUM(L1137:L1141)</f>
        <v>0</v>
      </c>
      <c r="M1143" s="181"/>
      <c r="N1143" s="181">
        <f>SUM(N1137:N1141)</f>
        <v>2071.7748300000003</v>
      </c>
      <c r="O1143" s="181">
        <f>SUM(O1137:O1141)</f>
        <v>0</v>
      </c>
      <c r="P1143" s="181">
        <f>SUM(P1137:P1141)</f>
        <v>0</v>
      </c>
      <c r="Q1143" s="181"/>
      <c r="R1143" s="181">
        <f>SUM(R1137:R1141)</f>
        <v>0</v>
      </c>
      <c r="S1143" s="181">
        <f>SUM(S1137:S1141)</f>
        <v>0</v>
      </c>
      <c r="T1143" s="181">
        <f>SUM(T1137:T1141)</f>
        <v>0</v>
      </c>
      <c r="U1143" s="181">
        <f>SUM(U1137:U1141)</f>
        <v>0</v>
      </c>
      <c r="V1143" s="181">
        <f>SUM(V1137:V1141)</f>
        <v>0</v>
      </c>
      <c r="W1143" s="181"/>
      <c r="X1143" s="181">
        <f>SUM(X1137:X1141)</f>
        <v>0</v>
      </c>
      <c r="Y1143" s="181">
        <f>SUM(Y1137:Y1141)</f>
        <v>26198.624</v>
      </c>
      <c r="Z1143" s="181">
        <f>SUM(Z1137:Z1141)</f>
        <v>75429.626000000004</v>
      </c>
      <c r="AA1143" s="181">
        <f>SUM(AA1137:AA1141)</f>
        <v>2071.7748300000003</v>
      </c>
      <c r="AB1143" s="181">
        <f>SUM(AB1137:AB1141)</f>
        <v>99556.476810000007</v>
      </c>
      <c r="AC1143" s="181"/>
      <c r="AD1143" s="181"/>
    </row>
    <row r="1144" spans="1:30" ht="17.25" customHeight="1" x14ac:dyDescent="0.2">
      <c r="A1144" s="180"/>
      <c r="B1144" s="165" t="s">
        <v>386</v>
      </c>
      <c r="D1144" s="182" t="s">
        <v>40</v>
      </c>
      <c r="E1144" s="182" t="s">
        <v>40</v>
      </c>
      <c r="F1144" s="182" t="s">
        <v>40</v>
      </c>
      <c r="G1144" s="182"/>
      <c r="H1144" s="182" t="s">
        <v>40</v>
      </c>
      <c r="I1144" s="182" t="s">
        <v>40</v>
      </c>
      <c r="J1144" s="182" t="s">
        <v>40</v>
      </c>
      <c r="K1144" s="182" t="s">
        <v>40</v>
      </c>
      <c r="L1144" s="182" t="s">
        <v>40</v>
      </c>
      <c r="M1144" s="182"/>
      <c r="N1144" s="182" t="s">
        <v>40</v>
      </c>
      <c r="O1144" s="182" t="s">
        <v>40</v>
      </c>
      <c r="P1144" s="182" t="s">
        <v>40</v>
      </c>
      <c r="Q1144" s="182"/>
      <c r="R1144" s="182" t="s">
        <v>40</v>
      </c>
      <c r="S1144" s="182" t="s">
        <v>40</v>
      </c>
      <c r="T1144" s="182" t="s">
        <v>40</v>
      </c>
      <c r="U1144" s="182" t="s">
        <v>40</v>
      </c>
      <c r="V1144" s="182" t="s">
        <v>40</v>
      </c>
      <c r="W1144" s="182"/>
      <c r="X1144" s="182" t="s">
        <v>40</v>
      </c>
      <c r="Y1144" s="182" t="s">
        <v>40</v>
      </c>
      <c r="Z1144" s="182" t="s">
        <v>40</v>
      </c>
      <c r="AA1144" s="182" t="s">
        <v>40</v>
      </c>
      <c r="AB1144" s="182" t="s">
        <v>40</v>
      </c>
      <c r="AC1144" s="182"/>
      <c r="AD1144" s="182"/>
    </row>
    <row r="1145" spans="1:30" ht="16.5" customHeight="1" thickBot="1" x14ac:dyDescent="0.25">
      <c r="B1145" s="183" t="s">
        <v>292</v>
      </c>
      <c r="D1145" s="184">
        <v>0</v>
      </c>
      <c r="E1145" s="205">
        <f>TOBEPAID!E879/1000</f>
        <v>0</v>
      </c>
      <c r="F1145" s="205">
        <f>TOBEPAID!F879/1000</f>
        <v>0</v>
      </c>
      <c r="G1145" s="205">
        <f>TOBEPAID!G879/1000</f>
        <v>0</v>
      </c>
      <c r="H1145" s="205"/>
      <c r="I1145" s="205">
        <f>TOBEPAID!I879/1000</f>
        <v>0</v>
      </c>
      <c r="J1145" s="205">
        <f>TOBEPAID!J879/1000</f>
        <v>0</v>
      </c>
      <c r="K1145" s="205">
        <f>TOBEPAID!K879/1000</f>
        <v>0</v>
      </c>
      <c r="L1145" s="205">
        <f>TOBEPAID!L879/1000</f>
        <v>0</v>
      </c>
      <c r="M1145" s="205">
        <f>TOBEPAID!M879/1000</f>
        <v>0</v>
      </c>
      <c r="N1145" s="205">
        <f>TOBEPAID!N879/1000</f>
        <v>0</v>
      </c>
      <c r="O1145" s="205">
        <f>TOBEPAID!O879/1000</f>
        <v>181.75254999999999</v>
      </c>
      <c r="P1145" s="205">
        <f>TOBEPAID!P879/1000</f>
        <v>0</v>
      </c>
      <c r="Q1145" s="205">
        <f>TOBEPAID!Q879/1000</f>
        <v>0</v>
      </c>
      <c r="R1145" s="184">
        <v>0</v>
      </c>
      <c r="S1145" s="184">
        <f t="shared" ref="S1145:X1145" si="209">181752/1000</f>
        <v>181.75200000000001</v>
      </c>
      <c r="T1145" s="184">
        <f t="shared" si="209"/>
        <v>181.75200000000001</v>
      </c>
      <c r="U1145" s="184">
        <f t="shared" si="209"/>
        <v>181.75200000000001</v>
      </c>
      <c r="V1145" s="184">
        <f t="shared" si="209"/>
        <v>181.75200000000001</v>
      </c>
      <c r="W1145" s="184">
        <f t="shared" si="209"/>
        <v>181.75200000000001</v>
      </c>
      <c r="X1145" s="184">
        <f t="shared" si="209"/>
        <v>181.75200000000001</v>
      </c>
      <c r="Y1145" s="184">
        <v>0</v>
      </c>
      <c r="Z1145" s="184">
        <f>+D1145-Y1145</f>
        <v>0</v>
      </c>
      <c r="AA1145" s="181">
        <f>TOBEPAID!AA879/1000</f>
        <v>0</v>
      </c>
      <c r="AB1145" s="181">
        <f>TOBEPAID!AB879/1000</f>
        <v>0</v>
      </c>
      <c r="AC1145" s="181"/>
      <c r="AD1145" s="181"/>
    </row>
    <row r="1146" spans="1:30" ht="15.75" thickTop="1" x14ac:dyDescent="0.2">
      <c r="D1146" s="181"/>
      <c r="E1146" s="181"/>
      <c r="F1146" s="181"/>
      <c r="G1146" s="181"/>
      <c r="H1146" s="181"/>
      <c r="I1146" s="181"/>
      <c r="J1146" s="181"/>
      <c r="K1146" s="181"/>
      <c r="L1146" s="181"/>
      <c r="M1146" s="181"/>
      <c r="N1146" s="181"/>
      <c r="O1146" s="181"/>
      <c r="P1146" s="181"/>
      <c r="Q1146" s="181"/>
      <c r="R1146" s="181"/>
      <c r="S1146" s="181"/>
      <c r="T1146" s="181"/>
      <c r="U1146" s="181"/>
      <c r="V1146" s="181"/>
      <c r="W1146" s="181"/>
      <c r="X1146" s="181"/>
      <c r="Y1146" s="181"/>
      <c r="Z1146" s="181"/>
      <c r="AA1146" s="181">
        <f>TOBEPAID!AA880/1000</f>
        <v>0</v>
      </c>
      <c r="AB1146" s="181">
        <f>TOBEPAID!AB880/1000</f>
        <v>0</v>
      </c>
      <c r="AC1146" s="181"/>
      <c r="AD1146" s="181"/>
    </row>
    <row r="1147" spans="1:30" x14ac:dyDescent="0.2">
      <c r="D1147" s="181"/>
      <c r="E1147" s="181"/>
      <c r="F1147" s="181"/>
      <c r="G1147" s="181"/>
      <c r="H1147" s="181"/>
      <c r="I1147" s="181"/>
      <c r="J1147" s="181"/>
      <c r="K1147" s="181"/>
      <c r="L1147" s="181"/>
      <c r="M1147" s="181"/>
      <c r="N1147" s="181"/>
      <c r="O1147" s="181"/>
      <c r="P1147" s="181"/>
      <c r="Q1147" s="181"/>
      <c r="R1147" s="181"/>
      <c r="S1147" s="181"/>
      <c r="T1147" s="181"/>
      <c r="U1147" s="181"/>
      <c r="V1147" s="181"/>
      <c r="W1147" s="181"/>
      <c r="X1147" s="181"/>
      <c r="Y1147" s="181"/>
      <c r="Z1147" s="181"/>
      <c r="AA1147" s="181">
        <f>TOBEPAID!AA881/1000</f>
        <v>0</v>
      </c>
      <c r="AB1147" s="181">
        <f>TOBEPAID!AB881/1000</f>
        <v>0</v>
      </c>
      <c r="AC1147" s="181"/>
      <c r="AD1147" s="181"/>
    </row>
    <row r="1148" spans="1:30" x14ac:dyDescent="0.2">
      <c r="A1148" s="180">
        <v>90</v>
      </c>
      <c r="B1148" s="166" t="s">
        <v>109</v>
      </c>
      <c r="C1148" s="166" t="s">
        <v>74</v>
      </c>
      <c r="D1148" s="181">
        <f>47824960/1000</f>
        <v>47824.959999999999</v>
      </c>
      <c r="E1148" s="181">
        <f>TOBEPAID!E882/1000</f>
        <v>8603</v>
      </c>
      <c r="F1148" s="181">
        <f>TOBEPAID!F882/1000</f>
        <v>0</v>
      </c>
      <c r="G1148" s="181">
        <f>TOBEPAID!G882/1000</f>
        <v>0</v>
      </c>
      <c r="H1148" s="181">
        <f>47824960/1000</f>
        <v>47824.959999999999</v>
      </c>
      <c r="I1148" s="181">
        <f>TOBEPAID!I882/1000</f>
        <v>0</v>
      </c>
      <c r="J1148" s="181">
        <f>TOBEPAID!J882/1000</f>
        <v>0</v>
      </c>
      <c r="K1148" s="181">
        <f>TOBEPAID!K882/1000</f>
        <v>0</v>
      </c>
      <c r="L1148" s="181">
        <f>TOBEPAID!L882/1000</f>
        <v>0</v>
      </c>
      <c r="M1148" s="181">
        <f>TOBEPAID!M882/1000</f>
        <v>0</v>
      </c>
      <c r="N1148" s="181">
        <f>TOBEPAID!N882/1000</f>
        <v>8603</v>
      </c>
      <c r="O1148" s="181">
        <f>TOBEPAID!O882/1000</f>
        <v>0</v>
      </c>
      <c r="P1148" s="181">
        <f>TOBEPAID!P882/1000</f>
        <v>0</v>
      </c>
      <c r="Q1148" s="181">
        <f>TOBEPAID!Q882/1000</f>
        <v>0</v>
      </c>
      <c r="R1148" s="181">
        <v>0</v>
      </c>
      <c r="S1148" s="181">
        <f>TOBEPAID!S882/1000</f>
        <v>0</v>
      </c>
      <c r="T1148" s="181">
        <f>TOBEPAID!T882/1000</f>
        <v>0</v>
      </c>
      <c r="U1148" s="181">
        <f>TOBEPAID!U882/1000</f>
        <v>0</v>
      </c>
      <c r="V1148" s="181">
        <f>TOBEPAID!V882/1000</f>
        <v>0</v>
      </c>
      <c r="W1148" s="181">
        <f>TOBEPAID!W882/1000</f>
        <v>0</v>
      </c>
      <c r="X1148" s="181">
        <f>TOBEPAID!X882/1000</f>
        <v>0</v>
      </c>
      <c r="Y1148" s="181">
        <f>+H1148+R10280</f>
        <v>47824.959999999999</v>
      </c>
      <c r="Z1148" s="181">
        <f t="shared" ref="Z1148:Z1154" si="210">+D1148-Y1148</f>
        <v>0</v>
      </c>
      <c r="AA1148" s="181">
        <f>TOBEPAID!AA882/1000</f>
        <v>8603</v>
      </c>
      <c r="AB1148" s="181">
        <f>TOBEPAID!AB882/1000</f>
        <v>7717.4064800000006</v>
      </c>
      <c r="AC1148" s="181"/>
      <c r="AD1148" s="181"/>
    </row>
    <row r="1149" spans="1:30" x14ac:dyDescent="0.2">
      <c r="A1149" s="180"/>
      <c r="B1149" s="166"/>
      <c r="C1149" s="166" t="s">
        <v>459</v>
      </c>
      <c r="D1149" s="181">
        <f>58057000/1000</f>
        <v>58057</v>
      </c>
      <c r="E1149" s="181"/>
      <c r="F1149" s="181"/>
      <c r="G1149" s="181"/>
      <c r="H1149" s="181">
        <f>58028897/1000</f>
        <v>58028.896999999997</v>
      </c>
      <c r="I1149" s="181"/>
      <c r="J1149" s="181"/>
      <c r="K1149" s="181"/>
      <c r="L1149" s="181"/>
      <c r="M1149" s="181"/>
      <c r="N1149" s="181"/>
      <c r="O1149" s="181"/>
      <c r="P1149" s="181"/>
      <c r="Q1149" s="181"/>
      <c r="R1149" s="181">
        <v>0</v>
      </c>
      <c r="S1149" s="181"/>
      <c r="T1149" s="181"/>
      <c r="U1149" s="181"/>
      <c r="V1149" s="181"/>
      <c r="W1149" s="181"/>
      <c r="X1149" s="181"/>
      <c r="Y1149" s="181">
        <f>+H1149+R1149</f>
        <v>58028.896999999997</v>
      </c>
      <c r="Z1149" s="181">
        <f t="shared" si="210"/>
        <v>28.103000000002794</v>
      </c>
      <c r="AA1149" s="181"/>
      <c r="AB1149" s="181"/>
      <c r="AC1149" s="181"/>
      <c r="AD1149" s="181"/>
    </row>
    <row r="1150" spans="1:30" x14ac:dyDescent="0.2">
      <c r="A1150" s="180"/>
      <c r="C1150" s="168" t="s">
        <v>36</v>
      </c>
      <c r="D1150" s="181">
        <f>129384/1000</f>
        <v>129.38399999999999</v>
      </c>
      <c r="E1150" s="181">
        <f>TOBEPAID!E883/1000</f>
        <v>129.38399999999999</v>
      </c>
      <c r="F1150" s="181">
        <f>TOBEPAID!F883/1000</f>
        <v>0</v>
      </c>
      <c r="G1150" s="181">
        <f>TOBEPAID!G883/1000</f>
        <v>0</v>
      </c>
      <c r="H1150" s="181">
        <f>129384/1000</f>
        <v>129.38399999999999</v>
      </c>
      <c r="I1150" s="181">
        <f>TOBEPAID!I883/1000</f>
        <v>0</v>
      </c>
      <c r="J1150" s="181">
        <f>TOBEPAID!J883/1000</f>
        <v>0</v>
      </c>
      <c r="K1150" s="181">
        <f>TOBEPAID!K883/1000</f>
        <v>0</v>
      </c>
      <c r="L1150" s="181">
        <f>TOBEPAID!L883/1000</f>
        <v>0</v>
      </c>
      <c r="M1150" s="181">
        <f>TOBEPAID!M883/1000</f>
        <v>0</v>
      </c>
      <c r="N1150" s="181">
        <f>TOBEPAID!N883/1000</f>
        <v>129.38399999999999</v>
      </c>
      <c r="O1150" s="181">
        <f>TOBEPAID!O883/1000</f>
        <v>0</v>
      </c>
      <c r="P1150" s="181">
        <f>TOBEPAID!P883/1000</f>
        <v>0</v>
      </c>
      <c r="Q1150" s="181">
        <f>TOBEPAID!Q883/1000</f>
        <v>0</v>
      </c>
      <c r="R1150" s="181">
        <v>0</v>
      </c>
      <c r="S1150" s="181">
        <f>TOBEPAID!S883/1000</f>
        <v>0</v>
      </c>
      <c r="T1150" s="181">
        <f>TOBEPAID!T883/1000</f>
        <v>0</v>
      </c>
      <c r="U1150" s="181">
        <f>TOBEPAID!U883/1000</f>
        <v>0</v>
      </c>
      <c r="V1150" s="181">
        <f>TOBEPAID!V883/1000</f>
        <v>0</v>
      </c>
      <c r="W1150" s="181">
        <f>TOBEPAID!W883/1000</f>
        <v>0</v>
      </c>
      <c r="X1150" s="181">
        <f>TOBEPAID!X883/1000</f>
        <v>0</v>
      </c>
      <c r="Y1150" s="181">
        <f>+H1150+R10281</f>
        <v>129.38399999999999</v>
      </c>
      <c r="Z1150" s="181">
        <f t="shared" si="210"/>
        <v>0</v>
      </c>
      <c r="AA1150" s="181">
        <f>TOBEPAID!AA883/1000</f>
        <v>129.38399999999999</v>
      </c>
      <c r="AB1150" s="181">
        <f>TOBEPAID!AB883/1000</f>
        <v>0</v>
      </c>
      <c r="AC1150" s="181"/>
      <c r="AD1150" s="181"/>
    </row>
    <row r="1151" spans="1:30" ht="15.75" customHeight="1" x14ac:dyDescent="0.2">
      <c r="A1151" s="180"/>
      <c r="C1151" s="168" t="s">
        <v>413</v>
      </c>
      <c r="D1151" s="181">
        <f>11102774/1000</f>
        <v>11102.773999999999</v>
      </c>
      <c r="E1151" s="181"/>
      <c r="F1151" s="181"/>
      <c r="G1151" s="181"/>
      <c r="H1151" s="181">
        <f>11102774/1000</f>
        <v>11102.773999999999</v>
      </c>
      <c r="I1151" s="181"/>
      <c r="J1151" s="181"/>
      <c r="K1151" s="181"/>
      <c r="L1151" s="181"/>
      <c r="M1151" s="181"/>
      <c r="N1151" s="181"/>
      <c r="O1151" s="181"/>
      <c r="P1151" s="181"/>
      <c r="Q1151" s="181"/>
      <c r="R1151" s="181">
        <v>0</v>
      </c>
      <c r="S1151" s="181"/>
      <c r="T1151" s="181"/>
      <c r="U1151" s="181"/>
      <c r="V1151" s="181"/>
      <c r="W1151" s="181"/>
      <c r="X1151" s="181"/>
      <c r="Y1151" s="181">
        <f>+H1151+R1151</f>
        <v>11102.773999999999</v>
      </c>
      <c r="Z1151" s="181">
        <f t="shared" si="210"/>
        <v>0</v>
      </c>
      <c r="AA1151" s="181"/>
      <c r="AB1151" s="181"/>
      <c r="AC1151" s="181"/>
      <c r="AD1151" s="181"/>
    </row>
    <row r="1152" spans="1:30" ht="15.75" customHeight="1" x14ac:dyDescent="0.2">
      <c r="A1152" s="180"/>
      <c r="C1152" s="168" t="s">
        <v>437</v>
      </c>
      <c r="D1152" s="181">
        <f>12000000/1000</f>
        <v>12000</v>
      </c>
      <c r="E1152" s="181"/>
      <c r="F1152" s="181"/>
      <c r="G1152" s="181"/>
      <c r="H1152" s="181">
        <f>12000000/1000</f>
        <v>12000</v>
      </c>
      <c r="I1152" s="181"/>
      <c r="J1152" s="181"/>
      <c r="K1152" s="181"/>
      <c r="L1152" s="181"/>
      <c r="M1152" s="181"/>
      <c r="N1152" s="181"/>
      <c r="O1152" s="181"/>
      <c r="P1152" s="181"/>
      <c r="Q1152" s="181"/>
      <c r="R1152" s="181">
        <v>0</v>
      </c>
      <c r="S1152" s="181"/>
      <c r="T1152" s="181"/>
      <c r="U1152" s="181"/>
      <c r="V1152" s="181"/>
      <c r="W1152" s="181"/>
      <c r="X1152" s="181"/>
      <c r="Y1152" s="181">
        <f>+H1152+R1152</f>
        <v>12000</v>
      </c>
      <c r="Z1152" s="181">
        <f t="shared" si="210"/>
        <v>0</v>
      </c>
      <c r="AA1152" s="181"/>
      <c r="AB1152" s="181"/>
      <c r="AC1152" s="181"/>
      <c r="AD1152" s="181"/>
    </row>
    <row r="1153" spans="1:45" x14ac:dyDescent="0.2">
      <c r="A1153" s="180"/>
      <c r="C1153" s="166" t="s">
        <v>37</v>
      </c>
      <c r="D1153" s="181">
        <v>0</v>
      </c>
      <c r="E1153" s="181">
        <f>TOBEPAID!E884/1000</f>
        <v>0</v>
      </c>
      <c r="F1153" s="181">
        <f>TOBEPAID!F884/1000</f>
        <v>0</v>
      </c>
      <c r="G1153" s="181">
        <f>TOBEPAID!G884/1000</f>
        <v>0</v>
      </c>
      <c r="H1153" s="181">
        <v>0</v>
      </c>
      <c r="I1153" s="181">
        <f>TOBEPAID!I884/1000</f>
        <v>0</v>
      </c>
      <c r="J1153" s="181">
        <f>TOBEPAID!J884/1000</f>
        <v>0</v>
      </c>
      <c r="K1153" s="181">
        <f>TOBEPAID!K884/1000</f>
        <v>0</v>
      </c>
      <c r="L1153" s="181">
        <f>TOBEPAID!L884/1000</f>
        <v>0</v>
      </c>
      <c r="M1153" s="181">
        <f>TOBEPAID!M884/1000</f>
        <v>0</v>
      </c>
      <c r="N1153" s="181">
        <f>TOBEPAID!N884/1000</f>
        <v>0</v>
      </c>
      <c r="O1153" s="181">
        <f>TOBEPAID!O884/1000</f>
        <v>0</v>
      </c>
      <c r="P1153" s="181">
        <f>TOBEPAID!P884/1000</f>
        <v>0</v>
      </c>
      <c r="Q1153" s="181">
        <f>TOBEPAID!Q884/1000</f>
        <v>0</v>
      </c>
      <c r="R1153" s="181">
        <v>0</v>
      </c>
      <c r="S1153" s="181">
        <f>TOBEPAID!S884/1000</f>
        <v>0</v>
      </c>
      <c r="T1153" s="181">
        <f>TOBEPAID!T884/1000</f>
        <v>0</v>
      </c>
      <c r="U1153" s="181">
        <f>TOBEPAID!U884/1000</f>
        <v>0</v>
      </c>
      <c r="V1153" s="181">
        <f>TOBEPAID!V884/1000</f>
        <v>0</v>
      </c>
      <c r="W1153" s="181">
        <f>TOBEPAID!W884/1000</f>
        <v>0</v>
      </c>
      <c r="X1153" s="181">
        <f>TOBEPAID!X884/1000</f>
        <v>0</v>
      </c>
      <c r="Y1153" s="181">
        <f>+H1153+R10282</f>
        <v>0</v>
      </c>
      <c r="Z1153" s="181">
        <f t="shared" si="210"/>
        <v>0</v>
      </c>
      <c r="AA1153" s="181">
        <f>TOBEPAID!AA884/1000</f>
        <v>0</v>
      </c>
      <c r="AB1153" s="181">
        <f>TOBEPAID!AB884/1000</f>
        <v>25627.523450000004</v>
      </c>
      <c r="AC1153" s="181"/>
      <c r="AD1153" s="181"/>
    </row>
    <row r="1154" spans="1:45" x14ac:dyDescent="0.2">
      <c r="A1154" s="180"/>
      <c r="C1154" s="166" t="s">
        <v>38</v>
      </c>
      <c r="D1154" s="181">
        <v>0</v>
      </c>
      <c r="E1154" s="181">
        <f>TOBEPAID!E885/1000</f>
        <v>0</v>
      </c>
      <c r="F1154" s="181">
        <f>TOBEPAID!F885/1000</f>
        <v>0</v>
      </c>
      <c r="G1154" s="181">
        <f>TOBEPAID!G885/1000</f>
        <v>0</v>
      </c>
      <c r="H1154" s="181">
        <v>0</v>
      </c>
      <c r="I1154" s="181">
        <f>TOBEPAID!I885/1000</f>
        <v>0</v>
      </c>
      <c r="J1154" s="181">
        <f>TOBEPAID!J885/1000</f>
        <v>0</v>
      </c>
      <c r="K1154" s="181">
        <f>TOBEPAID!K885/1000</f>
        <v>0</v>
      </c>
      <c r="L1154" s="181">
        <f>TOBEPAID!L885/1000</f>
        <v>0</v>
      </c>
      <c r="M1154" s="181">
        <f>TOBEPAID!M885/1000</f>
        <v>0</v>
      </c>
      <c r="N1154" s="181">
        <f>TOBEPAID!N885/1000</f>
        <v>0</v>
      </c>
      <c r="O1154" s="181">
        <f>TOBEPAID!O885/1000</f>
        <v>0</v>
      </c>
      <c r="P1154" s="181">
        <f>TOBEPAID!P885/1000</f>
        <v>0</v>
      </c>
      <c r="Q1154" s="181">
        <f>TOBEPAID!Q885/1000</f>
        <v>0</v>
      </c>
      <c r="R1154" s="181">
        <v>0</v>
      </c>
      <c r="S1154" s="181">
        <f>TOBEPAID!S885/1000</f>
        <v>0</v>
      </c>
      <c r="T1154" s="181">
        <f>TOBEPAID!T885/1000</f>
        <v>0</v>
      </c>
      <c r="U1154" s="181">
        <f>TOBEPAID!U885/1000</f>
        <v>0</v>
      </c>
      <c r="V1154" s="181">
        <f>TOBEPAID!V885/1000</f>
        <v>0</v>
      </c>
      <c r="W1154" s="181">
        <f>TOBEPAID!W885/1000</f>
        <v>0</v>
      </c>
      <c r="X1154" s="181">
        <f>TOBEPAID!X885/1000</f>
        <v>0</v>
      </c>
      <c r="Y1154" s="181">
        <f>+H1154+R10283</f>
        <v>0</v>
      </c>
      <c r="Z1154" s="181">
        <f t="shared" si="210"/>
        <v>0</v>
      </c>
      <c r="AA1154" s="181">
        <f>TOBEPAID!AA885/1000</f>
        <v>0</v>
      </c>
      <c r="AB1154" s="181">
        <f>TOBEPAID!AB885/1000</f>
        <v>5877.0300700000007</v>
      </c>
      <c r="AC1154" s="181"/>
      <c r="AD1154" s="181"/>
    </row>
    <row r="1155" spans="1:45" ht="16.5" customHeight="1" x14ac:dyDescent="0.2">
      <c r="A1155" s="180"/>
      <c r="D1155" s="182" t="s">
        <v>40</v>
      </c>
      <c r="E1155" s="182" t="s">
        <v>40</v>
      </c>
      <c r="F1155" s="182" t="s">
        <v>40</v>
      </c>
      <c r="G1155" s="182"/>
      <c r="H1155" s="182" t="s">
        <v>40</v>
      </c>
      <c r="I1155" s="182" t="s">
        <v>40</v>
      </c>
      <c r="J1155" s="182" t="s">
        <v>40</v>
      </c>
      <c r="K1155" s="182" t="s">
        <v>40</v>
      </c>
      <c r="L1155" s="182" t="s">
        <v>40</v>
      </c>
      <c r="M1155" s="182"/>
      <c r="N1155" s="182" t="s">
        <v>40</v>
      </c>
      <c r="O1155" s="182" t="s">
        <v>40</v>
      </c>
      <c r="P1155" s="182" t="s">
        <v>40</v>
      </c>
      <c r="Q1155" s="182"/>
      <c r="R1155" s="182" t="s">
        <v>40</v>
      </c>
      <c r="S1155" s="182" t="s">
        <v>40</v>
      </c>
      <c r="T1155" s="182" t="s">
        <v>40</v>
      </c>
      <c r="U1155" s="182" t="s">
        <v>40</v>
      </c>
      <c r="V1155" s="182" t="s">
        <v>40</v>
      </c>
      <c r="W1155" s="182"/>
      <c r="X1155" s="182" t="s">
        <v>40</v>
      </c>
      <c r="Y1155" s="182" t="s">
        <v>40</v>
      </c>
      <c r="Z1155" s="182" t="s">
        <v>40</v>
      </c>
      <c r="AA1155" s="182" t="s">
        <v>40</v>
      </c>
      <c r="AB1155" s="182" t="s">
        <v>40</v>
      </c>
      <c r="AC1155" s="182"/>
      <c r="AD1155" s="182"/>
    </row>
    <row r="1156" spans="1:45" x14ac:dyDescent="0.2">
      <c r="A1156" s="180"/>
      <c r="D1156" s="181">
        <f>SUM(D1148:D1154)</f>
        <v>129114.118</v>
      </c>
      <c r="E1156" s="181">
        <f>SUM(E1148:E1154)</f>
        <v>8732.384</v>
      </c>
      <c r="F1156" s="181">
        <f>SUM(F1148:F1154)</f>
        <v>0</v>
      </c>
      <c r="G1156" s="181"/>
      <c r="H1156" s="181">
        <f>SUM(H1148:H1154)</f>
        <v>129086.015</v>
      </c>
      <c r="I1156" s="181">
        <f>SUM(I1148:I1154)</f>
        <v>0</v>
      </c>
      <c r="J1156" s="181">
        <f>SUM(J1148:J1154)</f>
        <v>0</v>
      </c>
      <c r="K1156" s="181">
        <f>SUM(K1148:K1154)</f>
        <v>0</v>
      </c>
      <c r="L1156" s="181">
        <f>SUM(L1148:L1154)</f>
        <v>0</v>
      </c>
      <c r="M1156" s="181"/>
      <c r="N1156" s="181">
        <f>SUM(N1148:N1154)</f>
        <v>8732.384</v>
      </c>
      <c r="O1156" s="181">
        <f>SUM(O1148:O1154)</f>
        <v>0</v>
      </c>
      <c r="P1156" s="181">
        <f>SUM(P1148:P1154)</f>
        <v>0</v>
      </c>
      <c r="Q1156" s="181"/>
      <c r="R1156" s="181">
        <f>SUM(R1148:R1154)</f>
        <v>0</v>
      </c>
      <c r="S1156" s="181">
        <f>SUM(S1148:S1154)</f>
        <v>0</v>
      </c>
      <c r="T1156" s="181">
        <f>SUM(T1148:T1154)</f>
        <v>0</v>
      </c>
      <c r="U1156" s="181">
        <f>SUM(U1148:U1154)</f>
        <v>0</v>
      </c>
      <c r="V1156" s="181">
        <f>SUM(V1148:V1154)</f>
        <v>0</v>
      </c>
      <c r="W1156" s="181"/>
      <c r="X1156" s="181">
        <f>SUM(X1148:X1154)</f>
        <v>0</v>
      </c>
      <c r="Y1156" s="181">
        <f>SUM(Y1148:Y1154)</f>
        <v>129086.015</v>
      </c>
      <c r="Z1156" s="181">
        <f>SUM(Z1148:Z1154)</f>
        <v>28.103000000002794</v>
      </c>
      <c r="AA1156" s="181">
        <f>SUM(AA1148:AA1154)</f>
        <v>8732.384</v>
      </c>
      <c r="AB1156" s="181">
        <f>SUM(AB1148:AB1154)</f>
        <v>39221.960000000006</v>
      </c>
      <c r="AC1156" s="181"/>
      <c r="AD1156" s="181"/>
    </row>
    <row r="1157" spans="1:45" x14ac:dyDescent="0.2">
      <c r="A1157" s="180"/>
      <c r="B1157" s="165" t="s">
        <v>310</v>
      </c>
      <c r="D1157" s="182" t="s">
        <v>40</v>
      </c>
      <c r="E1157" s="182" t="s">
        <v>40</v>
      </c>
      <c r="F1157" s="182" t="s">
        <v>40</v>
      </c>
      <c r="G1157" s="182"/>
      <c r="H1157" s="182" t="s">
        <v>40</v>
      </c>
      <c r="I1157" s="182" t="s">
        <v>40</v>
      </c>
      <c r="J1157" s="182" t="s">
        <v>40</v>
      </c>
      <c r="K1157" s="182" t="s">
        <v>40</v>
      </c>
      <c r="L1157" s="182" t="s">
        <v>40</v>
      </c>
      <c r="M1157" s="182"/>
      <c r="N1157" s="182" t="s">
        <v>40</v>
      </c>
      <c r="O1157" s="182" t="s">
        <v>40</v>
      </c>
      <c r="P1157" s="182" t="s">
        <v>40</v>
      </c>
      <c r="Q1157" s="182"/>
      <c r="R1157" s="182" t="s">
        <v>40</v>
      </c>
      <c r="S1157" s="182" t="s">
        <v>40</v>
      </c>
      <c r="T1157" s="182" t="s">
        <v>40</v>
      </c>
      <c r="U1157" s="182" t="s">
        <v>40</v>
      </c>
      <c r="V1157" s="182" t="s">
        <v>40</v>
      </c>
      <c r="W1157" s="182"/>
      <c r="X1157" s="182" t="s">
        <v>40</v>
      </c>
      <c r="Y1157" s="182" t="s">
        <v>40</v>
      </c>
      <c r="Z1157" s="182" t="s">
        <v>40</v>
      </c>
      <c r="AA1157" s="182" t="s">
        <v>40</v>
      </c>
      <c r="AB1157" s="182" t="s">
        <v>40</v>
      </c>
      <c r="AC1157" s="182"/>
      <c r="AD1157" s="182"/>
      <c r="AS1157" s="195">
        <f t="shared" ref="AS1157:AS1165" si="211">+AF1158-AK1158-AP1158</f>
        <v>2023239.4092600001</v>
      </c>
    </row>
    <row r="1158" spans="1:45" ht="16.5" customHeight="1" thickBot="1" x14ac:dyDescent="0.25">
      <c r="A1158" s="180"/>
      <c r="B1158" s="183" t="s">
        <v>292</v>
      </c>
      <c r="D1158" s="184">
        <f>TOBEPAID!D889/1000</f>
        <v>508.17664000000002</v>
      </c>
      <c r="E1158" s="181">
        <f>TOBEPAID!E889/1000</f>
        <v>0</v>
      </c>
      <c r="F1158" s="181">
        <f>TOBEPAID!F889/1000</f>
        <v>0</v>
      </c>
      <c r="G1158" s="181">
        <f>TOBEPAID!G889/1000</f>
        <v>0</v>
      </c>
      <c r="H1158" s="181"/>
      <c r="I1158" s="181">
        <f>TOBEPAID!I889/1000</f>
        <v>0</v>
      </c>
      <c r="J1158" s="181">
        <f>TOBEPAID!J889/1000</f>
        <v>0</v>
      </c>
      <c r="K1158" s="181">
        <f>TOBEPAID!K889/1000</f>
        <v>0</v>
      </c>
      <c r="L1158" s="181">
        <f>TOBEPAID!L889/1000</f>
        <v>0</v>
      </c>
      <c r="M1158" s="181">
        <f>TOBEPAID!M889/1000</f>
        <v>0</v>
      </c>
      <c r="N1158" s="181">
        <f>TOBEPAID!N889/1000</f>
        <v>0</v>
      </c>
      <c r="O1158" s="181">
        <f>TOBEPAID!O889/1000</f>
        <v>508.17664000000002</v>
      </c>
      <c r="P1158" s="181">
        <f>TOBEPAID!P889/1000</f>
        <v>0</v>
      </c>
      <c r="Q1158" s="181">
        <f>TOBEPAID!Q889/1000</f>
        <v>0</v>
      </c>
      <c r="R1158" s="184">
        <f>TOBEPAID!R889/1000</f>
        <v>508.17664000000002</v>
      </c>
      <c r="S1158" s="181">
        <f>TOBEPAID!S889/1000</f>
        <v>0</v>
      </c>
      <c r="T1158" s="181">
        <f>TOBEPAID!T889/1000</f>
        <v>0</v>
      </c>
      <c r="U1158" s="181">
        <f>TOBEPAID!U889/1000</f>
        <v>0</v>
      </c>
      <c r="V1158" s="181">
        <f>TOBEPAID!V889/1000</f>
        <v>0</v>
      </c>
      <c r="W1158" s="181">
        <f>TOBEPAID!W889/1000</f>
        <v>0</v>
      </c>
      <c r="X1158" s="181">
        <f>TOBEPAID!X889/1000</f>
        <v>0</v>
      </c>
      <c r="Y1158" s="184">
        <f t="shared" ref="Y1158:Y1163" si="212">+H1158+R1158</f>
        <v>508.17664000000002</v>
      </c>
      <c r="Z1158" s="184">
        <f>TOBEPAID!Z889/1000</f>
        <v>0</v>
      </c>
      <c r="AA1158" s="181">
        <f>TOBEPAID!AA889/1000</f>
        <v>0</v>
      </c>
      <c r="AB1158" s="181">
        <f>TOBEPAID!AB889/1000</f>
        <v>0</v>
      </c>
      <c r="AC1158" s="181"/>
      <c r="AD1158" s="181"/>
      <c r="AF1158" s="195">
        <f t="shared" ref="AF1158:AH1159" si="213">+D1117</f>
        <v>2173239.4092600001</v>
      </c>
      <c r="AG1158" s="195">
        <f t="shared" si="213"/>
        <v>120000</v>
      </c>
      <c r="AH1158" s="195">
        <f t="shared" si="213"/>
        <v>30000</v>
      </c>
      <c r="AI1158" s="195">
        <f>+AG1158+AH1158</f>
        <v>150000</v>
      </c>
      <c r="AJ1158" s="195">
        <f>+L1117</f>
        <v>0</v>
      </c>
      <c r="AK1158" s="195">
        <f>+AI1158+AJ1158</f>
        <v>150000</v>
      </c>
      <c r="AL1158" s="195">
        <f>+O1117</f>
        <v>0</v>
      </c>
      <c r="AM1158" s="195">
        <f>+P1117</f>
        <v>0</v>
      </c>
      <c r="AN1158" s="195">
        <f>+AL1158+AM1158</f>
        <v>0</v>
      </c>
      <c r="AO1158" s="195">
        <f>+V1117</f>
        <v>0</v>
      </c>
      <c r="AP1158" s="195">
        <f>+AN1158+AO1158</f>
        <v>0</v>
      </c>
      <c r="AQ1158" s="195">
        <f>+AI1158+AN1158</f>
        <v>150000</v>
      </c>
      <c r="AR1158" s="195">
        <f>+AF1158-AQ1158</f>
        <v>2023239.4092600001</v>
      </c>
      <c r="AS1158" s="195">
        <f t="shared" si="211"/>
        <v>-5.0000000010186341E-4</v>
      </c>
    </row>
    <row r="1159" spans="1:45" ht="55.5" customHeight="1" thickTop="1" x14ac:dyDescent="0.2">
      <c r="A1159" s="180">
        <v>91</v>
      </c>
      <c r="B1159" s="166" t="s">
        <v>110</v>
      </c>
      <c r="C1159" s="166" t="s">
        <v>35</v>
      </c>
      <c r="D1159" s="181">
        <f>1274903/1000</f>
        <v>1274.903</v>
      </c>
      <c r="E1159" s="181">
        <f>TOBEPAID!E890/1000</f>
        <v>0</v>
      </c>
      <c r="F1159" s="181">
        <f>TOBEPAID!F890/1000</f>
        <v>0</v>
      </c>
      <c r="G1159" s="181">
        <f>TOBEPAID!G890/1000</f>
        <v>0</v>
      </c>
      <c r="H1159" s="181">
        <v>0</v>
      </c>
      <c r="I1159" s="181">
        <f>TOBEPAID!I890/1000</f>
        <v>0</v>
      </c>
      <c r="J1159" s="181">
        <f>TOBEPAID!J890/1000</f>
        <v>0</v>
      </c>
      <c r="K1159" s="181">
        <f>TOBEPAID!K890/1000</f>
        <v>0</v>
      </c>
      <c r="L1159" s="181">
        <f>TOBEPAID!L890/1000</f>
        <v>0</v>
      </c>
      <c r="M1159" s="181">
        <f>TOBEPAID!M890/1000</f>
        <v>0</v>
      </c>
      <c r="N1159" s="181">
        <f>TOBEPAID!N890/1000</f>
        <v>0</v>
      </c>
      <c r="O1159" s="181">
        <f>TOBEPAID!O890/1000</f>
        <v>1274.9031699999998</v>
      </c>
      <c r="P1159" s="181">
        <f>TOBEPAID!P890/1000</f>
        <v>0</v>
      </c>
      <c r="Q1159" s="181">
        <f>TOBEPAID!Q890/1000</f>
        <v>0</v>
      </c>
      <c r="R1159" s="181">
        <f>1274903/1000</f>
        <v>1274.903</v>
      </c>
      <c r="S1159" s="181">
        <f>TOBEPAID!S890/1000</f>
        <v>0</v>
      </c>
      <c r="T1159" s="181">
        <f>TOBEPAID!T890/1000</f>
        <v>0</v>
      </c>
      <c r="U1159" s="181">
        <f>TOBEPAID!U890/1000</f>
        <v>0</v>
      </c>
      <c r="V1159" s="181">
        <f>TOBEPAID!V890/1000</f>
        <v>0</v>
      </c>
      <c r="W1159" s="181">
        <f>TOBEPAID!W890/1000</f>
        <v>0</v>
      </c>
      <c r="X1159" s="181">
        <f>TOBEPAID!X890/1000</f>
        <v>1274.9031699999998</v>
      </c>
      <c r="Y1159" s="181">
        <f t="shared" si="212"/>
        <v>1274.903</v>
      </c>
      <c r="Z1159" s="181">
        <f>+D1159-Y1159</f>
        <v>0</v>
      </c>
      <c r="AA1159" s="181">
        <f>TOBEPAID!AA890/1000</f>
        <v>1274.9031699999998</v>
      </c>
      <c r="AB1159" s="181">
        <f>TOBEPAID!AB890/1000</f>
        <v>0</v>
      </c>
      <c r="AC1159" s="181"/>
      <c r="AD1159" s="181"/>
      <c r="AE1159" s="186" t="s">
        <v>303</v>
      </c>
      <c r="AF1159" s="195">
        <f t="shared" si="213"/>
        <v>2722.681</v>
      </c>
      <c r="AG1159" s="195">
        <f t="shared" si="213"/>
        <v>2722.6815000000001</v>
      </c>
      <c r="AH1159" s="195">
        <f t="shared" si="213"/>
        <v>0</v>
      </c>
      <c r="AI1159" s="195">
        <f>+AG1159+AH1159</f>
        <v>2722.6815000000001</v>
      </c>
      <c r="AJ1159" s="195">
        <f>+L1118</f>
        <v>0</v>
      </c>
      <c r="AK1159" s="195">
        <f>+AI1159+AJ1159</f>
        <v>2722.6815000000001</v>
      </c>
      <c r="AL1159" s="195">
        <f>+O1118</f>
        <v>0</v>
      </c>
      <c r="AM1159" s="195">
        <f>+P1118</f>
        <v>0</v>
      </c>
      <c r="AN1159" s="195">
        <f>+AL1159+AM1159</f>
        <v>0</v>
      </c>
      <c r="AO1159" s="195">
        <f>+V1118</f>
        <v>0</v>
      </c>
      <c r="AP1159" s="195">
        <f>+AN1159+AO1159</f>
        <v>0</v>
      </c>
      <c r="AQ1159" s="195">
        <f>+AI1159+AN1159</f>
        <v>2722.6815000000001</v>
      </c>
      <c r="AR1159" s="195">
        <f>+AF1159-AQ1159</f>
        <v>-5.0000000010186341E-4</v>
      </c>
      <c r="AS1159" s="195">
        <f t="shared" si="211"/>
        <v>213804.21183000001</v>
      </c>
    </row>
    <row r="1160" spans="1:45" x14ac:dyDescent="0.2">
      <c r="A1160" s="180"/>
      <c r="C1160" s="168" t="s">
        <v>36</v>
      </c>
      <c r="D1160" s="181">
        <f>1521229/1000</f>
        <v>1521.229</v>
      </c>
      <c r="E1160" s="181">
        <f>TOBEPAID!E891/1000</f>
        <v>1521.22983</v>
      </c>
      <c r="F1160" s="181">
        <f>TOBEPAID!F891/1000</f>
        <v>0</v>
      </c>
      <c r="G1160" s="181">
        <f>TOBEPAID!G891/1000</f>
        <v>0</v>
      </c>
      <c r="H1160" s="181">
        <f>1521229/1000</f>
        <v>1521.229</v>
      </c>
      <c r="I1160" s="181">
        <f>TOBEPAID!I891/1000</f>
        <v>0</v>
      </c>
      <c r="J1160" s="181">
        <f>TOBEPAID!J891/1000</f>
        <v>0</v>
      </c>
      <c r="K1160" s="181">
        <f>TOBEPAID!K891/1000</f>
        <v>0</v>
      </c>
      <c r="L1160" s="181">
        <f>TOBEPAID!L891/1000</f>
        <v>0</v>
      </c>
      <c r="M1160" s="181">
        <f>TOBEPAID!M891/1000</f>
        <v>0</v>
      </c>
      <c r="N1160" s="181">
        <f>TOBEPAID!N891/1000</f>
        <v>1521.22983</v>
      </c>
      <c r="O1160" s="181">
        <f>TOBEPAID!O891/1000</f>
        <v>0</v>
      </c>
      <c r="P1160" s="181">
        <f>TOBEPAID!P891/1000</f>
        <v>0</v>
      </c>
      <c r="Q1160" s="181">
        <f>TOBEPAID!Q891/1000</f>
        <v>0</v>
      </c>
      <c r="R1160" s="181">
        <v>0</v>
      </c>
      <c r="S1160" s="181">
        <f>TOBEPAID!S891/1000</f>
        <v>0</v>
      </c>
      <c r="T1160" s="181">
        <f>TOBEPAID!T891/1000</f>
        <v>0</v>
      </c>
      <c r="U1160" s="181">
        <f>TOBEPAID!U891/1000</f>
        <v>0</v>
      </c>
      <c r="V1160" s="181">
        <f>TOBEPAID!V891/1000</f>
        <v>0</v>
      </c>
      <c r="W1160" s="181">
        <f>TOBEPAID!W891/1000</f>
        <v>0</v>
      </c>
      <c r="X1160" s="181">
        <f>TOBEPAID!X891/1000</f>
        <v>0</v>
      </c>
      <c r="Y1160" s="181">
        <f t="shared" si="212"/>
        <v>1521.229</v>
      </c>
      <c r="Z1160" s="181">
        <f>+D1160-Y1160</f>
        <v>0</v>
      </c>
      <c r="AA1160" s="181">
        <f>TOBEPAID!AA891/1000</f>
        <v>1521.22983</v>
      </c>
      <c r="AB1160" s="181">
        <f>TOBEPAID!AB891/1000</f>
        <v>0</v>
      </c>
      <c r="AC1160" s="181"/>
      <c r="AD1160" s="181"/>
      <c r="AE1160" s="186" t="s">
        <v>350</v>
      </c>
      <c r="AF1160" s="195">
        <f>D1114+D1126+D1137+D1148+D1159</f>
        <v>223682.11500000002</v>
      </c>
      <c r="AG1160" s="195">
        <f>E1114+E1126+E1137+E1148+E1159</f>
        <v>8603</v>
      </c>
      <c r="AH1160" s="195">
        <f>F1114+F1126+F1137+F1148+F1159</f>
        <v>0</v>
      </c>
      <c r="AI1160" s="195">
        <f>+AG1160+AH1160</f>
        <v>8603</v>
      </c>
      <c r="AJ1160" s="195">
        <f>L1114+L1126+L1137+L1148+L1159</f>
        <v>0</v>
      </c>
      <c r="AK1160" s="195">
        <f>+AI1160+AJ1160</f>
        <v>8603</v>
      </c>
      <c r="AL1160" s="195">
        <f>O1114+O1126+O1137+O1148+O1159</f>
        <v>1274.9031699999998</v>
      </c>
      <c r="AM1160" s="195">
        <f>P1114+P1126+P1137+P1148+P1159</f>
        <v>0</v>
      </c>
      <c r="AN1160" s="195">
        <f>+AL1160+AM1160</f>
        <v>1274.9031699999998</v>
      </c>
      <c r="AO1160" s="195">
        <f>V1114+V1126+V1137+V1148+V1159</f>
        <v>0</v>
      </c>
      <c r="AP1160" s="195">
        <f>+AN1160+AO1160</f>
        <v>1274.9031699999998</v>
      </c>
      <c r="AQ1160" s="195">
        <f>+AI1160+AN1160</f>
        <v>9877.9031699999996</v>
      </c>
      <c r="AR1160" s="195">
        <f>+AF1160-AQ1160</f>
        <v>213804.21183000001</v>
      </c>
      <c r="AS1160" s="195">
        <f t="shared" si="211"/>
        <v>-2.9000000004089088E-3</v>
      </c>
    </row>
    <row r="1161" spans="1:45" x14ac:dyDescent="0.2">
      <c r="A1161" s="180"/>
      <c r="C1161" s="166" t="s">
        <v>53</v>
      </c>
      <c r="D1161" s="181">
        <f>3132923/1000</f>
        <v>3132.9229999999998</v>
      </c>
      <c r="E1161" s="181">
        <f>TOBEPAID!E892/1000</f>
        <v>0</v>
      </c>
      <c r="F1161" s="181">
        <f>TOBEPAID!F892/1000</f>
        <v>0</v>
      </c>
      <c r="G1161" s="181">
        <f>TOBEPAID!G892/1000</f>
        <v>0</v>
      </c>
      <c r="H1161" s="181">
        <v>0</v>
      </c>
      <c r="I1161" s="181">
        <f>TOBEPAID!I892/1000</f>
        <v>0</v>
      </c>
      <c r="J1161" s="181">
        <f>TOBEPAID!J892/1000</f>
        <v>0</v>
      </c>
      <c r="K1161" s="181">
        <f>TOBEPAID!K892/1000</f>
        <v>0</v>
      </c>
      <c r="L1161" s="181">
        <f>TOBEPAID!L892/1000</f>
        <v>0</v>
      </c>
      <c r="M1161" s="181">
        <f>TOBEPAID!M892/1000</f>
        <v>0</v>
      </c>
      <c r="N1161" s="181">
        <f>TOBEPAID!N892/1000</f>
        <v>0</v>
      </c>
      <c r="O1161" s="181">
        <f>TOBEPAID!O892/1000</f>
        <v>1472.2051899999999</v>
      </c>
      <c r="P1161" s="181">
        <f>TOBEPAID!P892/1000</f>
        <v>0</v>
      </c>
      <c r="Q1161" s="181">
        <f>TOBEPAID!Q892/1000</f>
        <v>0</v>
      </c>
      <c r="R1161" s="181">
        <f>1817715.19/1000</f>
        <v>1817.7151899999999</v>
      </c>
      <c r="S1161" s="181">
        <f>TOBEPAID!S892/1000</f>
        <v>0</v>
      </c>
      <c r="T1161" s="181">
        <f>TOBEPAID!T892/1000</f>
        <v>0</v>
      </c>
      <c r="U1161" s="181">
        <f>TOBEPAID!U892/1000</f>
        <v>0</v>
      </c>
      <c r="V1161" s="181">
        <f>TOBEPAID!V892/1000</f>
        <v>0</v>
      </c>
      <c r="W1161" s="181">
        <f>TOBEPAID!W892/1000</f>
        <v>0</v>
      </c>
      <c r="X1161" s="181">
        <f>TOBEPAID!X892/1000</f>
        <v>1472.2051899999999</v>
      </c>
      <c r="Y1161" s="181">
        <f t="shared" si="212"/>
        <v>1817.7151899999999</v>
      </c>
      <c r="Z1161" s="181">
        <f>+D1161-Y1161</f>
        <v>1315.2078099999999</v>
      </c>
      <c r="AA1161" s="181">
        <f>TOBEPAID!AA892/1000</f>
        <v>1472.2051899999999</v>
      </c>
      <c r="AB1161" s="181">
        <f>TOBEPAID!AB892/1000</f>
        <v>1660.71786</v>
      </c>
      <c r="AC1161" s="181"/>
      <c r="AD1161" s="181"/>
      <c r="AE1161" s="186" t="s">
        <v>47</v>
      </c>
      <c r="AF1161" s="195">
        <f>D1115+D1127+D1138+D1150+D1160</f>
        <v>7887.8920000000007</v>
      </c>
      <c r="AG1161" s="195">
        <f>E1115+E1127+E1138+E1150+E1160</f>
        <v>7887.8949000000011</v>
      </c>
      <c r="AH1161" s="195">
        <f>F1115+F1127+F1138+F1150+F1160</f>
        <v>0</v>
      </c>
      <c r="AI1161" s="195">
        <f t="shared" ref="AI1161:AI1166" si="214">+AG1161+AH1161</f>
        <v>7887.8949000000011</v>
      </c>
      <c r="AJ1161" s="195">
        <f>L1115+L1127+L1138+L1150+L1160</f>
        <v>0</v>
      </c>
      <c r="AK1161" s="195">
        <f t="shared" ref="AK1161:AK1166" si="215">+AI1161+AJ1161</f>
        <v>7887.8949000000011</v>
      </c>
      <c r="AL1161" s="195">
        <f>O1115+O1127+O1138+O1150+O1160</f>
        <v>0</v>
      </c>
      <c r="AM1161" s="195">
        <f>P1115+P1127+P1138+P1150+P1160</f>
        <v>0</v>
      </c>
      <c r="AN1161" s="195">
        <f t="shared" ref="AN1161:AN1166" si="216">+AL1161+AM1161</f>
        <v>0</v>
      </c>
      <c r="AO1161" s="195">
        <f>V1115+V1127+V1138+V1150+V1160</f>
        <v>0</v>
      </c>
      <c r="AP1161" s="195">
        <f t="shared" ref="AP1161:AP1166" si="217">+AN1161+AO1161</f>
        <v>0</v>
      </c>
      <c r="AQ1161" s="195">
        <f t="shared" ref="AQ1161:AQ1166" si="218">+AI1161+AN1161</f>
        <v>7887.8949000000011</v>
      </c>
      <c r="AR1161" s="195">
        <f t="shared" ref="AR1161:AR1166" si="219">+AF1161-AQ1161</f>
        <v>-2.9000000004089088E-3</v>
      </c>
      <c r="AS1161" s="195">
        <f t="shared" si="211"/>
        <v>48918.542000000001</v>
      </c>
    </row>
    <row r="1162" spans="1:45" x14ac:dyDescent="0.2">
      <c r="A1162" s="180"/>
      <c r="C1162" s="166" t="s">
        <v>38</v>
      </c>
      <c r="D1162" s="181">
        <f>3462217/1000</f>
        <v>3462.2170000000001</v>
      </c>
      <c r="E1162" s="181">
        <f>TOBEPAID!E893/1000</f>
        <v>0</v>
      </c>
      <c r="F1162" s="181">
        <f>TOBEPAID!F893/1000</f>
        <v>0</v>
      </c>
      <c r="G1162" s="181">
        <f>TOBEPAID!G893/1000</f>
        <v>0</v>
      </c>
      <c r="H1162" s="181">
        <v>0</v>
      </c>
      <c r="I1162" s="181">
        <f>TOBEPAID!I893/1000</f>
        <v>0</v>
      </c>
      <c r="J1162" s="181">
        <f>TOBEPAID!J893/1000</f>
        <v>0</v>
      </c>
      <c r="K1162" s="181">
        <f>TOBEPAID!K893/1000</f>
        <v>0</v>
      </c>
      <c r="L1162" s="181">
        <f>TOBEPAID!L893/1000</f>
        <v>0</v>
      </c>
      <c r="M1162" s="181">
        <f>TOBEPAID!M893/1000</f>
        <v>0</v>
      </c>
      <c r="N1162" s="181">
        <f>TOBEPAID!N893/1000</f>
        <v>0</v>
      </c>
      <c r="O1162" s="181">
        <f>TOBEPAID!O893/1000</f>
        <v>94.015000000000001</v>
      </c>
      <c r="P1162" s="181">
        <f>TOBEPAID!P893/1000</f>
        <v>0</v>
      </c>
      <c r="Q1162" s="181">
        <f>TOBEPAID!Q893/1000</f>
        <v>0</v>
      </c>
      <c r="R1162" s="181">
        <f>94015/1000</f>
        <v>94.015000000000001</v>
      </c>
      <c r="S1162" s="181">
        <f>TOBEPAID!S893/1000</f>
        <v>356.11799999999999</v>
      </c>
      <c r="T1162" s="181">
        <f>TOBEPAID!T893/1000</f>
        <v>0</v>
      </c>
      <c r="U1162" s="181">
        <f>TOBEPAID!U893/1000</f>
        <v>0</v>
      </c>
      <c r="V1162" s="181">
        <f>TOBEPAID!V893/1000</f>
        <v>0</v>
      </c>
      <c r="W1162" s="181">
        <f>TOBEPAID!W893/1000</f>
        <v>0</v>
      </c>
      <c r="X1162" s="181">
        <f>TOBEPAID!X893/1000</f>
        <v>94.015000000000001</v>
      </c>
      <c r="Y1162" s="181">
        <f t="shared" si="212"/>
        <v>94.015000000000001</v>
      </c>
      <c r="Z1162" s="181">
        <f>+D1162-Y1162</f>
        <v>3368.2020000000002</v>
      </c>
      <c r="AA1162" s="181">
        <f>TOBEPAID!AA893/1000</f>
        <v>94.015000000000001</v>
      </c>
      <c r="AB1162" s="181">
        <f>TOBEPAID!AB893/1000</f>
        <v>3368.2021</v>
      </c>
      <c r="AC1162" s="181"/>
      <c r="AD1162" s="181"/>
      <c r="AE1162" s="186" t="s">
        <v>36</v>
      </c>
      <c r="AF1162" s="195">
        <f>D1120+D1128+D1139+D1153</f>
        <v>48918.542000000001</v>
      </c>
      <c r="AG1162" s="195">
        <f>E1120+E1128+E1139+E1153</f>
        <v>0</v>
      </c>
      <c r="AH1162" s="195">
        <f>F1120+F1128+F1139+F1153</f>
        <v>0</v>
      </c>
      <c r="AI1162" s="195">
        <f t="shared" si="214"/>
        <v>0</v>
      </c>
      <c r="AJ1162" s="195">
        <f>L1120+L1128+L1139+L1153</f>
        <v>0</v>
      </c>
      <c r="AK1162" s="195">
        <f t="shared" si="215"/>
        <v>0</v>
      </c>
      <c r="AL1162" s="195">
        <f>O1120+O1128+O1139+O1153</f>
        <v>0</v>
      </c>
      <c r="AM1162" s="195">
        <f>P1120+P1128+P1139+P1153</f>
        <v>0</v>
      </c>
      <c r="AN1162" s="195">
        <f t="shared" si="216"/>
        <v>0</v>
      </c>
      <c r="AO1162" s="195">
        <f>V1120+V1128+V1139+V1153</f>
        <v>0</v>
      </c>
      <c r="AP1162" s="195">
        <f t="shared" si="217"/>
        <v>0</v>
      </c>
      <c r="AQ1162" s="195">
        <f t="shared" si="218"/>
        <v>0</v>
      </c>
      <c r="AR1162" s="195">
        <f t="shared" si="219"/>
        <v>48918.542000000001</v>
      </c>
      <c r="AS1162" s="195">
        <f t="shared" si="211"/>
        <v>2191.1137400000002</v>
      </c>
    </row>
    <row r="1163" spans="1:45" x14ac:dyDescent="0.2">
      <c r="A1163" s="180"/>
      <c r="C1163" s="166" t="s">
        <v>54</v>
      </c>
      <c r="D1163" s="181">
        <f>6875465/1000</f>
        <v>6875.4650000000001</v>
      </c>
      <c r="E1163" s="181">
        <f>TOBEPAID!E894/1000</f>
        <v>0</v>
      </c>
      <c r="F1163" s="181">
        <f>TOBEPAID!F894/1000</f>
        <v>0</v>
      </c>
      <c r="G1163" s="181">
        <f>TOBEPAID!G894/1000</f>
        <v>0</v>
      </c>
      <c r="H1163" s="181">
        <v>0</v>
      </c>
      <c r="I1163" s="181">
        <f>TOBEPAID!I894/1000</f>
        <v>0</v>
      </c>
      <c r="J1163" s="181">
        <f>TOBEPAID!J894/1000</f>
        <v>0</v>
      </c>
      <c r="K1163" s="181">
        <f>TOBEPAID!K894/1000</f>
        <v>0</v>
      </c>
      <c r="L1163" s="181">
        <f>TOBEPAID!L894/1000</f>
        <v>0</v>
      </c>
      <c r="M1163" s="181">
        <f>TOBEPAID!M894/1000</f>
        <v>0</v>
      </c>
      <c r="N1163" s="181">
        <f>TOBEPAID!N894/1000</f>
        <v>0</v>
      </c>
      <c r="O1163" s="181">
        <f>TOBEPAID!O894/1000</f>
        <v>5603.8962599999995</v>
      </c>
      <c r="P1163" s="181">
        <f>TOBEPAID!P894/1000</f>
        <v>0</v>
      </c>
      <c r="Q1163" s="181">
        <f>TOBEPAID!Q894/1000</f>
        <v>0</v>
      </c>
      <c r="R1163" s="181">
        <f>5603896/1000</f>
        <v>5603.8959999999997</v>
      </c>
      <c r="S1163" s="181">
        <f>TOBEPAID!S894/1000</f>
        <v>0</v>
      </c>
      <c r="T1163" s="181">
        <f>TOBEPAID!T894/1000</f>
        <v>0</v>
      </c>
      <c r="U1163" s="181">
        <f>TOBEPAID!U894/1000</f>
        <v>0</v>
      </c>
      <c r="V1163" s="181">
        <f>TOBEPAID!V894/1000</f>
        <v>0</v>
      </c>
      <c r="W1163" s="181">
        <f>TOBEPAID!W894/1000</f>
        <v>0</v>
      </c>
      <c r="X1163" s="181">
        <f>TOBEPAID!X894/1000</f>
        <v>5603.8962599999995</v>
      </c>
      <c r="Y1163" s="181">
        <f t="shared" si="212"/>
        <v>5603.8959999999997</v>
      </c>
      <c r="Z1163" s="181">
        <f>+D1163-Y1163</f>
        <v>1271.5690000000004</v>
      </c>
      <c r="AA1163" s="181">
        <f>TOBEPAID!AA894/1000</f>
        <v>5603.8962599999995</v>
      </c>
      <c r="AB1163" s="181">
        <f>TOBEPAID!AB894/1000</f>
        <v>1271.5695200000005</v>
      </c>
      <c r="AC1163" s="181"/>
      <c r="AD1163" s="181"/>
      <c r="AE1163" s="186" t="s">
        <v>183</v>
      </c>
      <c r="AF1163" s="195">
        <f>D1121+D1129+D1141</f>
        <v>4532.2020000000002</v>
      </c>
      <c r="AG1163" s="195">
        <f>E1121+E1129+E1141</f>
        <v>0</v>
      </c>
      <c r="AH1163" s="195">
        <f>F1121+F1129+F1141</f>
        <v>0</v>
      </c>
      <c r="AI1163" s="195">
        <f t="shared" si="214"/>
        <v>0</v>
      </c>
      <c r="AJ1163" s="195">
        <f>L1121+L1129+L1141</f>
        <v>0</v>
      </c>
      <c r="AK1163" s="195">
        <f t="shared" si="215"/>
        <v>0</v>
      </c>
      <c r="AL1163" s="195">
        <f>O1121+O1129+O1141</f>
        <v>2341.08826</v>
      </c>
      <c r="AM1163" s="195">
        <f>P1121+P1129+P1141</f>
        <v>0</v>
      </c>
      <c r="AN1163" s="195">
        <f t="shared" si="216"/>
        <v>2341.08826</v>
      </c>
      <c r="AO1163" s="195">
        <f>V1121+V1129+V1141</f>
        <v>0</v>
      </c>
      <c r="AP1163" s="195">
        <f t="shared" si="217"/>
        <v>2341.08826</v>
      </c>
      <c r="AQ1163" s="195">
        <f t="shared" si="218"/>
        <v>2341.08826</v>
      </c>
      <c r="AR1163" s="195">
        <f t="shared" si="219"/>
        <v>2191.1137400000002</v>
      </c>
      <c r="AS1163" s="195">
        <f t="shared" si="211"/>
        <v>7056.2020000000002</v>
      </c>
    </row>
    <row r="1164" spans="1:45" x14ac:dyDescent="0.2">
      <c r="A1164" s="180"/>
      <c r="D1164" s="182" t="s">
        <v>40</v>
      </c>
      <c r="E1164" s="182" t="s">
        <v>40</v>
      </c>
      <c r="F1164" s="182" t="s">
        <v>40</v>
      </c>
      <c r="G1164" s="182"/>
      <c r="H1164" s="182" t="s">
        <v>40</v>
      </c>
      <c r="I1164" s="182" t="s">
        <v>40</v>
      </c>
      <c r="J1164" s="182" t="s">
        <v>40</v>
      </c>
      <c r="K1164" s="182" t="s">
        <v>40</v>
      </c>
      <c r="L1164" s="182" t="s">
        <v>40</v>
      </c>
      <c r="M1164" s="182"/>
      <c r="N1164" s="182" t="s">
        <v>40</v>
      </c>
      <c r="O1164" s="182" t="s">
        <v>40</v>
      </c>
      <c r="P1164" s="182" t="s">
        <v>40</v>
      </c>
      <c r="Q1164" s="182"/>
      <c r="R1164" s="182" t="s">
        <v>40</v>
      </c>
      <c r="S1164" s="182" t="s">
        <v>40</v>
      </c>
      <c r="T1164" s="182" t="s">
        <v>40</v>
      </c>
      <c r="U1164" s="182" t="s">
        <v>40</v>
      </c>
      <c r="V1164" s="182" t="s">
        <v>40</v>
      </c>
      <c r="W1164" s="182"/>
      <c r="X1164" s="182" t="s">
        <v>40</v>
      </c>
      <c r="Y1164" s="182" t="s">
        <v>40</v>
      </c>
      <c r="Z1164" s="182" t="s">
        <v>40</v>
      </c>
      <c r="AA1164" s="182" t="s">
        <v>40</v>
      </c>
      <c r="AB1164" s="182" t="s">
        <v>40</v>
      </c>
      <c r="AC1164" s="182"/>
      <c r="AD1164" s="182"/>
      <c r="AE1164" s="186" t="s">
        <v>275</v>
      </c>
      <c r="AF1164" s="195">
        <f>D1140+D1154+D1162</f>
        <v>7150.2170000000006</v>
      </c>
      <c r="AG1164" s="195">
        <f>E1140+E1154+E1162</f>
        <v>0</v>
      </c>
      <c r="AH1164" s="195">
        <f>F1140+F1154+F1162</f>
        <v>0</v>
      </c>
      <c r="AI1164" s="195">
        <f t="shared" si="214"/>
        <v>0</v>
      </c>
      <c r="AJ1164" s="195">
        <f>L1140+L1154+L1162</f>
        <v>0</v>
      </c>
      <c r="AK1164" s="195">
        <f t="shared" si="215"/>
        <v>0</v>
      </c>
      <c r="AL1164" s="195">
        <f>O1140+O1154+O1162</f>
        <v>94.015000000000001</v>
      </c>
      <c r="AM1164" s="195">
        <f>P1140+P1154+P1162</f>
        <v>0</v>
      </c>
      <c r="AN1164" s="195">
        <f t="shared" si="216"/>
        <v>94.015000000000001</v>
      </c>
      <c r="AO1164" s="195">
        <f>V1140+V1154+V1162</f>
        <v>0</v>
      </c>
      <c r="AP1164" s="195">
        <f t="shared" si="217"/>
        <v>94.015000000000001</v>
      </c>
      <c r="AQ1164" s="195">
        <f t="shared" si="218"/>
        <v>94.015000000000001</v>
      </c>
      <c r="AR1164" s="195">
        <f t="shared" si="219"/>
        <v>7056.2020000000002</v>
      </c>
      <c r="AS1164" s="195">
        <f t="shared" si="211"/>
        <v>1660.7178099999999</v>
      </c>
    </row>
    <row r="1165" spans="1:45" x14ac:dyDescent="0.2">
      <c r="A1165" s="180"/>
      <c r="D1165" s="181">
        <f>SUM(D1159:D1163)</f>
        <v>16266.737000000001</v>
      </c>
      <c r="E1165" s="181">
        <f>SUM(E1159:E1163)</f>
        <v>1521.22983</v>
      </c>
      <c r="F1165" s="181">
        <f>SUM(F1159:F1163)</f>
        <v>0</v>
      </c>
      <c r="G1165" s="181"/>
      <c r="H1165" s="181">
        <f>SUM(H1159:H1163)</f>
        <v>1521.229</v>
      </c>
      <c r="I1165" s="181">
        <f>SUM(I1159:I1163)</f>
        <v>0</v>
      </c>
      <c r="J1165" s="181">
        <f>SUM(J1159:J1163)</f>
        <v>0</v>
      </c>
      <c r="K1165" s="181">
        <f>SUM(K1159:K1163)</f>
        <v>0</v>
      </c>
      <c r="L1165" s="181">
        <f>SUM(L1159:L1163)</f>
        <v>0</v>
      </c>
      <c r="M1165" s="181"/>
      <c r="N1165" s="181">
        <f>SUM(N1159:N1163)</f>
        <v>1521.22983</v>
      </c>
      <c r="O1165" s="181">
        <f>SUM(O1159:O1163)</f>
        <v>8445.0196199999991</v>
      </c>
      <c r="P1165" s="181">
        <f>SUM(P1159:P1163)</f>
        <v>0</v>
      </c>
      <c r="Q1165" s="181"/>
      <c r="R1165" s="181">
        <f>SUM(R1159:R1163)</f>
        <v>8790.5291899999993</v>
      </c>
      <c r="S1165" s="181">
        <f>SUM(S1159:S1163)</f>
        <v>356.11799999999999</v>
      </c>
      <c r="T1165" s="181">
        <f>SUM(T1159:T1163)</f>
        <v>0</v>
      </c>
      <c r="U1165" s="181">
        <f>SUM(U1159:U1163)</f>
        <v>0</v>
      </c>
      <c r="V1165" s="181">
        <f>SUM(V1159:V1163)</f>
        <v>0</v>
      </c>
      <c r="W1165" s="181"/>
      <c r="X1165" s="181">
        <f>SUM(X1159:X1163)</f>
        <v>8445.0196199999991</v>
      </c>
      <c r="Y1165" s="181">
        <f>SUM(Y1159:Y1163)</f>
        <v>10311.75819</v>
      </c>
      <c r="Z1165" s="181">
        <f>SUM(Z1159:Z1163)</f>
        <v>5954.9788100000005</v>
      </c>
      <c r="AA1165" s="181">
        <f>SUM(AA1159:AA1163)</f>
        <v>9966.2494499999993</v>
      </c>
      <c r="AB1165" s="181">
        <f>SUM(AB1159:AB1163)</f>
        <v>6300.4894800000002</v>
      </c>
      <c r="AC1165" s="181"/>
      <c r="AD1165" s="181"/>
      <c r="AE1165" s="186" t="s">
        <v>38</v>
      </c>
      <c r="AF1165" s="195">
        <f>+D1161</f>
        <v>3132.9229999999998</v>
      </c>
      <c r="AG1165" s="195">
        <f>+E1161</f>
        <v>0</v>
      </c>
      <c r="AH1165" s="195">
        <f>+F1161</f>
        <v>0</v>
      </c>
      <c r="AI1165" s="195">
        <f t="shared" si="214"/>
        <v>0</v>
      </c>
      <c r="AJ1165" s="195">
        <f>+L1161</f>
        <v>0</v>
      </c>
      <c r="AK1165" s="195">
        <f t="shared" si="215"/>
        <v>0</v>
      </c>
      <c r="AL1165" s="195">
        <f>+O1161</f>
        <v>1472.2051899999999</v>
      </c>
      <c r="AM1165" s="195">
        <f>+P1161</f>
        <v>0</v>
      </c>
      <c r="AN1165" s="195">
        <f t="shared" si="216"/>
        <v>1472.2051899999999</v>
      </c>
      <c r="AO1165" s="195">
        <f>+V1161</f>
        <v>0</v>
      </c>
      <c r="AP1165" s="195">
        <f t="shared" si="217"/>
        <v>1472.2051899999999</v>
      </c>
      <c r="AQ1165" s="195">
        <f t="shared" si="218"/>
        <v>1472.2051899999999</v>
      </c>
      <c r="AR1165" s="195">
        <f t="shared" si="219"/>
        <v>1660.7178099999999</v>
      </c>
      <c r="AS1165" s="195">
        <f t="shared" si="211"/>
        <v>1271.5687400000006</v>
      </c>
    </row>
    <row r="1166" spans="1:45" x14ac:dyDescent="0.2">
      <c r="A1166" s="180"/>
      <c r="D1166" s="182" t="s">
        <v>40</v>
      </c>
      <c r="E1166" s="182" t="s">
        <v>40</v>
      </c>
      <c r="F1166" s="182" t="s">
        <v>40</v>
      </c>
      <c r="G1166" s="182"/>
      <c r="H1166" s="182" t="s">
        <v>40</v>
      </c>
      <c r="I1166" s="182" t="s">
        <v>40</v>
      </c>
      <c r="J1166" s="182" t="s">
        <v>40</v>
      </c>
      <c r="K1166" s="182" t="s">
        <v>40</v>
      </c>
      <c r="L1166" s="182" t="s">
        <v>40</v>
      </c>
      <c r="M1166" s="182"/>
      <c r="N1166" s="182" t="s">
        <v>40</v>
      </c>
      <c r="O1166" s="182" t="s">
        <v>40</v>
      </c>
      <c r="P1166" s="182" t="s">
        <v>40</v>
      </c>
      <c r="Q1166" s="182"/>
      <c r="R1166" s="182" t="s">
        <v>40</v>
      </c>
      <c r="S1166" s="182" t="s">
        <v>40</v>
      </c>
      <c r="T1166" s="182" t="s">
        <v>40</v>
      </c>
      <c r="U1166" s="182" t="s">
        <v>40</v>
      </c>
      <c r="V1166" s="182" t="s">
        <v>40</v>
      </c>
      <c r="W1166" s="182"/>
      <c r="X1166" s="182" t="s">
        <v>40</v>
      </c>
      <c r="Y1166" s="182" t="s">
        <v>40</v>
      </c>
      <c r="Z1166" s="182" t="s">
        <v>40</v>
      </c>
      <c r="AA1166" s="182" t="s">
        <v>40</v>
      </c>
      <c r="AB1166" s="182" t="s">
        <v>40</v>
      </c>
      <c r="AC1166" s="182"/>
      <c r="AD1166" s="182"/>
      <c r="AE1166" s="186" t="s">
        <v>53</v>
      </c>
      <c r="AF1166" s="195">
        <f>+D1163+D1116</f>
        <v>6875.4650000000001</v>
      </c>
      <c r="AG1166" s="195">
        <f>+E1163+E1116</f>
        <v>0</v>
      </c>
      <c r="AH1166" s="195">
        <f>+F1163</f>
        <v>0</v>
      </c>
      <c r="AI1166" s="195">
        <f t="shared" si="214"/>
        <v>0</v>
      </c>
      <c r="AJ1166" s="195">
        <f>+L1163+L1116</f>
        <v>0</v>
      </c>
      <c r="AK1166" s="195">
        <f t="shared" si="215"/>
        <v>0</v>
      </c>
      <c r="AL1166" s="195">
        <f>+O1163+O1116</f>
        <v>5603.8962599999995</v>
      </c>
      <c r="AM1166" s="195">
        <f>+P1163+P1116</f>
        <v>0</v>
      </c>
      <c r="AN1166" s="195">
        <f t="shared" si="216"/>
        <v>5603.8962599999995</v>
      </c>
      <c r="AO1166" s="195">
        <f>+V1163</f>
        <v>0</v>
      </c>
      <c r="AP1166" s="195">
        <f t="shared" si="217"/>
        <v>5603.8962599999995</v>
      </c>
      <c r="AQ1166" s="195">
        <f t="shared" si="218"/>
        <v>5603.8962599999995</v>
      </c>
      <c r="AR1166" s="195">
        <f t="shared" si="219"/>
        <v>1271.5687400000006</v>
      </c>
      <c r="AS1166" s="195">
        <f>SUM(AS1157:AS1165)</f>
        <v>2298141.7619799995</v>
      </c>
    </row>
    <row r="1167" spans="1:45" x14ac:dyDescent="0.2">
      <c r="A1167" s="180"/>
      <c r="D1167" s="182"/>
      <c r="E1167" s="191"/>
      <c r="F1167" s="182"/>
      <c r="G1167" s="182"/>
      <c r="H1167" s="182"/>
      <c r="I1167" s="182"/>
      <c r="J1167" s="182"/>
      <c r="K1167" s="182"/>
      <c r="L1167" s="182"/>
      <c r="M1167" s="182"/>
      <c r="N1167" s="182"/>
      <c r="O1167" s="182"/>
      <c r="P1167" s="182"/>
      <c r="Q1167" s="182"/>
      <c r="R1167" s="182"/>
      <c r="S1167" s="182"/>
      <c r="T1167" s="182"/>
      <c r="U1167" s="182"/>
      <c r="V1167" s="182"/>
      <c r="W1167" s="182"/>
      <c r="X1167" s="182"/>
      <c r="Y1167" s="182"/>
      <c r="Z1167" s="182"/>
      <c r="AA1167" s="182"/>
      <c r="AB1167" s="182"/>
      <c r="AC1167" s="182"/>
      <c r="AD1167" s="182"/>
      <c r="AE1167" s="186" t="s">
        <v>54</v>
      </c>
      <c r="AF1167" s="195">
        <f t="shared" ref="AF1167:AR1167" si="220">SUM(AF1158:AF1166)</f>
        <v>2478141.4462600001</v>
      </c>
      <c r="AG1167" s="195">
        <f t="shared" si="220"/>
        <v>139213.57640000002</v>
      </c>
      <c r="AH1167" s="195">
        <f t="shared" si="220"/>
        <v>30000</v>
      </c>
      <c r="AI1167" s="195">
        <f t="shared" si="220"/>
        <v>169213.57640000002</v>
      </c>
      <c r="AJ1167" s="195">
        <f t="shared" si="220"/>
        <v>0</v>
      </c>
      <c r="AK1167" s="195">
        <f t="shared" si="220"/>
        <v>169213.57640000002</v>
      </c>
      <c r="AL1167" s="195">
        <f t="shared" si="220"/>
        <v>10786.10788</v>
      </c>
      <c r="AM1167" s="195">
        <f t="shared" si="220"/>
        <v>0</v>
      </c>
      <c r="AN1167" s="195">
        <f t="shared" si="220"/>
        <v>10786.10788</v>
      </c>
      <c r="AO1167" s="195">
        <f t="shared" si="220"/>
        <v>0</v>
      </c>
      <c r="AP1167" s="195">
        <f t="shared" si="220"/>
        <v>10786.10788</v>
      </c>
      <c r="AQ1167" s="195">
        <f t="shared" si="220"/>
        <v>179999.68428000004</v>
      </c>
      <c r="AR1167" s="195">
        <f t="shared" si="220"/>
        <v>2298141.7619799995</v>
      </c>
      <c r="AS1167" s="195"/>
    </row>
    <row r="1168" spans="1:45" x14ac:dyDescent="0.2">
      <c r="A1168" s="180"/>
      <c r="B1168" s="166" t="s">
        <v>26</v>
      </c>
      <c r="C1168" s="166" t="s">
        <v>105</v>
      </c>
      <c r="D1168" s="181">
        <f>D1165+D1156+D1143+D1131+D1123</f>
        <v>2571301.2202599999</v>
      </c>
      <c r="E1168" s="181">
        <f>E1165+E1156+E1143+E1131+E1123</f>
        <v>139213.57640000002</v>
      </c>
      <c r="F1168" s="181">
        <f>F1165+F1156+F1143+F1131+F1123</f>
        <v>30000</v>
      </c>
      <c r="G1168" s="181"/>
      <c r="H1168" s="181">
        <f>H1165+H1156+H1143+H1131+H1123</f>
        <v>2478603.00226</v>
      </c>
      <c r="I1168" s="181">
        <f>I1165+I1156+I1143+I1131+I1123</f>
        <v>0</v>
      </c>
      <c r="J1168" s="181">
        <f>J1165+J1156+J1143+J1131+J1123</f>
        <v>0</v>
      </c>
      <c r="K1168" s="181">
        <f>K1165+K1156+K1143+K1131+K1123</f>
        <v>0</v>
      </c>
      <c r="L1168" s="181">
        <f>L1165+L1156+L1143+L1131+L1123</f>
        <v>0</v>
      </c>
      <c r="M1168" s="181"/>
      <c r="N1168" s="181">
        <f>N1165+N1156+N1143+N1131+N1123</f>
        <v>169213.57640000002</v>
      </c>
      <c r="O1168" s="181">
        <f>O1165+O1156+O1143+O1131+O1123</f>
        <v>10786.10788</v>
      </c>
      <c r="P1168" s="181">
        <f>P1165+P1156+P1143+P1131+P1123</f>
        <v>0</v>
      </c>
      <c r="Q1168" s="181"/>
      <c r="R1168" s="181">
        <f>R1165+R1156+R1143+R1131+R1123</f>
        <v>8822.4184699999987</v>
      </c>
      <c r="S1168" s="181">
        <f>S1165+S1156+S1143+S1131+S1123</f>
        <v>356.11799999999999</v>
      </c>
      <c r="T1168" s="181">
        <f>T1165+T1156+T1143+T1131+T1123</f>
        <v>0</v>
      </c>
      <c r="U1168" s="181">
        <f>U1165+U1156+U1143+U1131+U1123</f>
        <v>0</v>
      </c>
      <c r="V1168" s="181">
        <f>V1165+V1156+V1143+V1131+V1123</f>
        <v>0</v>
      </c>
      <c r="W1168" s="181"/>
      <c r="X1168" s="181">
        <f>X1165+X1156+X1143+X1131+X1123</f>
        <v>10786.10788</v>
      </c>
      <c r="Y1168" s="181">
        <f>Y1165+Y1156+Y1143+Y1131+Y1123</f>
        <v>2487425.4207299999</v>
      </c>
      <c r="Z1168" s="181">
        <f>Z1165+Z1156+Z1143+Z1131+Z1123</f>
        <v>83875.799530000004</v>
      </c>
      <c r="AA1168" s="181">
        <f>AA1165+AA1156+AA1143+AA1131+AA1123</f>
        <v>179999.68428000002</v>
      </c>
      <c r="AB1168" s="181">
        <f>AB1165+AB1156+AB1143+AB1131+AB1123</f>
        <v>274902.35924000002</v>
      </c>
      <c r="AC1168" s="181"/>
      <c r="AD1168" s="181"/>
      <c r="AF1168" s="195"/>
      <c r="AG1168" s="195"/>
      <c r="AH1168" s="195"/>
      <c r="AI1168" s="195"/>
      <c r="AJ1168" s="195"/>
      <c r="AK1168" s="195"/>
      <c r="AL1168" s="195"/>
      <c r="AM1168" s="195"/>
      <c r="AN1168" s="195"/>
      <c r="AO1168" s="195"/>
      <c r="AP1168" s="195"/>
      <c r="AQ1168" s="195"/>
      <c r="AR1168" s="195"/>
      <c r="AS1168" s="195"/>
    </row>
    <row r="1169" spans="1:45" x14ac:dyDescent="0.2">
      <c r="A1169" s="180"/>
      <c r="D1169" s="182" t="s">
        <v>50</v>
      </c>
      <c r="E1169" s="182" t="s">
        <v>50</v>
      </c>
      <c r="F1169" s="182" t="s">
        <v>50</v>
      </c>
      <c r="G1169" s="182"/>
      <c r="H1169" s="182" t="s">
        <v>50</v>
      </c>
      <c r="I1169" s="182" t="s">
        <v>50</v>
      </c>
      <c r="J1169" s="182" t="s">
        <v>50</v>
      </c>
      <c r="K1169" s="182" t="s">
        <v>50</v>
      </c>
      <c r="L1169" s="182" t="s">
        <v>50</v>
      </c>
      <c r="M1169" s="182"/>
      <c r="N1169" s="182" t="s">
        <v>50</v>
      </c>
      <c r="O1169" s="182" t="s">
        <v>50</v>
      </c>
      <c r="P1169" s="182" t="s">
        <v>50</v>
      </c>
      <c r="Q1169" s="182"/>
      <c r="R1169" s="182" t="s">
        <v>50</v>
      </c>
      <c r="S1169" s="182" t="s">
        <v>50</v>
      </c>
      <c r="T1169" s="182" t="s">
        <v>50</v>
      </c>
      <c r="U1169" s="182" t="s">
        <v>50</v>
      </c>
      <c r="V1169" s="182" t="s">
        <v>50</v>
      </c>
      <c r="W1169" s="182"/>
      <c r="X1169" s="182" t="s">
        <v>50</v>
      </c>
      <c r="Y1169" s="182" t="s">
        <v>50</v>
      </c>
      <c r="Z1169" s="182" t="s">
        <v>50</v>
      </c>
      <c r="AA1169" s="182" t="s">
        <v>50</v>
      </c>
      <c r="AB1169" s="182" t="s">
        <v>50</v>
      </c>
      <c r="AC1169" s="182"/>
      <c r="AD1169" s="182"/>
      <c r="AF1169" s="195"/>
      <c r="AG1169" s="195"/>
      <c r="AH1169" s="195"/>
      <c r="AI1169" s="195"/>
      <c r="AJ1169" s="195"/>
      <c r="AK1169" s="195"/>
      <c r="AL1169" s="195"/>
      <c r="AM1169" s="195"/>
      <c r="AN1169" s="195"/>
      <c r="AO1169" s="195"/>
      <c r="AP1169" s="195"/>
      <c r="AQ1169" s="195"/>
      <c r="AR1169" s="195"/>
      <c r="AS1169" s="195"/>
    </row>
    <row r="1170" spans="1:45" x14ac:dyDescent="0.2">
      <c r="C1170" s="186"/>
      <c r="D1170" s="191"/>
      <c r="E1170" s="196"/>
      <c r="F1170" s="191"/>
      <c r="G1170" s="191"/>
      <c r="H1170" s="181"/>
      <c r="I1170" s="191"/>
      <c r="J1170" s="191"/>
      <c r="K1170" s="191"/>
      <c r="L1170" s="191"/>
      <c r="M1170" s="191"/>
      <c r="N1170" s="181"/>
      <c r="O1170" s="191"/>
      <c r="P1170" s="191"/>
      <c r="Q1170" s="191"/>
      <c r="R1170" s="181"/>
      <c r="S1170" s="191"/>
      <c r="T1170" s="191"/>
      <c r="U1170" s="191"/>
      <c r="V1170" s="191"/>
      <c r="W1170" s="191"/>
      <c r="X1170" s="181"/>
      <c r="Y1170" s="181"/>
      <c r="Z1170" s="181"/>
      <c r="AA1170" s="181"/>
      <c r="AB1170" s="181"/>
      <c r="AC1170" s="181"/>
      <c r="AD1170" s="181"/>
      <c r="AF1170" s="195"/>
      <c r="AG1170" s="195"/>
      <c r="AH1170" s="195"/>
      <c r="AI1170" s="195"/>
      <c r="AJ1170" s="195"/>
      <c r="AK1170" s="195"/>
      <c r="AL1170" s="195"/>
      <c r="AM1170" s="195"/>
      <c r="AN1170" s="195"/>
      <c r="AO1170" s="195"/>
      <c r="AP1170" s="195"/>
      <c r="AQ1170" s="195"/>
      <c r="AR1170" s="195"/>
      <c r="AS1170" s="195"/>
    </row>
    <row r="1171" spans="1:45" x14ac:dyDescent="0.2">
      <c r="A1171" s="180"/>
      <c r="B1171" s="165" t="s">
        <v>223</v>
      </c>
      <c r="D1171" s="191"/>
      <c r="E1171" s="191"/>
      <c r="F1171" s="191"/>
      <c r="G1171" s="191"/>
      <c r="H1171" s="181"/>
      <c r="I1171" s="191"/>
      <c r="J1171" s="191"/>
      <c r="K1171" s="191"/>
      <c r="L1171" s="191"/>
      <c r="M1171" s="191"/>
      <c r="N1171" s="181"/>
      <c r="O1171" s="191"/>
      <c r="P1171" s="191"/>
      <c r="Q1171" s="191"/>
      <c r="R1171" s="181"/>
      <c r="S1171" s="191"/>
      <c r="T1171" s="191"/>
      <c r="U1171" s="191"/>
      <c r="V1171" s="191"/>
      <c r="W1171" s="191"/>
      <c r="X1171" s="181"/>
      <c r="Y1171" s="181"/>
      <c r="Z1171" s="181"/>
      <c r="AA1171" s="181"/>
      <c r="AB1171" s="181"/>
      <c r="AC1171" s="181"/>
      <c r="AD1171" s="181"/>
      <c r="AF1171" s="195"/>
      <c r="AG1171" s="195"/>
      <c r="AH1171" s="195"/>
      <c r="AI1171" s="195"/>
      <c r="AJ1171" s="195"/>
      <c r="AK1171" s="195"/>
      <c r="AL1171" s="195"/>
      <c r="AM1171" s="195"/>
      <c r="AN1171" s="195"/>
      <c r="AO1171" s="195"/>
      <c r="AP1171" s="195"/>
      <c r="AQ1171" s="195"/>
      <c r="AR1171" s="195"/>
      <c r="AS1171" s="195"/>
    </row>
    <row r="1172" spans="1:45" x14ac:dyDescent="0.2">
      <c r="A1172" s="180"/>
      <c r="D1172" s="191"/>
      <c r="E1172" s="191"/>
      <c r="F1172" s="191"/>
      <c r="G1172" s="191"/>
      <c r="H1172" s="181"/>
      <c r="I1172" s="191"/>
      <c r="J1172" s="191"/>
      <c r="K1172" s="191"/>
      <c r="L1172" s="191"/>
      <c r="M1172" s="191"/>
      <c r="N1172" s="181"/>
      <c r="O1172" s="191"/>
      <c r="P1172" s="191"/>
      <c r="Q1172" s="191"/>
      <c r="R1172" s="181"/>
      <c r="S1172" s="191"/>
      <c r="T1172" s="191"/>
      <c r="U1172" s="191"/>
      <c r="V1172" s="191"/>
      <c r="W1172" s="191"/>
      <c r="X1172" s="181"/>
      <c r="Y1172" s="181"/>
      <c r="Z1172" s="181"/>
      <c r="AA1172" s="181"/>
      <c r="AB1172" s="181"/>
      <c r="AC1172" s="181"/>
      <c r="AD1172" s="181"/>
      <c r="AF1172" s="195"/>
      <c r="AG1172" s="195"/>
      <c r="AH1172" s="195"/>
      <c r="AI1172" s="195"/>
      <c r="AJ1172" s="195"/>
      <c r="AK1172" s="195"/>
      <c r="AL1172" s="195"/>
      <c r="AM1172" s="195"/>
      <c r="AN1172" s="195"/>
      <c r="AO1172" s="195"/>
      <c r="AP1172" s="195"/>
      <c r="AQ1172" s="195"/>
      <c r="AR1172" s="195"/>
      <c r="AS1172" s="195"/>
    </row>
    <row r="1173" spans="1:45" x14ac:dyDescent="0.2">
      <c r="A1173" s="180">
        <v>92</v>
      </c>
      <c r="B1173" s="165" t="s">
        <v>224</v>
      </c>
      <c r="C1173" s="166" t="s">
        <v>35</v>
      </c>
      <c r="D1173" s="181">
        <f>35160320/1000</f>
        <v>35160.32</v>
      </c>
      <c r="E1173" s="181">
        <f>TOBEPAID!E904/1000</f>
        <v>0</v>
      </c>
      <c r="F1173" s="181">
        <f>TOBEPAID!F904/1000</f>
        <v>0</v>
      </c>
      <c r="G1173" s="181">
        <f>TOBEPAID!G904/1000</f>
        <v>0</v>
      </c>
      <c r="H1173" s="181">
        <f>35015525.23/1000</f>
        <v>35015.525229999999</v>
      </c>
      <c r="I1173" s="181">
        <f>TOBEPAID!I904/1000</f>
        <v>0</v>
      </c>
      <c r="J1173" s="181">
        <f>TOBEPAID!J904/1000</f>
        <v>0</v>
      </c>
      <c r="K1173" s="181">
        <f>TOBEPAID!K904/1000</f>
        <v>0</v>
      </c>
      <c r="L1173" s="181">
        <f>TOBEPAID!L904/1000</f>
        <v>0</v>
      </c>
      <c r="M1173" s="181">
        <f>TOBEPAID!M904/1000</f>
        <v>0</v>
      </c>
      <c r="N1173" s="181">
        <f>TOBEPAID!N904/1000</f>
        <v>0</v>
      </c>
      <c r="O1173" s="181">
        <f>TOBEPAID!O904/1000</f>
        <v>0</v>
      </c>
      <c r="P1173" s="181">
        <f>TOBEPAID!P904/1000</f>
        <v>0</v>
      </c>
      <c r="Q1173" s="181">
        <f>TOBEPAID!Q904/1000</f>
        <v>0</v>
      </c>
      <c r="R1173" s="181">
        <f>TOBEPAID!R904/1000</f>
        <v>0</v>
      </c>
      <c r="S1173" s="181">
        <f>TOBEPAID!S904/1000</f>
        <v>0</v>
      </c>
      <c r="T1173" s="181">
        <f>TOBEPAID!T904/1000</f>
        <v>0</v>
      </c>
      <c r="U1173" s="181">
        <f>TOBEPAID!U904/1000</f>
        <v>0</v>
      </c>
      <c r="V1173" s="181">
        <f>TOBEPAID!V904/1000</f>
        <v>0</v>
      </c>
      <c r="W1173" s="181">
        <f>TOBEPAID!W904/1000</f>
        <v>0</v>
      </c>
      <c r="X1173" s="181">
        <f>TOBEPAID!X904/1000</f>
        <v>0</v>
      </c>
      <c r="Y1173" s="181">
        <f t="shared" ref="Y1173:Y1180" si="221">+H1173+R1173</f>
        <v>35015.525229999999</v>
      </c>
      <c r="Z1173" s="181">
        <f t="shared" ref="Z1173:Z1180" si="222">+D1173-Y1173</f>
        <v>144.79477000000043</v>
      </c>
      <c r="AA1173" s="181">
        <f>TOBEPAID!AA904/1000</f>
        <v>0</v>
      </c>
      <c r="AB1173" s="181">
        <f>TOBEPAID!AB904/1000</f>
        <v>0</v>
      </c>
      <c r="AC1173" s="181"/>
      <c r="AD1173" s="181"/>
      <c r="AF1173" s="195"/>
      <c r="AG1173" s="195"/>
      <c r="AH1173" s="195"/>
      <c r="AI1173" s="195"/>
      <c r="AJ1173" s="195"/>
      <c r="AK1173" s="195"/>
      <c r="AL1173" s="195"/>
      <c r="AM1173" s="195"/>
      <c r="AN1173" s="195"/>
      <c r="AO1173" s="195"/>
      <c r="AP1173" s="195"/>
      <c r="AQ1173" s="195"/>
      <c r="AR1173" s="195"/>
      <c r="AS1173" s="195"/>
    </row>
    <row r="1174" spans="1:45" x14ac:dyDescent="0.2">
      <c r="A1174" s="180"/>
      <c r="C1174" s="165" t="s">
        <v>36</v>
      </c>
      <c r="D1174" s="181">
        <f>58052/1000</f>
        <v>58.052</v>
      </c>
      <c r="E1174" s="181">
        <f>TOBEPAID!E905/1000</f>
        <v>58.052</v>
      </c>
      <c r="F1174" s="181">
        <f>TOBEPAID!F905/1000</f>
        <v>0</v>
      </c>
      <c r="G1174" s="181">
        <f>TOBEPAID!G905/1000</f>
        <v>0</v>
      </c>
      <c r="H1174" s="181">
        <f>58052/1000</f>
        <v>58.052</v>
      </c>
      <c r="I1174" s="181">
        <f>TOBEPAID!I905/1000</f>
        <v>0</v>
      </c>
      <c r="J1174" s="181">
        <f>TOBEPAID!J905/1000</f>
        <v>0</v>
      </c>
      <c r="K1174" s="181">
        <f>TOBEPAID!K905/1000</f>
        <v>0</v>
      </c>
      <c r="L1174" s="181">
        <f>TOBEPAID!L905/1000</f>
        <v>0</v>
      </c>
      <c r="M1174" s="181">
        <f>TOBEPAID!M905/1000</f>
        <v>0</v>
      </c>
      <c r="N1174" s="181">
        <f>TOBEPAID!N905/1000</f>
        <v>58.052</v>
      </c>
      <c r="O1174" s="181">
        <f>TOBEPAID!O905/1000</f>
        <v>0</v>
      </c>
      <c r="P1174" s="181">
        <f>TOBEPAID!P905/1000</f>
        <v>0</v>
      </c>
      <c r="Q1174" s="181">
        <f>TOBEPAID!Q905/1000</f>
        <v>0</v>
      </c>
      <c r="R1174" s="181">
        <f>TOBEPAID!R905/1000</f>
        <v>0</v>
      </c>
      <c r="S1174" s="181">
        <f>TOBEPAID!S905/1000</f>
        <v>0</v>
      </c>
      <c r="T1174" s="181">
        <f>TOBEPAID!T905/1000</f>
        <v>0</v>
      </c>
      <c r="U1174" s="181">
        <f>TOBEPAID!U905/1000</f>
        <v>0</v>
      </c>
      <c r="V1174" s="181">
        <f>TOBEPAID!V905/1000</f>
        <v>0</v>
      </c>
      <c r="W1174" s="181">
        <f>TOBEPAID!W905/1000</f>
        <v>0</v>
      </c>
      <c r="X1174" s="181">
        <f>TOBEPAID!X905/1000</f>
        <v>0</v>
      </c>
      <c r="Y1174" s="181">
        <f t="shared" si="221"/>
        <v>58.052</v>
      </c>
      <c r="Z1174" s="181">
        <f t="shared" si="222"/>
        <v>0</v>
      </c>
      <c r="AA1174" s="181">
        <f>TOBEPAID!AA905/1000</f>
        <v>58.052</v>
      </c>
      <c r="AB1174" s="181">
        <f>TOBEPAID!AB905/1000</f>
        <v>0</v>
      </c>
      <c r="AC1174" s="181"/>
      <c r="AD1174" s="181"/>
      <c r="AF1174" s="195"/>
      <c r="AG1174" s="195"/>
      <c r="AH1174" s="195"/>
      <c r="AI1174" s="195"/>
      <c r="AJ1174" s="195"/>
      <c r="AK1174" s="195"/>
      <c r="AL1174" s="195"/>
      <c r="AM1174" s="195"/>
      <c r="AN1174" s="195"/>
      <c r="AO1174" s="195"/>
      <c r="AP1174" s="195"/>
      <c r="AQ1174" s="195"/>
      <c r="AR1174" s="195"/>
      <c r="AS1174" s="195"/>
    </row>
    <row r="1175" spans="1:45" x14ac:dyDescent="0.2">
      <c r="A1175" s="180"/>
      <c r="C1175" s="165" t="s">
        <v>444</v>
      </c>
      <c r="D1175" s="181">
        <f>39000000/1000</f>
        <v>39000</v>
      </c>
      <c r="E1175" s="181"/>
      <c r="F1175" s="181"/>
      <c r="G1175" s="181"/>
      <c r="H1175" s="181">
        <f>39000000/1000</f>
        <v>39000</v>
      </c>
      <c r="I1175" s="181"/>
      <c r="J1175" s="181"/>
      <c r="K1175" s="181"/>
      <c r="L1175" s="181"/>
      <c r="M1175" s="181"/>
      <c r="N1175" s="181"/>
      <c r="O1175" s="181"/>
      <c r="P1175" s="181"/>
      <c r="Q1175" s="181"/>
      <c r="R1175" s="181">
        <v>0</v>
      </c>
      <c r="S1175" s="181"/>
      <c r="T1175" s="181"/>
      <c r="U1175" s="181"/>
      <c r="V1175" s="181"/>
      <c r="W1175" s="181"/>
      <c r="X1175" s="181"/>
      <c r="Y1175" s="181">
        <f t="shared" si="221"/>
        <v>39000</v>
      </c>
      <c r="Z1175" s="181">
        <f t="shared" si="222"/>
        <v>0</v>
      </c>
      <c r="AA1175" s="181"/>
      <c r="AB1175" s="181"/>
      <c r="AC1175" s="181"/>
      <c r="AD1175" s="181"/>
      <c r="AF1175" s="195"/>
      <c r="AG1175" s="195"/>
      <c r="AH1175" s="195"/>
      <c r="AI1175" s="195"/>
      <c r="AJ1175" s="195"/>
      <c r="AK1175" s="195"/>
      <c r="AL1175" s="195"/>
      <c r="AM1175" s="195"/>
      <c r="AN1175" s="195"/>
      <c r="AO1175" s="195"/>
      <c r="AP1175" s="195"/>
      <c r="AQ1175" s="195"/>
      <c r="AR1175" s="195"/>
      <c r="AS1175" s="195"/>
    </row>
    <row r="1176" spans="1:45" x14ac:dyDescent="0.2">
      <c r="A1176" s="180"/>
      <c r="C1176" s="165" t="s">
        <v>456</v>
      </c>
      <c r="D1176" s="181">
        <f>378298000/1000</f>
        <v>378298</v>
      </c>
      <c r="E1176" s="181"/>
      <c r="F1176" s="181"/>
      <c r="G1176" s="181"/>
      <c r="H1176" s="181">
        <f>184114441.72/1000</f>
        <v>184114.44172</v>
      </c>
      <c r="I1176" s="181"/>
      <c r="J1176" s="181"/>
      <c r="K1176" s="181"/>
      <c r="L1176" s="181"/>
      <c r="M1176" s="181"/>
      <c r="N1176" s="181"/>
      <c r="O1176" s="181"/>
      <c r="P1176" s="181"/>
      <c r="Q1176" s="181"/>
      <c r="R1176" s="181">
        <v>0</v>
      </c>
      <c r="S1176" s="181"/>
      <c r="T1176" s="181"/>
      <c r="U1176" s="181"/>
      <c r="V1176" s="181"/>
      <c r="W1176" s="181"/>
      <c r="X1176" s="181"/>
      <c r="Y1176" s="181">
        <f>+H1176+R1176</f>
        <v>184114.44172</v>
      </c>
      <c r="Z1176" s="181">
        <f t="shared" si="222"/>
        <v>194183.55828</v>
      </c>
      <c r="AA1176" s="181"/>
      <c r="AB1176" s="181"/>
      <c r="AC1176" s="181"/>
      <c r="AD1176" s="181"/>
      <c r="AF1176" s="195"/>
      <c r="AG1176" s="195"/>
      <c r="AH1176" s="195"/>
      <c r="AI1176" s="195"/>
      <c r="AJ1176" s="195"/>
      <c r="AK1176" s="195"/>
      <c r="AL1176" s="195"/>
      <c r="AM1176" s="195"/>
      <c r="AN1176" s="195"/>
      <c r="AO1176" s="195"/>
      <c r="AP1176" s="195"/>
      <c r="AQ1176" s="195"/>
      <c r="AR1176" s="195"/>
      <c r="AS1176" s="195"/>
    </row>
    <row r="1177" spans="1:45" x14ac:dyDescent="0.2">
      <c r="A1177" s="180"/>
      <c r="C1177" s="165" t="s">
        <v>437</v>
      </c>
      <c r="D1177" s="181">
        <f>23500000/1000</f>
        <v>23500</v>
      </c>
      <c r="E1177" s="181"/>
      <c r="F1177" s="181"/>
      <c r="G1177" s="181"/>
      <c r="H1177" s="181">
        <f>23500000/1000</f>
        <v>23500</v>
      </c>
      <c r="I1177" s="181"/>
      <c r="J1177" s="181"/>
      <c r="K1177" s="181"/>
      <c r="L1177" s="181"/>
      <c r="M1177" s="181"/>
      <c r="N1177" s="181"/>
      <c r="O1177" s="181"/>
      <c r="P1177" s="181"/>
      <c r="Q1177" s="181"/>
      <c r="R1177" s="181">
        <v>0</v>
      </c>
      <c r="S1177" s="181"/>
      <c r="T1177" s="181"/>
      <c r="U1177" s="181"/>
      <c r="V1177" s="181"/>
      <c r="W1177" s="181"/>
      <c r="X1177" s="181"/>
      <c r="Y1177" s="181">
        <f t="shared" si="221"/>
        <v>23500</v>
      </c>
      <c r="Z1177" s="181">
        <f t="shared" si="222"/>
        <v>0</v>
      </c>
      <c r="AA1177" s="181"/>
      <c r="AB1177" s="181"/>
      <c r="AC1177" s="181"/>
      <c r="AD1177" s="181"/>
      <c r="AF1177" s="195"/>
      <c r="AG1177" s="195"/>
      <c r="AH1177" s="195"/>
      <c r="AI1177" s="195"/>
      <c r="AJ1177" s="195"/>
      <c r="AK1177" s="195"/>
      <c r="AL1177" s="195"/>
      <c r="AM1177" s="195"/>
      <c r="AN1177" s="195"/>
      <c r="AO1177" s="195"/>
      <c r="AP1177" s="195"/>
      <c r="AQ1177" s="195"/>
      <c r="AR1177" s="195"/>
      <c r="AS1177" s="195"/>
    </row>
    <row r="1178" spans="1:45" x14ac:dyDescent="0.2">
      <c r="A1178" s="180"/>
      <c r="C1178" s="165" t="s">
        <v>450</v>
      </c>
      <c r="D1178" s="181">
        <f>6500000/1000</f>
        <v>6500</v>
      </c>
      <c r="E1178" s="181"/>
      <c r="F1178" s="181"/>
      <c r="G1178" s="181"/>
      <c r="H1178" s="181">
        <f>6500000/1000</f>
        <v>6500</v>
      </c>
      <c r="I1178" s="181"/>
      <c r="J1178" s="181"/>
      <c r="K1178" s="181"/>
      <c r="L1178" s="181"/>
      <c r="M1178" s="181"/>
      <c r="N1178" s="181"/>
      <c r="O1178" s="181"/>
      <c r="P1178" s="181"/>
      <c r="Q1178" s="181"/>
      <c r="R1178" s="181">
        <v>0</v>
      </c>
      <c r="S1178" s="181"/>
      <c r="T1178" s="181"/>
      <c r="U1178" s="181"/>
      <c r="V1178" s="181"/>
      <c r="W1178" s="181"/>
      <c r="X1178" s="181"/>
      <c r="Y1178" s="181">
        <f>+H1178+R1178</f>
        <v>6500</v>
      </c>
      <c r="Z1178" s="181">
        <f t="shared" si="222"/>
        <v>0</v>
      </c>
      <c r="AA1178" s="181"/>
      <c r="AB1178" s="181"/>
      <c r="AC1178" s="181"/>
      <c r="AD1178" s="181"/>
      <c r="AF1178" s="195"/>
      <c r="AG1178" s="195"/>
      <c r="AH1178" s="195"/>
      <c r="AI1178" s="195"/>
      <c r="AJ1178" s="195"/>
      <c r="AK1178" s="195"/>
      <c r="AL1178" s="195"/>
      <c r="AM1178" s="195"/>
      <c r="AN1178" s="195"/>
      <c r="AO1178" s="195"/>
      <c r="AP1178" s="195"/>
      <c r="AQ1178" s="195"/>
      <c r="AR1178" s="195"/>
      <c r="AS1178" s="195"/>
    </row>
    <row r="1179" spans="1:45" x14ac:dyDescent="0.2">
      <c r="A1179" s="180"/>
      <c r="C1179" s="165" t="s">
        <v>183</v>
      </c>
      <c r="D1179" s="181">
        <v>0</v>
      </c>
      <c r="E1179" s="181">
        <f>TOBEPAID!E906/1000</f>
        <v>0</v>
      </c>
      <c r="F1179" s="181">
        <f>TOBEPAID!F906/1000</f>
        <v>0</v>
      </c>
      <c r="G1179" s="181">
        <f>TOBEPAID!G906/1000</f>
        <v>0</v>
      </c>
      <c r="H1179" s="181">
        <v>0</v>
      </c>
      <c r="I1179" s="181">
        <f>TOBEPAID!I906/1000</f>
        <v>0</v>
      </c>
      <c r="J1179" s="181">
        <f>TOBEPAID!J906/1000</f>
        <v>0</v>
      </c>
      <c r="K1179" s="181">
        <f>TOBEPAID!K906/1000</f>
        <v>0</v>
      </c>
      <c r="L1179" s="181">
        <f>TOBEPAID!L906/1000</f>
        <v>0</v>
      </c>
      <c r="M1179" s="181">
        <f>TOBEPAID!M906/1000</f>
        <v>0</v>
      </c>
      <c r="N1179" s="181">
        <f>TOBEPAID!N906/1000</f>
        <v>0</v>
      </c>
      <c r="O1179" s="181">
        <f>TOBEPAID!O906/1000</f>
        <v>0</v>
      </c>
      <c r="P1179" s="181">
        <f>TOBEPAID!P906/1000</f>
        <v>0</v>
      </c>
      <c r="Q1179" s="181">
        <f>TOBEPAID!Q906/1000</f>
        <v>0</v>
      </c>
      <c r="R1179" s="181">
        <f>TOBEPAID!R906/1000</f>
        <v>0</v>
      </c>
      <c r="S1179" s="181">
        <f>TOBEPAID!S906/1000</f>
        <v>0</v>
      </c>
      <c r="T1179" s="181">
        <f>TOBEPAID!T906/1000</f>
        <v>0</v>
      </c>
      <c r="U1179" s="181">
        <f>TOBEPAID!U906/1000</f>
        <v>0</v>
      </c>
      <c r="V1179" s="181">
        <f>TOBEPAID!V906/1000</f>
        <v>0</v>
      </c>
      <c r="W1179" s="181">
        <f>TOBEPAID!W906/1000</f>
        <v>0</v>
      </c>
      <c r="X1179" s="181">
        <f>TOBEPAID!X906/1000</f>
        <v>0</v>
      </c>
      <c r="Y1179" s="181">
        <f t="shared" si="221"/>
        <v>0</v>
      </c>
      <c r="Z1179" s="181">
        <f t="shared" si="222"/>
        <v>0</v>
      </c>
      <c r="AA1179" s="181">
        <f>TOBEPAID!AA906/1000</f>
        <v>0</v>
      </c>
      <c r="AB1179" s="181">
        <f>TOBEPAID!AB906/1000</f>
        <v>35111.352610000002</v>
      </c>
      <c r="AC1179" s="181"/>
      <c r="AD1179" s="181"/>
      <c r="AF1179" s="195"/>
      <c r="AG1179" s="195"/>
      <c r="AH1179" s="195"/>
      <c r="AI1179" s="195"/>
      <c r="AJ1179" s="195"/>
      <c r="AK1179" s="195"/>
      <c r="AL1179" s="195"/>
      <c r="AM1179" s="195"/>
      <c r="AN1179" s="195"/>
      <c r="AO1179" s="195"/>
      <c r="AP1179" s="195"/>
      <c r="AQ1179" s="195"/>
      <c r="AR1179" s="195"/>
      <c r="AS1179" s="195"/>
    </row>
    <row r="1180" spans="1:45" x14ac:dyDescent="0.2">
      <c r="A1180" s="180"/>
      <c r="C1180" s="165" t="s">
        <v>184</v>
      </c>
      <c r="D1180" s="181">
        <v>0</v>
      </c>
      <c r="E1180" s="181">
        <f>TOBEPAID!E907/1000</f>
        <v>0</v>
      </c>
      <c r="F1180" s="181">
        <f>TOBEPAID!F907/1000</f>
        <v>0</v>
      </c>
      <c r="G1180" s="181">
        <f>TOBEPAID!G907/1000</f>
        <v>0</v>
      </c>
      <c r="H1180" s="181">
        <v>0</v>
      </c>
      <c r="I1180" s="181">
        <f>TOBEPAID!I907/1000</f>
        <v>0</v>
      </c>
      <c r="J1180" s="181">
        <f>TOBEPAID!J907/1000</f>
        <v>0</v>
      </c>
      <c r="K1180" s="181">
        <f>TOBEPAID!K907/1000</f>
        <v>0</v>
      </c>
      <c r="L1180" s="181">
        <f>TOBEPAID!L907/1000</f>
        <v>0</v>
      </c>
      <c r="M1180" s="181">
        <f>TOBEPAID!M907/1000</f>
        <v>0</v>
      </c>
      <c r="N1180" s="181">
        <f>TOBEPAID!N907/1000</f>
        <v>0</v>
      </c>
      <c r="O1180" s="181">
        <f>TOBEPAID!O907/1000</f>
        <v>0</v>
      </c>
      <c r="P1180" s="181">
        <f>TOBEPAID!P907/1000</f>
        <v>0</v>
      </c>
      <c r="Q1180" s="181">
        <f>TOBEPAID!Q907/1000</f>
        <v>0</v>
      </c>
      <c r="R1180" s="181">
        <f>TOBEPAID!R907/1000</f>
        <v>0</v>
      </c>
      <c r="S1180" s="181">
        <f>TOBEPAID!S907/1000</f>
        <v>0</v>
      </c>
      <c r="T1180" s="181">
        <f>TOBEPAID!T907/1000</f>
        <v>0</v>
      </c>
      <c r="U1180" s="181">
        <f>TOBEPAID!U907/1000</f>
        <v>0</v>
      </c>
      <c r="V1180" s="181">
        <f>TOBEPAID!V907/1000</f>
        <v>0</v>
      </c>
      <c r="W1180" s="181">
        <f>TOBEPAID!W907/1000</f>
        <v>0</v>
      </c>
      <c r="X1180" s="181">
        <f>TOBEPAID!X907/1000</f>
        <v>0</v>
      </c>
      <c r="Y1180" s="181">
        <f t="shared" si="221"/>
        <v>0</v>
      </c>
      <c r="Z1180" s="181">
        <f t="shared" si="222"/>
        <v>0</v>
      </c>
      <c r="AA1180" s="181">
        <f>TOBEPAID!AA907/1000</f>
        <v>0</v>
      </c>
      <c r="AB1180" s="181">
        <f>TOBEPAID!AB907/1000</f>
        <v>48.96808</v>
      </c>
      <c r="AC1180" s="181"/>
      <c r="AD1180" s="181"/>
      <c r="AF1180" s="195"/>
      <c r="AG1180" s="195"/>
      <c r="AH1180" s="195"/>
      <c r="AI1180" s="195"/>
      <c r="AJ1180" s="195"/>
      <c r="AK1180" s="195"/>
      <c r="AL1180" s="195"/>
      <c r="AM1180" s="195"/>
      <c r="AN1180" s="195"/>
      <c r="AO1180" s="195"/>
      <c r="AP1180" s="195"/>
      <c r="AQ1180" s="195"/>
      <c r="AR1180" s="195"/>
      <c r="AS1180" s="195"/>
    </row>
    <row r="1181" spans="1:45" x14ac:dyDescent="0.2">
      <c r="A1181" s="180"/>
      <c r="D1181" s="182" t="s">
        <v>40</v>
      </c>
      <c r="E1181" s="182" t="s">
        <v>40</v>
      </c>
      <c r="F1181" s="182" t="s">
        <v>40</v>
      </c>
      <c r="G1181" s="182"/>
      <c r="H1181" s="182" t="s">
        <v>40</v>
      </c>
      <c r="I1181" s="182" t="s">
        <v>40</v>
      </c>
      <c r="J1181" s="182" t="s">
        <v>40</v>
      </c>
      <c r="K1181" s="182" t="s">
        <v>40</v>
      </c>
      <c r="L1181" s="182" t="s">
        <v>40</v>
      </c>
      <c r="M1181" s="182"/>
      <c r="N1181" s="182" t="s">
        <v>40</v>
      </c>
      <c r="O1181" s="182" t="s">
        <v>40</v>
      </c>
      <c r="P1181" s="182" t="s">
        <v>40</v>
      </c>
      <c r="Q1181" s="182"/>
      <c r="R1181" s="182" t="s">
        <v>40</v>
      </c>
      <c r="S1181" s="182" t="s">
        <v>40</v>
      </c>
      <c r="T1181" s="182" t="s">
        <v>40</v>
      </c>
      <c r="U1181" s="182" t="s">
        <v>40</v>
      </c>
      <c r="V1181" s="182" t="s">
        <v>40</v>
      </c>
      <c r="W1181" s="182"/>
      <c r="X1181" s="182" t="s">
        <v>40</v>
      </c>
      <c r="Y1181" s="182" t="s">
        <v>40</v>
      </c>
      <c r="Z1181" s="182" t="s">
        <v>40</v>
      </c>
      <c r="AA1181" s="182" t="s">
        <v>40</v>
      </c>
      <c r="AB1181" s="182" t="s">
        <v>40</v>
      </c>
      <c r="AC1181" s="182"/>
      <c r="AD1181" s="182"/>
      <c r="AF1181" s="195"/>
      <c r="AG1181" s="195"/>
      <c r="AH1181" s="195"/>
      <c r="AI1181" s="195"/>
      <c r="AJ1181" s="195"/>
      <c r="AK1181" s="195"/>
      <c r="AL1181" s="195"/>
      <c r="AM1181" s="195"/>
      <c r="AN1181" s="195"/>
      <c r="AO1181" s="195"/>
      <c r="AP1181" s="195"/>
      <c r="AQ1181" s="195"/>
      <c r="AR1181" s="195"/>
      <c r="AS1181" s="195"/>
    </row>
    <row r="1182" spans="1:45" x14ac:dyDescent="0.2">
      <c r="A1182" s="180"/>
      <c r="D1182" s="191">
        <f>SUM(D1173:D1180)</f>
        <v>482516.37199999997</v>
      </c>
      <c r="E1182" s="191">
        <f>SUM(E1173:E1180)</f>
        <v>58.052</v>
      </c>
      <c r="F1182" s="191">
        <f>SUM(F1173:F1180)</f>
        <v>0</v>
      </c>
      <c r="G1182" s="191"/>
      <c r="H1182" s="191">
        <f>SUM(H1173:H1180)</f>
        <v>288188.01895</v>
      </c>
      <c r="I1182" s="191">
        <f>SUM(I1173:I1180)</f>
        <v>0</v>
      </c>
      <c r="J1182" s="191">
        <f>SUM(J1173:J1180)</f>
        <v>0</v>
      </c>
      <c r="K1182" s="191">
        <f>SUM(K1173:K1180)</f>
        <v>0</v>
      </c>
      <c r="L1182" s="191">
        <f>SUM(L1173:L1180)</f>
        <v>0</v>
      </c>
      <c r="M1182" s="191"/>
      <c r="N1182" s="191">
        <f>SUM(N1173:N1180)</f>
        <v>58.052</v>
      </c>
      <c r="O1182" s="191">
        <f>SUM(O1173:O1180)</f>
        <v>0</v>
      </c>
      <c r="P1182" s="191">
        <f>SUM(P1173:P1180)</f>
        <v>0</v>
      </c>
      <c r="Q1182" s="191"/>
      <c r="R1182" s="191">
        <f>SUM(R1173:R1180)</f>
        <v>0</v>
      </c>
      <c r="S1182" s="191">
        <f>SUM(S1173:S1180)</f>
        <v>0</v>
      </c>
      <c r="T1182" s="191">
        <f>SUM(T1173:T1180)</f>
        <v>0</v>
      </c>
      <c r="U1182" s="191">
        <f>SUM(U1173:U1180)</f>
        <v>0</v>
      </c>
      <c r="V1182" s="191">
        <f>SUM(V1173:V1180)</f>
        <v>0</v>
      </c>
      <c r="W1182" s="191"/>
      <c r="X1182" s="191">
        <f>SUM(X1173:X1180)</f>
        <v>0</v>
      </c>
      <c r="Y1182" s="191">
        <f>SUM(Y1173:Y1180)</f>
        <v>288188.01895</v>
      </c>
      <c r="Z1182" s="191">
        <f>SUM(Z1173:Z1180)</f>
        <v>194328.35305000001</v>
      </c>
      <c r="AA1182" s="191">
        <f>SUM(AA1173:AA1180)</f>
        <v>58.052</v>
      </c>
      <c r="AB1182" s="191">
        <f>SUM(AB1173:AB1180)</f>
        <v>35160.32069</v>
      </c>
      <c r="AC1182" s="191"/>
      <c r="AD1182" s="191"/>
      <c r="AF1182" s="195"/>
      <c r="AG1182" s="195"/>
      <c r="AH1182" s="195"/>
      <c r="AI1182" s="195"/>
      <c r="AJ1182" s="195"/>
      <c r="AK1182" s="195"/>
      <c r="AL1182" s="195"/>
      <c r="AM1182" s="195"/>
      <c r="AN1182" s="195"/>
      <c r="AO1182" s="195"/>
      <c r="AP1182" s="195"/>
      <c r="AQ1182" s="195"/>
      <c r="AR1182" s="195"/>
      <c r="AS1182" s="195"/>
    </row>
    <row r="1183" spans="1:45" x14ac:dyDescent="0.2">
      <c r="A1183" s="180"/>
      <c r="D1183" s="182" t="s">
        <v>40</v>
      </c>
      <c r="E1183" s="182" t="s">
        <v>40</v>
      </c>
      <c r="F1183" s="182" t="s">
        <v>40</v>
      </c>
      <c r="G1183" s="182"/>
      <c r="H1183" s="182" t="s">
        <v>40</v>
      </c>
      <c r="I1183" s="182" t="s">
        <v>40</v>
      </c>
      <c r="J1183" s="182" t="s">
        <v>40</v>
      </c>
      <c r="K1183" s="182" t="s">
        <v>40</v>
      </c>
      <c r="L1183" s="182" t="s">
        <v>40</v>
      </c>
      <c r="M1183" s="182"/>
      <c r="N1183" s="182" t="s">
        <v>40</v>
      </c>
      <c r="O1183" s="182" t="s">
        <v>40</v>
      </c>
      <c r="P1183" s="182" t="s">
        <v>40</v>
      </c>
      <c r="Q1183" s="182"/>
      <c r="R1183" s="182" t="s">
        <v>40</v>
      </c>
      <c r="S1183" s="182" t="s">
        <v>40</v>
      </c>
      <c r="T1183" s="182" t="s">
        <v>40</v>
      </c>
      <c r="U1183" s="182" t="s">
        <v>40</v>
      </c>
      <c r="V1183" s="182" t="s">
        <v>40</v>
      </c>
      <c r="W1183" s="182"/>
      <c r="X1183" s="182" t="s">
        <v>40</v>
      </c>
      <c r="Y1183" s="182" t="s">
        <v>40</v>
      </c>
      <c r="Z1183" s="182" t="s">
        <v>40</v>
      </c>
      <c r="AA1183" s="182" t="s">
        <v>40</v>
      </c>
      <c r="AB1183" s="182" t="s">
        <v>40</v>
      </c>
      <c r="AC1183" s="182"/>
      <c r="AD1183" s="182"/>
      <c r="AF1183" s="195"/>
      <c r="AG1183" s="195"/>
      <c r="AH1183" s="195"/>
      <c r="AI1183" s="195"/>
      <c r="AJ1183" s="195"/>
      <c r="AK1183" s="195"/>
      <c r="AL1183" s="195"/>
      <c r="AM1183" s="195"/>
      <c r="AN1183" s="195"/>
      <c r="AO1183" s="195"/>
      <c r="AP1183" s="195"/>
      <c r="AQ1183" s="195"/>
      <c r="AR1183" s="195"/>
      <c r="AS1183" s="195"/>
    </row>
    <row r="1184" spans="1:45" x14ac:dyDescent="0.2">
      <c r="A1184" s="180">
        <v>93</v>
      </c>
      <c r="B1184" s="165" t="s">
        <v>225</v>
      </c>
      <c r="C1184" s="166" t="s">
        <v>35</v>
      </c>
      <c r="D1184" s="181">
        <f>38505985/1000</f>
        <v>38505.985000000001</v>
      </c>
      <c r="E1184" s="181">
        <f>TOBEPAID!E911/1000</f>
        <v>0</v>
      </c>
      <c r="F1184" s="181">
        <f>TOBEPAID!F911/1000</f>
        <v>0</v>
      </c>
      <c r="G1184" s="181">
        <f>TOBEPAID!G911/1000</f>
        <v>0</v>
      </c>
      <c r="H1184" s="181">
        <f>38342715/1000</f>
        <v>38342.714999999997</v>
      </c>
      <c r="I1184" s="181">
        <f>TOBEPAID!I911/1000</f>
        <v>0</v>
      </c>
      <c r="J1184" s="181">
        <f>TOBEPAID!J911/1000</f>
        <v>0</v>
      </c>
      <c r="K1184" s="181">
        <f>TOBEPAID!K911/1000</f>
        <v>0</v>
      </c>
      <c r="L1184" s="181">
        <f>TOBEPAID!L911/1000</f>
        <v>0</v>
      </c>
      <c r="M1184" s="181">
        <f>TOBEPAID!M911/1000</f>
        <v>0</v>
      </c>
      <c r="N1184" s="181">
        <f>TOBEPAID!N911/1000</f>
        <v>0</v>
      </c>
      <c r="O1184" s="181">
        <f>TOBEPAID!O911/1000</f>
        <v>46.483849999999997</v>
      </c>
      <c r="P1184" s="181">
        <f>TOBEPAID!P911/1000</f>
        <v>0</v>
      </c>
      <c r="Q1184" s="181">
        <f>TOBEPAID!Q911/1000</f>
        <v>0</v>
      </c>
      <c r="R1184" s="181">
        <f>161677/1000</f>
        <v>161.67699999999999</v>
      </c>
      <c r="S1184" s="181">
        <f>TOBEPAID!S911/1000</f>
        <v>0</v>
      </c>
      <c r="T1184" s="181">
        <f>TOBEPAID!T911/1000</f>
        <v>0</v>
      </c>
      <c r="U1184" s="181">
        <f>TOBEPAID!U911/1000</f>
        <v>0</v>
      </c>
      <c r="V1184" s="181">
        <f>TOBEPAID!V911/1000</f>
        <v>0</v>
      </c>
      <c r="W1184" s="181">
        <f>TOBEPAID!W911/1000</f>
        <v>0</v>
      </c>
      <c r="X1184" s="181">
        <f>TOBEPAID!X911/1000</f>
        <v>46.483849999999997</v>
      </c>
      <c r="Y1184" s="181">
        <f t="shared" ref="Y1184:Y1191" si="223">+H1184+R1184</f>
        <v>38504.392</v>
      </c>
      <c r="Z1184" s="181">
        <f t="shared" ref="Z1184:Z1189" si="224">+D1184-Y1184</f>
        <v>1.5930000000007567</v>
      </c>
      <c r="AA1184" s="181">
        <f>TOBEPAID!AA911/1000</f>
        <v>46.483849999999997</v>
      </c>
      <c r="AB1184" s="181">
        <f>TOBEPAID!AB911/1000</f>
        <v>26041.065079999997</v>
      </c>
      <c r="AC1184" s="181"/>
      <c r="AD1184" s="181"/>
      <c r="AF1184" s="195"/>
      <c r="AG1184" s="195"/>
      <c r="AH1184" s="195"/>
      <c r="AI1184" s="195"/>
      <c r="AJ1184" s="195"/>
      <c r="AK1184" s="195"/>
      <c r="AL1184" s="195"/>
      <c r="AM1184" s="195"/>
      <c r="AN1184" s="195"/>
      <c r="AO1184" s="195"/>
      <c r="AP1184" s="195"/>
      <c r="AQ1184" s="195"/>
      <c r="AR1184" s="195"/>
      <c r="AS1184" s="195"/>
    </row>
    <row r="1185" spans="1:45" x14ac:dyDescent="0.2">
      <c r="A1185" s="180"/>
      <c r="C1185" s="165" t="s">
        <v>290</v>
      </c>
      <c r="D1185" s="181">
        <f>677100000/1000</f>
        <v>677100</v>
      </c>
      <c r="E1185" s="181"/>
      <c r="F1185" s="181"/>
      <c r="G1185" s="181"/>
      <c r="H1185" s="181">
        <f>677100000/1000</f>
        <v>677100</v>
      </c>
      <c r="I1185" s="181"/>
      <c r="J1185" s="181"/>
      <c r="K1185" s="181"/>
      <c r="L1185" s="181"/>
      <c r="M1185" s="181"/>
      <c r="N1185" s="181"/>
      <c r="O1185" s="181"/>
      <c r="P1185" s="181"/>
      <c r="Q1185" s="181"/>
      <c r="R1185" s="181">
        <v>0</v>
      </c>
      <c r="S1185" s="181"/>
      <c r="T1185" s="181"/>
      <c r="U1185" s="181"/>
      <c r="V1185" s="181"/>
      <c r="W1185" s="181"/>
      <c r="X1185" s="181"/>
      <c r="Y1185" s="181">
        <f t="shared" si="223"/>
        <v>677100</v>
      </c>
      <c r="Z1185" s="181">
        <f t="shared" si="224"/>
        <v>0</v>
      </c>
      <c r="AA1185" s="181"/>
      <c r="AB1185" s="181"/>
      <c r="AC1185" s="181"/>
      <c r="AD1185" s="181"/>
      <c r="AF1185" s="195"/>
      <c r="AG1185" s="195"/>
      <c r="AH1185" s="195"/>
      <c r="AI1185" s="195"/>
      <c r="AJ1185" s="195"/>
      <c r="AK1185" s="195"/>
      <c r="AL1185" s="195"/>
      <c r="AM1185" s="195"/>
      <c r="AN1185" s="195"/>
      <c r="AO1185" s="195"/>
      <c r="AP1185" s="195"/>
      <c r="AQ1185" s="195"/>
      <c r="AR1185" s="195"/>
      <c r="AS1185" s="195"/>
    </row>
    <row r="1186" spans="1:45" x14ac:dyDescent="0.2">
      <c r="A1186" s="180"/>
      <c r="C1186" s="165" t="s">
        <v>456</v>
      </c>
      <c r="D1186" s="181">
        <f>189558000/1000</f>
        <v>189558</v>
      </c>
      <c r="E1186" s="181"/>
      <c r="F1186" s="181"/>
      <c r="G1186" s="181"/>
      <c r="H1186" s="181">
        <f>136637516.07/1000</f>
        <v>136637.51606999998</v>
      </c>
      <c r="I1186" s="181"/>
      <c r="J1186" s="181"/>
      <c r="K1186" s="181"/>
      <c r="L1186" s="181"/>
      <c r="M1186" s="181"/>
      <c r="N1186" s="181"/>
      <c r="O1186" s="181"/>
      <c r="P1186" s="181"/>
      <c r="Q1186" s="181"/>
      <c r="R1186" s="181">
        <v>0</v>
      </c>
      <c r="S1186" s="181"/>
      <c r="T1186" s="181"/>
      <c r="U1186" s="181"/>
      <c r="V1186" s="181"/>
      <c r="W1186" s="181"/>
      <c r="X1186" s="181"/>
      <c r="Y1186" s="181">
        <f>+H1186+R1186</f>
        <v>136637.51606999998</v>
      </c>
      <c r="Z1186" s="181">
        <f t="shared" si="224"/>
        <v>52920.483930000017</v>
      </c>
      <c r="AA1186" s="181"/>
      <c r="AB1186" s="181"/>
      <c r="AC1186" s="181"/>
      <c r="AD1186" s="181"/>
      <c r="AF1186" s="195"/>
      <c r="AG1186" s="195"/>
      <c r="AH1186" s="195"/>
      <c r="AI1186" s="195"/>
      <c r="AJ1186" s="195"/>
      <c r="AK1186" s="195"/>
      <c r="AL1186" s="195"/>
      <c r="AM1186" s="195"/>
      <c r="AN1186" s="195"/>
      <c r="AO1186" s="195"/>
      <c r="AP1186" s="195"/>
      <c r="AQ1186" s="195"/>
      <c r="AR1186" s="195"/>
      <c r="AS1186" s="195"/>
    </row>
    <row r="1187" spans="1:45" x14ac:dyDescent="0.2">
      <c r="A1187" s="180"/>
      <c r="C1187" s="165" t="s">
        <v>374</v>
      </c>
      <c r="D1187" s="181">
        <f>6638469.59/1000</f>
        <v>6638.4695899999997</v>
      </c>
      <c r="E1187" s="181"/>
      <c r="F1187" s="181"/>
      <c r="G1187" s="181"/>
      <c r="H1187" s="181">
        <f>6638469.59/1000</f>
        <v>6638.4695899999997</v>
      </c>
      <c r="I1187" s="181"/>
      <c r="J1187" s="181"/>
      <c r="K1187" s="181"/>
      <c r="L1187" s="181"/>
      <c r="M1187" s="181"/>
      <c r="N1187" s="181"/>
      <c r="O1187" s="181"/>
      <c r="P1187" s="181"/>
      <c r="Q1187" s="181"/>
      <c r="R1187" s="181">
        <v>0</v>
      </c>
      <c r="S1187" s="181"/>
      <c r="T1187" s="181"/>
      <c r="U1187" s="181"/>
      <c r="V1187" s="181"/>
      <c r="W1187" s="181"/>
      <c r="X1187" s="181"/>
      <c r="Y1187" s="181">
        <f t="shared" si="223"/>
        <v>6638.4695899999997</v>
      </c>
      <c r="Z1187" s="181">
        <f t="shared" si="224"/>
        <v>0</v>
      </c>
      <c r="AA1187" s="181"/>
      <c r="AB1187" s="181"/>
      <c r="AC1187" s="181"/>
      <c r="AD1187" s="181"/>
      <c r="AF1187" s="195"/>
      <c r="AG1187" s="195"/>
      <c r="AH1187" s="195"/>
      <c r="AI1187" s="195"/>
      <c r="AJ1187" s="195"/>
      <c r="AK1187" s="195"/>
      <c r="AL1187" s="195"/>
      <c r="AM1187" s="195"/>
      <c r="AN1187" s="195"/>
      <c r="AO1187" s="195"/>
      <c r="AP1187" s="195"/>
      <c r="AQ1187" s="195"/>
      <c r="AR1187" s="195"/>
      <c r="AS1187" s="195"/>
    </row>
    <row r="1188" spans="1:45" x14ac:dyDescent="0.2">
      <c r="A1188" s="180"/>
      <c r="C1188" s="165" t="s">
        <v>387</v>
      </c>
      <c r="D1188" s="181">
        <f>12000000/1000</f>
        <v>12000</v>
      </c>
      <c r="E1188" s="181"/>
      <c r="F1188" s="181"/>
      <c r="G1188" s="181"/>
      <c r="H1188" s="181">
        <f>12000000/1000</f>
        <v>12000</v>
      </c>
      <c r="I1188" s="181"/>
      <c r="J1188" s="181"/>
      <c r="K1188" s="181"/>
      <c r="L1188" s="181"/>
      <c r="M1188" s="181"/>
      <c r="N1188" s="181"/>
      <c r="O1188" s="181"/>
      <c r="P1188" s="181"/>
      <c r="Q1188" s="181"/>
      <c r="R1188" s="181">
        <v>0</v>
      </c>
      <c r="S1188" s="181"/>
      <c r="T1188" s="181"/>
      <c r="U1188" s="181"/>
      <c r="V1188" s="181"/>
      <c r="W1188" s="181"/>
      <c r="X1188" s="181"/>
      <c r="Y1188" s="181">
        <f t="shared" si="223"/>
        <v>12000</v>
      </c>
      <c r="Z1188" s="181">
        <f t="shared" si="224"/>
        <v>0</v>
      </c>
      <c r="AA1188" s="181"/>
      <c r="AB1188" s="181"/>
      <c r="AC1188" s="181"/>
      <c r="AD1188" s="181"/>
      <c r="AF1188" s="195"/>
      <c r="AG1188" s="195"/>
      <c r="AH1188" s="195"/>
      <c r="AI1188" s="195"/>
      <c r="AJ1188" s="195"/>
      <c r="AK1188" s="195"/>
      <c r="AL1188" s="195"/>
      <c r="AM1188" s="195"/>
      <c r="AN1188" s="195"/>
      <c r="AO1188" s="195"/>
      <c r="AP1188" s="195"/>
      <c r="AQ1188" s="195"/>
      <c r="AR1188" s="195"/>
      <c r="AS1188" s="195"/>
    </row>
    <row r="1189" spans="1:45" x14ac:dyDescent="0.2">
      <c r="A1189" s="180"/>
      <c r="C1189" s="165" t="s">
        <v>436</v>
      </c>
      <c r="D1189" s="181">
        <f>3500000/1000</f>
        <v>3500</v>
      </c>
      <c r="E1189" s="181"/>
      <c r="F1189" s="181"/>
      <c r="G1189" s="181"/>
      <c r="H1189" s="181">
        <f>3500000/1000</f>
        <v>3500</v>
      </c>
      <c r="I1189" s="181"/>
      <c r="J1189" s="181"/>
      <c r="K1189" s="181"/>
      <c r="L1189" s="181"/>
      <c r="M1189" s="181"/>
      <c r="N1189" s="181"/>
      <c r="O1189" s="181"/>
      <c r="P1189" s="181"/>
      <c r="Q1189" s="181"/>
      <c r="R1189" s="181">
        <v>0</v>
      </c>
      <c r="S1189" s="181"/>
      <c r="T1189" s="181"/>
      <c r="U1189" s="181"/>
      <c r="V1189" s="181"/>
      <c r="W1189" s="181"/>
      <c r="X1189" s="181"/>
      <c r="Y1189" s="181">
        <f t="shared" si="223"/>
        <v>3500</v>
      </c>
      <c r="Z1189" s="181">
        <f t="shared" si="224"/>
        <v>0</v>
      </c>
      <c r="AA1189" s="181"/>
      <c r="AB1189" s="181"/>
      <c r="AC1189" s="181"/>
      <c r="AD1189" s="181"/>
      <c r="AF1189" s="195"/>
      <c r="AG1189" s="195"/>
      <c r="AH1189" s="195"/>
      <c r="AI1189" s="195"/>
      <c r="AJ1189" s="195"/>
      <c r="AK1189" s="195"/>
      <c r="AL1189" s="195"/>
      <c r="AM1189" s="195"/>
      <c r="AN1189" s="195"/>
      <c r="AO1189" s="195"/>
      <c r="AP1189" s="195"/>
      <c r="AQ1189" s="195"/>
      <c r="AR1189" s="195"/>
      <c r="AS1189" s="195"/>
    </row>
    <row r="1190" spans="1:45" x14ac:dyDescent="0.2">
      <c r="A1190" s="180"/>
      <c r="C1190" s="165" t="s">
        <v>53</v>
      </c>
      <c r="D1190" s="181">
        <f>4819319/1000</f>
        <v>4819.3190000000004</v>
      </c>
      <c r="E1190" s="181">
        <f>TOBEPAID!E912/1000</f>
        <v>0</v>
      </c>
      <c r="F1190" s="181">
        <f>TOBEPAID!F912/1000</f>
        <v>0</v>
      </c>
      <c r="G1190" s="181">
        <f>TOBEPAID!G912/1000</f>
        <v>0</v>
      </c>
      <c r="H1190" s="181">
        <v>0</v>
      </c>
      <c r="I1190" s="181">
        <f>TOBEPAID!I912/1000</f>
        <v>0</v>
      </c>
      <c r="J1190" s="181">
        <f>TOBEPAID!J912/1000</f>
        <v>0</v>
      </c>
      <c r="K1190" s="181">
        <f>TOBEPAID!K912/1000</f>
        <v>0</v>
      </c>
      <c r="L1190" s="181">
        <f>TOBEPAID!L912/1000</f>
        <v>0</v>
      </c>
      <c r="M1190" s="181">
        <f>TOBEPAID!M912/1000</f>
        <v>0</v>
      </c>
      <c r="N1190" s="181">
        <f>TOBEPAID!N912/1000</f>
        <v>0</v>
      </c>
      <c r="O1190" s="181">
        <f>TOBEPAID!O912/1000</f>
        <v>4819.3190999999997</v>
      </c>
      <c r="P1190" s="181">
        <f>TOBEPAID!P912/1000</f>
        <v>0</v>
      </c>
      <c r="Q1190" s="181">
        <f>TOBEPAID!Q912/1000</f>
        <v>0</v>
      </c>
      <c r="R1190" s="181">
        <f>TOBEPAID!R912/1000</f>
        <v>4819.3190999999997</v>
      </c>
      <c r="S1190" s="181">
        <f>TOBEPAID!S912/1000</f>
        <v>0</v>
      </c>
      <c r="T1190" s="181">
        <f>TOBEPAID!T912/1000</f>
        <v>0</v>
      </c>
      <c r="U1190" s="181">
        <f>TOBEPAID!U912/1000</f>
        <v>0</v>
      </c>
      <c r="V1190" s="181">
        <f>TOBEPAID!V912/1000</f>
        <v>0</v>
      </c>
      <c r="W1190" s="181">
        <f>TOBEPAID!W912/1000</f>
        <v>0</v>
      </c>
      <c r="X1190" s="181">
        <f>TOBEPAID!X912/1000</f>
        <v>4819.3190999999997</v>
      </c>
      <c r="Y1190" s="181">
        <f t="shared" si="223"/>
        <v>4819.3190999999997</v>
      </c>
      <c r="Z1190" s="181">
        <f>+Y1190-D1190</f>
        <v>9.999999929277692E-5</v>
      </c>
      <c r="AA1190" s="181">
        <f>TOBEPAID!AA912/1000</f>
        <v>4819.3190999999997</v>
      </c>
      <c r="AB1190" s="181">
        <f>TOBEPAID!AB912/1000</f>
        <v>19056.906149999999</v>
      </c>
      <c r="AC1190" s="181"/>
      <c r="AD1190" s="181"/>
      <c r="AF1190" s="195"/>
      <c r="AG1190" s="195"/>
      <c r="AH1190" s="195"/>
      <c r="AI1190" s="195"/>
      <c r="AJ1190" s="195"/>
      <c r="AK1190" s="195"/>
      <c r="AL1190" s="195"/>
      <c r="AM1190" s="195"/>
      <c r="AN1190" s="195"/>
      <c r="AO1190" s="195"/>
      <c r="AP1190" s="195"/>
      <c r="AQ1190" s="195"/>
      <c r="AR1190" s="195"/>
      <c r="AS1190" s="195"/>
    </row>
    <row r="1191" spans="1:45" x14ac:dyDescent="0.2">
      <c r="A1191" s="180"/>
      <c r="C1191" s="165" t="s">
        <v>54</v>
      </c>
      <c r="D1191" s="181">
        <f>10700263/1000</f>
        <v>10700.263000000001</v>
      </c>
      <c r="E1191" s="181">
        <f>TOBEPAID!E913/1000</f>
        <v>0</v>
      </c>
      <c r="F1191" s="181">
        <f>TOBEPAID!F913/1000</f>
        <v>0</v>
      </c>
      <c r="G1191" s="181">
        <f>TOBEPAID!G913/1000</f>
        <v>0</v>
      </c>
      <c r="H1191" s="181">
        <v>0</v>
      </c>
      <c r="I1191" s="181">
        <f>TOBEPAID!I913/1000</f>
        <v>0</v>
      </c>
      <c r="J1191" s="181">
        <f>TOBEPAID!J913/1000</f>
        <v>0</v>
      </c>
      <c r="K1191" s="181">
        <f>TOBEPAID!K913/1000</f>
        <v>0</v>
      </c>
      <c r="L1191" s="181">
        <f>TOBEPAID!L913/1000</f>
        <v>0</v>
      </c>
      <c r="M1191" s="181">
        <f>TOBEPAID!M913/1000</f>
        <v>0</v>
      </c>
      <c r="N1191" s="181">
        <f>TOBEPAID!N913/1000</f>
        <v>0</v>
      </c>
      <c r="O1191" s="181">
        <f>TOBEPAID!O913/1000</f>
        <v>10700.26303</v>
      </c>
      <c r="P1191" s="181">
        <f>TOBEPAID!P913/1000</f>
        <v>0</v>
      </c>
      <c r="Q1191" s="181">
        <f>TOBEPAID!Q913/1000</f>
        <v>0</v>
      </c>
      <c r="R1191" s="181">
        <f>TOBEPAID!R913/1000</f>
        <v>10700.26303</v>
      </c>
      <c r="S1191" s="181">
        <f>TOBEPAID!S913/1000</f>
        <v>0</v>
      </c>
      <c r="T1191" s="181">
        <f>TOBEPAID!T913/1000</f>
        <v>0</v>
      </c>
      <c r="U1191" s="181">
        <f>TOBEPAID!U913/1000</f>
        <v>0</v>
      </c>
      <c r="V1191" s="181">
        <f>TOBEPAID!V913/1000</f>
        <v>0</v>
      </c>
      <c r="W1191" s="181">
        <f>TOBEPAID!W913/1000</f>
        <v>0</v>
      </c>
      <c r="X1191" s="181">
        <f>TOBEPAID!X913/1000</f>
        <v>10700.26303</v>
      </c>
      <c r="Y1191" s="181">
        <f t="shared" si="223"/>
        <v>10700.26303</v>
      </c>
      <c r="Z1191" s="181">
        <f>+Y1191-D1191</f>
        <v>2.9999999242136255E-5</v>
      </c>
      <c r="AA1191" s="181">
        <f>TOBEPAID!AA913/1000</f>
        <v>10700.26303</v>
      </c>
      <c r="AB1191" s="181">
        <f>TOBEPAID!AB913/1000</f>
        <v>0</v>
      </c>
      <c r="AC1191" s="181"/>
      <c r="AD1191" s="181"/>
      <c r="AF1191" s="195"/>
      <c r="AG1191" s="195"/>
      <c r="AH1191" s="195"/>
      <c r="AI1191" s="195"/>
      <c r="AJ1191" s="195"/>
      <c r="AK1191" s="195"/>
      <c r="AL1191" s="195"/>
      <c r="AM1191" s="195"/>
      <c r="AN1191" s="195"/>
      <c r="AO1191" s="195"/>
      <c r="AP1191" s="195"/>
      <c r="AQ1191" s="195"/>
      <c r="AR1191" s="195"/>
      <c r="AS1191" s="195"/>
    </row>
    <row r="1192" spans="1:45" x14ac:dyDescent="0.2">
      <c r="A1192" s="180"/>
      <c r="D1192" s="182" t="s">
        <v>40</v>
      </c>
      <c r="E1192" s="182" t="s">
        <v>40</v>
      </c>
      <c r="F1192" s="182" t="s">
        <v>40</v>
      </c>
      <c r="G1192" s="182"/>
      <c r="H1192" s="182" t="s">
        <v>40</v>
      </c>
      <c r="I1192" s="182" t="s">
        <v>40</v>
      </c>
      <c r="J1192" s="182" t="s">
        <v>40</v>
      </c>
      <c r="K1192" s="182" t="s">
        <v>40</v>
      </c>
      <c r="L1192" s="182" t="s">
        <v>40</v>
      </c>
      <c r="M1192" s="182"/>
      <c r="N1192" s="182" t="s">
        <v>40</v>
      </c>
      <c r="O1192" s="182" t="s">
        <v>40</v>
      </c>
      <c r="P1192" s="182" t="s">
        <v>40</v>
      </c>
      <c r="Q1192" s="182"/>
      <c r="R1192" s="182" t="s">
        <v>40</v>
      </c>
      <c r="S1192" s="182" t="s">
        <v>40</v>
      </c>
      <c r="T1192" s="182" t="s">
        <v>40</v>
      </c>
      <c r="U1192" s="182" t="s">
        <v>40</v>
      </c>
      <c r="V1192" s="182" t="s">
        <v>40</v>
      </c>
      <c r="W1192" s="182"/>
      <c r="X1192" s="182" t="s">
        <v>40</v>
      </c>
      <c r="Y1192" s="182" t="s">
        <v>40</v>
      </c>
      <c r="Z1192" s="182" t="s">
        <v>40</v>
      </c>
      <c r="AA1192" s="182" t="s">
        <v>40</v>
      </c>
      <c r="AB1192" s="182" t="s">
        <v>40</v>
      </c>
      <c r="AC1192" s="182"/>
      <c r="AD1192" s="182"/>
      <c r="AF1192" s="195"/>
      <c r="AG1192" s="195"/>
      <c r="AH1192" s="195"/>
      <c r="AI1192" s="195"/>
      <c r="AJ1192" s="195"/>
      <c r="AK1192" s="195"/>
      <c r="AL1192" s="195"/>
      <c r="AM1192" s="195"/>
      <c r="AN1192" s="195"/>
      <c r="AO1192" s="195"/>
      <c r="AP1192" s="195"/>
      <c r="AQ1192" s="195"/>
      <c r="AR1192" s="195"/>
      <c r="AS1192" s="195"/>
    </row>
    <row r="1193" spans="1:45" x14ac:dyDescent="0.2">
      <c r="A1193" s="180"/>
      <c r="D1193" s="191">
        <f>SUM(D1184:D1191)</f>
        <v>942822.03659000003</v>
      </c>
      <c r="E1193" s="191">
        <f>SUM(E1184:E1191)</f>
        <v>0</v>
      </c>
      <c r="F1193" s="191">
        <f>SUM(F1184:F1191)</f>
        <v>0</v>
      </c>
      <c r="G1193" s="191"/>
      <c r="H1193" s="191">
        <f>SUM(H1184:H1191)</f>
        <v>874218.70065999997</v>
      </c>
      <c r="I1193" s="191">
        <f>SUM(I1184:I1191)</f>
        <v>0</v>
      </c>
      <c r="J1193" s="191">
        <f>SUM(J1184:J1191)</f>
        <v>0</v>
      </c>
      <c r="K1193" s="191">
        <f>SUM(K1184:K1191)</f>
        <v>0</v>
      </c>
      <c r="L1193" s="191">
        <f>SUM(L1184:L1191)</f>
        <v>0</v>
      </c>
      <c r="M1193" s="191"/>
      <c r="N1193" s="191">
        <f>SUM(N1184:N1191)</f>
        <v>0</v>
      </c>
      <c r="O1193" s="191">
        <f>SUM(O1184:O1191)</f>
        <v>15566.065979999999</v>
      </c>
      <c r="P1193" s="191">
        <f>SUM(P1184:P1191)</f>
        <v>0</v>
      </c>
      <c r="Q1193" s="191"/>
      <c r="R1193" s="191">
        <f>SUM(R1184:R1191)</f>
        <v>15681.259129999999</v>
      </c>
      <c r="S1193" s="191">
        <f>SUM(S1184:S1191)</f>
        <v>0</v>
      </c>
      <c r="T1193" s="191">
        <f>SUM(T1184:T1191)</f>
        <v>0</v>
      </c>
      <c r="U1193" s="191">
        <f>SUM(U1184:U1191)</f>
        <v>0</v>
      </c>
      <c r="V1193" s="191">
        <f>SUM(V1184:V1191)</f>
        <v>0</v>
      </c>
      <c r="W1193" s="191"/>
      <c r="X1193" s="191">
        <f>SUM(X1184:X1191)</f>
        <v>15566.065979999999</v>
      </c>
      <c r="Y1193" s="191">
        <f>SUM(Y1184:Y1191)</f>
        <v>889899.95978999999</v>
      </c>
      <c r="Z1193" s="191">
        <f>SUM(Z1184:Z1191)</f>
        <v>52922.077060000011</v>
      </c>
      <c r="AA1193" s="191">
        <f>SUM(AA1184:AA1191)</f>
        <v>15566.065979999999</v>
      </c>
      <c r="AB1193" s="191">
        <f>SUM(AB1184:AB1191)</f>
        <v>45097.971229999996</v>
      </c>
      <c r="AC1193" s="191"/>
      <c r="AD1193" s="191"/>
      <c r="AF1193" s="195"/>
      <c r="AG1193" s="195"/>
      <c r="AH1193" s="195"/>
      <c r="AI1193" s="195"/>
      <c r="AJ1193" s="195"/>
      <c r="AK1193" s="195"/>
      <c r="AL1193" s="195"/>
      <c r="AM1193" s="195"/>
      <c r="AN1193" s="195"/>
      <c r="AO1193" s="195"/>
      <c r="AP1193" s="195"/>
      <c r="AQ1193" s="195"/>
      <c r="AR1193" s="195"/>
      <c r="AS1193" s="195"/>
    </row>
    <row r="1194" spans="1:45" x14ac:dyDescent="0.2">
      <c r="A1194" s="180"/>
      <c r="D1194" s="182" t="s">
        <v>40</v>
      </c>
      <c r="E1194" s="182" t="s">
        <v>40</v>
      </c>
      <c r="F1194" s="182" t="s">
        <v>40</v>
      </c>
      <c r="G1194" s="182"/>
      <c r="H1194" s="182" t="s">
        <v>40</v>
      </c>
      <c r="I1194" s="182" t="s">
        <v>40</v>
      </c>
      <c r="J1194" s="182" t="s">
        <v>40</v>
      </c>
      <c r="K1194" s="182" t="s">
        <v>40</v>
      </c>
      <c r="L1194" s="182" t="s">
        <v>40</v>
      </c>
      <c r="M1194" s="182"/>
      <c r="N1194" s="182" t="s">
        <v>40</v>
      </c>
      <c r="O1194" s="182" t="s">
        <v>40</v>
      </c>
      <c r="P1194" s="182" t="s">
        <v>40</v>
      </c>
      <c r="Q1194" s="182"/>
      <c r="R1194" s="182" t="s">
        <v>40</v>
      </c>
      <c r="S1194" s="182" t="s">
        <v>40</v>
      </c>
      <c r="T1194" s="182" t="s">
        <v>40</v>
      </c>
      <c r="U1194" s="182" t="s">
        <v>40</v>
      </c>
      <c r="V1194" s="182" t="s">
        <v>40</v>
      </c>
      <c r="W1194" s="182"/>
      <c r="X1194" s="182" t="s">
        <v>40</v>
      </c>
      <c r="Y1194" s="182" t="s">
        <v>40</v>
      </c>
      <c r="Z1194" s="182" t="s">
        <v>40</v>
      </c>
      <c r="AA1194" s="182" t="s">
        <v>40</v>
      </c>
      <c r="AB1194" s="182" t="s">
        <v>40</v>
      </c>
      <c r="AC1194" s="182"/>
      <c r="AD1194" s="182"/>
      <c r="AF1194" s="195"/>
      <c r="AG1194" s="195"/>
      <c r="AH1194" s="195"/>
      <c r="AI1194" s="195"/>
      <c r="AJ1194" s="195"/>
      <c r="AK1194" s="195"/>
      <c r="AL1194" s="195"/>
      <c r="AM1194" s="195"/>
      <c r="AN1194" s="195"/>
      <c r="AO1194" s="195"/>
      <c r="AP1194" s="195"/>
      <c r="AQ1194" s="195"/>
      <c r="AR1194" s="195"/>
      <c r="AS1194" s="195"/>
    </row>
    <row r="1195" spans="1:45" x14ac:dyDescent="0.2">
      <c r="A1195" s="180"/>
      <c r="D1195" s="182"/>
      <c r="E1195" s="182"/>
      <c r="F1195" s="182"/>
      <c r="G1195" s="182"/>
      <c r="H1195" s="182"/>
      <c r="I1195" s="182"/>
      <c r="J1195" s="182"/>
      <c r="K1195" s="182"/>
      <c r="L1195" s="182"/>
      <c r="M1195" s="182"/>
      <c r="N1195" s="182"/>
      <c r="O1195" s="196"/>
      <c r="P1195" s="190"/>
      <c r="Q1195" s="223"/>
      <c r="R1195" s="191"/>
      <c r="S1195" s="182"/>
      <c r="T1195" s="182"/>
      <c r="U1195" s="182"/>
      <c r="V1195" s="190"/>
      <c r="W1195" s="182"/>
      <c r="X1195" s="182"/>
      <c r="Y1195" s="182"/>
      <c r="Z1195" s="182"/>
      <c r="AA1195" s="182"/>
      <c r="AB1195" s="182"/>
      <c r="AC1195" s="182"/>
      <c r="AD1195" s="182"/>
      <c r="AF1195" s="195"/>
      <c r="AG1195" s="195"/>
      <c r="AH1195" s="195"/>
      <c r="AI1195" s="195"/>
      <c r="AJ1195" s="195"/>
      <c r="AK1195" s="195"/>
      <c r="AL1195" s="195"/>
      <c r="AM1195" s="195"/>
      <c r="AN1195" s="195"/>
      <c r="AO1195" s="195"/>
      <c r="AP1195" s="195"/>
      <c r="AQ1195" s="195"/>
      <c r="AR1195" s="195"/>
      <c r="AS1195" s="195"/>
    </row>
    <row r="1196" spans="1:45" x14ac:dyDescent="0.2">
      <c r="A1196" s="180">
        <v>94</v>
      </c>
      <c r="B1196" s="165" t="s">
        <v>226</v>
      </c>
      <c r="C1196" s="166" t="s">
        <v>35</v>
      </c>
      <c r="D1196" s="181">
        <f>1863963/1000</f>
        <v>1863.963</v>
      </c>
      <c r="E1196" s="181">
        <f>TOBEPAID!E918/1000</f>
        <v>0</v>
      </c>
      <c r="F1196" s="181">
        <f>TOBEPAID!F918/1000</f>
        <v>0</v>
      </c>
      <c r="G1196" s="181">
        <f>TOBEPAID!G918/1000</f>
        <v>0</v>
      </c>
      <c r="H1196" s="181">
        <f>1682000/1000</f>
        <v>1682</v>
      </c>
      <c r="I1196" s="181">
        <f>TOBEPAID!I918/1000</f>
        <v>0</v>
      </c>
      <c r="J1196" s="181">
        <f>TOBEPAID!J918/1000</f>
        <v>0</v>
      </c>
      <c r="K1196" s="181">
        <f>TOBEPAID!K918/1000</f>
        <v>0</v>
      </c>
      <c r="L1196" s="181">
        <f>TOBEPAID!L918/1000</f>
        <v>0</v>
      </c>
      <c r="M1196" s="181">
        <f>TOBEPAID!M918/1000</f>
        <v>0</v>
      </c>
      <c r="N1196" s="181">
        <f>TOBEPAID!N918/1000</f>
        <v>0</v>
      </c>
      <c r="O1196" s="181">
        <f>TOBEPAID!O918/1000</f>
        <v>0</v>
      </c>
      <c r="P1196" s="181">
        <f>TOBEPAID!P918/1000</f>
        <v>0</v>
      </c>
      <c r="Q1196" s="181">
        <f>TOBEPAID!Q918/1000</f>
        <v>0</v>
      </c>
      <c r="R1196" s="181">
        <f>157168.2/1000</f>
        <v>157.16820000000001</v>
      </c>
      <c r="S1196" s="181">
        <f>TOBEPAID!S918/1000</f>
        <v>0</v>
      </c>
      <c r="T1196" s="181">
        <f>TOBEPAID!T918/1000</f>
        <v>0</v>
      </c>
      <c r="U1196" s="181">
        <f>TOBEPAID!U918/1000</f>
        <v>0</v>
      </c>
      <c r="V1196" s="181">
        <f>TOBEPAID!V918/1000</f>
        <v>0</v>
      </c>
      <c r="W1196" s="181">
        <f>TOBEPAID!W918/1000</f>
        <v>0</v>
      </c>
      <c r="X1196" s="181">
        <f>TOBEPAID!X918/1000</f>
        <v>0</v>
      </c>
      <c r="Y1196" s="181">
        <f>+H1196+R1196</f>
        <v>1839.1682000000001</v>
      </c>
      <c r="Z1196" s="181">
        <f t="shared" ref="Z1196:Z1201" si="225">+D1196-Y1196</f>
        <v>24.794799999999896</v>
      </c>
      <c r="AA1196" s="181">
        <f>TOBEPAID!AA918/1000</f>
        <v>0</v>
      </c>
      <c r="AB1196" s="181">
        <f>TOBEPAID!AB918/1000</f>
        <v>0</v>
      </c>
      <c r="AC1196" s="181"/>
      <c r="AD1196" s="181"/>
      <c r="AF1196" s="195"/>
      <c r="AG1196" s="195"/>
      <c r="AH1196" s="195"/>
      <c r="AI1196" s="195"/>
      <c r="AJ1196" s="195"/>
      <c r="AK1196" s="195"/>
      <c r="AL1196" s="195"/>
      <c r="AM1196" s="195"/>
      <c r="AN1196" s="195"/>
      <c r="AO1196" s="195"/>
      <c r="AP1196" s="195"/>
      <c r="AQ1196" s="195"/>
      <c r="AR1196" s="195"/>
      <c r="AS1196" s="195"/>
    </row>
    <row r="1197" spans="1:45" x14ac:dyDescent="0.2">
      <c r="A1197" s="180"/>
      <c r="C1197" s="166" t="s">
        <v>461</v>
      </c>
      <c r="D1197" s="181">
        <f>12000000/1000</f>
        <v>12000</v>
      </c>
      <c r="E1197" s="181"/>
      <c r="F1197" s="181"/>
      <c r="G1197" s="181"/>
      <c r="H1197" s="181">
        <f>12000000/1000</f>
        <v>12000</v>
      </c>
      <c r="I1197" s="181"/>
      <c r="J1197" s="181"/>
      <c r="K1197" s="181"/>
      <c r="L1197" s="181"/>
      <c r="M1197" s="181"/>
      <c r="N1197" s="181"/>
      <c r="O1197" s="181"/>
      <c r="P1197" s="181"/>
      <c r="Q1197" s="181"/>
      <c r="R1197" s="181">
        <v>0</v>
      </c>
      <c r="S1197" s="181"/>
      <c r="T1197" s="181"/>
      <c r="U1197" s="181"/>
      <c r="V1197" s="181"/>
      <c r="W1197" s="181"/>
      <c r="X1197" s="181"/>
      <c r="Y1197" s="181">
        <f>+H1197+R1197</f>
        <v>12000</v>
      </c>
      <c r="Z1197" s="181">
        <f t="shared" si="225"/>
        <v>0</v>
      </c>
      <c r="AA1197" s="181"/>
      <c r="AB1197" s="181"/>
      <c r="AC1197" s="181"/>
      <c r="AD1197" s="181"/>
      <c r="AF1197" s="195"/>
      <c r="AG1197" s="195"/>
      <c r="AH1197" s="195"/>
      <c r="AI1197" s="195"/>
      <c r="AJ1197" s="195"/>
      <c r="AK1197" s="195"/>
      <c r="AL1197" s="195"/>
      <c r="AM1197" s="195"/>
      <c r="AN1197" s="195"/>
      <c r="AO1197" s="195"/>
      <c r="AP1197" s="195"/>
      <c r="AQ1197" s="195"/>
      <c r="AR1197" s="195"/>
      <c r="AS1197" s="195"/>
    </row>
    <row r="1198" spans="1:45" x14ac:dyDescent="0.2">
      <c r="A1198" s="180"/>
      <c r="C1198" s="165" t="s">
        <v>36</v>
      </c>
      <c r="D1198" s="181">
        <f>1810031/1000</f>
        <v>1810.0309999999999</v>
      </c>
      <c r="E1198" s="181">
        <f>TOBEPAID!E919/1000</f>
        <v>1810.0309999999999</v>
      </c>
      <c r="F1198" s="181">
        <f>TOBEPAID!F919/1000</f>
        <v>0</v>
      </c>
      <c r="G1198" s="181">
        <f>TOBEPAID!G919/1000</f>
        <v>0</v>
      </c>
      <c r="H1198" s="181">
        <f>1810031/1000</f>
        <v>1810.0309999999999</v>
      </c>
      <c r="I1198" s="181">
        <f>TOBEPAID!I919/1000</f>
        <v>0</v>
      </c>
      <c r="J1198" s="181">
        <f>TOBEPAID!J919/1000</f>
        <v>0</v>
      </c>
      <c r="K1198" s="181">
        <f>TOBEPAID!K919/1000</f>
        <v>0</v>
      </c>
      <c r="L1198" s="181">
        <f>TOBEPAID!L919/1000</f>
        <v>0</v>
      </c>
      <c r="M1198" s="181">
        <f>TOBEPAID!M919/1000</f>
        <v>0</v>
      </c>
      <c r="N1198" s="181">
        <f>TOBEPAID!N919/1000</f>
        <v>1810.0309999999999</v>
      </c>
      <c r="O1198" s="181">
        <f>TOBEPAID!O919/1000</f>
        <v>0</v>
      </c>
      <c r="P1198" s="181">
        <f>TOBEPAID!P919/1000</f>
        <v>0</v>
      </c>
      <c r="Q1198" s="181">
        <f>TOBEPAID!Q919/1000</f>
        <v>0</v>
      </c>
      <c r="R1198" s="181">
        <f>TOBEPAID!R919/1000</f>
        <v>0</v>
      </c>
      <c r="S1198" s="181">
        <f>TOBEPAID!S919/1000</f>
        <v>0</v>
      </c>
      <c r="T1198" s="181">
        <f>TOBEPAID!T919/1000</f>
        <v>0</v>
      </c>
      <c r="U1198" s="181">
        <f>TOBEPAID!U919/1000</f>
        <v>0</v>
      </c>
      <c r="V1198" s="181">
        <f>TOBEPAID!V919/1000</f>
        <v>0</v>
      </c>
      <c r="W1198" s="181">
        <f>TOBEPAID!W919/1000</f>
        <v>0</v>
      </c>
      <c r="X1198" s="181">
        <f>TOBEPAID!X919/1000</f>
        <v>0</v>
      </c>
      <c r="Y1198" s="181">
        <f t="shared" ref="Y1198:Y1204" si="226">+H1198+R1198</f>
        <v>1810.0309999999999</v>
      </c>
      <c r="Z1198" s="181">
        <f t="shared" si="225"/>
        <v>0</v>
      </c>
      <c r="AA1198" s="181">
        <f>TOBEPAID!AA919/1000</f>
        <v>1810.0309999999999</v>
      </c>
      <c r="AB1198" s="181">
        <f>TOBEPAID!AB919/1000</f>
        <v>0</v>
      </c>
      <c r="AC1198" s="181"/>
      <c r="AD1198" s="181"/>
      <c r="AF1198" s="195"/>
      <c r="AG1198" s="195"/>
      <c r="AH1198" s="195"/>
      <c r="AI1198" s="195"/>
      <c r="AJ1198" s="195"/>
      <c r="AK1198" s="195"/>
      <c r="AL1198" s="195"/>
      <c r="AM1198" s="195"/>
      <c r="AN1198" s="195"/>
      <c r="AO1198" s="195"/>
      <c r="AP1198" s="195"/>
      <c r="AQ1198" s="195"/>
      <c r="AR1198" s="195"/>
      <c r="AS1198" s="195"/>
    </row>
    <row r="1199" spans="1:45" x14ac:dyDescent="0.2">
      <c r="A1199" s="180"/>
      <c r="C1199" s="165" t="s">
        <v>374</v>
      </c>
      <c r="D1199" s="181">
        <f>8000000/1000</f>
        <v>8000</v>
      </c>
      <c r="E1199" s="181"/>
      <c r="F1199" s="181"/>
      <c r="G1199" s="181"/>
      <c r="H1199" s="181">
        <f>8000000/1000</f>
        <v>8000</v>
      </c>
      <c r="I1199" s="181"/>
      <c r="J1199" s="181"/>
      <c r="K1199" s="181"/>
      <c r="L1199" s="181"/>
      <c r="M1199" s="181"/>
      <c r="N1199" s="181"/>
      <c r="O1199" s="181"/>
      <c r="P1199" s="181"/>
      <c r="Q1199" s="181"/>
      <c r="R1199" s="181">
        <v>0</v>
      </c>
      <c r="S1199" s="181"/>
      <c r="T1199" s="181"/>
      <c r="U1199" s="181"/>
      <c r="V1199" s="181"/>
      <c r="W1199" s="181"/>
      <c r="X1199" s="181"/>
      <c r="Y1199" s="181">
        <f t="shared" si="226"/>
        <v>8000</v>
      </c>
      <c r="Z1199" s="181">
        <f t="shared" si="225"/>
        <v>0</v>
      </c>
      <c r="AA1199" s="181"/>
      <c r="AB1199" s="181"/>
      <c r="AC1199" s="181"/>
      <c r="AD1199" s="181"/>
      <c r="AF1199" s="195"/>
      <c r="AG1199" s="195"/>
      <c r="AH1199" s="195"/>
      <c r="AI1199" s="195"/>
      <c r="AJ1199" s="195"/>
      <c r="AK1199" s="195"/>
      <c r="AL1199" s="195"/>
      <c r="AM1199" s="195"/>
      <c r="AN1199" s="195"/>
      <c r="AO1199" s="195"/>
      <c r="AP1199" s="195"/>
      <c r="AQ1199" s="195"/>
      <c r="AR1199" s="195"/>
      <c r="AS1199" s="195"/>
    </row>
    <row r="1200" spans="1:45" x14ac:dyDescent="0.2">
      <c r="A1200" s="180"/>
      <c r="C1200" s="165" t="s">
        <v>387</v>
      </c>
      <c r="D1200" s="181">
        <f>12000000/1000</f>
        <v>12000</v>
      </c>
      <c r="E1200" s="181"/>
      <c r="F1200" s="181"/>
      <c r="G1200" s="181"/>
      <c r="H1200" s="181">
        <f>12000000/1000</f>
        <v>12000</v>
      </c>
      <c r="I1200" s="181"/>
      <c r="J1200" s="181"/>
      <c r="K1200" s="181"/>
      <c r="L1200" s="181"/>
      <c r="M1200" s="181"/>
      <c r="N1200" s="181"/>
      <c r="O1200" s="181"/>
      <c r="P1200" s="181"/>
      <c r="Q1200" s="181"/>
      <c r="R1200" s="181">
        <v>0</v>
      </c>
      <c r="S1200" s="181"/>
      <c r="T1200" s="181"/>
      <c r="U1200" s="181"/>
      <c r="V1200" s="181"/>
      <c r="W1200" s="181"/>
      <c r="X1200" s="181"/>
      <c r="Y1200" s="181">
        <f t="shared" si="226"/>
        <v>12000</v>
      </c>
      <c r="Z1200" s="181">
        <f t="shared" si="225"/>
        <v>0</v>
      </c>
      <c r="AA1200" s="181"/>
      <c r="AB1200" s="181"/>
      <c r="AC1200" s="181"/>
      <c r="AD1200" s="181"/>
      <c r="AF1200" s="195"/>
      <c r="AG1200" s="195"/>
      <c r="AH1200" s="195"/>
      <c r="AI1200" s="195"/>
      <c r="AJ1200" s="195"/>
      <c r="AK1200" s="195"/>
      <c r="AL1200" s="195"/>
      <c r="AM1200" s="195"/>
      <c r="AN1200" s="195"/>
      <c r="AO1200" s="195"/>
      <c r="AP1200" s="195"/>
      <c r="AQ1200" s="195"/>
      <c r="AR1200" s="195"/>
      <c r="AS1200" s="195"/>
    </row>
    <row r="1201" spans="1:45" x14ac:dyDescent="0.2">
      <c r="A1201" s="180"/>
      <c r="C1201" s="165" t="s">
        <v>208</v>
      </c>
      <c r="D1201" s="181">
        <v>0</v>
      </c>
      <c r="E1201" s="181">
        <f>TOBEPAID!E920/1000</f>
        <v>0</v>
      </c>
      <c r="F1201" s="181">
        <f>TOBEPAID!F920/1000</f>
        <v>0</v>
      </c>
      <c r="G1201" s="181">
        <f>TOBEPAID!G920/1000</f>
        <v>0</v>
      </c>
      <c r="H1201" s="181">
        <v>0</v>
      </c>
      <c r="I1201" s="181">
        <f>TOBEPAID!I920/1000</f>
        <v>0</v>
      </c>
      <c r="J1201" s="181">
        <f>TOBEPAID!J920/1000</f>
        <v>0</v>
      </c>
      <c r="K1201" s="181">
        <f>TOBEPAID!K920/1000</f>
        <v>0</v>
      </c>
      <c r="L1201" s="181">
        <f>TOBEPAID!L920/1000</f>
        <v>0</v>
      </c>
      <c r="M1201" s="181">
        <f>TOBEPAID!M920/1000</f>
        <v>0</v>
      </c>
      <c r="N1201" s="181">
        <f>TOBEPAID!N920/1000</f>
        <v>0</v>
      </c>
      <c r="O1201" s="181">
        <f>TOBEPAID!O920/1000</f>
        <v>0</v>
      </c>
      <c r="P1201" s="181">
        <f>TOBEPAID!P920/1000</f>
        <v>0</v>
      </c>
      <c r="Q1201" s="181">
        <f>TOBEPAID!Q920/1000</f>
        <v>0</v>
      </c>
      <c r="R1201" s="181">
        <f>TOBEPAID!R920/1000</f>
        <v>0</v>
      </c>
      <c r="S1201" s="181">
        <f>TOBEPAID!S920/1000</f>
        <v>0</v>
      </c>
      <c r="T1201" s="181">
        <f>TOBEPAID!T920/1000</f>
        <v>0</v>
      </c>
      <c r="U1201" s="181">
        <f>TOBEPAID!U920/1000</f>
        <v>0</v>
      </c>
      <c r="V1201" s="181">
        <f>TOBEPAID!V920/1000</f>
        <v>0</v>
      </c>
      <c r="W1201" s="181">
        <f>TOBEPAID!W920/1000</f>
        <v>0</v>
      </c>
      <c r="X1201" s="181">
        <f>TOBEPAID!X920/1000</f>
        <v>0</v>
      </c>
      <c r="Y1201" s="181">
        <f t="shared" si="226"/>
        <v>0</v>
      </c>
      <c r="Z1201" s="181">
        <f t="shared" si="225"/>
        <v>0</v>
      </c>
      <c r="AA1201" s="181">
        <f>TOBEPAID!AA920/1000</f>
        <v>0</v>
      </c>
      <c r="AB1201" s="181">
        <f>TOBEPAID!AB920/1000</f>
        <v>507.48234000000002</v>
      </c>
      <c r="AC1201" s="181"/>
      <c r="AD1201" s="181"/>
      <c r="AF1201" s="195"/>
      <c r="AG1201" s="195"/>
      <c r="AH1201" s="195"/>
      <c r="AI1201" s="195"/>
      <c r="AJ1201" s="195"/>
      <c r="AK1201" s="195"/>
      <c r="AL1201" s="195"/>
      <c r="AM1201" s="195"/>
      <c r="AN1201" s="195"/>
      <c r="AO1201" s="195"/>
      <c r="AP1201" s="195"/>
      <c r="AQ1201" s="195"/>
      <c r="AR1201" s="195"/>
      <c r="AS1201" s="195"/>
    </row>
    <row r="1202" spans="1:45" x14ac:dyDescent="0.2">
      <c r="A1202" s="180"/>
      <c r="C1202" s="165" t="s">
        <v>183</v>
      </c>
      <c r="D1202" s="181">
        <f>290628/1000</f>
        <v>290.62799999999999</v>
      </c>
      <c r="E1202" s="181">
        <f>TOBEPAID!E921/1000</f>
        <v>0</v>
      </c>
      <c r="F1202" s="181">
        <f>TOBEPAID!F921/1000</f>
        <v>0</v>
      </c>
      <c r="G1202" s="181">
        <f>TOBEPAID!G921/1000</f>
        <v>0</v>
      </c>
      <c r="H1202" s="181">
        <v>0</v>
      </c>
      <c r="I1202" s="181">
        <f>TOBEPAID!I921/1000</f>
        <v>0</v>
      </c>
      <c r="J1202" s="181">
        <f>TOBEPAID!J921/1000</f>
        <v>0</v>
      </c>
      <c r="K1202" s="181">
        <f>TOBEPAID!K921/1000</f>
        <v>0</v>
      </c>
      <c r="L1202" s="181">
        <f>TOBEPAID!L921/1000</f>
        <v>0</v>
      </c>
      <c r="M1202" s="181">
        <f>TOBEPAID!M921/1000</f>
        <v>0</v>
      </c>
      <c r="N1202" s="181">
        <f>TOBEPAID!N921/1000</f>
        <v>0</v>
      </c>
      <c r="O1202" s="181">
        <f>TOBEPAID!O921/1000</f>
        <v>290.62849999999997</v>
      </c>
      <c r="P1202" s="181">
        <f>TOBEPAID!P921/1000</f>
        <v>0</v>
      </c>
      <c r="Q1202" s="181">
        <f>TOBEPAID!Q921/1000</f>
        <v>0</v>
      </c>
      <c r="R1202" s="181">
        <f>TOBEPAID!R921/1000</f>
        <v>290.62849999999997</v>
      </c>
      <c r="S1202" s="181">
        <f>TOBEPAID!S921/1000</f>
        <v>0</v>
      </c>
      <c r="T1202" s="181">
        <f>TOBEPAID!T921/1000</f>
        <v>0</v>
      </c>
      <c r="U1202" s="181">
        <f>TOBEPAID!U921/1000</f>
        <v>0</v>
      </c>
      <c r="V1202" s="181">
        <f>TOBEPAID!V921/1000</f>
        <v>0</v>
      </c>
      <c r="W1202" s="181">
        <f>TOBEPAID!W921/1000</f>
        <v>0</v>
      </c>
      <c r="X1202" s="181">
        <f>TOBEPAID!X921/1000</f>
        <v>290.62849999999997</v>
      </c>
      <c r="Y1202" s="181">
        <f t="shared" si="226"/>
        <v>290.62849999999997</v>
      </c>
      <c r="Z1202" s="181">
        <f>+Y1202-D1202</f>
        <v>4.9999999998817657E-4</v>
      </c>
      <c r="AA1202" s="181">
        <f>TOBEPAID!AA921/1000</f>
        <v>290.62849999999997</v>
      </c>
      <c r="AB1202" s="181">
        <f>TOBEPAID!AB921/1000</f>
        <v>992.97566000000018</v>
      </c>
      <c r="AC1202" s="181"/>
      <c r="AD1202" s="181"/>
      <c r="AF1202" s="195"/>
      <c r="AG1202" s="195"/>
      <c r="AH1202" s="195"/>
      <c r="AI1202" s="195"/>
      <c r="AJ1202" s="195"/>
      <c r="AK1202" s="195"/>
      <c r="AL1202" s="195"/>
      <c r="AM1202" s="195"/>
      <c r="AN1202" s="195"/>
      <c r="AO1202" s="195"/>
      <c r="AP1202" s="195"/>
      <c r="AQ1202" s="195"/>
      <c r="AR1202" s="195"/>
      <c r="AS1202" s="195"/>
    </row>
    <row r="1203" spans="1:45" x14ac:dyDescent="0.2">
      <c r="A1203" s="180"/>
      <c r="C1203" s="165" t="s">
        <v>38</v>
      </c>
      <c r="D1203" s="181">
        <f>1514615/1000</f>
        <v>1514.615</v>
      </c>
      <c r="E1203" s="181">
        <f>TOBEPAID!E922/1000</f>
        <v>0</v>
      </c>
      <c r="F1203" s="181">
        <f>TOBEPAID!F922/1000</f>
        <v>0</v>
      </c>
      <c r="G1203" s="181">
        <f>TOBEPAID!G922/1000</f>
        <v>0</v>
      </c>
      <c r="H1203" s="181">
        <v>0</v>
      </c>
      <c r="I1203" s="181">
        <f>TOBEPAID!I922/1000</f>
        <v>0</v>
      </c>
      <c r="J1203" s="181">
        <f>TOBEPAID!J922/1000</f>
        <v>0</v>
      </c>
      <c r="K1203" s="181">
        <f>TOBEPAID!K922/1000</f>
        <v>0</v>
      </c>
      <c r="L1203" s="181">
        <f>TOBEPAID!L922/1000</f>
        <v>0</v>
      </c>
      <c r="M1203" s="181">
        <f>TOBEPAID!M922/1000</f>
        <v>0</v>
      </c>
      <c r="N1203" s="181">
        <f>TOBEPAID!N922/1000</f>
        <v>0</v>
      </c>
      <c r="O1203" s="181">
        <f>TOBEPAID!O922/1000</f>
        <v>1514.4053600000002</v>
      </c>
      <c r="P1203" s="181">
        <f>TOBEPAID!P922/1000</f>
        <v>0</v>
      </c>
      <c r="Q1203" s="181">
        <f>TOBEPAID!Q922/1000</f>
        <v>0</v>
      </c>
      <c r="R1203" s="181">
        <f>1514405/1000</f>
        <v>1514.405</v>
      </c>
      <c r="S1203" s="181">
        <f>TOBEPAID!S922/1000</f>
        <v>0</v>
      </c>
      <c r="T1203" s="181">
        <f>TOBEPAID!T922/1000</f>
        <v>0</v>
      </c>
      <c r="U1203" s="181">
        <f>TOBEPAID!U922/1000</f>
        <v>0</v>
      </c>
      <c r="V1203" s="181">
        <f>TOBEPAID!V922/1000</f>
        <v>0</v>
      </c>
      <c r="W1203" s="181">
        <f>TOBEPAID!W922/1000</f>
        <v>0</v>
      </c>
      <c r="X1203" s="181">
        <f>TOBEPAID!X922/1000</f>
        <v>1514.4053600000002</v>
      </c>
      <c r="Y1203" s="181">
        <f t="shared" si="226"/>
        <v>1514.405</v>
      </c>
      <c r="Z1203" s="181">
        <f>+D1203-Y1203</f>
        <v>0.21000000000003638</v>
      </c>
      <c r="AA1203" s="181">
        <f>TOBEPAID!AA922/1000</f>
        <v>1514.4053600000002</v>
      </c>
      <c r="AB1203" s="181">
        <f>TOBEPAID!AB922/1000</f>
        <v>0</v>
      </c>
      <c r="AC1203" s="181"/>
      <c r="AD1203" s="181"/>
      <c r="AF1203" s="195"/>
      <c r="AG1203" s="195"/>
      <c r="AH1203" s="195"/>
      <c r="AI1203" s="195"/>
      <c r="AJ1203" s="195"/>
      <c r="AK1203" s="195"/>
      <c r="AL1203" s="195"/>
      <c r="AM1203" s="195"/>
      <c r="AN1203" s="195"/>
      <c r="AO1203" s="195"/>
      <c r="AP1203" s="195"/>
      <c r="AQ1203" s="195"/>
      <c r="AR1203" s="195"/>
      <c r="AS1203" s="195"/>
    </row>
    <row r="1204" spans="1:45" x14ac:dyDescent="0.2">
      <c r="A1204" s="180"/>
      <c r="C1204" s="165" t="s">
        <v>184</v>
      </c>
      <c r="D1204" s="181">
        <f>374163/1000</f>
        <v>374.16300000000001</v>
      </c>
      <c r="E1204" s="181">
        <f>TOBEPAID!E923/1000</f>
        <v>0</v>
      </c>
      <c r="F1204" s="181">
        <f>TOBEPAID!F923/1000</f>
        <v>0</v>
      </c>
      <c r="G1204" s="181">
        <f>TOBEPAID!G923/1000</f>
        <v>0</v>
      </c>
      <c r="H1204" s="181">
        <v>0</v>
      </c>
      <c r="I1204" s="181">
        <f>TOBEPAID!I923/1000</f>
        <v>0</v>
      </c>
      <c r="J1204" s="181">
        <f>TOBEPAID!J923/1000</f>
        <v>0</v>
      </c>
      <c r="K1204" s="181">
        <f>TOBEPAID!K923/1000</f>
        <v>0</v>
      </c>
      <c r="L1204" s="181">
        <f>TOBEPAID!L923/1000</f>
        <v>0</v>
      </c>
      <c r="M1204" s="181">
        <f>TOBEPAID!M923/1000</f>
        <v>0</v>
      </c>
      <c r="N1204" s="181">
        <f>TOBEPAID!N923/1000</f>
        <v>0</v>
      </c>
      <c r="O1204" s="181">
        <f>TOBEPAID!O923/1000</f>
        <v>555.91641000000004</v>
      </c>
      <c r="P1204" s="181">
        <f>TOBEPAID!P923/1000</f>
        <v>0</v>
      </c>
      <c r="Q1204" s="181">
        <f>TOBEPAID!Q923/1000</f>
        <v>0</v>
      </c>
      <c r="R1204" s="181">
        <f>374163/1000</f>
        <v>374.16300000000001</v>
      </c>
      <c r="S1204" s="181">
        <f>TOBEPAID!S923/1000</f>
        <v>0</v>
      </c>
      <c r="T1204" s="181">
        <f>TOBEPAID!T923/1000</f>
        <v>0</v>
      </c>
      <c r="U1204" s="181">
        <f>TOBEPAID!U923/1000</f>
        <v>0</v>
      </c>
      <c r="V1204" s="181">
        <f>TOBEPAID!V923/1000</f>
        <v>0</v>
      </c>
      <c r="W1204" s="181">
        <f>TOBEPAID!W923/1000</f>
        <v>0</v>
      </c>
      <c r="X1204" s="181">
        <f>TOBEPAID!X923/1000</f>
        <v>555.91641000000004</v>
      </c>
      <c r="Y1204" s="181">
        <f t="shared" si="226"/>
        <v>374.16300000000001</v>
      </c>
      <c r="Z1204" s="181">
        <f>+D1204-Y1204</f>
        <v>0</v>
      </c>
      <c r="AA1204" s="181">
        <f>TOBEPAID!AA923/1000</f>
        <v>555.91641000000004</v>
      </c>
      <c r="AB1204" s="181">
        <f>TOBEPAID!AB923/1000</f>
        <v>0</v>
      </c>
      <c r="AC1204" s="181"/>
      <c r="AD1204" s="181"/>
      <c r="AF1204" s="195"/>
      <c r="AG1204" s="195"/>
      <c r="AH1204" s="195"/>
      <c r="AI1204" s="195"/>
      <c r="AJ1204" s="195"/>
      <c r="AK1204" s="195"/>
      <c r="AL1204" s="195"/>
      <c r="AM1204" s="195"/>
      <c r="AN1204" s="195"/>
      <c r="AO1204" s="195"/>
      <c r="AP1204" s="195"/>
      <c r="AQ1204" s="195"/>
      <c r="AR1204" s="195"/>
      <c r="AS1204" s="195"/>
    </row>
    <row r="1205" spans="1:45" x14ac:dyDescent="0.2">
      <c r="A1205" s="180"/>
      <c r="D1205" s="182" t="s">
        <v>40</v>
      </c>
      <c r="E1205" s="182" t="s">
        <v>40</v>
      </c>
      <c r="F1205" s="182" t="s">
        <v>40</v>
      </c>
      <c r="G1205" s="182"/>
      <c r="H1205" s="182" t="s">
        <v>40</v>
      </c>
      <c r="I1205" s="182" t="s">
        <v>40</v>
      </c>
      <c r="J1205" s="182" t="s">
        <v>40</v>
      </c>
      <c r="K1205" s="182" t="s">
        <v>40</v>
      </c>
      <c r="L1205" s="182" t="s">
        <v>40</v>
      </c>
      <c r="M1205" s="182"/>
      <c r="N1205" s="182" t="s">
        <v>40</v>
      </c>
      <c r="O1205" s="182" t="s">
        <v>40</v>
      </c>
      <c r="P1205" s="182" t="s">
        <v>40</v>
      </c>
      <c r="Q1205" s="182"/>
      <c r="R1205" s="182" t="s">
        <v>40</v>
      </c>
      <c r="S1205" s="182" t="s">
        <v>40</v>
      </c>
      <c r="T1205" s="182" t="s">
        <v>40</v>
      </c>
      <c r="U1205" s="182" t="s">
        <v>40</v>
      </c>
      <c r="V1205" s="182" t="s">
        <v>40</v>
      </c>
      <c r="W1205" s="182"/>
      <c r="X1205" s="182" t="s">
        <v>40</v>
      </c>
      <c r="Y1205" s="182" t="s">
        <v>40</v>
      </c>
      <c r="Z1205" s="182" t="s">
        <v>40</v>
      </c>
      <c r="AA1205" s="182" t="s">
        <v>40</v>
      </c>
      <c r="AB1205" s="182" t="s">
        <v>40</v>
      </c>
      <c r="AC1205" s="182"/>
      <c r="AD1205" s="182"/>
      <c r="AF1205" s="195"/>
      <c r="AG1205" s="195"/>
      <c r="AH1205" s="195"/>
      <c r="AI1205" s="195"/>
      <c r="AJ1205" s="195"/>
      <c r="AK1205" s="195"/>
      <c r="AL1205" s="195"/>
      <c r="AM1205" s="195"/>
      <c r="AN1205" s="195"/>
      <c r="AO1205" s="195"/>
      <c r="AP1205" s="195"/>
      <c r="AQ1205" s="195"/>
      <c r="AR1205" s="195"/>
      <c r="AS1205" s="195"/>
    </row>
    <row r="1206" spans="1:45" x14ac:dyDescent="0.2">
      <c r="A1206" s="180"/>
      <c r="D1206" s="191">
        <f>SUM(D1196:D1204)</f>
        <v>37853.399999999994</v>
      </c>
      <c r="E1206" s="191">
        <f>SUM(E1196:E1204)</f>
        <v>1810.0309999999999</v>
      </c>
      <c r="F1206" s="191">
        <f>SUM(F1196:F1204)</f>
        <v>0</v>
      </c>
      <c r="G1206" s="191"/>
      <c r="H1206" s="191">
        <f>SUM(H1196:H1204)</f>
        <v>35492.031000000003</v>
      </c>
      <c r="I1206" s="191">
        <f>SUM(I1196:I1204)</f>
        <v>0</v>
      </c>
      <c r="J1206" s="191">
        <f>SUM(J1196:J1204)</f>
        <v>0</v>
      </c>
      <c r="K1206" s="191">
        <f>SUM(K1196:K1204)</f>
        <v>0</v>
      </c>
      <c r="L1206" s="191">
        <f>SUM(L1196:L1204)</f>
        <v>0</v>
      </c>
      <c r="M1206" s="191"/>
      <c r="N1206" s="191">
        <f>SUM(N1196:N1204)</f>
        <v>1810.0309999999999</v>
      </c>
      <c r="O1206" s="191">
        <f>SUM(O1196:O1204)</f>
        <v>2360.9502700000003</v>
      </c>
      <c r="P1206" s="191">
        <f>SUM(P1196:P1204)</f>
        <v>0</v>
      </c>
      <c r="Q1206" s="191"/>
      <c r="R1206" s="191">
        <f>SUM(R1196:R1204)</f>
        <v>2336.3647000000001</v>
      </c>
      <c r="S1206" s="191">
        <f>SUM(S1196:S1204)</f>
        <v>0</v>
      </c>
      <c r="T1206" s="191">
        <f>SUM(T1196:T1204)</f>
        <v>0</v>
      </c>
      <c r="U1206" s="191">
        <f>SUM(U1196:U1204)</f>
        <v>0</v>
      </c>
      <c r="V1206" s="191">
        <f>SUM(V1196:V1204)</f>
        <v>0</v>
      </c>
      <c r="W1206" s="191"/>
      <c r="X1206" s="191">
        <f>SUM(X1196:X1204)</f>
        <v>2360.9502700000003</v>
      </c>
      <c r="Y1206" s="191">
        <f>SUM(Y1196:Y1204)</f>
        <v>37828.395700000001</v>
      </c>
      <c r="Z1206" s="191">
        <f>SUM(Z1196:Z1204)</f>
        <v>25.00529999999992</v>
      </c>
      <c r="AA1206" s="191">
        <f>SUM(AA1196:AA1204)</f>
        <v>4170.9812700000002</v>
      </c>
      <c r="AB1206" s="191">
        <f>SUM(AB1196:AB1204)</f>
        <v>1500.4580000000001</v>
      </c>
      <c r="AC1206" s="191"/>
      <c r="AD1206" s="191"/>
      <c r="AF1206" s="195"/>
      <c r="AG1206" s="195"/>
      <c r="AH1206" s="195"/>
      <c r="AI1206" s="195"/>
      <c r="AJ1206" s="195"/>
      <c r="AK1206" s="195"/>
      <c r="AL1206" s="195"/>
      <c r="AM1206" s="195"/>
      <c r="AN1206" s="195"/>
      <c r="AO1206" s="195"/>
      <c r="AP1206" s="195"/>
      <c r="AQ1206" s="195"/>
      <c r="AR1206" s="195"/>
      <c r="AS1206" s="195"/>
    </row>
    <row r="1207" spans="1:45" x14ac:dyDescent="0.2">
      <c r="A1207" s="180"/>
      <c r="D1207" s="182" t="s">
        <v>40</v>
      </c>
      <c r="E1207" s="182" t="s">
        <v>40</v>
      </c>
      <c r="F1207" s="182" t="s">
        <v>40</v>
      </c>
      <c r="G1207" s="182"/>
      <c r="H1207" s="182" t="s">
        <v>40</v>
      </c>
      <c r="I1207" s="182" t="s">
        <v>40</v>
      </c>
      <c r="J1207" s="182" t="s">
        <v>40</v>
      </c>
      <c r="K1207" s="182" t="s">
        <v>40</v>
      </c>
      <c r="L1207" s="182" t="s">
        <v>40</v>
      </c>
      <c r="M1207" s="182"/>
      <c r="N1207" s="182" t="s">
        <v>40</v>
      </c>
      <c r="O1207" s="182" t="s">
        <v>40</v>
      </c>
      <c r="P1207" s="182" t="s">
        <v>40</v>
      </c>
      <c r="Q1207" s="182"/>
      <c r="R1207" s="182" t="s">
        <v>40</v>
      </c>
      <c r="S1207" s="182" t="s">
        <v>40</v>
      </c>
      <c r="T1207" s="182" t="s">
        <v>40</v>
      </c>
      <c r="U1207" s="182" t="s">
        <v>40</v>
      </c>
      <c r="V1207" s="182" t="s">
        <v>40</v>
      </c>
      <c r="W1207" s="182"/>
      <c r="X1207" s="182" t="s">
        <v>40</v>
      </c>
      <c r="Y1207" s="182" t="s">
        <v>40</v>
      </c>
      <c r="Z1207" s="182" t="s">
        <v>40</v>
      </c>
      <c r="AA1207" s="182" t="s">
        <v>40</v>
      </c>
      <c r="AB1207" s="182" t="s">
        <v>40</v>
      </c>
      <c r="AC1207" s="182"/>
      <c r="AD1207" s="182"/>
      <c r="AF1207" s="195"/>
      <c r="AG1207" s="195"/>
      <c r="AH1207" s="195"/>
      <c r="AI1207" s="195"/>
      <c r="AJ1207" s="195"/>
      <c r="AK1207" s="195"/>
      <c r="AL1207" s="195"/>
      <c r="AM1207" s="195"/>
      <c r="AN1207" s="195"/>
      <c r="AO1207" s="195"/>
      <c r="AP1207" s="195"/>
      <c r="AQ1207" s="195"/>
      <c r="AR1207" s="195"/>
      <c r="AS1207" s="195"/>
    </row>
    <row r="1208" spans="1:45" x14ac:dyDescent="0.2">
      <c r="A1208" s="180"/>
      <c r="D1208" s="182"/>
      <c r="E1208" s="182"/>
      <c r="F1208" s="182"/>
      <c r="G1208" s="182"/>
      <c r="H1208" s="182"/>
      <c r="I1208" s="182"/>
      <c r="J1208" s="182"/>
      <c r="K1208" s="182"/>
      <c r="L1208" s="182"/>
      <c r="M1208" s="182"/>
      <c r="N1208" s="182"/>
      <c r="O1208" s="182"/>
      <c r="P1208" s="182"/>
      <c r="Q1208" s="182"/>
      <c r="R1208" s="190"/>
      <c r="S1208" s="182"/>
      <c r="T1208" s="182"/>
      <c r="U1208" s="182"/>
      <c r="V1208" s="191"/>
      <c r="W1208" s="182"/>
      <c r="X1208" s="182"/>
      <c r="Y1208" s="182"/>
      <c r="Z1208" s="182"/>
      <c r="AA1208" s="182"/>
      <c r="AB1208" s="182"/>
      <c r="AC1208" s="182"/>
      <c r="AD1208" s="182"/>
      <c r="AF1208" s="195"/>
      <c r="AG1208" s="195"/>
      <c r="AH1208" s="195"/>
      <c r="AI1208" s="195"/>
      <c r="AJ1208" s="195"/>
      <c r="AK1208" s="195"/>
      <c r="AL1208" s="195"/>
      <c r="AM1208" s="195"/>
      <c r="AN1208" s="195"/>
      <c r="AO1208" s="195"/>
      <c r="AP1208" s="195"/>
      <c r="AQ1208" s="195"/>
      <c r="AR1208" s="195"/>
      <c r="AS1208" s="195"/>
    </row>
    <row r="1209" spans="1:45" x14ac:dyDescent="0.2">
      <c r="A1209" s="180"/>
      <c r="D1209" s="182"/>
      <c r="E1209" s="182"/>
      <c r="F1209" s="182"/>
      <c r="G1209" s="182"/>
      <c r="H1209" s="182"/>
      <c r="I1209" s="182"/>
      <c r="J1209" s="182"/>
      <c r="K1209" s="182"/>
      <c r="L1209" s="182"/>
      <c r="M1209" s="182"/>
      <c r="N1209" s="182"/>
      <c r="O1209" s="182"/>
      <c r="P1209" s="182"/>
      <c r="Q1209" s="182"/>
      <c r="R1209" s="182"/>
      <c r="S1209" s="182"/>
      <c r="T1209" s="182"/>
      <c r="U1209" s="182"/>
      <c r="V1209" s="182"/>
      <c r="W1209" s="182"/>
      <c r="X1209" s="182"/>
      <c r="Y1209" s="182"/>
      <c r="Z1209" s="182"/>
      <c r="AA1209" s="182"/>
      <c r="AB1209" s="182"/>
      <c r="AC1209" s="182"/>
      <c r="AD1209" s="182"/>
      <c r="AF1209" s="195"/>
      <c r="AG1209" s="195"/>
      <c r="AH1209" s="195"/>
      <c r="AI1209" s="195"/>
      <c r="AJ1209" s="195"/>
      <c r="AK1209" s="195"/>
      <c r="AL1209" s="195"/>
      <c r="AM1209" s="195"/>
      <c r="AN1209" s="195"/>
      <c r="AO1209" s="195"/>
      <c r="AP1209" s="195"/>
      <c r="AQ1209" s="195"/>
      <c r="AR1209" s="195"/>
      <c r="AS1209" s="195"/>
    </row>
    <row r="1210" spans="1:45" x14ac:dyDescent="0.2">
      <c r="A1210" s="180">
        <v>95</v>
      </c>
      <c r="B1210" s="165" t="s">
        <v>227</v>
      </c>
      <c r="C1210" s="166" t="s">
        <v>35</v>
      </c>
      <c r="D1210" s="181">
        <f>37561999/1000</f>
        <v>37561.999000000003</v>
      </c>
      <c r="E1210" s="181">
        <f>TOBEPAID!E929/1000</f>
        <v>0</v>
      </c>
      <c r="F1210" s="181">
        <f>TOBEPAID!F929/1000</f>
        <v>0</v>
      </c>
      <c r="G1210" s="181">
        <f>TOBEPAID!G929/1000</f>
        <v>0</v>
      </c>
      <c r="H1210" s="181">
        <f>TOBEPAID!H929/1000</f>
        <v>0</v>
      </c>
      <c r="I1210" s="181">
        <f>TOBEPAID!I929/1000</f>
        <v>0</v>
      </c>
      <c r="J1210" s="181">
        <f>TOBEPAID!J929/1000</f>
        <v>0</v>
      </c>
      <c r="K1210" s="181">
        <f>TOBEPAID!K929/1000</f>
        <v>0</v>
      </c>
      <c r="L1210" s="181">
        <f>TOBEPAID!L929/1000</f>
        <v>0</v>
      </c>
      <c r="M1210" s="181">
        <f>TOBEPAID!M929/1000</f>
        <v>0</v>
      </c>
      <c r="N1210" s="181">
        <f>TOBEPAID!N929/1000</f>
        <v>0</v>
      </c>
      <c r="O1210" s="181">
        <f>TOBEPAID!O929/1000</f>
        <v>0</v>
      </c>
      <c r="P1210" s="181">
        <f>TOBEPAID!P929/1000</f>
        <v>0</v>
      </c>
      <c r="Q1210" s="181">
        <f>TOBEPAID!Q929/1000</f>
        <v>0</v>
      </c>
      <c r="R1210" s="181">
        <f>2601293/1000</f>
        <v>2601.2930000000001</v>
      </c>
      <c r="S1210" s="181">
        <f>TOBEPAID!S929/1000</f>
        <v>0</v>
      </c>
      <c r="T1210" s="181">
        <f>TOBEPAID!T929/1000</f>
        <v>0</v>
      </c>
      <c r="U1210" s="181">
        <f>TOBEPAID!U929/1000</f>
        <v>0</v>
      </c>
      <c r="V1210" s="181">
        <f>TOBEPAID!V929/1000</f>
        <v>0</v>
      </c>
      <c r="W1210" s="181">
        <f>TOBEPAID!W929/1000</f>
        <v>0</v>
      </c>
      <c r="X1210" s="181">
        <f>TOBEPAID!X929/1000</f>
        <v>0</v>
      </c>
      <c r="Y1210" s="181">
        <f>+H1210+R1210</f>
        <v>2601.2930000000001</v>
      </c>
      <c r="Z1210" s="181">
        <f>+D1210-Y1210</f>
        <v>34960.706000000006</v>
      </c>
      <c r="AA1210" s="181">
        <f>TOBEPAID!AA929/1000</f>
        <v>0</v>
      </c>
      <c r="AB1210" s="181">
        <f>TOBEPAID!AB929/1000</f>
        <v>37561.999299999996</v>
      </c>
      <c r="AC1210" s="181"/>
      <c r="AD1210" s="181"/>
      <c r="AF1210" s="195"/>
      <c r="AG1210" s="195"/>
      <c r="AH1210" s="195"/>
      <c r="AI1210" s="195"/>
      <c r="AJ1210" s="195"/>
      <c r="AK1210" s="195"/>
      <c r="AL1210" s="195"/>
      <c r="AM1210" s="195"/>
      <c r="AN1210" s="195"/>
      <c r="AO1210" s="195"/>
      <c r="AP1210" s="195"/>
      <c r="AQ1210" s="195"/>
      <c r="AR1210" s="195"/>
      <c r="AS1210" s="195"/>
    </row>
    <row r="1211" spans="1:45" x14ac:dyDescent="0.2">
      <c r="A1211" s="180"/>
      <c r="C1211" s="165" t="s">
        <v>36</v>
      </c>
      <c r="D1211" s="181">
        <v>21.254999999999999</v>
      </c>
      <c r="E1211" s="181">
        <f>TOBEPAID!E930/1000</f>
        <v>21.254999999999999</v>
      </c>
      <c r="F1211" s="181">
        <f>TOBEPAID!F930/1000</f>
        <v>0</v>
      </c>
      <c r="G1211" s="181">
        <f>TOBEPAID!G930/1000</f>
        <v>0</v>
      </c>
      <c r="H1211" s="181">
        <f>TOBEPAID!H930/1000</f>
        <v>21.254999999999999</v>
      </c>
      <c r="I1211" s="181">
        <f>TOBEPAID!I930/1000</f>
        <v>0</v>
      </c>
      <c r="J1211" s="181">
        <f>TOBEPAID!J930/1000</f>
        <v>0</v>
      </c>
      <c r="K1211" s="181">
        <f>TOBEPAID!K930/1000</f>
        <v>0</v>
      </c>
      <c r="L1211" s="181">
        <f>TOBEPAID!L930/1000</f>
        <v>0</v>
      </c>
      <c r="M1211" s="181">
        <f>TOBEPAID!M930/1000</f>
        <v>0</v>
      </c>
      <c r="N1211" s="181">
        <f>TOBEPAID!N930/1000</f>
        <v>21.254999999999999</v>
      </c>
      <c r="O1211" s="181">
        <f>TOBEPAID!O930/1000</f>
        <v>0</v>
      </c>
      <c r="P1211" s="181">
        <f>TOBEPAID!P930/1000</f>
        <v>0</v>
      </c>
      <c r="Q1211" s="181">
        <f>TOBEPAID!Q930/1000</f>
        <v>0</v>
      </c>
      <c r="R1211" s="181">
        <v>0</v>
      </c>
      <c r="S1211" s="181">
        <f>TOBEPAID!S930/1000</f>
        <v>0</v>
      </c>
      <c r="T1211" s="181">
        <f>TOBEPAID!T930/1000</f>
        <v>0</v>
      </c>
      <c r="U1211" s="181">
        <f>TOBEPAID!U930/1000</f>
        <v>0</v>
      </c>
      <c r="V1211" s="181">
        <f>TOBEPAID!V930/1000</f>
        <v>0</v>
      </c>
      <c r="W1211" s="181">
        <f>TOBEPAID!W930/1000</f>
        <v>0</v>
      </c>
      <c r="X1211" s="181">
        <f>TOBEPAID!X930/1000</f>
        <v>0</v>
      </c>
      <c r="Y1211" s="181">
        <f>+H1211+R1211</f>
        <v>21.254999999999999</v>
      </c>
      <c r="Z1211" s="181">
        <f>+D1211-Y1211</f>
        <v>0</v>
      </c>
      <c r="AA1211" s="181">
        <f>TOBEPAID!AA930/1000</f>
        <v>21.254999999999999</v>
      </c>
      <c r="AB1211" s="181">
        <f>TOBEPAID!AB930/1000</f>
        <v>0</v>
      </c>
      <c r="AC1211" s="181"/>
      <c r="AD1211" s="181"/>
      <c r="AF1211" s="195"/>
      <c r="AG1211" s="195"/>
      <c r="AH1211" s="195"/>
      <c r="AI1211" s="195"/>
      <c r="AJ1211" s="195"/>
      <c r="AK1211" s="195"/>
      <c r="AL1211" s="195"/>
      <c r="AM1211" s="195"/>
      <c r="AN1211" s="195"/>
      <c r="AO1211" s="195"/>
      <c r="AP1211" s="195"/>
      <c r="AQ1211" s="195"/>
      <c r="AR1211" s="195"/>
      <c r="AS1211" s="195"/>
    </row>
    <row r="1212" spans="1:45" x14ac:dyDescent="0.2">
      <c r="A1212" s="180"/>
      <c r="C1212" s="165" t="s">
        <v>53</v>
      </c>
      <c r="D1212" s="181">
        <f>33904714/1000</f>
        <v>33904.714</v>
      </c>
      <c r="E1212" s="181">
        <f>TOBEPAID!E931/1000</f>
        <v>0</v>
      </c>
      <c r="F1212" s="181">
        <f>TOBEPAID!F931/1000</f>
        <v>0</v>
      </c>
      <c r="G1212" s="181">
        <f>TOBEPAID!G931/1000</f>
        <v>0</v>
      </c>
      <c r="H1212" s="181">
        <f>TOBEPAID!H931/1000</f>
        <v>0</v>
      </c>
      <c r="I1212" s="181">
        <f>TOBEPAID!I931/1000</f>
        <v>0</v>
      </c>
      <c r="J1212" s="181">
        <f>TOBEPAID!J931/1000</f>
        <v>0</v>
      </c>
      <c r="K1212" s="181">
        <f>TOBEPAID!K931/1000</f>
        <v>0</v>
      </c>
      <c r="L1212" s="181">
        <f>TOBEPAID!L931/1000</f>
        <v>0</v>
      </c>
      <c r="M1212" s="181">
        <f>TOBEPAID!M931/1000</f>
        <v>0</v>
      </c>
      <c r="N1212" s="181">
        <f>TOBEPAID!N931/1000</f>
        <v>0</v>
      </c>
      <c r="O1212" s="181">
        <f>TOBEPAID!O931/1000</f>
        <v>5495.75155</v>
      </c>
      <c r="P1212" s="181">
        <f>TOBEPAID!P931/1000</f>
        <v>0</v>
      </c>
      <c r="Q1212" s="181">
        <f>TOBEPAID!Q931/1000</f>
        <v>0</v>
      </c>
      <c r="R1212" s="181">
        <f>5495751.55/1000</f>
        <v>5495.75155</v>
      </c>
      <c r="S1212" s="181">
        <f>TOBEPAID!S931/1000</f>
        <v>0</v>
      </c>
      <c r="T1212" s="181">
        <f>TOBEPAID!T931/1000</f>
        <v>0</v>
      </c>
      <c r="U1212" s="181">
        <f>TOBEPAID!U931/1000</f>
        <v>0</v>
      </c>
      <c r="V1212" s="181">
        <f>TOBEPAID!V931/1000</f>
        <v>0</v>
      </c>
      <c r="W1212" s="181">
        <f>TOBEPAID!W931/1000</f>
        <v>0</v>
      </c>
      <c r="X1212" s="181">
        <f>TOBEPAID!X931/1000</f>
        <v>5495.75155</v>
      </c>
      <c r="Y1212" s="181">
        <f>+H1212+R1212</f>
        <v>5495.75155</v>
      </c>
      <c r="Z1212" s="181">
        <f>+D1212-Y1212</f>
        <v>28408.962449999999</v>
      </c>
      <c r="AA1212" s="181">
        <f>TOBEPAID!AA931/1000</f>
        <v>5495.75155</v>
      </c>
      <c r="AB1212" s="181">
        <f>TOBEPAID!AB931/1000</f>
        <v>28408.9627</v>
      </c>
      <c r="AC1212" s="181"/>
      <c r="AD1212" s="181"/>
      <c r="AF1212" s="195"/>
      <c r="AG1212" s="195"/>
      <c r="AH1212" s="195"/>
      <c r="AI1212" s="195"/>
      <c r="AJ1212" s="195"/>
      <c r="AK1212" s="195"/>
      <c r="AL1212" s="195"/>
      <c r="AM1212" s="195"/>
      <c r="AN1212" s="195"/>
      <c r="AO1212" s="195"/>
      <c r="AP1212" s="195"/>
      <c r="AQ1212" s="195"/>
      <c r="AR1212" s="195"/>
      <c r="AS1212" s="195"/>
    </row>
    <row r="1213" spans="1:45" x14ac:dyDescent="0.2">
      <c r="A1213" s="180"/>
      <c r="C1213" s="165" t="s">
        <v>54</v>
      </c>
      <c r="D1213" s="181">
        <f>15796529/1000</f>
        <v>15796.529</v>
      </c>
      <c r="E1213" s="181">
        <f>TOBEPAID!E932/1000</f>
        <v>0</v>
      </c>
      <c r="F1213" s="181">
        <f>TOBEPAID!F932/1000</f>
        <v>0</v>
      </c>
      <c r="G1213" s="181">
        <f>TOBEPAID!G932/1000</f>
        <v>0</v>
      </c>
      <c r="H1213" s="181">
        <f>TOBEPAID!H932/1000</f>
        <v>0</v>
      </c>
      <c r="I1213" s="181">
        <f>TOBEPAID!I932/1000</f>
        <v>0</v>
      </c>
      <c r="J1213" s="181">
        <f>TOBEPAID!J932/1000</f>
        <v>0</v>
      </c>
      <c r="K1213" s="181">
        <f>TOBEPAID!K932/1000</f>
        <v>0</v>
      </c>
      <c r="L1213" s="181">
        <f>TOBEPAID!L932/1000</f>
        <v>0</v>
      </c>
      <c r="M1213" s="181">
        <f>TOBEPAID!M932/1000</f>
        <v>0</v>
      </c>
      <c r="N1213" s="181">
        <f>TOBEPAID!N932/1000</f>
        <v>0</v>
      </c>
      <c r="O1213" s="181">
        <f>TOBEPAID!O932/1000</f>
        <v>15796.629800000001</v>
      </c>
      <c r="P1213" s="181">
        <f>TOBEPAID!P932/1000</f>
        <v>0</v>
      </c>
      <c r="Q1213" s="181">
        <f>TOBEPAID!Q932/1000</f>
        <v>0</v>
      </c>
      <c r="R1213" s="181">
        <f>15796929.8/1000</f>
        <v>15796.9298</v>
      </c>
      <c r="S1213" s="181">
        <f>TOBEPAID!S932/1000</f>
        <v>0</v>
      </c>
      <c r="T1213" s="181">
        <f>TOBEPAID!T932/1000</f>
        <v>0</v>
      </c>
      <c r="U1213" s="181">
        <f>TOBEPAID!U932/1000</f>
        <v>0</v>
      </c>
      <c r="V1213" s="181">
        <f>TOBEPAID!V932/1000</f>
        <v>0</v>
      </c>
      <c r="W1213" s="181">
        <f>TOBEPAID!W932/1000</f>
        <v>0</v>
      </c>
      <c r="X1213" s="181">
        <f>TOBEPAID!X932/1000</f>
        <v>15796.629800000001</v>
      </c>
      <c r="Y1213" s="181">
        <f>+H1213+R1213</f>
        <v>15796.9298</v>
      </c>
      <c r="Z1213" s="181">
        <f>+Y1213-D1213</f>
        <v>0.40079999999943539</v>
      </c>
      <c r="AA1213" s="181">
        <f>TOBEPAID!AA932/1000</f>
        <v>15796.629800000001</v>
      </c>
      <c r="AB1213" s="181">
        <f>TOBEPAID!AB932/1000</f>
        <v>0</v>
      </c>
      <c r="AC1213" s="181"/>
      <c r="AD1213" s="181"/>
      <c r="AF1213" s="195"/>
      <c r="AG1213" s="195"/>
      <c r="AH1213" s="195"/>
      <c r="AI1213" s="195"/>
      <c r="AJ1213" s="195"/>
      <c r="AK1213" s="195"/>
      <c r="AL1213" s="195"/>
      <c r="AM1213" s="195"/>
      <c r="AN1213" s="195"/>
      <c r="AO1213" s="195"/>
      <c r="AP1213" s="195"/>
      <c r="AQ1213" s="195"/>
      <c r="AR1213" s="195"/>
      <c r="AS1213" s="195"/>
    </row>
    <row r="1214" spans="1:45" x14ac:dyDescent="0.2">
      <c r="A1214" s="180"/>
      <c r="D1214" s="182" t="s">
        <v>40</v>
      </c>
      <c r="E1214" s="182" t="s">
        <v>40</v>
      </c>
      <c r="F1214" s="182" t="s">
        <v>40</v>
      </c>
      <c r="G1214" s="182"/>
      <c r="H1214" s="182" t="s">
        <v>40</v>
      </c>
      <c r="I1214" s="182" t="s">
        <v>40</v>
      </c>
      <c r="J1214" s="182" t="s">
        <v>40</v>
      </c>
      <c r="K1214" s="182" t="s">
        <v>40</v>
      </c>
      <c r="L1214" s="182" t="s">
        <v>40</v>
      </c>
      <c r="M1214" s="182"/>
      <c r="N1214" s="182" t="s">
        <v>40</v>
      </c>
      <c r="O1214" s="182" t="s">
        <v>40</v>
      </c>
      <c r="P1214" s="182" t="s">
        <v>40</v>
      </c>
      <c r="Q1214" s="182"/>
      <c r="R1214" s="182" t="s">
        <v>40</v>
      </c>
      <c r="S1214" s="182" t="s">
        <v>40</v>
      </c>
      <c r="T1214" s="182" t="s">
        <v>40</v>
      </c>
      <c r="U1214" s="182" t="s">
        <v>40</v>
      </c>
      <c r="V1214" s="182" t="s">
        <v>40</v>
      </c>
      <c r="W1214" s="182"/>
      <c r="X1214" s="182" t="s">
        <v>40</v>
      </c>
      <c r="Y1214" s="182" t="s">
        <v>40</v>
      </c>
      <c r="Z1214" s="182" t="s">
        <v>40</v>
      </c>
      <c r="AA1214" s="182" t="s">
        <v>40</v>
      </c>
      <c r="AB1214" s="182" t="s">
        <v>40</v>
      </c>
      <c r="AC1214" s="182"/>
      <c r="AD1214" s="182"/>
      <c r="AF1214" s="195"/>
      <c r="AG1214" s="195"/>
      <c r="AH1214" s="195"/>
      <c r="AI1214" s="195"/>
      <c r="AJ1214" s="195"/>
      <c r="AK1214" s="195"/>
      <c r="AL1214" s="195"/>
      <c r="AM1214" s="195"/>
      <c r="AN1214" s="195"/>
      <c r="AO1214" s="195"/>
      <c r="AP1214" s="195"/>
      <c r="AQ1214" s="195"/>
      <c r="AR1214" s="195"/>
      <c r="AS1214" s="195"/>
    </row>
    <row r="1215" spans="1:45" x14ac:dyDescent="0.2">
      <c r="A1215" s="180"/>
      <c r="D1215" s="191">
        <f>SUM(D1210:D1213)</f>
        <v>87284.496999999988</v>
      </c>
      <c r="E1215" s="191">
        <f>SUM(E1210:E1213)</f>
        <v>21.254999999999999</v>
      </c>
      <c r="F1215" s="191">
        <f>SUM(F1210:F1213)</f>
        <v>0</v>
      </c>
      <c r="G1215" s="191"/>
      <c r="H1215" s="191">
        <f>SUM(H1210:H1213)</f>
        <v>21.254999999999999</v>
      </c>
      <c r="I1215" s="191">
        <f>SUM(I1210:I1213)</f>
        <v>0</v>
      </c>
      <c r="J1215" s="191">
        <f>SUM(J1210:J1213)</f>
        <v>0</v>
      </c>
      <c r="K1215" s="191">
        <f>SUM(K1210:K1213)</f>
        <v>0</v>
      </c>
      <c r="L1215" s="191">
        <f>SUM(L1210:L1213)</f>
        <v>0</v>
      </c>
      <c r="M1215" s="191"/>
      <c r="N1215" s="191">
        <f>SUM(N1210:N1213)</f>
        <v>21.254999999999999</v>
      </c>
      <c r="O1215" s="191">
        <f>SUM(O1210:O1213)</f>
        <v>21292.38135</v>
      </c>
      <c r="P1215" s="191">
        <f>SUM(P1210:P1213)</f>
        <v>0</v>
      </c>
      <c r="Q1215" s="191"/>
      <c r="R1215" s="191">
        <f>+R1210+R1211+R1212+R1213</f>
        <v>23893.97435</v>
      </c>
      <c r="S1215" s="191">
        <f>SUM(S1210:S1213)</f>
        <v>0</v>
      </c>
      <c r="T1215" s="191">
        <f>SUM(T1210:T1213)</f>
        <v>0</v>
      </c>
      <c r="U1215" s="191">
        <f>SUM(U1210:U1213)</f>
        <v>0</v>
      </c>
      <c r="V1215" s="191">
        <f>SUM(V1210:V1213)</f>
        <v>0</v>
      </c>
      <c r="W1215" s="191"/>
      <c r="X1215" s="191">
        <f>SUM(X1210:X1213)</f>
        <v>21292.38135</v>
      </c>
      <c r="Y1215" s="191">
        <f>SUM(Y1210:Y1213)</f>
        <v>23915.229350000001</v>
      </c>
      <c r="Z1215" s="191">
        <f>SUM(Z1210:Z1213)</f>
        <v>63370.06925</v>
      </c>
      <c r="AA1215" s="191">
        <f>SUM(AA1210:AA1213)</f>
        <v>21313.636350000001</v>
      </c>
      <c r="AB1215" s="191">
        <f>SUM(AB1210:AB1213)</f>
        <v>65970.962</v>
      </c>
      <c r="AC1215" s="191"/>
      <c r="AD1215" s="191"/>
      <c r="AF1215" s="195"/>
      <c r="AG1215" s="195"/>
      <c r="AH1215" s="195"/>
      <c r="AI1215" s="195"/>
      <c r="AJ1215" s="195"/>
      <c r="AK1215" s="195"/>
      <c r="AL1215" s="195"/>
      <c r="AM1215" s="195"/>
      <c r="AN1215" s="195"/>
      <c r="AO1215" s="195"/>
      <c r="AP1215" s="195"/>
      <c r="AQ1215" s="195"/>
      <c r="AR1215" s="195"/>
      <c r="AS1215" s="195"/>
    </row>
    <row r="1216" spans="1:45" x14ac:dyDescent="0.2">
      <c r="A1216" s="180"/>
      <c r="D1216" s="182" t="s">
        <v>40</v>
      </c>
      <c r="E1216" s="182" t="s">
        <v>40</v>
      </c>
      <c r="F1216" s="182" t="s">
        <v>40</v>
      </c>
      <c r="G1216" s="182"/>
      <c r="H1216" s="182" t="s">
        <v>40</v>
      </c>
      <c r="I1216" s="182" t="s">
        <v>40</v>
      </c>
      <c r="J1216" s="182" t="s">
        <v>40</v>
      </c>
      <c r="K1216" s="182" t="s">
        <v>40</v>
      </c>
      <c r="L1216" s="182" t="s">
        <v>40</v>
      </c>
      <c r="M1216" s="182"/>
      <c r="N1216" s="182" t="s">
        <v>40</v>
      </c>
      <c r="O1216" s="182" t="s">
        <v>40</v>
      </c>
      <c r="P1216" s="182" t="s">
        <v>40</v>
      </c>
      <c r="Q1216" s="182"/>
      <c r="R1216" s="182" t="s">
        <v>40</v>
      </c>
      <c r="S1216" s="182" t="s">
        <v>40</v>
      </c>
      <c r="T1216" s="182" t="s">
        <v>40</v>
      </c>
      <c r="U1216" s="182" t="s">
        <v>40</v>
      </c>
      <c r="V1216" s="182" t="s">
        <v>40</v>
      </c>
      <c r="W1216" s="182"/>
      <c r="X1216" s="182" t="s">
        <v>40</v>
      </c>
      <c r="Y1216" s="182" t="s">
        <v>40</v>
      </c>
      <c r="Z1216" s="182" t="s">
        <v>40</v>
      </c>
      <c r="AA1216" s="182" t="s">
        <v>40</v>
      </c>
      <c r="AB1216" s="182" t="s">
        <v>40</v>
      </c>
      <c r="AC1216" s="182"/>
      <c r="AD1216" s="182"/>
      <c r="AF1216" s="195"/>
      <c r="AG1216" s="195"/>
      <c r="AH1216" s="195"/>
      <c r="AI1216" s="195"/>
      <c r="AJ1216" s="195"/>
      <c r="AK1216" s="195"/>
      <c r="AL1216" s="195"/>
      <c r="AM1216" s="195"/>
      <c r="AN1216" s="195"/>
      <c r="AO1216" s="195"/>
      <c r="AP1216" s="195"/>
      <c r="AQ1216" s="195"/>
      <c r="AR1216" s="195"/>
      <c r="AS1216" s="195"/>
    </row>
    <row r="1217" spans="1:45" x14ac:dyDescent="0.2">
      <c r="A1217" s="180">
        <v>96</v>
      </c>
      <c r="B1217" s="165" t="s">
        <v>228</v>
      </c>
      <c r="C1217" s="166" t="s">
        <v>35</v>
      </c>
      <c r="D1217" s="181">
        <f>1138278.92/1000</f>
        <v>1138.27892</v>
      </c>
      <c r="E1217" s="181">
        <f>TOBEPAID!E936/1000</f>
        <v>0</v>
      </c>
      <c r="F1217" s="181">
        <f>TOBEPAID!F936/1000</f>
        <v>0</v>
      </c>
      <c r="G1217" s="181">
        <f>TOBEPAID!G936/1000</f>
        <v>0</v>
      </c>
      <c r="H1217" s="181">
        <v>0</v>
      </c>
      <c r="I1217" s="181">
        <f>TOBEPAID!I936/1000</f>
        <v>0</v>
      </c>
      <c r="J1217" s="181">
        <f>TOBEPAID!J936/1000</f>
        <v>0</v>
      </c>
      <c r="K1217" s="181">
        <f>TOBEPAID!K936/1000</f>
        <v>0</v>
      </c>
      <c r="L1217" s="181">
        <f>TOBEPAID!L936/1000</f>
        <v>0</v>
      </c>
      <c r="M1217" s="181">
        <f>TOBEPAID!M936/1000</f>
        <v>0</v>
      </c>
      <c r="N1217" s="181">
        <f>TOBEPAID!N936/1000</f>
        <v>0</v>
      </c>
      <c r="O1217" s="181">
        <f>TOBEPAID!O936/1000</f>
        <v>1138.2513200000001</v>
      </c>
      <c r="P1217" s="181">
        <f>TOBEPAID!P936/1000</f>
        <v>0</v>
      </c>
      <c r="Q1217" s="181">
        <f>TOBEPAID!Q936/1000</f>
        <v>0</v>
      </c>
      <c r="R1217" s="181">
        <f>1138278/1000</f>
        <v>1138.278</v>
      </c>
      <c r="S1217" s="181">
        <f>TOBEPAID!S936/1000</f>
        <v>0</v>
      </c>
      <c r="T1217" s="181">
        <f>TOBEPAID!T936/1000</f>
        <v>0</v>
      </c>
      <c r="U1217" s="181">
        <f>TOBEPAID!U936/1000</f>
        <v>0</v>
      </c>
      <c r="V1217" s="181">
        <f>TOBEPAID!V936/1000</f>
        <v>0</v>
      </c>
      <c r="W1217" s="181">
        <f>TOBEPAID!W936/1000</f>
        <v>0</v>
      </c>
      <c r="X1217" s="181">
        <f>TOBEPAID!X936/1000</f>
        <v>1138.2513200000001</v>
      </c>
      <c r="Y1217" s="181">
        <f>+H1217+R1217</f>
        <v>1138.278</v>
      </c>
      <c r="Z1217" s="181">
        <f t="shared" ref="Z1217:Z1229" si="227">+D1217-Y1217</f>
        <v>9.1999999995096005E-4</v>
      </c>
      <c r="AA1217" s="181">
        <f>TOBEPAID!AA936/1000</f>
        <v>1138.2513200000001</v>
      </c>
      <c r="AB1217" s="181">
        <f>TOBEPAID!AB936/1000</f>
        <v>2.7599999999860302E-2</v>
      </c>
      <c r="AC1217" s="181"/>
      <c r="AD1217" s="181"/>
      <c r="AF1217" s="195"/>
      <c r="AG1217" s="195"/>
      <c r="AH1217" s="195"/>
      <c r="AI1217" s="195"/>
      <c r="AJ1217" s="195"/>
      <c r="AK1217" s="195"/>
      <c r="AL1217" s="195"/>
      <c r="AM1217" s="195"/>
      <c r="AN1217" s="195"/>
      <c r="AO1217" s="195"/>
      <c r="AP1217" s="195"/>
      <c r="AQ1217" s="195"/>
      <c r="AR1217" s="195"/>
    </row>
    <row r="1218" spans="1:45" x14ac:dyDescent="0.2">
      <c r="A1218" s="180"/>
      <c r="C1218" s="165" t="s">
        <v>183</v>
      </c>
      <c r="D1218" s="181">
        <f>10237064/1000</f>
        <v>10237.064</v>
      </c>
      <c r="E1218" s="181">
        <f>TOBEPAID!E937/1000</f>
        <v>0</v>
      </c>
      <c r="F1218" s="181">
        <f>TOBEPAID!F937/1000</f>
        <v>0</v>
      </c>
      <c r="G1218" s="181">
        <f>TOBEPAID!G937/1000</f>
        <v>0</v>
      </c>
      <c r="H1218" s="181">
        <v>0</v>
      </c>
      <c r="I1218" s="181">
        <f>TOBEPAID!I937/1000</f>
        <v>0</v>
      </c>
      <c r="J1218" s="181">
        <f>TOBEPAID!J937/1000</f>
        <v>0</v>
      </c>
      <c r="K1218" s="181">
        <f>TOBEPAID!K937/1000</f>
        <v>0</v>
      </c>
      <c r="L1218" s="181">
        <f>TOBEPAID!L937/1000</f>
        <v>0</v>
      </c>
      <c r="M1218" s="181">
        <f>TOBEPAID!M937/1000</f>
        <v>0</v>
      </c>
      <c r="N1218" s="181">
        <f>TOBEPAID!N937/1000</f>
        <v>0</v>
      </c>
      <c r="O1218" s="181">
        <f>TOBEPAID!O937/1000</f>
        <v>9624.2872599999992</v>
      </c>
      <c r="P1218" s="181">
        <f>TOBEPAID!P937/1000</f>
        <v>872.51886000000002</v>
      </c>
      <c r="Q1218" s="181">
        <f>TOBEPAID!Q937/1000</f>
        <v>0</v>
      </c>
      <c r="R1218" s="181">
        <f>10237064/1000</f>
        <v>10237.064</v>
      </c>
      <c r="S1218" s="181">
        <f>TOBEPAID!S937/1000</f>
        <v>0</v>
      </c>
      <c r="T1218" s="181">
        <f>TOBEPAID!T937/1000</f>
        <v>0</v>
      </c>
      <c r="U1218" s="181">
        <f>TOBEPAID!U937/1000</f>
        <v>0</v>
      </c>
      <c r="V1218" s="181">
        <f>TOBEPAID!V937/1000</f>
        <v>0</v>
      </c>
      <c r="W1218" s="181">
        <f>TOBEPAID!W937/1000</f>
        <v>0</v>
      </c>
      <c r="X1218" s="181">
        <f>TOBEPAID!X937/1000</f>
        <v>10496.806119999999</v>
      </c>
      <c r="Y1218" s="181">
        <f t="shared" ref="Y1218:Y1229" si="228">+H1218+R1218</f>
        <v>10237.064</v>
      </c>
      <c r="Z1218" s="181">
        <f t="shared" si="227"/>
        <v>0</v>
      </c>
      <c r="AA1218" s="181">
        <f>TOBEPAID!AA937/1000</f>
        <v>10496.806119999999</v>
      </c>
      <c r="AB1218" s="181">
        <f>TOBEPAID!AB937/1000</f>
        <v>-1168.5345499999989</v>
      </c>
      <c r="AC1218" s="181"/>
      <c r="AD1218" s="181"/>
    </row>
    <row r="1219" spans="1:45" x14ac:dyDescent="0.2">
      <c r="A1219" s="180"/>
      <c r="C1219" s="165" t="s">
        <v>459</v>
      </c>
      <c r="D1219" s="181">
        <f>117660002.08/1000</f>
        <v>117660.00207999999</v>
      </c>
      <c r="E1219" s="181"/>
      <c r="F1219" s="181"/>
      <c r="G1219" s="181"/>
      <c r="H1219" s="181">
        <f>117093482.11/1000</f>
        <v>117093.48211</v>
      </c>
      <c r="I1219" s="181"/>
      <c r="J1219" s="181"/>
      <c r="K1219" s="181"/>
      <c r="L1219" s="181"/>
      <c r="M1219" s="181"/>
      <c r="N1219" s="181"/>
      <c r="O1219" s="181"/>
      <c r="P1219" s="181"/>
      <c r="Q1219" s="181"/>
      <c r="R1219" s="181">
        <f>566460.14/1000</f>
        <v>566.46014000000002</v>
      </c>
      <c r="S1219" s="181"/>
      <c r="T1219" s="181"/>
      <c r="U1219" s="181"/>
      <c r="V1219" s="181"/>
      <c r="W1219" s="181"/>
      <c r="X1219" s="181"/>
      <c r="Y1219" s="181">
        <f>+H1219+R1219</f>
        <v>117659.94224999999</v>
      </c>
      <c r="Z1219" s="181">
        <f t="shared" si="227"/>
        <v>5.9829999998328276E-2</v>
      </c>
      <c r="AA1219" s="181"/>
      <c r="AB1219" s="181"/>
      <c r="AC1219" s="181"/>
      <c r="AD1219" s="181"/>
    </row>
    <row r="1220" spans="1:45" x14ac:dyDescent="0.2">
      <c r="C1220" s="165" t="s">
        <v>302</v>
      </c>
      <c r="D1220" s="181">
        <f>83981771/1000</f>
        <v>83981.770999999993</v>
      </c>
      <c r="E1220" s="181">
        <f>TOBEPAID!E938/1000</f>
        <v>0</v>
      </c>
      <c r="F1220" s="181">
        <f>TOBEPAID!F938/1000</f>
        <v>0</v>
      </c>
      <c r="G1220" s="181">
        <f>TOBEPAID!G938/1000</f>
        <v>0</v>
      </c>
      <c r="H1220" s="181">
        <f>83981771/1000</f>
        <v>83981.770999999993</v>
      </c>
      <c r="I1220" s="181">
        <f>TOBEPAID!I938/1000</f>
        <v>0</v>
      </c>
      <c r="J1220" s="181">
        <f>TOBEPAID!J938/1000</f>
        <v>0</v>
      </c>
      <c r="K1220" s="181">
        <f>TOBEPAID!K938/1000</f>
        <v>0</v>
      </c>
      <c r="L1220" s="181">
        <f>TOBEPAID!L938/1000</f>
        <v>0</v>
      </c>
      <c r="M1220" s="181">
        <f>TOBEPAID!M938/1000</f>
        <v>0</v>
      </c>
      <c r="N1220" s="181">
        <f>TOBEPAID!N938/1000</f>
        <v>0</v>
      </c>
      <c r="O1220" s="181">
        <f>TOBEPAID!O938/1000</f>
        <v>0</v>
      </c>
      <c r="P1220" s="181">
        <f>TOBEPAID!P938/1000</f>
        <v>0</v>
      </c>
      <c r="Q1220" s="181">
        <f>TOBEPAID!Q938/1000</f>
        <v>0</v>
      </c>
      <c r="R1220" s="181">
        <f>TOBEPAID!R938/1000</f>
        <v>0</v>
      </c>
      <c r="S1220" s="181">
        <f>TOBEPAID!S938/1000</f>
        <v>0</v>
      </c>
      <c r="T1220" s="181">
        <f>TOBEPAID!T938/1000</f>
        <v>0</v>
      </c>
      <c r="U1220" s="181">
        <f>TOBEPAID!U938/1000</f>
        <v>0</v>
      </c>
      <c r="V1220" s="181">
        <f>TOBEPAID!V938/1000</f>
        <v>0</v>
      </c>
      <c r="W1220" s="181">
        <f>TOBEPAID!W938/1000</f>
        <v>0</v>
      </c>
      <c r="X1220" s="181">
        <f>TOBEPAID!X938/1000</f>
        <v>0</v>
      </c>
      <c r="Y1220" s="181">
        <f t="shared" si="228"/>
        <v>83981.770999999993</v>
      </c>
      <c r="Z1220" s="181">
        <f t="shared" si="227"/>
        <v>0</v>
      </c>
      <c r="AA1220" s="181">
        <f>TOBEPAID!AA938/1000</f>
        <v>0</v>
      </c>
      <c r="AB1220" s="181">
        <f>TOBEPAID!AB938/1000</f>
        <v>13901</v>
      </c>
      <c r="AC1220" s="181"/>
      <c r="AD1220" s="181"/>
      <c r="AS1220" s="195"/>
    </row>
    <row r="1221" spans="1:45" x14ac:dyDescent="0.2">
      <c r="C1221" s="165" t="s">
        <v>410</v>
      </c>
      <c r="D1221" s="181">
        <f>18000000/1000</f>
        <v>18000</v>
      </c>
      <c r="E1221" s="181"/>
      <c r="F1221" s="181"/>
      <c r="G1221" s="181"/>
      <c r="H1221" s="181">
        <f>18000000/1000</f>
        <v>18000</v>
      </c>
      <c r="I1221" s="181"/>
      <c r="J1221" s="181"/>
      <c r="K1221" s="181"/>
      <c r="L1221" s="181"/>
      <c r="M1221" s="181"/>
      <c r="N1221" s="181"/>
      <c r="O1221" s="181"/>
      <c r="P1221" s="181"/>
      <c r="Q1221" s="181"/>
      <c r="R1221" s="181">
        <v>0</v>
      </c>
      <c r="S1221" s="181"/>
      <c r="T1221" s="181"/>
      <c r="U1221" s="181"/>
      <c r="V1221" s="181"/>
      <c r="W1221" s="181"/>
      <c r="X1221" s="181"/>
      <c r="Y1221" s="181">
        <f t="shared" si="228"/>
        <v>18000</v>
      </c>
      <c r="Z1221" s="181">
        <f t="shared" si="227"/>
        <v>0</v>
      </c>
      <c r="AA1221" s="181"/>
      <c r="AB1221" s="181"/>
      <c r="AC1221" s="181"/>
      <c r="AD1221" s="181"/>
      <c r="AS1221" s="195"/>
    </row>
    <row r="1222" spans="1:45" x14ac:dyDescent="0.2">
      <c r="C1222" s="165" t="s">
        <v>411</v>
      </c>
      <c r="D1222" s="181">
        <f>11138743/1000</f>
        <v>11138.743</v>
      </c>
      <c r="E1222" s="181"/>
      <c r="F1222" s="181"/>
      <c r="G1222" s="181"/>
      <c r="H1222" s="181">
        <f>11138743/1000</f>
        <v>11138.743</v>
      </c>
      <c r="I1222" s="181"/>
      <c r="J1222" s="181"/>
      <c r="K1222" s="181"/>
      <c r="L1222" s="181"/>
      <c r="M1222" s="181"/>
      <c r="N1222" s="181"/>
      <c r="O1222" s="181"/>
      <c r="P1222" s="181"/>
      <c r="Q1222" s="181"/>
      <c r="R1222" s="181">
        <v>0</v>
      </c>
      <c r="S1222" s="181"/>
      <c r="T1222" s="181"/>
      <c r="U1222" s="181"/>
      <c r="V1222" s="181"/>
      <c r="W1222" s="181"/>
      <c r="X1222" s="181"/>
      <c r="Y1222" s="181">
        <f t="shared" si="228"/>
        <v>11138.743</v>
      </c>
      <c r="Z1222" s="181">
        <f t="shared" si="227"/>
        <v>0</v>
      </c>
      <c r="AA1222" s="181"/>
      <c r="AB1222" s="181"/>
      <c r="AC1222" s="181"/>
      <c r="AD1222" s="181"/>
      <c r="AS1222" s="195"/>
    </row>
    <row r="1223" spans="1:45" x14ac:dyDescent="0.2">
      <c r="C1223" s="165" t="s">
        <v>414</v>
      </c>
      <c r="D1223" s="181">
        <f>18000000/1000</f>
        <v>18000</v>
      </c>
      <c r="E1223" s="181"/>
      <c r="F1223" s="181"/>
      <c r="G1223" s="181"/>
      <c r="H1223" s="181">
        <f>18000000/1000</f>
        <v>18000</v>
      </c>
      <c r="I1223" s="181"/>
      <c r="J1223" s="181"/>
      <c r="K1223" s="181"/>
      <c r="L1223" s="181"/>
      <c r="M1223" s="181"/>
      <c r="N1223" s="181"/>
      <c r="O1223" s="181"/>
      <c r="P1223" s="181"/>
      <c r="Q1223" s="181"/>
      <c r="R1223" s="181">
        <v>0</v>
      </c>
      <c r="S1223" s="181"/>
      <c r="T1223" s="181"/>
      <c r="U1223" s="181"/>
      <c r="V1223" s="181"/>
      <c r="W1223" s="181"/>
      <c r="X1223" s="181"/>
      <c r="Y1223" s="181">
        <f>+H1223+R1223</f>
        <v>18000</v>
      </c>
      <c r="Z1223" s="181">
        <f t="shared" si="227"/>
        <v>0</v>
      </c>
      <c r="AA1223" s="181"/>
      <c r="AB1223" s="181"/>
      <c r="AC1223" s="181"/>
      <c r="AD1223" s="181"/>
      <c r="AS1223" s="195"/>
    </row>
    <row r="1224" spans="1:45" x14ac:dyDescent="0.2">
      <c r="C1224" s="165" t="s">
        <v>414</v>
      </c>
      <c r="D1224" s="181">
        <f>12000000/1000</f>
        <v>12000</v>
      </c>
      <c r="E1224" s="181"/>
      <c r="F1224" s="181"/>
      <c r="G1224" s="181"/>
      <c r="H1224" s="181">
        <f>12000000/1000</f>
        <v>12000</v>
      </c>
      <c r="I1224" s="181"/>
      <c r="J1224" s="181"/>
      <c r="K1224" s="181"/>
      <c r="L1224" s="181"/>
      <c r="M1224" s="181"/>
      <c r="N1224" s="181"/>
      <c r="O1224" s="181"/>
      <c r="P1224" s="181"/>
      <c r="Q1224" s="181"/>
      <c r="R1224" s="181">
        <v>0</v>
      </c>
      <c r="S1224" s="181"/>
      <c r="T1224" s="181"/>
      <c r="U1224" s="181"/>
      <c r="V1224" s="181"/>
      <c r="W1224" s="181"/>
      <c r="X1224" s="181"/>
      <c r="Y1224" s="181">
        <f>+H1224+R1224</f>
        <v>12000</v>
      </c>
      <c r="Z1224" s="181">
        <f t="shared" si="227"/>
        <v>0</v>
      </c>
      <c r="AA1224" s="181"/>
      <c r="AB1224" s="181"/>
      <c r="AC1224" s="181"/>
      <c r="AD1224" s="181"/>
      <c r="AS1224" s="195"/>
    </row>
    <row r="1225" spans="1:45" x14ac:dyDescent="0.2">
      <c r="C1225" s="165" t="s">
        <v>467</v>
      </c>
      <c r="D1225" s="181">
        <f>10024664/1000</f>
        <v>10024.664000000001</v>
      </c>
      <c r="E1225" s="181"/>
      <c r="F1225" s="181"/>
      <c r="G1225" s="181"/>
      <c r="H1225" s="181">
        <f>10024664/1000</f>
        <v>10024.664000000001</v>
      </c>
      <c r="I1225" s="181"/>
      <c r="J1225" s="181"/>
      <c r="K1225" s="181"/>
      <c r="L1225" s="181"/>
      <c r="M1225" s="181"/>
      <c r="N1225" s="181"/>
      <c r="O1225" s="181"/>
      <c r="P1225" s="181"/>
      <c r="Q1225" s="181"/>
      <c r="R1225" s="181">
        <v>0</v>
      </c>
      <c r="S1225" s="181"/>
      <c r="T1225" s="181"/>
      <c r="U1225" s="181"/>
      <c r="V1225" s="181"/>
      <c r="W1225" s="181"/>
      <c r="X1225" s="181"/>
      <c r="Y1225" s="181">
        <f>+H1225+R1225</f>
        <v>10024.664000000001</v>
      </c>
      <c r="Z1225" s="181">
        <f t="shared" si="227"/>
        <v>0</v>
      </c>
      <c r="AA1225" s="181"/>
      <c r="AB1225" s="181"/>
      <c r="AC1225" s="181"/>
      <c r="AD1225" s="181"/>
      <c r="AS1225" s="195"/>
    </row>
    <row r="1226" spans="1:45" x14ac:dyDescent="0.2">
      <c r="C1226" s="165" t="s">
        <v>388</v>
      </c>
      <c r="D1226" s="181">
        <f>10908328/1000</f>
        <v>10908.328</v>
      </c>
      <c r="E1226" s="181"/>
      <c r="F1226" s="181"/>
      <c r="G1226" s="181"/>
      <c r="H1226" s="181">
        <f>10908328/1000</f>
        <v>10908.328</v>
      </c>
      <c r="I1226" s="181"/>
      <c r="J1226" s="181"/>
      <c r="K1226" s="181"/>
      <c r="L1226" s="181"/>
      <c r="M1226" s="181"/>
      <c r="N1226" s="181"/>
      <c r="O1226" s="181"/>
      <c r="P1226" s="181"/>
      <c r="Q1226" s="181"/>
      <c r="R1226" s="181">
        <v>0</v>
      </c>
      <c r="S1226" s="181"/>
      <c r="T1226" s="181"/>
      <c r="U1226" s="181"/>
      <c r="V1226" s="181"/>
      <c r="W1226" s="181"/>
      <c r="X1226" s="181"/>
      <c r="Y1226" s="181">
        <f t="shared" si="228"/>
        <v>10908.328</v>
      </c>
      <c r="Z1226" s="181">
        <f t="shared" si="227"/>
        <v>0</v>
      </c>
      <c r="AA1226" s="181"/>
      <c r="AB1226" s="181"/>
      <c r="AC1226" s="181"/>
      <c r="AD1226" s="181"/>
      <c r="AS1226" s="195"/>
    </row>
    <row r="1227" spans="1:45" x14ac:dyDescent="0.2">
      <c r="C1227" s="165" t="s">
        <v>38</v>
      </c>
      <c r="D1227" s="181">
        <f>1851621/1000</f>
        <v>1851.6210000000001</v>
      </c>
      <c r="E1227" s="181">
        <f>TOBEPAID!E939/1000</f>
        <v>0</v>
      </c>
      <c r="F1227" s="181">
        <f>TOBEPAID!F939/1000</f>
        <v>0</v>
      </c>
      <c r="G1227" s="181">
        <f>TOBEPAID!G939/1000</f>
        <v>0</v>
      </c>
      <c r="H1227" s="181">
        <v>0</v>
      </c>
      <c r="I1227" s="181">
        <f>TOBEPAID!I939/1000</f>
        <v>0</v>
      </c>
      <c r="J1227" s="181">
        <f>TOBEPAID!J939/1000</f>
        <v>0</v>
      </c>
      <c r="K1227" s="181">
        <f>TOBEPAID!K939/1000</f>
        <v>0</v>
      </c>
      <c r="L1227" s="181">
        <f>TOBEPAID!L939/1000</f>
        <v>0</v>
      </c>
      <c r="M1227" s="181">
        <f>TOBEPAID!M939/1000</f>
        <v>0</v>
      </c>
      <c r="N1227" s="181">
        <f>TOBEPAID!N939/1000</f>
        <v>0</v>
      </c>
      <c r="O1227" s="181">
        <f>TOBEPAID!O939/1000</f>
        <v>1861.6213700000001</v>
      </c>
      <c r="P1227" s="181">
        <f>TOBEPAID!P939/1000</f>
        <v>0</v>
      </c>
      <c r="Q1227" s="181">
        <f>TOBEPAID!Q939/1000</f>
        <v>0</v>
      </c>
      <c r="R1227" s="181">
        <f>1851621/1000</f>
        <v>1851.6210000000001</v>
      </c>
      <c r="S1227" s="181">
        <f>TOBEPAID!S939/1000</f>
        <v>0</v>
      </c>
      <c r="T1227" s="181">
        <f>TOBEPAID!T939/1000</f>
        <v>0</v>
      </c>
      <c r="U1227" s="181">
        <f>TOBEPAID!U939/1000</f>
        <v>0</v>
      </c>
      <c r="V1227" s="181">
        <f>TOBEPAID!V939/1000</f>
        <v>0</v>
      </c>
      <c r="W1227" s="181">
        <f>TOBEPAID!W939/1000</f>
        <v>0</v>
      </c>
      <c r="X1227" s="181">
        <f>TOBEPAID!X939/1000</f>
        <v>1861.6213700000001</v>
      </c>
      <c r="Y1227" s="181">
        <f t="shared" si="228"/>
        <v>1851.6210000000001</v>
      </c>
      <c r="Z1227" s="181">
        <f t="shared" si="227"/>
        <v>0</v>
      </c>
      <c r="AA1227" s="181">
        <f>TOBEPAID!AA939/1000</f>
        <v>1861.6213700000001</v>
      </c>
      <c r="AB1227" s="181">
        <f>TOBEPAID!AB939/1000</f>
        <v>-1018.4445700000001</v>
      </c>
      <c r="AC1227" s="181"/>
      <c r="AD1227" s="181"/>
      <c r="AF1227" s="195"/>
      <c r="AG1227" s="195"/>
      <c r="AH1227" s="195"/>
      <c r="AI1227" s="195"/>
      <c r="AJ1227" s="195"/>
      <c r="AK1227" s="195"/>
      <c r="AL1227" s="195"/>
      <c r="AM1227" s="195"/>
      <c r="AN1227" s="195"/>
      <c r="AO1227" s="195"/>
      <c r="AP1227" s="195"/>
      <c r="AQ1227" s="195"/>
      <c r="AR1227" s="195"/>
      <c r="AS1227" s="195"/>
    </row>
    <row r="1228" spans="1:45" x14ac:dyDescent="0.2">
      <c r="A1228" s="180"/>
      <c r="C1228" s="165" t="s">
        <v>266</v>
      </c>
      <c r="D1228" s="181">
        <f>8339997.92/1000</f>
        <v>8339.9979199999998</v>
      </c>
      <c r="E1228" s="181">
        <f>TOBEPAID!E940/1000</f>
        <v>8339.9979199999998</v>
      </c>
      <c r="F1228" s="181">
        <f>TOBEPAID!F940/1000</f>
        <v>0</v>
      </c>
      <c r="G1228" s="181">
        <f>TOBEPAID!G940/1000</f>
        <v>0</v>
      </c>
      <c r="H1228" s="181">
        <f>8339997/1000</f>
        <v>8339.9969999999994</v>
      </c>
      <c r="I1228" s="181">
        <f>TOBEPAID!I940/1000</f>
        <v>0</v>
      </c>
      <c r="J1228" s="181">
        <f>TOBEPAID!J940/1000</f>
        <v>0</v>
      </c>
      <c r="K1228" s="181">
        <f>TOBEPAID!K940/1000</f>
        <v>0</v>
      </c>
      <c r="L1228" s="181">
        <f>TOBEPAID!L940/1000</f>
        <v>0</v>
      </c>
      <c r="M1228" s="181">
        <f>TOBEPAID!M940/1000</f>
        <v>0</v>
      </c>
      <c r="N1228" s="181">
        <f>TOBEPAID!N940/1000</f>
        <v>8339.9979199999998</v>
      </c>
      <c r="O1228" s="181">
        <f>TOBEPAID!O940/1000</f>
        <v>0</v>
      </c>
      <c r="P1228" s="181">
        <f>TOBEPAID!P940/1000</f>
        <v>0</v>
      </c>
      <c r="Q1228" s="181">
        <f>TOBEPAID!Q940/1000</f>
        <v>0</v>
      </c>
      <c r="R1228" s="181">
        <f>TOBEPAID!R940/1000</f>
        <v>0</v>
      </c>
      <c r="S1228" s="181">
        <f>TOBEPAID!S940/1000</f>
        <v>0</v>
      </c>
      <c r="T1228" s="181">
        <f>TOBEPAID!T940/1000</f>
        <v>0</v>
      </c>
      <c r="U1228" s="181">
        <f>TOBEPAID!U940/1000</f>
        <v>0</v>
      </c>
      <c r="V1228" s="181">
        <f>TOBEPAID!V940/1000</f>
        <v>0</v>
      </c>
      <c r="W1228" s="181">
        <f>TOBEPAID!W940/1000</f>
        <v>0</v>
      </c>
      <c r="X1228" s="181">
        <f>TOBEPAID!X940/1000</f>
        <v>0</v>
      </c>
      <c r="Y1228" s="181">
        <f t="shared" si="228"/>
        <v>8339.9969999999994</v>
      </c>
      <c r="Z1228" s="181">
        <f t="shared" si="227"/>
        <v>9.200000004057074E-4</v>
      </c>
      <c r="AA1228" s="181">
        <f>TOBEPAID!AA940/1000</f>
        <v>8339.9979199999998</v>
      </c>
      <c r="AB1228" s="181">
        <f>TOBEPAID!AB940/1000</f>
        <v>1660.00208</v>
      </c>
      <c r="AC1228" s="181"/>
      <c r="AD1228" s="181"/>
      <c r="AF1228" s="195"/>
      <c r="AG1228" s="195"/>
      <c r="AH1228" s="195"/>
      <c r="AI1228" s="195"/>
      <c r="AJ1228" s="195"/>
      <c r="AK1228" s="195"/>
      <c r="AL1228" s="195"/>
      <c r="AM1228" s="195"/>
      <c r="AN1228" s="195"/>
      <c r="AO1228" s="195"/>
      <c r="AP1228" s="195"/>
      <c r="AQ1228" s="195"/>
      <c r="AR1228" s="195"/>
      <c r="AS1228" s="195"/>
    </row>
    <row r="1229" spans="1:45" ht="15.75" customHeight="1" x14ac:dyDescent="0.2">
      <c r="A1229" s="180"/>
      <c r="C1229" s="165" t="s">
        <v>242</v>
      </c>
      <c r="D1229" s="181">
        <f>2165213/1000</f>
        <v>2165.2130000000002</v>
      </c>
      <c r="E1229" s="181">
        <f>TOBEPAID!E941/1000</f>
        <v>0</v>
      </c>
      <c r="F1229" s="181">
        <f>TOBEPAID!F941/1000</f>
        <v>0</v>
      </c>
      <c r="G1229" s="181">
        <f>TOBEPAID!G941/1000</f>
        <v>0</v>
      </c>
      <c r="H1229" s="181">
        <v>0</v>
      </c>
      <c r="I1229" s="181">
        <f>TOBEPAID!I941/1000</f>
        <v>0</v>
      </c>
      <c r="J1229" s="181">
        <f>TOBEPAID!J941/1000</f>
        <v>0</v>
      </c>
      <c r="K1229" s="181">
        <f>TOBEPAID!K941/1000</f>
        <v>0</v>
      </c>
      <c r="L1229" s="181">
        <f>TOBEPAID!L941/1000</f>
        <v>0</v>
      </c>
      <c r="M1229" s="181">
        <f>TOBEPAID!M941/1000</f>
        <v>0</v>
      </c>
      <c r="N1229" s="181">
        <f>TOBEPAID!N941/1000</f>
        <v>0</v>
      </c>
      <c r="O1229" s="181">
        <f>TOBEPAID!O941/1000</f>
        <v>2165.21324</v>
      </c>
      <c r="P1229" s="181">
        <f>TOBEPAID!P941/1000</f>
        <v>0</v>
      </c>
      <c r="Q1229" s="181">
        <f>TOBEPAID!Q941/1000</f>
        <v>0</v>
      </c>
      <c r="R1229" s="181">
        <f>2165213/1000</f>
        <v>2165.2130000000002</v>
      </c>
      <c r="S1229" s="181">
        <f>TOBEPAID!S941/1000</f>
        <v>0</v>
      </c>
      <c r="T1229" s="181">
        <f>TOBEPAID!T941/1000</f>
        <v>0</v>
      </c>
      <c r="U1229" s="181">
        <f>TOBEPAID!U941/1000</f>
        <v>0</v>
      </c>
      <c r="V1229" s="181">
        <f>TOBEPAID!V941/1000</f>
        <v>0</v>
      </c>
      <c r="W1229" s="181">
        <f>TOBEPAID!W941/1000</f>
        <v>0</v>
      </c>
      <c r="X1229" s="181">
        <f>TOBEPAID!X941/1000</f>
        <v>2165.21324</v>
      </c>
      <c r="Y1229" s="181">
        <f t="shared" si="228"/>
        <v>2165.2130000000002</v>
      </c>
      <c r="Z1229" s="181">
        <f t="shared" si="227"/>
        <v>0</v>
      </c>
      <c r="AA1229" s="181">
        <f>TOBEPAID!AA941/1000</f>
        <v>2165.21324</v>
      </c>
      <c r="AB1229" s="181">
        <f>TOBEPAID!AB941/1000</f>
        <v>0</v>
      </c>
      <c r="AC1229" s="181"/>
      <c r="AD1229" s="181"/>
      <c r="AF1229" s="195"/>
      <c r="AG1229" s="195"/>
      <c r="AH1229" s="195"/>
      <c r="AI1229" s="195"/>
      <c r="AJ1229" s="195"/>
      <c r="AK1229" s="195"/>
      <c r="AL1229" s="195"/>
      <c r="AM1229" s="195"/>
      <c r="AN1229" s="195"/>
      <c r="AO1229" s="195"/>
      <c r="AP1229" s="195"/>
      <c r="AQ1229" s="195"/>
      <c r="AR1229" s="195"/>
      <c r="AS1229" s="195"/>
    </row>
    <row r="1230" spans="1:45" x14ac:dyDescent="0.2">
      <c r="A1230" s="180"/>
      <c r="D1230" s="182" t="s">
        <v>40</v>
      </c>
      <c r="E1230" s="182" t="s">
        <v>40</v>
      </c>
      <c r="F1230" s="182" t="s">
        <v>40</v>
      </c>
      <c r="G1230" s="182"/>
      <c r="H1230" s="182" t="s">
        <v>40</v>
      </c>
      <c r="I1230" s="182" t="s">
        <v>40</v>
      </c>
      <c r="J1230" s="182" t="s">
        <v>40</v>
      </c>
      <c r="K1230" s="182" t="s">
        <v>40</v>
      </c>
      <c r="L1230" s="182" t="s">
        <v>40</v>
      </c>
      <c r="M1230" s="182"/>
      <c r="N1230" s="182" t="s">
        <v>40</v>
      </c>
      <c r="O1230" s="182" t="s">
        <v>40</v>
      </c>
      <c r="P1230" s="182" t="s">
        <v>40</v>
      </c>
      <c r="Q1230" s="182"/>
      <c r="R1230" s="182" t="s">
        <v>40</v>
      </c>
      <c r="S1230" s="182" t="s">
        <v>40</v>
      </c>
      <c r="T1230" s="182" t="s">
        <v>40</v>
      </c>
      <c r="U1230" s="182" t="s">
        <v>40</v>
      </c>
      <c r="V1230" s="182" t="s">
        <v>40</v>
      </c>
      <c r="W1230" s="182"/>
      <c r="X1230" s="182" t="s">
        <v>40</v>
      </c>
      <c r="Y1230" s="182" t="s">
        <v>40</v>
      </c>
      <c r="Z1230" s="182" t="s">
        <v>40</v>
      </c>
      <c r="AA1230" s="182" t="s">
        <v>40</v>
      </c>
      <c r="AB1230" s="182" t="s">
        <v>40</v>
      </c>
      <c r="AC1230" s="182"/>
      <c r="AD1230" s="182"/>
      <c r="AF1230" s="195"/>
      <c r="AG1230" s="195"/>
      <c r="AH1230" s="195"/>
      <c r="AI1230" s="195"/>
      <c r="AJ1230" s="195"/>
      <c r="AK1230" s="195"/>
      <c r="AL1230" s="195"/>
      <c r="AM1230" s="195"/>
      <c r="AN1230" s="195"/>
      <c r="AO1230" s="195"/>
      <c r="AP1230" s="195"/>
      <c r="AQ1230" s="195"/>
      <c r="AR1230" s="195"/>
      <c r="AS1230" s="195"/>
    </row>
    <row r="1231" spans="1:45" x14ac:dyDescent="0.2">
      <c r="A1231" s="180"/>
      <c r="D1231" s="191">
        <f>SUM(D1217:D1229)</f>
        <v>305445.68291999988</v>
      </c>
      <c r="E1231" s="191">
        <f>SUM(E1217:E1229)</f>
        <v>8339.9979199999998</v>
      </c>
      <c r="F1231" s="191">
        <f>SUM(F1217:F1229)</f>
        <v>0</v>
      </c>
      <c r="G1231" s="191"/>
      <c r="H1231" s="191">
        <f>SUM(H1217:H1229)</f>
        <v>289486.98510999995</v>
      </c>
      <c r="I1231" s="191">
        <f>SUM(I1217:I1229)</f>
        <v>0</v>
      </c>
      <c r="J1231" s="191">
        <f>SUM(J1217:J1229)</f>
        <v>0</v>
      </c>
      <c r="K1231" s="191">
        <f>SUM(K1217:K1229)</f>
        <v>0</v>
      </c>
      <c r="L1231" s="191">
        <f>SUM(L1217:L1229)</f>
        <v>0</v>
      </c>
      <c r="M1231" s="191"/>
      <c r="N1231" s="191">
        <f>SUM(N1217:N1229)</f>
        <v>8339.9979199999998</v>
      </c>
      <c r="O1231" s="191">
        <f>SUM(O1217:O1229)</f>
        <v>14789.373189999998</v>
      </c>
      <c r="P1231" s="191">
        <f>SUM(P1217:P1229)</f>
        <v>872.51886000000002</v>
      </c>
      <c r="Q1231" s="191"/>
      <c r="R1231" s="191">
        <f>SUM(R1217:R1229)</f>
        <v>15958.636139999999</v>
      </c>
      <c r="S1231" s="191">
        <f>SUM(S1217:S1229)</f>
        <v>0</v>
      </c>
      <c r="T1231" s="191">
        <f>SUM(T1217:T1229)</f>
        <v>0</v>
      </c>
      <c r="U1231" s="191">
        <f>SUM(U1217:U1229)</f>
        <v>0</v>
      </c>
      <c r="V1231" s="191">
        <f>SUM(V1217:V1229)</f>
        <v>0</v>
      </c>
      <c r="W1231" s="191"/>
      <c r="X1231" s="191">
        <f>SUM(X1217:X1229)</f>
        <v>15661.892049999999</v>
      </c>
      <c r="Y1231" s="191">
        <f>SUM(Y1217:Y1229)</f>
        <v>305445.62124999991</v>
      </c>
      <c r="Z1231" s="191">
        <f>SUM(Z1217:Z1229)</f>
        <v>6.1669999998684943E-2</v>
      </c>
      <c r="AA1231" s="191">
        <f>SUM(AA1217:AA1229)</f>
        <v>24001.88997</v>
      </c>
      <c r="AB1231" s="191">
        <f>SUM(AB1217:AB1229)</f>
        <v>13374.050560000001</v>
      </c>
      <c r="AC1231" s="191"/>
      <c r="AD1231" s="191"/>
      <c r="AF1231" s="195"/>
      <c r="AG1231" s="195"/>
      <c r="AH1231" s="195"/>
      <c r="AI1231" s="195"/>
      <c r="AJ1231" s="195"/>
      <c r="AK1231" s="195"/>
      <c r="AL1231" s="195"/>
      <c r="AM1231" s="195"/>
      <c r="AN1231" s="195"/>
      <c r="AO1231" s="195"/>
      <c r="AP1231" s="195"/>
      <c r="AQ1231" s="195"/>
      <c r="AR1231" s="195"/>
      <c r="AS1231" s="195"/>
    </row>
    <row r="1232" spans="1:45" ht="15.75" customHeight="1" x14ac:dyDescent="0.2">
      <c r="A1232" s="180"/>
      <c r="D1232" s="182" t="s">
        <v>40</v>
      </c>
      <c r="E1232" s="182" t="s">
        <v>40</v>
      </c>
      <c r="F1232" s="182" t="s">
        <v>40</v>
      </c>
      <c r="G1232" s="182"/>
      <c r="H1232" s="182" t="s">
        <v>40</v>
      </c>
      <c r="I1232" s="182" t="s">
        <v>40</v>
      </c>
      <c r="J1232" s="182" t="s">
        <v>40</v>
      </c>
      <c r="K1232" s="182" t="s">
        <v>40</v>
      </c>
      <c r="L1232" s="182" t="s">
        <v>40</v>
      </c>
      <c r="M1232" s="182"/>
      <c r="N1232" s="182" t="s">
        <v>40</v>
      </c>
      <c r="O1232" s="182" t="s">
        <v>40</v>
      </c>
      <c r="P1232" s="182" t="s">
        <v>40</v>
      </c>
      <c r="Q1232" s="182"/>
      <c r="R1232" s="182" t="s">
        <v>40</v>
      </c>
      <c r="S1232" s="182" t="s">
        <v>40</v>
      </c>
      <c r="T1232" s="182" t="s">
        <v>40</v>
      </c>
      <c r="U1232" s="182" t="s">
        <v>40</v>
      </c>
      <c r="V1232" s="182" t="s">
        <v>40</v>
      </c>
      <c r="W1232" s="182"/>
      <c r="X1232" s="182" t="s">
        <v>40</v>
      </c>
      <c r="Y1232" s="182" t="s">
        <v>40</v>
      </c>
      <c r="Z1232" s="182" t="s">
        <v>40</v>
      </c>
      <c r="AA1232" s="182" t="s">
        <v>40</v>
      </c>
      <c r="AB1232" s="182" t="s">
        <v>40</v>
      </c>
      <c r="AC1232" s="182"/>
      <c r="AD1232" s="182"/>
      <c r="AF1232" s="195"/>
      <c r="AG1232" s="195"/>
      <c r="AH1232" s="195"/>
      <c r="AI1232" s="195"/>
      <c r="AJ1232" s="195"/>
      <c r="AK1232" s="195"/>
      <c r="AL1232" s="195"/>
      <c r="AM1232" s="195"/>
      <c r="AN1232" s="195"/>
      <c r="AO1232" s="195"/>
      <c r="AP1232" s="195"/>
      <c r="AQ1232" s="195"/>
      <c r="AR1232" s="195"/>
      <c r="AS1232" s="195"/>
    </row>
    <row r="1233" spans="1:45" x14ac:dyDescent="0.2">
      <c r="A1233" s="180"/>
      <c r="D1233" s="182"/>
      <c r="E1233" s="182"/>
      <c r="F1233" s="182"/>
      <c r="G1233" s="182"/>
      <c r="H1233" s="182"/>
      <c r="I1233" s="182"/>
      <c r="J1233" s="182"/>
      <c r="K1233" s="182"/>
      <c r="L1233" s="182"/>
      <c r="M1233" s="182"/>
      <c r="N1233" s="182"/>
      <c r="O1233" s="191"/>
      <c r="P1233" s="203"/>
      <c r="Q1233" s="191"/>
      <c r="R1233" s="190"/>
      <c r="S1233" s="182"/>
      <c r="T1233" s="182"/>
      <c r="U1233" s="182"/>
      <c r="V1233" s="191"/>
      <c r="W1233" s="182"/>
      <c r="X1233" s="182"/>
      <c r="Y1233" s="182"/>
      <c r="Z1233" s="182"/>
      <c r="AA1233" s="182"/>
      <c r="AB1233" s="182"/>
      <c r="AC1233" s="182"/>
      <c r="AD1233" s="182"/>
      <c r="AF1233" s="195"/>
      <c r="AG1233" s="195"/>
      <c r="AH1233" s="195"/>
      <c r="AI1233" s="195"/>
      <c r="AJ1233" s="195"/>
      <c r="AK1233" s="195"/>
      <c r="AL1233" s="195"/>
      <c r="AM1233" s="195"/>
      <c r="AN1233" s="195"/>
      <c r="AO1233" s="195"/>
      <c r="AP1233" s="195"/>
      <c r="AQ1233" s="195"/>
      <c r="AR1233" s="195"/>
      <c r="AS1233" s="195"/>
    </row>
    <row r="1234" spans="1:45" ht="15.75" customHeight="1" x14ac:dyDescent="0.2">
      <c r="A1234" s="180"/>
      <c r="D1234" s="182"/>
      <c r="E1234" s="182"/>
      <c r="F1234" s="182"/>
      <c r="G1234" s="182"/>
      <c r="H1234" s="182"/>
      <c r="I1234" s="182"/>
      <c r="J1234" s="182"/>
      <c r="K1234" s="182"/>
      <c r="L1234" s="182"/>
      <c r="M1234" s="182"/>
      <c r="N1234" s="182"/>
      <c r="O1234" s="182"/>
      <c r="P1234" s="189"/>
      <c r="Q1234" s="182"/>
      <c r="R1234" s="182"/>
      <c r="S1234" s="182"/>
      <c r="T1234" s="182"/>
      <c r="U1234" s="182"/>
      <c r="V1234" s="182"/>
      <c r="W1234" s="182"/>
      <c r="X1234" s="182"/>
      <c r="Y1234" s="182"/>
      <c r="Z1234" s="182"/>
      <c r="AA1234" s="182"/>
      <c r="AB1234" s="182"/>
      <c r="AC1234" s="182"/>
      <c r="AD1234" s="182"/>
      <c r="AF1234" s="195"/>
      <c r="AG1234" s="195"/>
      <c r="AH1234" s="195"/>
      <c r="AI1234" s="195"/>
      <c r="AJ1234" s="195"/>
      <c r="AK1234" s="195"/>
      <c r="AL1234" s="195"/>
      <c r="AM1234" s="195"/>
      <c r="AN1234" s="195"/>
      <c r="AO1234" s="195"/>
      <c r="AP1234" s="195"/>
      <c r="AQ1234" s="195"/>
      <c r="AR1234" s="195"/>
      <c r="AS1234" s="195"/>
    </row>
    <row r="1235" spans="1:45" x14ac:dyDescent="0.2">
      <c r="A1235" s="180">
        <v>97</v>
      </c>
      <c r="B1235" s="165" t="s">
        <v>231</v>
      </c>
      <c r="C1235" s="166" t="s">
        <v>35</v>
      </c>
      <c r="D1235" s="181">
        <f>59595817/1000</f>
        <v>59595.817000000003</v>
      </c>
      <c r="E1235" s="181">
        <f>TOBEPAID!E947/1000</f>
        <v>6629.8556200000003</v>
      </c>
      <c r="F1235" s="181">
        <f>TOBEPAID!F947/1000</f>
        <v>0</v>
      </c>
      <c r="G1235" s="181">
        <f>TOBEPAID!G947/1000</f>
        <v>0</v>
      </c>
      <c r="H1235" s="181">
        <f>59588537.06/1000</f>
        <v>59588.537060000002</v>
      </c>
      <c r="I1235" s="181">
        <f>TOBEPAID!I947/1000</f>
        <v>0</v>
      </c>
      <c r="J1235" s="181">
        <f>TOBEPAID!J947/1000</f>
        <v>0</v>
      </c>
      <c r="K1235" s="181">
        <f>TOBEPAID!K947/1000</f>
        <v>0</v>
      </c>
      <c r="L1235" s="181">
        <f>TOBEPAID!L947/1000</f>
        <v>0</v>
      </c>
      <c r="M1235" s="181">
        <f>TOBEPAID!M947/1000</f>
        <v>0</v>
      </c>
      <c r="N1235" s="181">
        <f>TOBEPAID!N947/1000</f>
        <v>6629.8556200000003</v>
      </c>
      <c r="O1235" s="181">
        <f>TOBEPAID!O947/1000</f>
        <v>0</v>
      </c>
      <c r="P1235" s="181">
        <f>TOBEPAID!P947/1000</f>
        <v>0</v>
      </c>
      <c r="Q1235" s="181">
        <f>TOBEPAID!Q947/1000</f>
        <v>0</v>
      </c>
      <c r="R1235" s="181">
        <v>0</v>
      </c>
      <c r="S1235" s="181">
        <f>TOBEPAID!S947/1000</f>
        <v>0</v>
      </c>
      <c r="T1235" s="181">
        <f>TOBEPAID!T947/1000</f>
        <v>0</v>
      </c>
      <c r="U1235" s="181">
        <f>TOBEPAID!U947/1000</f>
        <v>0</v>
      </c>
      <c r="V1235" s="181">
        <f>TOBEPAID!V947/1000</f>
        <v>0</v>
      </c>
      <c r="W1235" s="181">
        <f>TOBEPAID!W947/1000</f>
        <v>0</v>
      </c>
      <c r="X1235" s="181">
        <f>TOBEPAID!X947/1000</f>
        <v>0</v>
      </c>
      <c r="Y1235" s="181">
        <f t="shared" ref="Y1235:Y1242" si="229">+H1235+R1235</f>
        <v>59588.537060000002</v>
      </c>
      <c r="Z1235" s="181">
        <f>+D1235-Y1235</f>
        <v>7.2799400000003516</v>
      </c>
      <c r="AA1235" s="181">
        <f>TOBEPAID!AA947/1000</f>
        <v>6629.8556200000003</v>
      </c>
      <c r="AB1235" s="181">
        <f>TOBEPAID!AB947/1000</f>
        <v>21523.920919999997</v>
      </c>
      <c r="AC1235" s="181"/>
      <c r="AD1235" s="181"/>
      <c r="AF1235" s="195"/>
      <c r="AG1235" s="195"/>
      <c r="AH1235" s="195"/>
      <c r="AI1235" s="195"/>
      <c r="AJ1235" s="195"/>
      <c r="AK1235" s="195"/>
      <c r="AL1235" s="195"/>
      <c r="AM1235" s="195"/>
      <c r="AN1235" s="195"/>
      <c r="AO1235" s="195"/>
      <c r="AP1235" s="195"/>
      <c r="AQ1235" s="195"/>
      <c r="AR1235" s="195"/>
      <c r="AS1235" s="195"/>
    </row>
    <row r="1236" spans="1:45" x14ac:dyDescent="0.2">
      <c r="A1236" s="180"/>
      <c r="C1236" s="165" t="s">
        <v>36</v>
      </c>
      <c r="D1236" s="181">
        <f>1523974/1000</f>
        <v>1523.9739999999999</v>
      </c>
      <c r="E1236" s="181">
        <f>TOBEPAID!E948/1000</f>
        <v>1523.9739999999999</v>
      </c>
      <c r="F1236" s="181">
        <f>TOBEPAID!F948/1000</f>
        <v>0</v>
      </c>
      <c r="G1236" s="181">
        <f>TOBEPAID!G948/1000</f>
        <v>0</v>
      </c>
      <c r="H1236" s="181">
        <f>1523974/1000</f>
        <v>1523.9739999999999</v>
      </c>
      <c r="I1236" s="181">
        <f>TOBEPAID!I948/1000</f>
        <v>0</v>
      </c>
      <c r="J1236" s="181">
        <f>TOBEPAID!J948/1000</f>
        <v>0</v>
      </c>
      <c r="K1236" s="181">
        <f>TOBEPAID!K948/1000</f>
        <v>0</v>
      </c>
      <c r="L1236" s="181">
        <f>TOBEPAID!L948/1000</f>
        <v>0</v>
      </c>
      <c r="M1236" s="181">
        <f>TOBEPAID!M948/1000</f>
        <v>0</v>
      </c>
      <c r="N1236" s="181">
        <f>TOBEPAID!N948/1000</f>
        <v>1523.9739999999999</v>
      </c>
      <c r="O1236" s="181">
        <f>TOBEPAID!O948/1000</f>
        <v>0</v>
      </c>
      <c r="P1236" s="181">
        <f>TOBEPAID!P948/1000</f>
        <v>0</v>
      </c>
      <c r="Q1236" s="181">
        <f>TOBEPAID!Q948/1000</f>
        <v>0</v>
      </c>
      <c r="R1236" s="181">
        <v>0</v>
      </c>
      <c r="S1236" s="181">
        <f>TOBEPAID!S948/1000</f>
        <v>0</v>
      </c>
      <c r="T1236" s="181">
        <f>TOBEPAID!T948/1000</f>
        <v>0</v>
      </c>
      <c r="U1236" s="181">
        <f>TOBEPAID!U948/1000</f>
        <v>0</v>
      </c>
      <c r="V1236" s="181">
        <f>TOBEPAID!V948/1000</f>
        <v>0</v>
      </c>
      <c r="W1236" s="181">
        <f>TOBEPAID!W948/1000</f>
        <v>0</v>
      </c>
      <c r="X1236" s="181">
        <f>TOBEPAID!X948/1000</f>
        <v>0</v>
      </c>
      <c r="Y1236" s="181">
        <f t="shared" si="229"/>
        <v>1523.9739999999999</v>
      </c>
      <c r="Z1236" s="181">
        <f>+D1236-Y1236</f>
        <v>0</v>
      </c>
      <c r="AA1236" s="181">
        <f>TOBEPAID!AA948/1000</f>
        <v>1523.9739999999999</v>
      </c>
      <c r="AB1236" s="181">
        <f>TOBEPAID!AB948/1000</f>
        <v>0</v>
      </c>
      <c r="AC1236" s="181"/>
      <c r="AD1236" s="181"/>
      <c r="AF1236" s="195"/>
      <c r="AG1236" s="195"/>
      <c r="AH1236" s="195"/>
      <c r="AI1236" s="195"/>
      <c r="AJ1236" s="195"/>
      <c r="AK1236" s="195"/>
      <c r="AL1236" s="195"/>
      <c r="AM1236" s="195"/>
      <c r="AN1236" s="195"/>
      <c r="AO1236" s="195"/>
      <c r="AP1236" s="195"/>
      <c r="AQ1236" s="195"/>
      <c r="AR1236" s="195"/>
      <c r="AS1236" s="195"/>
    </row>
    <row r="1237" spans="1:45" ht="14.25" customHeight="1" x14ac:dyDescent="0.2">
      <c r="A1237" s="180"/>
      <c r="C1237" s="165" t="s">
        <v>389</v>
      </c>
      <c r="D1237" s="181">
        <f>11648539/1000</f>
        <v>11648.539000000001</v>
      </c>
      <c r="E1237" s="181"/>
      <c r="F1237" s="181"/>
      <c r="G1237" s="181"/>
      <c r="H1237" s="181">
        <f>11648539/1000</f>
        <v>11648.539000000001</v>
      </c>
      <c r="I1237" s="181"/>
      <c r="J1237" s="181"/>
      <c r="K1237" s="181"/>
      <c r="L1237" s="181"/>
      <c r="M1237" s="181"/>
      <c r="N1237" s="181"/>
      <c r="O1237" s="181"/>
      <c r="P1237" s="181"/>
      <c r="Q1237" s="181"/>
      <c r="R1237" s="181">
        <v>0</v>
      </c>
      <c r="S1237" s="181"/>
      <c r="T1237" s="181"/>
      <c r="U1237" s="181"/>
      <c r="V1237" s="181"/>
      <c r="W1237" s="181"/>
      <c r="X1237" s="181"/>
      <c r="Y1237" s="181">
        <f t="shared" si="229"/>
        <v>11648.539000000001</v>
      </c>
      <c r="Z1237" s="181">
        <f>+D1237-Y1237</f>
        <v>0</v>
      </c>
      <c r="AA1237" s="181"/>
      <c r="AB1237" s="181"/>
      <c r="AC1237" s="181"/>
      <c r="AD1237" s="181"/>
      <c r="AF1237" s="195"/>
      <c r="AG1237" s="195"/>
      <c r="AH1237" s="195"/>
      <c r="AI1237" s="195"/>
      <c r="AJ1237" s="195"/>
      <c r="AK1237" s="195"/>
      <c r="AL1237" s="195"/>
      <c r="AM1237" s="195"/>
      <c r="AN1237" s="195"/>
      <c r="AO1237" s="195"/>
      <c r="AP1237" s="195"/>
      <c r="AQ1237" s="195"/>
      <c r="AR1237" s="195"/>
      <c r="AS1237" s="195"/>
    </row>
    <row r="1238" spans="1:45" ht="16.5" customHeight="1" x14ac:dyDescent="0.2">
      <c r="A1238" s="180"/>
      <c r="C1238" s="165" t="s">
        <v>456</v>
      </c>
      <c r="D1238" s="181">
        <f>119739000/1000</f>
        <v>119739</v>
      </c>
      <c r="E1238" s="181"/>
      <c r="F1238" s="181"/>
      <c r="G1238" s="181"/>
      <c r="H1238" s="181">
        <f>119739000/1000</f>
        <v>119739</v>
      </c>
      <c r="I1238" s="181"/>
      <c r="J1238" s="181"/>
      <c r="K1238" s="181"/>
      <c r="L1238" s="181"/>
      <c r="M1238" s="181"/>
      <c r="N1238" s="181"/>
      <c r="O1238" s="181"/>
      <c r="P1238" s="181"/>
      <c r="Q1238" s="181"/>
      <c r="R1238" s="181">
        <v>0</v>
      </c>
      <c r="S1238" s="181"/>
      <c r="T1238" s="181"/>
      <c r="U1238" s="181"/>
      <c r="V1238" s="181"/>
      <c r="W1238" s="181"/>
      <c r="X1238" s="181"/>
      <c r="Y1238" s="181">
        <f>+H1238+R1238</f>
        <v>119739</v>
      </c>
      <c r="Z1238" s="181">
        <f>+D1238-Y1238:Y1238</f>
        <v>0</v>
      </c>
      <c r="AA1238" s="181"/>
      <c r="AB1238" s="181"/>
      <c r="AC1238" s="181"/>
      <c r="AD1238" s="181"/>
      <c r="AF1238" s="195"/>
      <c r="AG1238" s="195"/>
      <c r="AH1238" s="195"/>
      <c r="AI1238" s="195"/>
      <c r="AJ1238" s="195"/>
      <c r="AK1238" s="195"/>
      <c r="AL1238" s="195"/>
      <c r="AM1238" s="195"/>
      <c r="AN1238" s="195"/>
      <c r="AO1238" s="195"/>
      <c r="AP1238" s="195"/>
      <c r="AQ1238" s="195"/>
      <c r="AR1238" s="195"/>
      <c r="AS1238" s="195"/>
    </row>
    <row r="1239" spans="1:45" ht="16.5" customHeight="1" x14ac:dyDescent="0.2">
      <c r="A1239" s="180"/>
      <c r="C1239" s="165" t="s">
        <v>450</v>
      </c>
      <c r="D1239" s="181">
        <f>10711800/1000</f>
        <v>10711.8</v>
      </c>
      <c r="E1239" s="181"/>
      <c r="F1239" s="181"/>
      <c r="G1239" s="181"/>
      <c r="H1239" s="181">
        <f>10711800/1000</f>
        <v>10711.8</v>
      </c>
      <c r="I1239" s="181"/>
      <c r="J1239" s="181"/>
      <c r="K1239" s="181"/>
      <c r="L1239" s="181"/>
      <c r="M1239" s="181"/>
      <c r="N1239" s="181"/>
      <c r="O1239" s="181"/>
      <c r="P1239" s="181"/>
      <c r="Q1239" s="181"/>
      <c r="R1239" s="181">
        <v>0</v>
      </c>
      <c r="S1239" s="181"/>
      <c r="T1239" s="181"/>
      <c r="U1239" s="181"/>
      <c r="V1239" s="181"/>
      <c r="W1239" s="181"/>
      <c r="X1239" s="181"/>
      <c r="Y1239" s="181">
        <f>+H1239+R1239</f>
        <v>10711.8</v>
      </c>
      <c r="Z1239" s="181">
        <f>+D1239-Y1239</f>
        <v>0</v>
      </c>
      <c r="AA1239" s="181"/>
      <c r="AB1239" s="181"/>
      <c r="AC1239" s="181"/>
      <c r="AD1239" s="181"/>
      <c r="AF1239" s="195"/>
      <c r="AG1239" s="195"/>
      <c r="AH1239" s="195"/>
      <c r="AI1239" s="195"/>
      <c r="AJ1239" s="195"/>
      <c r="AK1239" s="195"/>
      <c r="AL1239" s="195"/>
      <c r="AM1239" s="195"/>
      <c r="AN1239" s="195"/>
      <c r="AO1239" s="195"/>
      <c r="AP1239" s="195"/>
      <c r="AQ1239" s="195"/>
      <c r="AR1239" s="195"/>
      <c r="AS1239" s="195"/>
    </row>
    <row r="1240" spans="1:45" x14ac:dyDescent="0.2">
      <c r="A1240" s="180"/>
      <c r="C1240" s="165" t="s">
        <v>183</v>
      </c>
      <c r="D1240" s="181">
        <v>0</v>
      </c>
      <c r="E1240" s="181">
        <f>TOBEPAID!E949/1000</f>
        <v>0</v>
      </c>
      <c r="F1240" s="181">
        <f>TOBEPAID!F949/1000</f>
        <v>0</v>
      </c>
      <c r="G1240" s="181">
        <f>TOBEPAID!G949/1000</f>
        <v>0</v>
      </c>
      <c r="H1240" s="181">
        <v>0</v>
      </c>
      <c r="I1240" s="181">
        <f>TOBEPAID!I949/1000</f>
        <v>0</v>
      </c>
      <c r="J1240" s="181">
        <f>TOBEPAID!J949/1000</f>
        <v>0</v>
      </c>
      <c r="K1240" s="181">
        <f>TOBEPAID!K949/1000</f>
        <v>0</v>
      </c>
      <c r="L1240" s="181">
        <f>TOBEPAID!L949/1000</f>
        <v>0</v>
      </c>
      <c r="M1240" s="181">
        <f>TOBEPAID!M949/1000</f>
        <v>0</v>
      </c>
      <c r="N1240" s="181">
        <f>TOBEPAID!N949/1000</f>
        <v>0</v>
      </c>
      <c r="O1240" s="181">
        <f>TOBEPAID!O949/1000</f>
        <v>0</v>
      </c>
      <c r="P1240" s="181">
        <f>TOBEPAID!P949/1000</f>
        <v>0</v>
      </c>
      <c r="Q1240" s="181">
        <f>TOBEPAID!Q949/1000</f>
        <v>0</v>
      </c>
      <c r="R1240" s="181">
        <v>0</v>
      </c>
      <c r="S1240" s="181">
        <f>TOBEPAID!S949/1000</f>
        <v>0</v>
      </c>
      <c r="T1240" s="181">
        <f>TOBEPAID!T949/1000</f>
        <v>0</v>
      </c>
      <c r="U1240" s="181">
        <f>TOBEPAID!U949/1000</f>
        <v>0</v>
      </c>
      <c r="V1240" s="181">
        <f>TOBEPAID!V949/1000</f>
        <v>0</v>
      </c>
      <c r="W1240" s="181">
        <f>TOBEPAID!W949/1000</f>
        <v>0</v>
      </c>
      <c r="X1240" s="181">
        <f>TOBEPAID!X949/1000</f>
        <v>0</v>
      </c>
      <c r="Y1240" s="181">
        <f t="shared" si="229"/>
        <v>0</v>
      </c>
      <c r="Z1240" s="181">
        <f>+D1240-Y1240</f>
        <v>0</v>
      </c>
      <c r="AA1240" s="181">
        <f>TOBEPAID!AA949/1000</f>
        <v>0</v>
      </c>
      <c r="AB1240" s="181">
        <f>TOBEPAID!AB949/1000</f>
        <v>13463.93821</v>
      </c>
      <c r="AC1240" s="181"/>
      <c r="AD1240" s="181"/>
      <c r="AF1240" s="195"/>
      <c r="AG1240" s="195"/>
      <c r="AH1240" s="195"/>
      <c r="AI1240" s="195"/>
      <c r="AJ1240" s="195"/>
      <c r="AK1240" s="195"/>
      <c r="AL1240" s="195"/>
      <c r="AM1240" s="195"/>
      <c r="AN1240" s="195"/>
      <c r="AO1240" s="195"/>
      <c r="AP1240" s="195"/>
      <c r="AQ1240" s="195"/>
      <c r="AR1240" s="195"/>
      <c r="AS1240" s="195"/>
    </row>
    <row r="1241" spans="1:45" ht="15" customHeight="1" x14ac:dyDescent="0.2">
      <c r="A1241" s="180"/>
      <c r="C1241" s="165" t="s">
        <v>38</v>
      </c>
      <c r="D1241" s="181">
        <v>0</v>
      </c>
      <c r="E1241" s="181">
        <f>TOBEPAID!E950/1000</f>
        <v>0</v>
      </c>
      <c r="F1241" s="181">
        <f>TOBEPAID!F950/1000</f>
        <v>0</v>
      </c>
      <c r="G1241" s="181">
        <f>TOBEPAID!G950/1000</f>
        <v>0</v>
      </c>
      <c r="H1241" s="181">
        <v>0</v>
      </c>
      <c r="I1241" s="181">
        <f>TOBEPAID!I950/1000</f>
        <v>0</v>
      </c>
      <c r="J1241" s="181">
        <f>TOBEPAID!J950/1000</f>
        <v>0</v>
      </c>
      <c r="K1241" s="181">
        <f>TOBEPAID!K950/1000</f>
        <v>0</v>
      </c>
      <c r="L1241" s="181">
        <f>TOBEPAID!L950/1000</f>
        <v>0</v>
      </c>
      <c r="M1241" s="181">
        <f>TOBEPAID!M950/1000</f>
        <v>0</v>
      </c>
      <c r="N1241" s="181">
        <f>TOBEPAID!N950/1000</f>
        <v>0</v>
      </c>
      <c r="O1241" s="181">
        <f>TOBEPAID!O950/1000</f>
        <v>0</v>
      </c>
      <c r="P1241" s="181">
        <f>TOBEPAID!P950/1000</f>
        <v>0</v>
      </c>
      <c r="Q1241" s="181">
        <f>TOBEPAID!Q950/1000</f>
        <v>0</v>
      </c>
      <c r="R1241" s="181">
        <v>0</v>
      </c>
      <c r="S1241" s="181">
        <f>TOBEPAID!S950/1000</f>
        <v>0</v>
      </c>
      <c r="T1241" s="181">
        <f>TOBEPAID!T950/1000</f>
        <v>0</v>
      </c>
      <c r="U1241" s="181">
        <f>TOBEPAID!U950/1000</f>
        <v>0</v>
      </c>
      <c r="V1241" s="181">
        <f>TOBEPAID!V950/1000</f>
        <v>0</v>
      </c>
      <c r="W1241" s="181">
        <f>TOBEPAID!W950/1000</f>
        <v>0</v>
      </c>
      <c r="X1241" s="181">
        <f>TOBEPAID!X950/1000</f>
        <v>0</v>
      </c>
      <c r="Y1241" s="181">
        <f t="shared" si="229"/>
        <v>0</v>
      </c>
      <c r="Z1241" s="181">
        <f>+D1241-Y1241</f>
        <v>0</v>
      </c>
      <c r="AA1241" s="181">
        <f>TOBEPAID!AA950/1000</f>
        <v>0</v>
      </c>
      <c r="AB1241" s="181">
        <f>TOBEPAID!AB950/1000</f>
        <v>16202.5</v>
      </c>
      <c r="AC1241" s="181"/>
      <c r="AD1241" s="181"/>
      <c r="AF1241" s="195"/>
      <c r="AG1241" s="195"/>
      <c r="AH1241" s="195"/>
      <c r="AI1241" s="195"/>
      <c r="AJ1241" s="195"/>
      <c r="AK1241" s="195"/>
      <c r="AL1241" s="195"/>
      <c r="AM1241" s="195"/>
      <c r="AN1241" s="195"/>
      <c r="AO1241" s="195"/>
      <c r="AP1241" s="195"/>
      <c r="AQ1241" s="195"/>
      <c r="AR1241" s="195"/>
      <c r="AS1241" s="195"/>
    </row>
    <row r="1242" spans="1:45" x14ac:dyDescent="0.2">
      <c r="A1242" s="180"/>
      <c r="C1242" s="165" t="s">
        <v>184</v>
      </c>
      <c r="D1242" s="181">
        <v>0</v>
      </c>
      <c r="E1242" s="181">
        <f>TOBEPAID!E951/1000</f>
        <v>0</v>
      </c>
      <c r="F1242" s="181">
        <f>TOBEPAID!F951/1000</f>
        <v>0</v>
      </c>
      <c r="G1242" s="181">
        <f>TOBEPAID!G951/1000</f>
        <v>0</v>
      </c>
      <c r="H1242" s="181">
        <v>0</v>
      </c>
      <c r="I1242" s="181">
        <f>TOBEPAID!I951/1000</f>
        <v>0</v>
      </c>
      <c r="J1242" s="181">
        <f>TOBEPAID!J951/1000</f>
        <v>0</v>
      </c>
      <c r="K1242" s="181">
        <f>TOBEPAID!K951/1000</f>
        <v>0</v>
      </c>
      <c r="L1242" s="181">
        <f>TOBEPAID!L951/1000</f>
        <v>0</v>
      </c>
      <c r="M1242" s="181">
        <f>TOBEPAID!M951/1000</f>
        <v>0</v>
      </c>
      <c r="N1242" s="181">
        <f>TOBEPAID!N951/1000</f>
        <v>0</v>
      </c>
      <c r="O1242" s="181">
        <f>TOBEPAID!O951/1000</f>
        <v>0</v>
      </c>
      <c r="P1242" s="181">
        <f>TOBEPAID!P951/1000</f>
        <v>0</v>
      </c>
      <c r="Q1242" s="181">
        <f>TOBEPAID!Q951/1000</f>
        <v>0</v>
      </c>
      <c r="R1242" s="181">
        <v>0</v>
      </c>
      <c r="S1242" s="181">
        <f>TOBEPAID!S951/1000</f>
        <v>0</v>
      </c>
      <c r="T1242" s="181">
        <f>TOBEPAID!T951/1000</f>
        <v>0</v>
      </c>
      <c r="U1242" s="181">
        <f>TOBEPAID!U951/1000</f>
        <v>0</v>
      </c>
      <c r="V1242" s="181">
        <f>TOBEPAID!V951/1000</f>
        <v>0</v>
      </c>
      <c r="W1242" s="181">
        <f>TOBEPAID!W951/1000</f>
        <v>0</v>
      </c>
      <c r="X1242" s="181">
        <f>TOBEPAID!X951/1000</f>
        <v>0</v>
      </c>
      <c r="Y1242" s="181">
        <f t="shared" si="229"/>
        <v>0</v>
      </c>
      <c r="Z1242" s="181">
        <f>+D1242-Y1242</f>
        <v>0</v>
      </c>
      <c r="AA1242" s="181">
        <f>TOBEPAID!AA951/1000</f>
        <v>0</v>
      </c>
      <c r="AB1242" s="181">
        <f>TOBEPAID!AB951/1000</f>
        <v>1775.60258</v>
      </c>
      <c r="AC1242" s="181"/>
      <c r="AD1242" s="181"/>
      <c r="AF1242" s="195"/>
      <c r="AG1242" s="195"/>
      <c r="AH1242" s="195"/>
      <c r="AI1242" s="195"/>
      <c r="AJ1242" s="195"/>
      <c r="AK1242" s="195"/>
      <c r="AL1242" s="195"/>
      <c r="AM1242" s="195"/>
      <c r="AN1242" s="195"/>
      <c r="AO1242" s="195"/>
      <c r="AP1242" s="195"/>
      <c r="AQ1242" s="195"/>
      <c r="AR1242" s="195"/>
      <c r="AS1242" s="195"/>
    </row>
    <row r="1243" spans="1:45" x14ac:dyDescent="0.2">
      <c r="A1243" s="180"/>
      <c r="D1243" s="182" t="s">
        <v>40</v>
      </c>
      <c r="E1243" s="182" t="s">
        <v>40</v>
      </c>
      <c r="F1243" s="182" t="s">
        <v>40</v>
      </c>
      <c r="G1243" s="182"/>
      <c r="H1243" s="182" t="s">
        <v>40</v>
      </c>
      <c r="I1243" s="182" t="s">
        <v>40</v>
      </c>
      <c r="J1243" s="182" t="s">
        <v>40</v>
      </c>
      <c r="K1243" s="182" t="s">
        <v>40</v>
      </c>
      <c r="L1243" s="182" t="s">
        <v>40</v>
      </c>
      <c r="M1243" s="182"/>
      <c r="N1243" s="182" t="s">
        <v>40</v>
      </c>
      <c r="O1243" s="182" t="s">
        <v>40</v>
      </c>
      <c r="P1243" s="182" t="s">
        <v>40</v>
      </c>
      <c r="Q1243" s="182"/>
      <c r="R1243" s="182" t="s">
        <v>40</v>
      </c>
      <c r="S1243" s="182" t="s">
        <v>40</v>
      </c>
      <c r="T1243" s="182" t="s">
        <v>40</v>
      </c>
      <c r="U1243" s="182" t="s">
        <v>40</v>
      </c>
      <c r="V1243" s="182" t="s">
        <v>40</v>
      </c>
      <c r="W1243" s="182"/>
      <c r="X1243" s="182" t="s">
        <v>40</v>
      </c>
      <c r="Y1243" s="182" t="s">
        <v>40</v>
      </c>
      <c r="Z1243" s="182" t="s">
        <v>40</v>
      </c>
      <c r="AA1243" s="182" t="s">
        <v>40</v>
      </c>
      <c r="AB1243" s="182" t="s">
        <v>40</v>
      </c>
      <c r="AC1243" s="182"/>
      <c r="AD1243" s="182"/>
      <c r="AF1243" s="195"/>
      <c r="AG1243" s="195"/>
      <c r="AH1243" s="195"/>
      <c r="AI1243" s="195"/>
      <c r="AJ1243" s="195"/>
      <c r="AK1243" s="195"/>
      <c r="AL1243" s="195"/>
      <c r="AM1243" s="195"/>
      <c r="AN1243" s="195"/>
      <c r="AO1243" s="195"/>
      <c r="AP1243" s="195"/>
      <c r="AQ1243" s="195"/>
      <c r="AR1243" s="195"/>
      <c r="AS1243" s="195"/>
    </row>
    <row r="1244" spans="1:45" ht="15.75" customHeight="1" x14ac:dyDescent="0.2">
      <c r="A1244" s="180"/>
      <c r="D1244" s="191">
        <f>SUM(D1235:D1242)</f>
        <v>203219.13</v>
      </c>
      <c r="E1244" s="191">
        <f>SUM(E1235:E1242)</f>
        <v>8153.8296200000004</v>
      </c>
      <c r="F1244" s="191">
        <f>SUM(F1235:F1242)</f>
        <v>0</v>
      </c>
      <c r="G1244" s="191"/>
      <c r="H1244" s="191">
        <f>SUM(H1235:H1242)</f>
        <v>203211.85006</v>
      </c>
      <c r="I1244" s="191">
        <f>SUM(I1235:I1242)</f>
        <v>0</v>
      </c>
      <c r="J1244" s="191">
        <f>SUM(J1235:J1242)</f>
        <v>0</v>
      </c>
      <c r="K1244" s="191">
        <f>SUM(K1235:K1242)</f>
        <v>0</v>
      </c>
      <c r="L1244" s="191">
        <f>SUM(L1235:L1242)</f>
        <v>0</v>
      </c>
      <c r="M1244" s="191"/>
      <c r="N1244" s="191">
        <f>SUM(N1235:N1242)</f>
        <v>8153.8296200000004</v>
      </c>
      <c r="O1244" s="191">
        <f>SUM(O1235:O1242)</f>
        <v>0</v>
      </c>
      <c r="P1244" s="191">
        <f>SUM(P1235:P1242)</f>
        <v>0</v>
      </c>
      <c r="Q1244" s="191"/>
      <c r="R1244" s="191">
        <f>SUM(R1235:R1242)</f>
        <v>0</v>
      </c>
      <c r="S1244" s="191">
        <f>SUM(S1235:S1242)</f>
        <v>0</v>
      </c>
      <c r="T1244" s="191">
        <f>SUM(T1235:T1242)</f>
        <v>0</v>
      </c>
      <c r="U1244" s="191">
        <f>SUM(U1235:U1242)</f>
        <v>0</v>
      </c>
      <c r="V1244" s="191">
        <f>SUM(V1235:V1242)</f>
        <v>0</v>
      </c>
      <c r="W1244" s="191"/>
      <c r="X1244" s="191">
        <f>SUM(X1235:X1242)</f>
        <v>0</v>
      </c>
      <c r="Y1244" s="191">
        <f>SUM(Y1235:Y1242)</f>
        <v>203211.85006</v>
      </c>
      <c r="Z1244" s="191">
        <f>SUM(Z1235:Z1242)</f>
        <v>7.2799400000003516</v>
      </c>
      <c r="AA1244" s="191">
        <f>SUM(AA1235:AA1242)</f>
        <v>8153.8296200000004</v>
      </c>
      <c r="AB1244" s="191">
        <f>SUM(AB1235:AB1242)</f>
        <v>52965.961709999996</v>
      </c>
      <c r="AC1244" s="191"/>
      <c r="AD1244" s="191"/>
      <c r="AH1244" s="195"/>
      <c r="AI1244" s="195"/>
      <c r="AJ1244" s="195"/>
      <c r="AK1244" s="195"/>
      <c r="AL1244" s="195"/>
      <c r="AM1244" s="195"/>
      <c r="AN1244" s="195"/>
      <c r="AO1244" s="195"/>
      <c r="AP1244" s="195"/>
      <c r="AQ1244" s="195"/>
      <c r="AR1244" s="195"/>
      <c r="AS1244" s="195"/>
    </row>
    <row r="1245" spans="1:45" x14ac:dyDescent="0.2">
      <c r="A1245" s="180"/>
      <c r="B1245" s="165" t="s">
        <v>231</v>
      </c>
      <c r="D1245" s="182" t="s">
        <v>40</v>
      </c>
      <c r="E1245" s="182" t="s">
        <v>40</v>
      </c>
      <c r="F1245" s="182" t="s">
        <v>40</v>
      </c>
      <c r="G1245" s="182"/>
      <c r="H1245" s="182" t="s">
        <v>40</v>
      </c>
      <c r="I1245" s="182" t="s">
        <v>40</v>
      </c>
      <c r="J1245" s="182" t="s">
        <v>40</v>
      </c>
      <c r="K1245" s="182" t="s">
        <v>40</v>
      </c>
      <c r="L1245" s="182" t="s">
        <v>40</v>
      </c>
      <c r="M1245" s="182"/>
      <c r="N1245" s="182" t="s">
        <v>40</v>
      </c>
      <c r="O1245" s="182" t="s">
        <v>40</v>
      </c>
      <c r="P1245" s="182" t="s">
        <v>40</v>
      </c>
      <c r="Q1245" s="182"/>
      <c r="R1245" s="182" t="s">
        <v>40</v>
      </c>
      <c r="S1245" s="182" t="s">
        <v>40</v>
      </c>
      <c r="T1245" s="182" t="s">
        <v>40</v>
      </c>
      <c r="U1245" s="182" t="s">
        <v>40</v>
      </c>
      <c r="V1245" s="182" t="s">
        <v>40</v>
      </c>
      <c r="W1245" s="182"/>
      <c r="X1245" s="182" t="s">
        <v>40</v>
      </c>
      <c r="Y1245" s="182" t="s">
        <v>40</v>
      </c>
      <c r="Z1245" s="182" t="s">
        <v>40</v>
      </c>
      <c r="AA1245" s="182" t="s">
        <v>40</v>
      </c>
      <c r="AB1245" s="182" t="s">
        <v>40</v>
      </c>
      <c r="AC1245" s="182"/>
      <c r="AD1245" s="182"/>
      <c r="AF1245" s="195"/>
      <c r="AG1245" s="195"/>
      <c r="AH1245" s="195"/>
      <c r="AI1245" s="195"/>
      <c r="AJ1245" s="195"/>
      <c r="AK1245" s="195"/>
      <c r="AL1245" s="195"/>
      <c r="AM1245" s="195"/>
      <c r="AN1245" s="195"/>
      <c r="AO1245" s="195"/>
      <c r="AP1245" s="195"/>
      <c r="AQ1245" s="195"/>
      <c r="AR1245" s="195"/>
      <c r="AS1245" s="195">
        <f t="shared" ref="AS1245:AS1255" si="230">+AF1246-AK1246-AP1246</f>
        <v>293532.277</v>
      </c>
    </row>
    <row r="1246" spans="1:45" ht="15.75" thickBot="1" x14ac:dyDescent="0.25">
      <c r="A1246" s="180"/>
      <c r="B1246" s="183" t="s">
        <v>292</v>
      </c>
      <c r="D1246" s="184">
        <f>TOBEPAID!D955/1000</f>
        <v>254.83224999999999</v>
      </c>
      <c r="E1246" s="181">
        <f>TOBEPAID!E955/1000</f>
        <v>0</v>
      </c>
      <c r="F1246" s="181">
        <f>TOBEPAID!F955/1000</f>
        <v>0</v>
      </c>
      <c r="G1246" s="181">
        <f>TOBEPAID!G955/1000</f>
        <v>0</v>
      </c>
      <c r="H1246" s="181"/>
      <c r="I1246" s="181">
        <f>TOBEPAID!I955/1000</f>
        <v>0</v>
      </c>
      <c r="J1246" s="181">
        <f>TOBEPAID!J955/1000</f>
        <v>0</v>
      </c>
      <c r="K1246" s="181">
        <f>TOBEPAID!K955/1000</f>
        <v>0</v>
      </c>
      <c r="L1246" s="181">
        <f>TOBEPAID!L955/1000</f>
        <v>0</v>
      </c>
      <c r="M1246" s="181">
        <f>TOBEPAID!M955/1000</f>
        <v>0</v>
      </c>
      <c r="N1246" s="181">
        <f>TOBEPAID!N955/1000</f>
        <v>0</v>
      </c>
      <c r="O1246" s="181">
        <f>TOBEPAID!O955/1000</f>
        <v>254.83224999999999</v>
      </c>
      <c r="P1246" s="181">
        <f>TOBEPAID!P955/1000</f>
        <v>0</v>
      </c>
      <c r="Q1246" s="181">
        <f>TOBEPAID!Q955/1000</f>
        <v>0</v>
      </c>
      <c r="R1246" s="184">
        <f>TOBEPAID!R955/1000</f>
        <v>254.83224999999999</v>
      </c>
      <c r="S1246" s="181">
        <f>TOBEPAID!S955/1000</f>
        <v>0</v>
      </c>
      <c r="T1246" s="181">
        <f>TOBEPAID!T955/1000</f>
        <v>0</v>
      </c>
      <c r="U1246" s="181">
        <f>TOBEPAID!U955/1000</f>
        <v>0</v>
      </c>
      <c r="V1246" s="181">
        <f>TOBEPAID!V955/1000</f>
        <v>0</v>
      </c>
      <c r="W1246" s="181">
        <f>TOBEPAID!W955/1000</f>
        <v>0</v>
      </c>
      <c r="X1246" s="181">
        <f>TOBEPAID!X955/1000</f>
        <v>0</v>
      </c>
      <c r="Y1246" s="184">
        <f>TOBEPAID!Y955/1000</f>
        <v>254.83224999999999</v>
      </c>
      <c r="Z1246" s="184">
        <f>TOBEPAID!Z955/1000</f>
        <v>0</v>
      </c>
      <c r="AA1246" s="181">
        <f>TOBEPAID!AA955/1000</f>
        <v>0</v>
      </c>
      <c r="AB1246" s="181">
        <f>TOBEPAID!AB955/1000</f>
        <v>0</v>
      </c>
      <c r="AC1246" s="181"/>
      <c r="AD1246" s="181"/>
      <c r="AE1246" s="186"/>
      <c r="AF1246" s="195">
        <f>+D1220+D1270</f>
        <v>303532.277</v>
      </c>
      <c r="AG1246" s="195">
        <f>+E1220+E1270</f>
        <v>10000</v>
      </c>
      <c r="AH1246" s="195">
        <f>+F1220+F1270</f>
        <v>0</v>
      </c>
      <c r="AI1246" s="195">
        <f>+AG1246+AH1246</f>
        <v>10000</v>
      </c>
      <c r="AJ1246" s="195">
        <f>+L1220+L1270</f>
        <v>0</v>
      </c>
      <c r="AK1246" s="195">
        <f>+AI1246+AJ1246</f>
        <v>10000</v>
      </c>
      <c r="AL1246" s="195">
        <f>+O1220+O1270</f>
        <v>0</v>
      </c>
      <c r="AM1246" s="195">
        <f>+P1220+P1270</f>
        <v>0</v>
      </c>
      <c r="AN1246" s="195">
        <f>+AL1246+AM1246</f>
        <v>0</v>
      </c>
      <c r="AO1246" s="195">
        <f>+V1220+V1270</f>
        <v>0</v>
      </c>
      <c r="AP1246" s="195">
        <f>+AN1246+AO1246</f>
        <v>0</v>
      </c>
      <c r="AQ1246" s="195">
        <f>+AI1246+AN1246</f>
        <v>10000</v>
      </c>
      <c r="AR1246" s="195">
        <f>+AF1246-AQ1246</f>
        <v>293532.277</v>
      </c>
      <c r="AS1246" s="195">
        <f t="shared" si="230"/>
        <v>225111.39955999999</v>
      </c>
    </row>
    <row r="1247" spans="1:45" ht="27.75" customHeight="1" thickTop="1" x14ac:dyDescent="0.2">
      <c r="D1247" s="181"/>
      <c r="E1247" s="181"/>
      <c r="F1247" s="181"/>
      <c r="G1247" s="181"/>
      <c r="H1247" s="181"/>
      <c r="I1247" s="181"/>
      <c r="J1247" s="181"/>
      <c r="K1247" s="181"/>
      <c r="L1247" s="181"/>
      <c r="M1247" s="181"/>
      <c r="N1247" s="181"/>
      <c r="O1247" s="181"/>
      <c r="P1247" s="181"/>
      <c r="Q1247" s="181"/>
      <c r="R1247" s="181"/>
      <c r="S1247" s="181"/>
      <c r="T1247" s="181"/>
      <c r="U1247" s="181"/>
      <c r="V1247" s="181"/>
      <c r="W1247" s="181"/>
      <c r="X1247" s="181"/>
      <c r="Y1247" s="181"/>
      <c r="Z1247" s="181"/>
      <c r="AA1247" s="181">
        <f>TOBEPAID!AA956/1000</f>
        <v>0</v>
      </c>
      <c r="AB1247" s="181">
        <f>TOBEPAID!AB956/1000</f>
        <v>0</v>
      </c>
      <c r="AC1247" s="181"/>
      <c r="AD1247" s="181"/>
      <c r="AE1247" s="186" t="s">
        <v>303</v>
      </c>
      <c r="AF1247" s="195">
        <f>D1173+D1184+D1196+D1210+D1217+D1235+D1248+D1267</f>
        <v>233530.62191999998</v>
      </c>
      <c r="AG1247" s="195">
        <f>E1173+E1184+E1196+E1210+E1217+E1235+E1248+E1267</f>
        <v>6629.8556200000003</v>
      </c>
      <c r="AH1247" s="195">
        <f>F1173+F1184+F1196+F1210+F1217+F1235+F1248+F1267</f>
        <v>0</v>
      </c>
      <c r="AI1247" s="195">
        <f>+AG1247+AH1247</f>
        <v>6629.8556200000003</v>
      </c>
      <c r="AJ1247" s="195">
        <f>L1173+L1184+L1196+L1210+L1217+L1235+L1248+L1267</f>
        <v>0</v>
      </c>
      <c r="AK1247" s="195">
        <f>+AI1247+AJ1247</f>
        <v>6629.8556200000003</v>
      </c>
      <c r="AL1247" s="195">
        <f>O1173+O1184+O1196+O1210+O1217+O1235+O1248+O1267</f>
        <v>1789.3667399999999</v>
      </c>
      <c r="AM1247" s="195">
        <f>P1173+P1184+P1196+P1210+P1217+P1235+P1248+P1267</f>
        <v>0</v>
      </c>
      <c r="AN1247" s="195">
        <f>+AL1247+AM1247</f>
        <v>1789.3667399999999</v>
      </c>
      <c r="AO1247" s="195">
        <f>V1173+V1184+V1196+V1210+V1217+V1235+V1248+V1267</f>
        <v>0</v>
      </c>
      <c r="AP1247" s="195">
        <f>+AN1247+AO1247</f>
        <v>1789.3667399999999</v>
      </c>
      <c r="AQ1247" s="195">
        <f>+AI1247+AN1247</f>
        <v>8419.2223599999998</v>
      </c>
      <c r="AR1247" s="195">
        <f>+AF1247-AQ1247</f>
        <v>225111.39955999999</v>
      </c>
      <c r="AS1247" s="195">
        <f t="shared" si="230"/>
        <v>0</v>
      </c>
    </row>
    <row r="1248" spans="1:45" x14ac:dyDescent="0.2">
      <c r="A1248" s="180">
        <v>98</v>
      </c>
      <c r="B1248" s="165" t="s">
        <v>229</v>
      </c>
      <c r="C1248" s="166" t="s">
        <v>35</v>
      </c>
      <c r="D1248" s="181">
        <f>2651876/1000</f>
        <v>2651.8760000000002</v>
      </c>
      <c r="E1248" s="181">
        <f>TOBEPAID!E957/1000</f>
        <v>0</v>
      </c>
      <c r="F1248" s="181">
        <f>TOBEPAID!F957/1000</f>
        <v>0</v>
      </c>
      <c r="G1248" s="181">
        <f>TOBEPAID!G957/1000</f>
        <v>0</v>
      </c>
      <c r="H1248" s="181">
        <f>2454430/1000</f>
        <v>2454.4299999999998</v>
      </c>
      <c r="I1248" s="181">
        <f>TOBEPAID!I957/1000</f>
        <v>0</v>
      </c>
      <c r="J1248" s="181">
        <f>TOBEPAID!J957/1000</f>
        <v>0</v>
      </c>
      <c r="K1248" s="181">
        <f>TOBEPAID!K957/1000</f>
        <v>0</v>
      </c>
      <c r="L1248" s="181">
        <f>TOBEPAID!L957/1000</f>
        <v>0</v>
      </c>
      <c r="M1248" s="181">
        <f>TOBEPAID!M957/1000</f>
        <v>0</v>
      </c>
      <c r="N1248" s="181">
        <f>TOBEPAID!N957/1000</f>
        <v>0</v>
      </c>
      <c r="O1248" s="181">
        <f>TOBEPAID!O957/1000</f>
        <v>197.4452</v>
      </c>
      <c r="P1248" s="181">
        <f>TOBEPAID!P957/1000</f>
        <v>0</v>
      </c>
      <c r="Q1248" s="181">
        <f>TOBEPAID!Q957/1000</f>
        <v>0</v>
      </c>
      <c r="R1248" s="181">
        <f>537233/1000</f>
        <v>537.23299999999995</v>
      </c>
      <c r="S1248" s="181">
        <f>TOBEPAID!S957/1000</f>
        <v>0</v>
      </c>
      <c r="T1248" s="181">
        <f>TOBEPAID!T957/1000</f>
        <v>0</v>
      </c>
      <c r="U1248" s="181">
        <f>TOBEPAID!U957/1000</f>
        <v>0</v>
      </c>
      <c r="V1248" s="181">
        <f>TOBEPAID!V957/1000</f>
        <v>0</v>
      </c>
      <c r="W1248" s="181">
        <f>TOBEPAID!W957/1000</f>
        <v>0</v>
      </c>
      <c r="X1248" s="181">
        <f>TOBEPAID!X957/1000</f>
        <v>197.4452</v>
      </c>
      <c r="Y1248" s="181">
        <f t="shared" ref="Y1248:Y1253" si="231">+H1248+R1248</f>
        <v>2991.6629999999996</v>
      </c>
      <c r="Z1248" s="181">
        <f t="shared" ref="Z1248:Z1253" si="232">+D1248-Y1248</f>
        <v>-339.78699999999935</v>
      </c>
      <c r="AA1248" s="181">
        <f>TOBEPAID!AA957/1000</f>
        <v>197.4452</v>
      </c>
      <c r="AB1248" s="181">
        <f>TOBEPAID!AB957/1000</f>
        <v>2454.4308899999996</v>
      </c>
      <c r="AC1248" s="181" t="s">
        <v>321</v>
      </c>
      <c r="AD1248" s="181"/>
      <c r="AE1248" s="186" t="s">
        <v>47</v>
      </c>
      <c r="AF1248" s="195">
        <f>D1174+D1198+D1211+D1236+D1252+D1273</f>
        <v>5354.0159999999996</v>
      </c>
      <c r="AG1248" s="195">
        <f>E1174+E1198+E1211+E1236+E1252+E1273</f>
        <v>5354.0159999999996</v>
      </c>
      <c r="AH1248" s="195">
        <f>F1174+F1198+F1211+F1236+F1252+F1273</f>
        <v>0</v>
      </c>
      <c r="AI1248" s="195">
        <f t="shared" ref="AI1248:AI1256" si="233">+AG1248+AH1248</f>
        <v>5354.0159999999996</v>
      </c>
      <c r="AJ1248" s="195">
        <f>L1174+L1198+L1211+L1236+L1252+L1273</f>
        <v>0</v>
      </c>
      <c r="AK1248" s="195">
        <f t="shared" ref="AK1248:AK1256" si="234">+AI1248+AJ1248</f>
        <v>5354.0159999999996</v>
      </c>
      <c r="AL1248" s="195">
        <f>O1174+O1198+O1211+O1236+O1252+O1273</f>
        <v>0</v>
      </c>
      <c r="AM1248" s="195">
        <f>P1174+P1198+P1211+P1236+P1252+P1273</f>
        <v>0</v>
      </c>
      <c r="AN1248" s="195">
        <f t="shared" ref="AN1248:AN1256" si="235">+AL1248+AM1248</f>
        <v>0</v>
      </c>
      <c r="AO1248" s="195">
        <f>V1174+V1198+V1211+V1236+V1252+V1273</f>
        <v>0</v>
      </c>
      <c r="AP1248" s="195">
        <f t="shared" ref="AP1248:AP1256" si="236">+AN1248+AO1248</f>
        <v>0</v>
      </c>
      <c r="AQ1248" s="195">
        <f t="shared" ref="AQ1248:AQ1256" si="237">+AI1248+AN1248</f>
        <v>5354.0159999999996</v>
      </c>
      <c r="AR1248" s="195">
        <f t="shared" ref="AR1248:AR1256" si="238">+AF1248-AQ1248</f>
        <v>0</v>
      </c>
      <c r="AS1248" s="195">
        <f>+AF1252-AK1252-AP1252</f>
        <v>-259.74261999999908</v>
      </c>
    </row>
    <row r="1249" spans="1:45" x14ac:dyDescent="0.2">
      <c r="A1249" s="180"/>
      <c r="C1249" s="166" t="s">
        <v>456</v>
      </c>
      <c r="D1249" s="181">
        <f>54701000/1000</f>
        <v>54701</v>
      </c>
      <c r="E1249" s="181"/>
      <c r="F1249" s="181"/>
      <c r="G1249" s="181"/>
      <c r="H1249" s="181">
        <f>43599785.75/1000</f>
        <v>43599.785750000003</v>
      </c>
      <c r="I1249" s="181"/>
      <c r="J1249" s="181"/>
      <c r="K1249" s="181"/>
      <c r="L1249" s="181"/>
      <c r="M1249" s="181"/>
      <c r="N1249" s="181"/>
      <c r="O1249" s="181"/>
      <c r="P1249" s="181"/>
      <c r="Q1249" s="181"/>
      <c r="R1249" s="181">
        <v>0</v>
      </c>
      <c r="S1249" s="181"/>
      <c r="T1249" s="181"/>
      <c r="U1249" s="181"/>
      <c r="V1249" s="181"/>
      <c r="W1249" s="181"/>
      <c r="X1249" s="181"/>
      <c r="Y1249" s="181">
        <f t="shared" si="231"/>
        <v>43599.785750000003</v>
      </c>
      <c r="Z1249" s="181">
        <f t="shared" si="232"/>
        <v>11101.214249999997</v>
      </c>
      <c r="AA1249" s="181"/>
      <c r="AB1249" s="181"/>
      <c r="AC1249" s="181"/>
      <c r="AD1249" s="181"/>
      <c r="AE1249" s="186"/>
      <c r="AF1249" s="195"/>
      <c r="AG1249" s="195"/>
      <c r="AH1249" s="195"/>
      <c r="AI1249" s="195"/>
      <c r="AJ1249" s="195"/>
      <c r="AK1249" s="195"/>
      <c r="AL1249" s="195"/>
      <c r="AM1249" s="195"/>
      <c r="AN1249" s="195"/>
      <c r="AO1249" s="195"/>
      <c r="AP1249" s="195"/>
      <c r="AQ1249" s="195"/>
      <c r="AR1249" s="195"/>
      <c r="AS1249" s="195"/>
    </row>
    <row r="1250" spans="1:45" x14ac:dyDescent="0.2">
      <c r="A1250" s="180"/>
      <c r="C1250" s="166" t="s">
        <v>374</v>
      </c>
      <c r="D1250" s="181">
        <f>3200000/1000</f>
        <v>3200</v>
      </c>
      <c r="E1250" s="181"/>
      <c r="F1250" s="181"/>
      <c r="G1250" s="181"/>
      <c r="H1250" s="181">
        <f>3200000/1000</f>
        <v>3200</v>
      </c>
      <c r="I1250" s="181"/>
      <c r="J1250" s="181"/>
      <c r="K1250" s="181"/>
      <c r="L1250" s="181"/>
      <c r="M1250" s="181"/>
      <c r="N1250" s="181"/>
      <c r="O1250" s="181"/>
      <c r="P1250" s="181"/>
      <c r="Q1250" s="181"/>
      <c r="R1250" s="181">
        <v>0</v>
      </c>
      <c r="S1250" s="181"/>
      <c r="T1250" s="181"/>
      <c r="U1250" s="181"/>
      <c r="V1250" s="181"/>
      <c r="W1250" s="181"/>
      <c r="X1250" s="181"/>
      <c r="Y1250" s="181">
        <f t="shared" si="231"/>
        <v>3200</v>
      </c>
      <c r="Z1250" s="181">
        <f t="shared" si="232"/>
        <v>0</v>
      </c>
      <c r="AA1250" s="181"/>
      <c r="AB1250" s="181"/>
      <c r="AC1250" s="181"/>
      <c r="AD1250" s="181"/>
      <c r="AE1250" s="186"/>
      <c r="AF1250" s="195"/>
      <c r="AG1250" s="195"/>
      <c r="AH1250" s="195"/>
      <c r="AI1250" s="195"/>
      <c r="AJ1250" s="195"/>
      <c r="AK1250" s="195"/>
      <c r="AL1250" s="195"/>
      <c r="AM1250" s="195"/>
      <c r="AN1250" s="195"/>
      <c r="AO1250" s="195"/>
      <c r="AP1250" s="195"/>
      <c r="AQ1250" s="195"/>
      <c r="AR1250" s="195"/>
      <c r="AS1250" s="195"/>
    </row>
    <row r="1251" spans="1:45" x14ac:dyDescent="0.2">
      <c r="A1251" s="180"/>
      <c r="C1251" s="166" t="s">
        <v>450</v>
      </c>
      <c r="D1251" s="181">
        <f>12000000/1000</f>
        <v>12000</v>
      </c>
      <c r="E1251" s="181"/>
      <c r="F1251" s="181"/>
      <c r="G1251" s="181"/>
      <c r="H1251" s="181">
        <f>12000000/1000</f>
        <v>12000</v>
      </c>
      <c r="I1251" s="181"/>
      <c r="J1251" s="181"/>
      <c r="K1251" s="181"/>
      <c r="L1251" s="181"/>
      <c r="M1251" s="181"/>
      <c r="N1251" s="181"/>
      <c r="O1251" s="181"/>
      <c r="P1251" s="181"/>
      <c r="Q1251" s="181"/>
      <c r="R1251" s="181">
        <v>0</v>
      </c>
      <c r="S1251" s="181"/>
      <c r="T1251" s="181"/>
      <c r="U1251" s="181"/>
      <c r="V1251" s="181"/>
      <c r="W1251" s="181"/>
      <c r="X1251" s="181"/>
      <c r="Y1251" s="181">
        <f t="shared" si="231"/>
        <v>12000</v>
      </c>
      <c r="Z1251" s="181">
        <f t="shared" si="232"/>
        <v>0</v>
      </c>
      <c r="AA1251" s="181"/>
      <c r="AB1251" s="181"/>
      <c r="AC1251" s="181"/>
      <c r="AD1251" s="181"/>
      <c r="AE1251" s="186"/>
      <c r="AF1251" s="195"/>
      <c r="AG1251" s="195"/>
      <c r="AH1251" s="195"/>
      <c r="AI1251" s="195"/>
      <c r="AJ1251" s="195"/>
      <c r="AK1251" s="195"/>
      <c r="AL1251" s="195"/>
      <c r="AM1251" s="195"/>
      <c r="AN1251" s="195"/>
      <c r="AO1251" s="195"/>
      <c r="AP1251" s="195"/>
      <c r="AQ1251" s="195"/>
      <c r="AR1251" s="195"/>
      <c r="AS1251" s="195"/>
    </row>
    <row r="1252" spans="1:45" x14ac:dyDescent="0.2">
      <c r="A1252" s="180"/>
      <c r="C1252" s="165" t="s">
        <v>36</v>
      </c>
      <c r="D1252" s="181">
        <f>147111/1000</f>
        <v>147.11099999999999</v>
      </c>
      <c r="E1252" s="181">
        <f>TOBEPAID!E958/1000</f>
        <v>147.11099999999999</v>
      </c>
      <c r="F1252" s="181">
        <f>TOBEPAID!F958/1000</f>
        <v>0</v>
      </c>
      <c r="G1252" s="181">
        <f>TOBEPAID!G958/1000</f>
        <v>0</v>
      </c>
      <c r="H1252" s="181">
        <f>147111/1000</f>
        <v>147.11099999999999</v>
      </c>
      <c r="I1252" s="181">
        <f>TOBEPAID!I958/1000</f>
        <v>0</v>
      </c>
      <c r="J1252" s="181">
        <f>TOBEPAID!J958/1000</f>
        <v>0</v>
      </c>
      <c r="K1252" s="181">
        <f>TOBEPAID!K958/1000</f>
        <v>0</v>
      </c>
      <c r="L1252" s="181">
        <f>TOBEPAID!L958/1000</f>
        <v>0</v>
      </c>
      <c r="M1252" s="181">
        <f>TOBEPAID!M958/1000</f>
        <v>0</v>
      </c>
      <c r="N1252" s="181">
        <f>TOBEPAID!N958/1000</f>
        <v>147.11099999999999</v>
      </c>
      <c r="O1252" s="181">
        <f>TOBEPAID!O958/1000</f>
        <v>0</v>
      </c>
      <c r="P1252" s="181">
        <f>TOBEPAID!P958/1000</f>
        <v>0</v>
      </c>
      <c r="Q1252" s="181">
        <f>TOBEPAID!Q958/1000</f>
        <v>0</v>
      </c>
      <c r="R1252" s="181">
        <v>0</v>
      </c>
      <c r="S1252" s="181">
        <f>TOBEPAID!S958/1000</f>
        <v>0</v>
      </c>
      <c r="T1252" s="181">
        <f>TOBEPAID!T958/1000</f>
        <v>0</v>
      </c>
      <c r="U1252" s="181">
        <f>TOBEPAID!U958/1000</f>
        <v>0</v>
      </c>
      <c r="V1252" s="181">
        <f>TOBEPAID!V958/1000</f>
        <v>0</v>
      </c>
      <c r="W1252" s="181">
        <f>TOBEPAID!W958/1000</f>
        <v>0</v>
      </c>
      <c r="X1252" s="181">
        <f>TOBEPAID!X958/1000</f>
        <v>0</v>
      </c>
      <c r="Y1252" s="181">
        <f t="shared" si="231"/>
        <v>147.11099999999999</v>
      </c>
      <c r="Z1252" s="181">
        <f t="shared" si="232"/>
        <v>0</v>
      </c>
      <c r="AA1252" s="181">
        <f>TOBEPAID!AA958/1000</f>
        <v>147.11099999999999</v>
      </c>
      <c r="AB1252" s="181">
        <f>TOBEPAID!AB958/1000</f>
        <v>0</v>
      </c>
      <c r="AC1252" s="181"/>
      <c r="AD1252" s="181"/>
      <c r="AE1252" s="186" t="s">
        <v>36</v>
      </c>
      <c r="AF1252" s="195">
        <f>D1179+D1202+D1218+D1240</f>
        <v>10527.692000000001</v>
      </c>
      <c r="AG1252" s="195">
        <f>E1179+E1202+E1218+E1240</f>
        <v>0</v>
      </c>
      <c r="AH1252" s="195">
        <f>F1179+F1202+F1218+F1240</f>
        <v>0</v>
      </c>
      <c r="AI1252" s="195">
        <f t="shared" si="233"/>
        <v>0</v>
      </c>
      <c r="AJ1252" s="195">
        <f>L1179+L1202+L1218+L1240</f>
        <v>0</v>
      </c>
      <c r="AK1252" s="195">
        <f t="shared" si="234"/>
        <v>0</v>
      </c>
      <c r="AL1252" s="195">
        <f>O1179+O1202+O1218+O1240</f>
        <v>9914.9157599999999</v>
      </c>
      <c r="AM1252" s="195">
        <f>P1179+P1202+P1218+P1240</f>
        <v>872.51886000000002</v>
      </c>
      <c r="AN1252" s="195">
        <f t="shared" si="235"/>
        <v>10787.43462</v>
      </c>
      <c r="AO1252" s="195">
        <f>V1179+V1202+V1218+V1240</f>
        <v>0</v>
      </c>
      <c r="AP1252" s="195">
        <f t="shared" si="236"/>
        <v>10787.43462</v>
      </c>
      <c r="AQ1252" s="195">
        <f t="shared" si="237"/>
        <v>10787.43462</v>
      </c>
      <c r="AR1252" s="195">
        <f t="shared" si="238"/>
        <v>-259.74261999999908</v>
      </c>
      <c r="AS1252" s="195">
        <f t="shared" si="230"/>
        <v>-181.75341000000003</v>
      </c>
    </row>
    <row r="1253" spans="1:45" x14ac:dyDescent="0.2">
      <c r="A1253" s="180"/>
      <c r="C1253" s="165" t="s">
        <v>462</v>
      </c>
      <c r="D1253" s="181">
        <f>2360000/1000</f>
        <v>2360</v>
      </c>
      <c r="E1253" s="181">
        <f>TOBEPAID!E959/1000</f>
        <v>2359.7596200000003</v>
      </c>
      <c r="F1253" s="181">
        <f>TOBEPAID!F959/1000</f>
        <v>0</v>
      </c>
      <c r="G1253" s="181">
        <f>TOBEPAID!G959/1000</f>
        <v>0</v>
      </c>
      <c r="H1253" s="181">
        <f>2359759/1000</f>
        <v>2359.759</v>
      </c>
      <c r="I1253" s="181">
        <f>TOBEPAID!I959/1000</f>
        <v>0</v>
      </c>
      <c r="J1253" s="181">
        <f>TOBEPAID!J959/1000</f>
        <v>0</v>
      </c>
      <c r="K1253" s="181">
        <f>TOBEPAID!K959/1000</f>
        <v>0</v>
      </c>
      <c r="L1253" s="181">
        <f>TOBEPAID!L959/1000</f>
        <v>0</v>
      </c>
      <c r="M1253" s="181">
        <f>TOBEPAID!M959/1000</f>
        <v>0</v>
      </c>
      <c r="N1253" s="181">
        <f>TOBEPAID!N959/1000</f>
        <v>2359.7596200000003</v>
      </c>
      <c r="O1253" s="181">
        <f>TOBEPAID!O959/1000</f>
        <v>0</v>
      </c>
      <c r="P1253" s="181">
        <f>TOBEPAID!P959/1000</f>
        <v>0</v>
      </c>
      <c r="Q1253" s="181">
        <f>TOBEPAID!Q959/1000</f>
        <v>0</v>
      </c>
      <c r="R1253" s="181">
        <v>0</v>
      </c>
      <c r="S1253" s="181">
        <f>TOBEPAID!S959/1000</f>
        <v>0</v>
      </c>
      <c r="T1253" s="181">
        <f>TOBEPAID!T959/1000</f>
        <v>0</v>
      </c>
      <c r="U1253" s="181">
        <f>TOBEPAID!U959/1000</f>
        <v>0</v>
      </c>
      <c r="V1253" s="181">
        <f>TOBEPAID!V959/1000</f>
        <v>0</v>
      </c>
      <c r="W1253" s="181">
        <f>TOBEPAID!W959/1000</f>
        <v>0</v>
      </c>
      <c r="X1253" s="181">
        <f>TOBEPAID!X959/1000</f>
        <v>0</v>
      </c>
      <c r="Y1253" s="181">
        <f t="shared" si="231"/>
        <v>2359.759</v>
      </c>
      <c r="Z1253" s="181">
        <f t="shared" si="232"/>
        <v>0.24099999999998545</v>
      </c>
      <c r="AA1253" s="181">
        <f>TOBEPAID!AA959/1000</f>
        <v>2359.7596200000003</v>
      </c>
      <c r="AB1253" s="181">
        <f>TOBEPAID!AB959/1000</f>
        <v>0.24037999999988824</v>
      </c>
      <c r="AC1253" s="181"/>
      <c r="AD1253" s="181"/>
      <c r="AE1253" s="186" t="s">
        <v>183</v>
      </c>
      <c r="AF1253" s="195">
        <f>D1180+D1204+D1242</f>
        <v>374.16300000000001</v>
      </c>
      <c r="AG1253" s="195">
        <f>E1180+E1204+E1242</f>
        <v>0</v>
      </c>
      <c r="AH1253" s="195">
        <f>F1180+F1204+F1242</f>
        <v>0</v>
      </c>
      <c r="AI1253" s="195">
        <f t="shared" si="233"/>
        <v>0</v>
      </c>
      <c r="AJ1253" s="195">
        <f>L1180+L1204+L1242</f>
        <v>0</v>
      </c>
      <c r="AK1253" s="195">
        <f t="shared" si="234"/>
        <v>0</v>
      </c>
      <c r="AL1253" s="195">
        <f>O1180+O1204+O1242</f>
        <v>555.91641000000004</v>
      </c>
      <c r="AM1253" s="195">
        <f>P1180+P1204+P1242</f>
        <v>0</v>
      </c>
      <c r="AN1253" s="195">
        <f t="shared" si="235"/>
        <v>555.91641000000004</v>
      </c>
      <c r="AO1253" s="195">
        <f>V1180+V1204+V1242</f>
        <v>0</v>
      </c>
      <c r="AP1253" s="195">
        <f t="shared" si="236"/>
        <v>555.91641000000004</v>
      </c>
      <c r="AQ1253" s="195">
        <f t="shared" si="237"/>
        <v>555.91641000000004</v>
      </c>
      <c r="AR1253" s="195">
        <f t="shared" si="238"/>
        <v>-181.75341000000003</v>
      </c>
      <c r="AS1253" s="195">
        <f t="shared" si="230"/>
        <v>28408.962350000002</v>
      </c>
    </row>
    <row r="1254" spans="1:45" x14ac:dyDescent="0.2">
      <c r="A1254" s="180"/>
      <c r="D1254" s="182" t="s">
        <v>40</v>
      </c>
      <c r="E1254" s="182" t="s">
        <v>40</v>
      </c>
      <c r="F1254" s="182" t="s">
        <v>40</v>
      </c>
      <c r="G1254" s="182"/>
      <c r="H1254" s="182" t="s">
        <v>40</v>
      </c>
      <c r="I1254" s="182" t="s">
        <v>40</v>
      </c>
      <c r="J1254" s="182" t="s">
        <v>40</v>
      </c>
      <c r="K1254" s="182" t="s">
        <v>40</v>
      </c>
      <c r="L1254" s="182" t="s">
        <v>40</v>
      </c>
      <c r="M1254" s="182"/>
      <c r="N1254" s="182" t="s">
        <v>40</v>
      </c>
      <c r="O1254" s="182" t="s">
        <v>40</v>
      </c>
      <c r="P1254" s="182" t="s">
        <v>40</v>
      </c>
      <c r="Q1254" s="182"/>
      <c r="R1254" s="182" t="s">
        <v>40</v>
      </c>
      <c r="S1254" s="182" t="s">
        <v>40</v>
      </c>
      <c r="T1254" s="182" t="s">
        <v>40</v>
      </c>
      <c r="U1254" s="182" t="s">
        <v>40</v>
      </c>
      <c r="V1254" s="182" t="s">
        <v>40</v>
      </c>
      <c r="W1254" s="182"/>
      <c r="X1254" s="182" t="s">
        <v>40</v>
      </c>
      <c r="Y1254" s="182" t="s">
        <v>40</v>
      </c>
      <c r="Z1254" s="182" t="s">
        <v>40</v>
      </c>
      <c r="AA1254" s="182" t="s">
        <v>40</v>
      </c>
      <c r="AB1254" s="182" t="s">
        <v>40</v>
      </c>
      <c r="AC1254" s="182"/>
      <c r="AD1254" s="182"/>
      <c r="AE1254" s="186" t="s">
        <v>184</v>
      </c>
      <c r="AF1254" s="195">
        <f t="shared" ref="AF1254:AH1255" si="239">D1190+D1212</f>
        <v>38724.033000000003</v>
      </c>
      <c r="AG1254" s="195">
        <f t="shared" si="239"/>
        <v>0</v>
      </c>
      <c r="AH1254" s="195">
        <f t="shared" si="239"/>
        <v>0</v>
      </c>
      <c r="AI1254" s="195">
        <f t="shared" si="233"/>
        <v>0</v>
      </c>
      <c r="AJ1254" s="195">
        <f>L1190+L1212</f>
        <v>0</v>
      </c>
      <c r="AK1254" s="195">
        <f t="shared" si="234"/>
        <v>0</v>
      </c>
      <c r="AL1254" s="195">
        <f>O1190+O1212</f>
        <v>10315.07065</v>
      </c>
      <c r="AM1254" s="195">
        <f>P1190+P1212</f>
        <v>0</v>
      </c>
      <c r="AN1254" s="195">
        <f t="shared" si="235"/>
        <v>10315.07065</v>
      </c>
      <c r="AO1254" s="195">
        <f>V1190+V1212</f>
        <v>0</v>
      </c>
      <c r="AP1254" s="195">
        <f t="shared" si="236"/>
        <v>10315.07065</v>
      </c>
      <c r="AQ1254" s="195">
        <f t="shared" si="237"/>
        <v>10315.07065</v>
      </c>
      <c r="AR1254" s="195">
        <f t="shared" si="238"/>
        <v>28408.962350000002</v>
      </c>
      <c r="AS1254" s="195">
        <f t="shared" si="230"/>
        <v>-0.10082999999940512</v>
      </c>
    </row>
    <row r="1255" spans="1:45" x14ac:dyDescent="0.2">
      <c r="A1255" s="180"/>
      <c r="D1255" s="191">
        <f>SUM(D1248:D1253)</f>
        <v>75059.987000000008</v>
      </c>
      <c r="E1255" s="191">
        <f>SUM(E1248:E1253)</f>
        <v>2506.8706200000001</v>
      </c>
      <c r="F1255" s="191">
        <f>SUM(F1248:F1253)</f>
        <v>0</v>
      </c>
      <c r="G1255" s="191"/>
      <c r="H1255" s="191">
        <f>SUM(H1248:H1253)</f>
        <v>63761.085749999998</v>
      </c>
      <c r="I1255" s="191">
        <f>SUM(I1248:I1253)</f>
        <v>0</v>
      </c>
      <c r="J1255" s="191">
        <f>SUM(J1248:J1253)</f>
        <v>0</v>
      </c>
      <c r="K1255" s="191">
        <f>SUM(K1248:K1253)</f>
        <v>0</v>
      </c>
      <c r="L1255" s="191">
        <f>SUM(L1248:L1253)</f>
        <v>0</v>
      </c>
      <c r="M1255" s="191"/>
      <c r="N1255" s="191">
        <f>SUM(N1248:N1253)</f>
        <v>2506.8706200000001</v>
      </c>
      <c r="O1255" s="191">
        <f>SUM(O1248:O1253)</f>
        <v>197.4452</v>
      </c>
      <c r="P1255" s="191">
        <f>SUM(P1248:P1253)</f>
        <v>0</v>
      </c>
      <c r="Q1255" s="191"/>
      <c r="R1255" s="191">
        <f>SUM(R1248:R1253)</f>
        <v>537.23299999999995</v>
      </c>
      <c r="S1255" s="191">
        <f>SUM(S1248:S1253)</f>
        <v>0</v>
      </c>
      <c r="T1255" s="191">
        <f>SUM(T1248:T1253)</f>
        <v>0</v>
      </c>
      <c r="U1255" s="191">
        <f>SUM(U1248:U1253)</f>
        <v>0</v>
      </c>
      <c r="V1255" s="191">
        <f>SUM(V1248:V1253)</f>
        <v>0</v>
      </c>
      <c r="W1255" s="191"/>
      <c r="X1255" s="191">
        <f>SUM(X1248:X1253)</f>
        <v>197.4452</v>
      </c>
      <c r="Y1255" s="191">
        <f>SUM(Y1248:Y1253)</f>
        <v>64298.318749999999</v>
      </c>
      <c r="Z1255" s="191">
        <f>SUM(Z1248:Z1253)</f>
        <v>10761.668249999997</v>
      </c>
      <c r="AA1255" s="191">
        <f>SUM(AA1248:AA1253)</f>
        <v>2704.3158200000003</v>
      </c>
      <c r="AB1255" s="191">
        <f>SUM(AB1248:AB1253)</f>
        <v>2454.6712699999994</v>
      </c>
      <c r="AC1255" s="191"/>
      <c r="AD1255" s="191"/>
      <c r="AE1255" s="186" t="s">
        <v>53</v>
      </c>
      <c r="AF1255" s="195">
        <f t="shared" si="239"/>
        <v>26496.792000000001</v>
      </c>
      <c r="AG1255" s="195">
        <f t="shared" si="239"/>
        <v>0</v>
      </c>
      <c r="AH1255" s="195">
        <f t="shared" si="239"/>
        <v>0</v>
      </c>
      <c r="AI1255" s="195">
        <f t="shared" si="233"/>
        <v>0</v>
      </c>
      <c r="AJ1255" s="195">
        <f>L1191+L1213</f>
        <v>0</v>
      </c>
      <c r="AK1255" s="195">
        <f t="shared" si="234"/>
        <v>0</v>
      </c>
      <c r="AL1255" s="195">
        <f>O1191+O1213</f>
        <v>26496.892830000001</v>
      </c>
      <c r="AM1255" s="195">
        <f>P1191+P1213</f>
        <v>0</v>
      </c>
      <c r="AN1255" s="195">
        <f t="shared" si="235"/>
        <v>26496.892830000001</v>
      </c>
      <c r="AO1255" s="195">
        <f>V1191+V1213</f>
        <v>0</v>
      </c>
      <c r="AP1255" s="195">
        <f t="shared" si="236"/>
        <v>26496.892830000001</v>
      </c>
      <c r="AQ1255" s="195">
        <f t="shared" si="237"/>
        <v>26496.892830000001</v>
      </c>
      <c r="AR1255" s="195">
        <f t="shared" si="238"/>
        <v>-0.10082999999940512</v>
      </c>
      <c r="AS1255" s="195">
        <f t="shared" si="230"/>
        <v>0</v>
      </c>
    </row>
    <row r="1256" spans="1:45" x14ac:dyDescent="0.2">
      <c r="A1256" s="180"/>
      <c r="D1256" s="182" t="s">
        <v>40</v>
      </c>
      <c r="E1256" s="182" t="s">
        <v>40</v>
      </c>
      <c r="F1256" s="182" t="s">
        <v>40</v>
      </c>
      <c r="G1256" s="182"/>
      <c r="H1256" s="182" t="s">
        <v>40</v>
      </c>
      <c r="I1256" s="182" t="s">
        <v>40</v>
      </c>
      <c r="J1256" s="182" t="s">
        <v>40</v>
      </c>
      <c r="K1256" s="182" t="s">
        <v>40</v>
      </c>
      <c r="L1256" s="182" t="s">
        <v>40</v>
      </c>
      <c r="M1256" s="182"/>
      <c r="N1256" s="182" t="s">
        <v>40</v>
      </c>
      <c r="O1256" s="182" t="s">
        <v>40</v>
      </c>
      <c r="P1256" s="182" t="s">
        <v>40</v>
      </c>
      <c r="Q1256" s="182"/>
      <c r="R1256" s="182" t="s">
        <v>40</v>
      </c>
      <c r="S1256" s="182" t="s">
        <v>40</v>
      </c>
      <c r="T1256" s="182" t="s">
        <v>40</v>
      </c>
      <c r="U1256" s="182" t="s">
        <v>40</v>
      </c>
      <c r="V1256" s="182" t="s">
        <v>40</v>
      </c>
      <c r="W1256" s="182"/>
      <c r="X1256" s="182" t="s">
        <v>40</v>
      </c>
      <c r="Y1256" s="182" t="s">
        <v>40</v>
      </c>
      <c r="Z1256" s="182" t="s">
        <v>40</v>
      </c>
      <c r="AA1256" s="182" t="s">
        <v>40</v>
      </c>
      <c r="AB1256" s="182" t="s">
        <v>40</v>
      </c>
      <c r="AC1256" s="182"/>
      <c r="AD1256" s="182"/>
      <c r="AE1256" s="186" t="s">
        <v>54</v>
      </c>
      <c r="AF1256" s="195">
        <f>+D1201</f>
        <v>0</v>
      </c>
      <c r="AG1256" s="195">
        <f>+E1201</f>
        <v>0</v>
      </c>
      <c r="AH1256" s="195">
        <f>+F1201</f>
        <v>0</v>
      </c>
      <c r="AI1256" s="195">
        <f t="shared" si="233"/>
        <v>0</v>
      </c>
      <c r="AJ1256" s="195">
        <f>+L1201</f>
        <v>0</v>
      </c>
      <c r="AK1256" s="195">
        <f t="shared" si="234"/>
        <v>0</v>
      </c>
      <c r="AL1256" s="195">
        <f>+O1201</f>
        <v>0</v>
      </c>
      <c r="AM1256" s="195">
        <f>+P1201</f>
        <v>0</v>
      </c>
      <c r="AN1256" s="195">
        <f t="shared" si="235"/>
        <v>0</v>
      </c>
      <c r="AO1256" s="195">
        <f>+V1201</f>
        <v>0</v>
      </c>
      <c r="AP1256" s="195">
        <f t="shared" si="236"/>
        <v>0</v>
      </c>
      <c r="AQ1256" s="195">
        <f t="shared" si="237"/>
        <v>0</v>
      </c>
      <c r="AR1256" s="195">
        <f t="shared" si="238"/>
        <v>0</v>
      </c>
    </row>
    <row r="1257" spans="1:45" x14ac:dyDescent="0.2">
      <c r="A1257" s="180"/>
      <c r="D1257" s="182"/>
      <c r="E1257" s="182"/>
      <c r="F1257" s="182"/>
      <c r="G1257" s="182"/>
      <c r="H1257" s="182"/>
      <c r="I1257" s="182"/>
      <c r="J1257" s="182"/>
      <c r="K1257" s="182"/>
      <c r="L1257" s="182"/>
      <c r="M1257" s="182"/>
      <c r="N1257" s="182"/>
      <c r="O1257" s="182"/>
      <c r="P1257" s="182"/>
      <c r="Q1257" s="182"/>
      <c r="R1257" s="250" t="s">
        <v>420</v>
      </c>
      <c r="S1257" s="167"/>
      <c r="T1257" s="182"/>
      <c r="U1257" s="182"/>
      <c r="V1257" s="182"/>
      <c r="W1257" s="182"/>
      <c r="X1257" s="182"/>
      <c r="Y1257" s="182"/>
      <c r="Z1257" s="182"/>
      <c r="AA1257" s="182"/>
      <c r="AB1257" s="182"/>
      <c r="AC1257" s="182"/>
      <c r="AD1257" s="182"/>
      <c r="AE1257" s="186"/>
      <c r="AF1257" s="195"/>
      <c r="AG1257" s="195"/>
      <c r="AH1257" s="195"/>
      <c r="AI1257" s="195"/>
      <c r="AJ1257" s="195"/>
      <c r="AK1257" s="195"/>
      <c r="AL1257" s="195"/>
      <c r="AM1257" s="195"/>
      <c r="AN1257" s="195"/>
      <c r="AO1257" s="195"/>
      <c r="AP1257" s="195"/>
      <c r="AQ1257" s="195"/>
      <c r="AR1257" s="195"/>
    </row>
    <row r="1258" spans="1:45" x14ac:dyDescent="0.2">
      <c r="A1258" s="180"/>
      <c r="D1258" s="182"/>
      <c r="E1258" s="182"/>
      <c r="F1258" s="182"/>
      <c r="G1258" s="182"/>
      <c r="H1258" s="182"/>
      <c r="I1258" s="182"/>
      <c r="J1258" s="182"/>
      <c r="K1258" s="182"/>
      <c r="L1258" s="182"/>
      <c r="M1258" s="182"/>
      <c r="N1258" s="182"/>
      <c r="O1258" s="182"/>
      <c r="P1258" s="182"/>
      <c r="Q1258" s="182"/>
      <c r="R1258" s="240" t="s">
        <v>421</v>
      </c>
      <c r="S1258" s="240"/>
      <c r="T1258" s="182"/>
      <c r="U1258" s="182"/>
      <c r="V1258" s="182"/>
      <c r="W1258" s="182"/>
      <c r="X1258" s="182"/>
      <c r="Y1258" s="182"/>
      <c r="Z1258" s="182"/>
      <c r="AA1258" s="182"/>
      <c r="AB1258" s="182"/>
      <c r="AC1258" s="182"/>
      <c r="AD1258" s="182"/>
      <c r="AE1258" s="186"/>
      <c r="AF1258" s="195"/>
      <c r="AG1258" s="195"/>
      <c r="AH1258" s="195"/>
      <c r="AI1258" s="195"/>
      <c r="AJ1258" s="195"/>
      <c r="AK1258" s="195"/>
      <c r="AL1258" s="195"/>
      <c r="AM1258" s="195"/>
      <c r="AN1258" s="195"/>
      <c r="AO1258" s="195"/>
      <c r="AP1258" s="195"/>
      <c r="AQ1258" s="195"/>
      <c r="AR1258" s="195"/>
    </row>
    <row r="1259" spans="1:45" x14ac:dyDescent="0.2">
      <c r="A1259" s="180"/>
      <c r="D1259" s="182"/>
      <c r="E1259" s="182"/>
      <c r="F1259" s="182"/>
      <c r="G1259" s="182"/>
      <c r="H1259" s="182"/>
      <c r="I1259" s="182"/>
      <c r="J1259" s="182"/>
      <c r="K1259" s="182"/>
      <c r="L1259" s="182"/>
      <c r="M1259" s="182"/>
      <c r="N1259" s="182"/>
      <c r="O1259" s="182"/>
      <c r="P1259" s="182"/>
      <c r="Q1259" s="182"/>
      <c r="R1259" s="240" t="s">
        <v>422</v>
      </c>
      <c r="S1259" s="167"/>
      <c r="T1259" s="182"/>
      <c r="U1259" s="182"/>
      <c r="V1259" s="182"/>
      <c r="W1259" s="182"/>
      <c r="X1259" s="182"/>
      <c r="Y1259" s="182"/>
      <c r="Z1259" s="182"/>
      <c r="AA1259" s="182"/>
      <c r="AB1259" s="182"/>
      <c r="AC1259" s="182"/>
      <c r="AD1259" s="182"/>
      <c r="AE1259" s="186"/>
      <c r="AF1259" s="195"/>
      <c r="AG1259" s="195"/>
      <c r="AH1259" s="195"/>
      <c r="AI1259" s="195"/>
      <c r="AJ1259" s="195"/>
      <c r="AK1259" s="195"/>
      <c r="AL1259" s="195"/>
      <c r="AM1259" s="195"/>
      <c r="AN1259" s="195"/>
      <c r="AO1259" s="195"/>
      <c r="AP1259" s="195"/>
      <c r="AQ1259" s="195"/>
      <c r="AR1259" s="195"/>
    </row>
    <row r="1260" spans="1:45" x14ac:dyDescent="0.2">
      <c r="A1260" s="180"/>
      <c r="D1260" s="182"/>
      <c r="E1260" s="182"/>
      <c r="F1260" s="182"/>
      <c r="G1260" s="182"/>
      <c r="H1260" s="182"/>
      <c r="I1260" s="182"/>
      <c r="J1260" s="182"/>
      <c r="K1260" s="182"/>
      <c r="L1260" s="182"/>
      <c r="M1260" s="182"/>
      <c r="N1260" s="182"/>
      <c r="O1260" s="182"/>
      <c r="P1260" s="182"/>
      <c r="Q1260" s="182"/>
      <c r="R1260" s="240" t="s">
        <v>423</v>
      </c>
      <c r="S1260" s="167"/>
      <c r="T1260" s="182"/>
      <c r="U1260" s="182"/>
      <c r="V1260" s="182"/>
      <c r="W1260" s="182"/>
      <c r="X1260" s="182"/>
      <c r="Y1260" s="182"/>
      <c r="Z1260" s="182"/>
      <c r="AA1260" s="182"/>
      <c r="AB1260" s="182"/>
      <c r="AC1260" s="182"/>
      <c r="AD1260" s="182"/>
      <c r="AE1260" s="186"/>
      <c r="AF1260" s="195"/>
      <c r="AG1260" s="195"/>
      <c r="AH1260" s="195"/>
      <c r="AI1260" s="195"/>
      <c r="AJ1260" s="195"/>
      <c r="AK1260" s="195"/>
      <c r="AL1260" s="195"/>
      <c r="AM1260" s="195"/>
      <c r="AN1260" s="195"/>
      <c r="AO1260" s="195"/>
      <c r="AP1260" s="195"/>
      <c r="AQ1260" s="195"/>
      <c r="AR1260" s="195"/>
    </row>
    <row r="1261" spans="1:45" ht="15.75" thickBot="1" x14ac:dyDescent="0.25">
      <c r="A1261" s="180"/>
      <c r="D1261" s="182"/>
      <c r="E1261" s="182"/>
      <c r="F1261" s="182"/>
      <c r="G1261" s="182"/>
      <c r="H1261" s="182"/>
      <c r="I1261" s="182"/>
      <c r="J1261" s="182"/>
      <c r="K1261" s="182"/>
      <c r="L1261" s="182"/>
      <c r="M1261" s="182"/>
      <c r="N1261" s="182"/>
      <c r="O1261" s="182"/>
      <c r="P1261" s="182"/>
      <c r="Q1261" s="182"/>
      <c r="R1261" s="240" t="s">
        <v>424</v>
      </c>
      <c r="S1261" s="244"/>
      <c r="T1261" s="182"/>
      <c r="U1261" s="182"/>
      <c r="V1261" s="182"/>
      <c r="W1261" s="182"/>
      <c r="X1261" s="182"/>
      <c r="Y1261" s="182"/>
      <c r="Z1261" s="182"/>
      <c r="AA1261" s="182"/>
      <c r="AB1261" s="182"/>
      <c r="AC1261" s="182"/>
      <c r="AD1261" s="182"/>
      <c r="AE1261" s="186"/>
      <c r="AF1261" s="195"/>
      <c r="AG1261" s="195"/>
      <c r="AH1261" s="195"/>
      <c r="AI1261" s="195"/>
      <c r="AJ1261" s="195"/>
      <c r="AK1261" s="195"/>
      <c r="AL1261" s="195"/>
      <c r="AM1261" s="195"/>
      <c r="AN1261" s="195"/>
      <c r="AO1261" s="195"/>
      <c r="AP1261" s="195"/>
      <c r="AQ1261" s="195"/>
      <c r="AR1261" s="195"/>
    </row>
    <row r="1262" spans="1:45" ht="15.75" thickTop="1" x14ac:dyDescent="0.2">
      <c r="A1262" s="180"/>
      <c r="D1262" s="182"/>
      <c r="E1262" s="182"/>
      <c r="F1262" s="182"/>
      <c r="G1262" s="182"/>
      <c r="H1262" s="182"/>
      <c r="I1262" s="182"/>
      <c r="J1262" s="182"/>
      <c r="K1262" s="182"/>
      <c r="L1262" s="182"/>
      <c r="M1262" s="182"/>
      <c r="N1262" s="182"/>
      <c r="O1262" s="182"/>
      <c r="P1262" s="182"/>
      <c r="Q1262" s="182"/>
      <c r="R1262" s="182"/>
      <c r="S1262" s="182"/>
      <c r="T1262" s="182"/>
      <c r="U1262" s="182"/>
      <c r="V1262" s="182"/>
      <c r="W1262" s="182"/>
      <c r="X1262" s="182"/>
      <c r="Y1262" s="182"/>
      <c r="Z1262" s="182"/>
      <c r="AA1262" s="182"/>
      <c r="AB1262" s="182"/>
      <c r="AC1262" s="182"/>
      <c r="AD1262" s="182"/>
      <c r="AE1262" s="186"/>
      <c r="AF1262" s="195"/>
      <c r="AG1262" s="195"/>
      <c r="AH1262" s="195"/>
      <c r="AI1262" s="195"/>
      <c r="AJ1262" s="195"/>
      <c r="AK1262" s="195"/>
      <c r="AL1262" s="195"/>
      <c r="AM1262" s="195"/>
      <c r="AN1262" s="195"/>
      <c r="AO1262" s="195"/>
      <c r="AP1262" s="195"/>
      <c r="AQ1262" s="195"/>
      <c r="AR1262" s="195"/>
    </row>
    <row r="1263" spans="1:45" x14ac:dyDescent="0.2">
      <c r="A1263" s="180"/>
      <c r="D1263" s="182"/>
      <c r="E1263" s="182"/>
      <c r="F1263" s="182"/>
      <c r="G1263" s="182"/>
      <c r="H1263" s="182"/>
      <c r="I1263" s="182"/>
      <c r="J1263" s="182"/>
      <c r="K1263" s="182"/>
      <c r="L1263" s="182"/>
      <c r="M1263" s="182"/>
      <c r="N1263" s="182"/>
      <c r="O1263" s="182"/>
      <c r="P1263" s="182"/>
      <c r="Q1263" s="182"/>
      <c r="R1263" s="182"/>
      <c r="S1263" s="182"/>
      <c r="T1263" s="182"/>
      <c r="U1263" s="182"/>
      <c r="V1263" s="182"/>
      <c r="W1263" s="182"/>
      <c r="X1263" s="182"/>
      <c r="Y1263" s="182"/>
      <c r="Z1263" s="182"/>
      <c r="AA1263" s="182"/>
      <c r="AB1263" s="182"/>
      <c r="AC1263" s="182"/>
      <c r="AD1263" s="182"/>
      <c r="AE1263" s="186"/>
      <c r="AF1263" s="195"/>
      <c r="AG1263" s="195"/>
      <c r="AH1263" s="195"/>
      <c r="AI1263" s="195"/>
      <c r="AJ1263" s="195"/>
      <c r="AK1263" s="195"/>
      <c r="AL1263" s="195"/>
      <c r="AM1263" s="195"/>
      <c r="AN1263" s="195"/>
      <c r="AO1263" s="195"/>
      <c r="AP1263" s="195"/>
      <c r="AQ1263" s="195"/>
      <c r="AR1263" s="195"/>
    </row>
    <row r="1264" spans="1:45" x14ac:dyDescent="0.2">
      <c r="A1264" s="180"/>
      <c r="D1264" s="182"/>
      <c r="E1264" s="182"/>
      <c r="F1264" s="182"/>
      <c r="G1264" s="182"/>
      <c r="H1264" s="182"/>
      <c r="I1264" s="182"/>
      <c r="J1264" s="182"/>
      <c r="K1264" s="182"/>
      <c r="L1264" s="182"/>
      <c r="M1264" s="182"/>
      <c r="N1264" s="182"/>
      <c r="O1264" s="182"/>
      <c r="P1264" s="182"/>
      <c r="Q1264" s="182"/>
      <c r="R1264" s="182"/>
      <c r="S1264" s="182"/>
      <c r="T1264" s="182"/>
      <c r="U1264" s="182"/>
      <c r="V1264" s="182"/>
      <c r="W1264" s="182"/>
      <c r="X1264" s="182"/>
      <c r="Y1264" s="182"/>
      <c r="Z1264" s="182"/>
      <c r="AA1264" s="182"/>
      <c r="AB1264" s="182"/>
      <c r="AC1264" s="182"/>
      <c r="AD1264" s="182"/>
      <c r="AE1264" s="186"/>
      <c r="AF1264" s="195"/>
      <c r="AG1264" s="195"/>
      <c r="AH1264" s="195"/>
      <c r="AI1264" s="195"/>
      <c r="AJ1264" s="195"/>
      <c r="AK1264" s="195"/>
      <c r="AL1264" s="195"/>
      <c r="AM1264" s="195"/>
      <c r="AN1264" s="195"/>
      <c r="AO1264" s="195"/>
      <c r="AP1264" s="195"/>
      <c r="AQ1264" s="195"/>
      <c r="AR1264" s="195"/>
    </row>
    <row r="1265" spans="1:45" x14ac:dyDescent="0.2">
      <c r="A1265" s="180"/>
      <c r="D1265" s="182"/>
      <c r="E1265" s="182"/>
      <c r="F1265" s="182"/>
      <c r="G1265" s="182"/>
      <c r="H1265" s="182"/>
      <c r="I1265" s="182"/>
      <c r="J1265" s="182"/>
      <c r="K1265" s="182"/>
      <c r="L1265" s="182"/>
      <c r="M1265" s="182"/>
      <c r="N1265" s="182"/>
      <c r="O1265" s="182"/>
      <c r="P1265" s="182"/>
      <c r="Q1265" s="182"/>
      <c r="R1265" s="182"/>
      <c r="S1265" s="182"/>
      <c r="T1265" s="182"/>
      <c r="U1265" s="182"/>
      <c r="V1265" s="182"/>
      <c r="W1265" s="182"/>
      <c r="X1265" s="182"/>
      <c r="Y1265" s="182"/>
      <c r="Z1265" s="182"/>
      <c r="AA1265" s="182"/>
      <c r="AB1265" s="182"/>
      <c r="AC1265" s="182"/>
      <c r="AD1265" s="182"/>
      <c r="AE1265" s="186"/>
      <c r="AF1265" s="195"/>
      <c r="AG1265" s="195"/>
      <c r="AH1265" s="195"/>
      <c r="AI1265" s="195"/>
      <c r="AJ1265" s="195"/>
      <c r="AK1265" s="195"/>
      <c r="AL1265" s="195"/>
      <c r="AM1265" s="195"/>
      <c r="AN1265" s="195"/>
      <c r="AO1265" s="195"/>
      <c r="AP1265" s="195"/>
      <c r="AQ1265" s="195"/>
      <c r="AR1265" s="195"/>
    </row>
    <row r="1266" spans="1:45" x14ac:dyDescent="0.2">
      <c r="A1266" s="180"/>
      <c r="D1266" s="182"/>
      <c r="E1266" s="182"/>
      <c r="F1266" s="182"/>
      <c r="G1266" s="182"/>
      <c r="H1266" s="182"/>
      <c r="I1266" s="182"/>
      <c r="J1266" s="182"/>
      <c r="K1266" s="182"/>
      <c r="L1266" s="182"/>
      <c r="M1266" s="182"/>
      <c r="N1266" s="182"/>
      <c r="O1266" s="182"/>
      <c r="P1266" s="182"/>
      <c r="Q1266" s="182"/>
      <c r="R1266" s="182"/>
      <c r="S1266" s="182"/>
      <c r="T1266" s="182"/>
      <c r="U1266" s="182"/>
      <c r="V1266" s="182"/>
      <c r="W1266" s="182"/>
      <c r="X1266" s="182"/>
      <c r="Y1266" s="182"/>
      <c r="Z1266" s="182"/>
      <c r="AA1266" s="182"/>
      <c r="AB1266" s="182"/>
      <c r="AC1266" s="182"/>
      <c r="AD1266" s="182"/>
      <c r="AE1266" s="186"/>
      <c r="AF1266" s="195"/>
      <c r="AG1266" s="195"/>
      <c r="AH1266" s="195"/>
      <c r="AI1266" s="195"/>
      <c r="AJ1266" s="195"/>
      <c r="AK1266" s="195"/>
      <c r="AL1266" s="195"/>
      <c r="AM1266" s="195"/>
      <c r="AN1266" s="195"/>
      <c r="AO1266" s="195"/>
      <c r="AP1266" s="195"/>
      <c r="AQ1266" s="195"/>
      <c r="AR1266" s="195"/>
    </row>
    <row r="1267" spans="1:45" x14ac:dyDescent="0.2">
      <c r="A1267" s="180">
        <v>99</v>
      </c>
      <c r="B1267" s="165" t="s">
        <v>230</v>
      </c>
      <c r="C1267" s="166" t="s">
        <v>35</v>
      </c>
      <c r="D1267" s="181">
        <f>57052383/1000</f>
        <v>57052.383000000002</v>
      </c>
      <c r="E1267" s="181">
        <f>TOBEPAID!E963/1000</f>
        <v>0</v>
      </c>
      <c r="F1267" s="181">
        <f>TOBEPAID!F963/1000</f>
        <v>0</v>
      </c>
      <c r="G1267" s="181">
        <f>TOBEPAID!G963/1000</f>
        <v>0</v>
      </c>
      <c r="H1267" s="181">
        <f>56192248/1000</f>
        <v>56192.248</v>
      </c>
      <c r="I1267" s="181">
        <f>TOBEPAID!I963/1000</f>
        <v>0</v>
      </c>
      <c r="J1267" s="181">
        <f>TOBEPAID!J963/1000</f>
        <v>0</v>
      </c>
      <c r="K1267" s="181">
        <f>TOBEPAID!K963/1000</f>
        <v>0</v>
      </c>
      <c r="L1267" s="181">
        <f>TOBEPAID!L963/1000</f>
        <v>0</v>
      </c>
      <c r="M1267" s="181">
        <f>TOBEPAID!M963/1000</f>
        <v>0</v>
      </c>
      <c r="N1267" s="181">
        <f>TOBEPAID!N963/1000</f>
        <v>0</v>
      </c>
      <c r="O1267" s="181">
        <f>TOBEPAID!O963/1000</f>
        <v>407.18637000000001</v>
      </c>
      <c r="P1267" s="181">
        <f>TOBEPAID!P963/1000</f>
        <v>0</v>
      </c>
      <c r="Q1267" s="181">
        <f>TOBEPAID!Q963/1000</f>
        <v>0</v>
      </c>
      <c r="R1267" s="181">
        <f>407186/1000</f>
        <v>407.18599999999998</v>
      </c>
      <c r="S1267" s="181">
        <f>TOBEPAID!S963/1000</f>
        <v>0</v>
      </c>
      <c r="T1267" s="181">
        <f>TOBEPAID!T963/1000</f>
        <v>0</v>
      </c>
      <c r="U1267" s="181">
        <f>TOBEPAID!U963/1000</f>
        <v>0</v>
      </c>
      <c r="V1267" s="181">
        <f>TOBEPAID!V963/1000</f>
        <v>0</v>
      </c>
      <c r="W1267" s="181">
        <f>TOBEPAID!W963/1000</f>
        <v>0</v>
      </c>
      <c r="X1267" s="181">
        <f>TOBEPAID!X963/1000</f>
        <v>407.18637000000001</v>
      </c>
      <c r="Y1267" s="181">
        <f t="shared" ref="Y1267:Y1273" si="240">+H1267+R1267</f>
        <v>56599.434000000001</v>
      </c>
      <c r="Z1267" s="181">
        <f t="shared" ref="Z1267:Z1273" si="241">+D1267-Y1267</f>
        <v>452.94900000000052</v>
      </c>
      <c r="AA1267" s="181">
        <f>TOBEPAID!AA963/1000</f>
        <v>407.18637000000001</v>
      </c>
      <c r="AB1267" s="181">
        <f>TOBEPAID!AB963/1000</f>
        <v>56645.197340000006</v>
      </c>
      <c r="AC1267" s="181"/>
      <c r="AD1267" s="181"/>
      <c r="AE1267" s="186" t="s">
        <v>264</v>
      </c>
      <c r="AS1267" s="195">
        <f>+AF1270-AK1270-AP1270</f>
        <v>-9.7907300000006217</v>
      </c>
    </row>
    <row r="1268" spans="1:45" x14ac:dyDescent="0.2">
      <c r="A1268" s="180"/>
      <c r="C1268" s="166" t="s">
        <v>475</v>
      </c>
      <c r="D1268" s="181">
        <f>1614000/1000</f>
        <v>1614</v>
      </c>
      <c r="E1268" s="181"/>
      <c r="F1268" s="181"/>
      <c r="G1268" s="181"/>
      <c r="H1268" s="181">
        <f>1614000/1000</f>
        <v>1614</v>
      </c>
      <c r="I1268" s="181"/>
      <c r="J1268" s="181"/>
      <c r="K1268" s="181"/>
      <c r="L1268" s="181"/>
      <c r="M1268" s="181"/>
      <c r="N1268" s="181"/>
      <c r="O1268" s="181"/>
      <c r="P1268" s="181"/>
      <c r="Q1268" s="181"/>
      <c r="R1268" s="181">
        <v>0</v>
      </c>
      <c r="S1268" s="181"/>
      <c r="T1268" s="181"/>
      <c r="U1268" s="181"/>
      <c r="V1268" s="181"/>
      <c r="W1268" s="181"/>
      <c r="X1268" s="181"/>
      <c r="Y1268" s="181">
        <f>+H1268+R1268</f>
        <v>1614</v>
      </c>
      <c r="Z1268" s="181">
        <f>+D1268-Y1268</f>
        <v>0</v>
      </c>
      <c r="AA1268" s="181"/>
      <c r="AB1268" s="181"/>
      <c r="AC1268" s="181"/>
      <c r="AD1268" s="181"/>
      <c r="AE1268" s="186"/>
      <c r="AS1268" s="195"/>
    </row>
    <row r="1269" spans="1:45" x14ac:dyDescent="0.2">
      <c r="A1269" s="180"/>
      <c r="C1269" s="166" t="s">
        <v>296</v>
      </c>
      <c r="D1269" s="181">
        <f>259301000/1000</f>
        <v>259301</v>
      </c>
      <c r="E1269" s="181"/>
      <c r="F1269" s="181"/>
      <c r="G1269" s="181"/>
      <c r="H1269" s="181">
        <f>24948796/1000</f>
        <v>24948.795999999998</v>
      </c>
      <c r="I1269" s="181"/>
      <c r="J1269" s="181"/>
      <c r="K1269" s="181"/>
      <c r="L1269" s="181"/>
      <c r="M1269" s="181"/>
      <c r="N1269" s="181"/>
      <c r="O1269" s="181"/>
      <c r="P1269" s="181"/>
      <c r="Q1269" s="181"/>
      <c r="R1269" s="181">
        <v>0</v>
      </c>
      <c r="S1269" s="181"/>
      <c r="T1269" s="181"/>
      <c r="U1269" s="181"/>
      <c r="V1269" s="181"/>
      <c r="W1269" s="181"/>
      <c r="X1269" s="181"/>
      <c r="Y1269" s="181">
        <f t="shared" si="240"/>
        <v>24948.795999999998</v>
      </c>
      <c r="Z1269" s="181">
        <f t="shared" si="241"/>
        <v>234352.204</v>
      </c>
      <c r="AA1269" s="181"/>
      <c r="AB1269" s="181"/>
      <c r="AC1269" s="181"/>
      <c r="AD1269" s="181"/>
      <c r="AE1269" s="186"/>
      <c r="AS1269" s="195"/>
    </row>
    <row r="1270" spans="1:45" x14ac:dyDescent="0.2">
      <c r="C1270" s="165" t="s">
        <v>302</v>
      </c>
      <c r="D1270" s="181">
        <f>219550506/1000</f>
        <v>219550.50599999999</v>
      </c>
      <c r="E1270" s="181">
        <f>TOBEPAID!E964/1000</f>
        <v>10000</v>
      </c>
      <c r="F1270" s="181">
        <f>TOBEPAID!F964/1000</f>
        <v>0</v>
      </c>
      <c r="G1270" s="181">
        <f>TOBEPAID!G964/1000</f>
        <v>0</v>
      </c>
      <c r="H1270" s="181">
        <f>219550506/1000</f>
        <v>219550.50599999999</v>
      </c>
      <c r="I1270" s="181">
        <f>TOBEPAID!I964/1000</f>
        <v>0</v>
      </c>
      <c r="J1270" s="181">
        <f>TOBEPAID!J964/1000</f>
        <v>0</v>
      </c>
      <c r="K1270" s="181">
        <f>TOBEPAID!K964/1000</f>
        <v>0</v>
      </c>
      <c r="L1270" s="181">
        <f>TOBEPAID!L964/1000</f>
        <v>0</v>
      </c>
      <c r="M1270" s="181">
        <f>TOBEPAID!M964/1000</f>
        <v>0</v>
      </c>
      <c r="N1270" s="181">
        <f>TOBEPAID!N964/1000</f>
        <v>10000</v>
      </c>
      <c r="O1270" s="181">
        <f>TOBEPAID!O964/1000</f>
        <v>0</v>
      </c>
      <c r="P1270" s="181">
        <f>TOBEPAID!P964/1000</f>
        <v>0</v>
      </c>
      <c r="Q1270" s="181">
        <f>TOBEPAID!Q964/1000</f>
        <v>0</v>
      </c>
      <c r="R1270" s="181">
        <v>0</v>
      </c>
      <c r="S1270" s="181">
        <f>TOBEPAID!S964/1000</f>
        <v>0</v>
      </c>
      <c r="T1270" s="181">
        <f>TOBEPAID!T964/1000</f>
        <v>0</v>
      </c>
      <c r="U1270" s="181">
        <f>TOBEPAID!U964/1000</f>
        <v>0</v>
      </c>
      <c r="V1270" s="181">
        <f>TOBEPAID!V964/1000</f>
        <v>0</v>
      </c>
      <c r="W1270" s="181">
        <f>TOBEPAID!W964/1000</f>
        <v>0</v>
      </c>
      <c r="X1270" s="181">
        <f>TOBEPAID!X964/1000</f>
        <v>0</v>
      </c>
      <c r="Y1270" s="181">
        <f t="shared" si="240"/>
        <v>219550.50599999999</v>
      </c>
      <c r="Z1270" s="181">
        <f t="shared" si="241"/>
        <v>0</v>
      </c>
      <c r="AA1270" s="181">
        <f>TOBEPAID!AA964/1000</f>
        <v>10000</v>
      </c>
      <c r="AB1270" s="181">
        <f>TOBEPAID!AB964/1000</f>
        <v>0</v>
      </c>
      <c r="AC1270" s="181"/>
      <c r="AD1270" s="181"/>
      <c r="AF1270" s="195">
        <f>D1203+D1241+D1227</f>
        <v>3366.2359999999999</v>
      </c>
      <c r="AG1270" s="195">
        <f>E1203+E1241+E1227</f>
        <v>0</v>
      </c>
      <c r="AH1270" s="195">
        <f>F1203+F1241+F1227</f>
        <v>0</v>
      </c>
      <c r="AI1270" s="195">
        <f>+AG1270+AH1270</f>
        <v>0</v>
      </c>
      <c r="AJ1270" s="195">
        <f>L1203+L1241+L1227</f>
        <v>0</v>
      </c>
      <c r="AK1270" s="195">
        <f>+AI1270+AJ1270</f>
        <v>0</v>
      </c>
      <c r="AL1270" s="195">
        <f>O1203+O1241+O1227</f>
        <v>3376.0267300000005</v>
      </c>
      <c r="AM1270" s="195">
        <f>P1203+P1241+P1227</f>
        <v>0</v>
      </c>
      <c r="AN1270" s="195">
        <f>+AL1270+AM1270</f>
        <v>3376.0267300000005</v>
      </c>
      <c r="AO1270" s="195">
        <f>V1203+V1241+V1227</f>
        <v>0</v>
      </c>
      <c r="AP1270" s="195">
        <f>+AN1270+AO1270</f>
        <v>3376.0267300000005</v>
      </c>
      <c r="AQ1270" s="195">
        <f>+AI1270+AN1270</f>
        <v>3376.0267300000005</v>
      </c>
      <c r="AR1270" s="195">
        <f>+AF1270-AQ1270</f>
        <v>-9.7907300000006217</v>
      </c>
      <c r="AS1270" s="195">
        <f>+AF1273-AK1273-AP1273</f>
        <v>0</v>
      </c>
    </row>
    <row r="1271" spans="1:45" x14ac:dyDescent="0.2">
      <c r="C1271" s="166" t="s">
        <v>461</v>
      </c>
      <c r="D1271" s="181">
        <f>13000000/1000</f>
        <v>13000</v>
      </c>
      <c r="E1271" s="181"/>
      <c r="F1271" s="181"/>
      <c r="G1271" s="181"/>
      <c r="H1271" s="181">
        <f>13000000/1000</f>
        <v>13000</v>
      </c>
      <c r="I1271" s="181"/>
      <c r="J1271" s="181"/>
      <c r="K1271" s="181"/>
      <c r="L1271" s="181"/>
      <c r="M1271" s="181"/>
      <c r="N1271" s="181"/>
      <c r="O1271" s="181"/>
      <c r="P1271" s="181"/>
      <c r="Q1271" s="181"/>
      <c r="R1271" s="181">
        <v>0</v>
      </c>
      <c r="S1271" s="181"/>
      <c r="T1271" s="181"/>
      <c r="U1271" s="181"/>
      <c r="V1271" s="181"/>
      <c r="W1271" s="181"/>
      <c r="X1271" s="181"/>
      <c r="Y1271" s="181">
        <f t="shared" si="240"/>
        <v>13000</v>
      </c>
      <c r="Z1271" s="181">
        <f t="shared" si="241"/>
        <v>0</v>
      </c>
      <c r="AA1271" s="181"/>
      <c r="AB1271" s="181"/>
      <c r="AC1271" s="181"/>
      <c r="AD1271" s="181"/>
      <c r="AF1271" s="195"/>
      <c r="AG1271" s="195"/>
      <c r="AH1271" s="195"/>
      <c r="AI1271" s="195"/>
      <c r="AJ1271" s="195"/>
      <c r="AK1271" s="195"/>
      <c r="AL1271" s="195"/>
      <c r="AM1271" s="195"/>
      <c r="AN1271" s="195"/>
      <c r="AO1271" s="195"/>
      <c r="AP1271" s="195"/>
      <c r="AQ1271" s="195"/>
      <c r="AR1271" s="195"/>
      <c r="AS1271" s="195"/>
    </row>
    <row r="1272" spans="1:45" x14ac:dyDescent="0.2">
      <c r="C1272" s="166" t="s">
        <v>454</v>
      </c>
      <c r="D1272" s="181">
        <f>24000000/1000</f>
        <v>24000</v>
      </c>
      <c r="E1272" s="181"/>
      <c r="F1272" s="181"/>
      <c r="G1272" s="181"/>
      <c r="H1272" s="181">
        <f>24000000/1000</f>
        <v>24000</v>
      </c>
      <c r="I1272" s="181"/>
      <c r="J1272" s="181"/>
      <c r="K1272" s="181"/>
      <c r="L1272" s="181"/>
      <c r="M1272" s="181"/>
      <c r="N1272" s="181"/>
      <c r="O1272" s="181"/>
      <c r="P1272" s="181"/>
      <c r="Q1272" s="181"/>
      <c r="R1272" s="181">
        <v>0</v>
      </c>
      <c r="S1272" s="181"/>
      <c r="T1272" s="181"/>
      <c r="U1272" s="181"/>
      <c r="V1272" s="181"/>
      <c r="W1272" s="181"/>
      <c r="X1272" s="181"/>
      <c r="Y1272" s="181">
        <f t="shared" si="240"/>
        <v>24000</v>
      </c>
      <c r="Z1272" s="181">
        <f t="shared" si="241"/>
        <v>0</v>
      </c>
      <c r="AA1272" s="181"/>
      <c r="AB1272" s="181"/>
      <c r="AC1272" s="181"/>
      <c r="AD1272" s="181"/>
      <c r="AF1272" s="195"/>
      <c r="AG1272" s="195"/>
      <c r="AH1272" s="195"/>
      <c r="AI1272" s="195"/>
      <c r="AJ1272" s="195"/>
      <c r="AK1272" s="195"/>
      <c r="AL1272" s="195"/>
      <c r="AM1272" s="195"/>
      <c r="AN1272" s="195"/>
      <c r="AO1272" s="195"/>
      <c r="AP1272" s="195"/>
      <c r="AQ1272" s="195"/>
      <c r="AR1272" s="195"/>
      <c r="AS1272" s="195"/>
    </row>
    <row r="1273" spans="1:45" x14ac:dyDescent="0.2">
      <c r="A1273" s="180"/>
      <c r="C1273" s="165" t="s">
        <v>36</v>
      </c>
      <c r="D1273" s="181">
        <f>1793593/1000</f>
        <v>1793.5930000000001</v>
      </c>
      <c r="E1273" s="181">
        <f>TOBEPAID!E965/1000</f>
        <v>1793.5930000000001</v>
      </c>
      <c r="F1273" s="181">
        <f>TOBEPAID!F965/1000</f>
        <v>0</v>
      </c>
      <c r="G1273" s="181">
        <f>TOBEPAID!G965/1000</f>
        <v>0</v>
      </c>
      <c r="H1273" s="181">
        <f>1793593/1000</f>
        <v>1793.5930000000001</v>
      </c>
      <c r="I1273" s="181">
        <f>TOBEPAID!I965/1000</f>
        <v>0</v>
      </c>
      <c r="J1273" s="181">
        <f>TOBEPAID!J965/1000</f>
        <v>0</v>
      </c>
      <c r="K1273" s="181">
        <f>TOBEPAID!K965/1000</f>
        <v>0</v>
      </c>
      <c r="L1273" s="181">
        <f>TOBEPAID!L965/1000</f>
        <v>0</v>
      </c>
      <c r="M1273" s="181">
        <f>TOBEPAID!M965/1000</f>
        <v>0</v>
      </c>
      <c r="N1273" s="181">
        <f>TOBEPAID!N965/1000</f>
        <v>1793.5930000000001</v>
      </c>
      <c r="O1273" s="181">
        <f>TOBEPAID!O965/1000</f>
        <v>0</v>
      </c>
      <c r="P1273" s="181">
        <f>TOBEPAID!P965/1000</f>
        <v>0</v>
      </c>
      <c r="Q1273" s="181">
        <f>TOBEPAID!Q965/1000</f>
        <v>0</v>
      </c>
      <c r="R1273" s="181">
        <v>0</v>
      </c>
      <c r="S1273" s="181">
        <f>TOBEPAID!S965/1000</f>
        <v>0</v>
      </c>
      <c r="T1273" s="181">
        <f>TOBEPAID!T965/1000</f>
        <v>0</v>
      </c>
      <c r="U1273" s="181">
        <f>TOBEPAID!U965/1000</f>
        <v>0</v>
      </c>
      <c r="V1273" s="181">
        <f>TOBEPAID!V965/1000</f>
        <v>0</v>
      </c>
      <c r="W1273" s="181">
        <f>TOBEPAID!W965/1000</f>
        <v>0</v>
      </c>
      <c r="X1273" s="181">
        <f>TOBEPAID!X965/1000</f>
        <v>0</v>
      </c>
      <c r="Y1273" s="181">
        <f t="shared" si="240"/>
        <v>1793.5930000000001</v>
      </c>
      <c r="Z1273" s="181">
        <f t="shared" si="241"/>
        <v>0</v>
      </c>
      <c r="AA1273" s="181">
        <f>TOBEPAID!AA965/1000</f>
        <v>1793.5930000000001</v>
      </c>
      <c r="AB1273" s="181">
        <f>TOBEPAID!AB965/1000</f>
        <v>0</v>
      </c>
      <c r="AC1273" s="181"/>
      <c r="AD1273" s="181"/>
      <c r="AE1273" s="186" t="s">
        <v>38</v>
      </c>
      <c r="AF1273" s="195">
        <f t="shared" ref="AF1273:AH1274" si="242">+D1228</f>
        <v>8339.9979199999998</v>
      </c>
      <c r="AG1273" s="195">
        <f t="shared" si="242"/>
        <v>8339.9979199999998</v>
      </c>
      <c r="AH1273" s="195">
        <f t="shared" si="242"/>
        <v>0</v>
      </c>
      <c r="AI1273" s="195">
        <f>+AG1273+AH1273</f>
        <v>8339.9979199999998</v>
      </c>
      <c r="AJ1273" s="195">
        <f>+L1228</f>
        <v>0</v>
      </c>
      <c r="AK1273" s="195">
        <f>+AI1273+AJ1273</f>
        <v>8339.9979199999998</v>
      </c>
      <c r="AL1273" s="195">
        <f>+O1228</f>
        <v>0</v>
      </c>
      <c r="AM1273" s="195">
        <f>+P1228</f>
        <v>0</v>
      </c>
      <c r="AN1273" s="195">
        <f>+AL1273+AM1273</f>
        <v>0</v>
      </c>
      <c r="AO1273" s="195">
        <f>+V1228</f>
        <v>0</v>
      </c>
      <c r="AP1273" s="195">
        <f>+AN1273+AO1273</f>
        <v>0</v>
      </c>
      <c r="AQ1273" s="195">
        <f>+AI1273+AN1273</f>
        <v>8339.9979199999998</v>
      </c>
      <c r="AR1273" s="195">
        <f>+AF1273-AQ1273</f>
        <v>0</v>
      </c>
      <c r="AS1273" s="195">
        <f>+AF1274-AK1274-AP1274</f>
        <v>-2.399999998488056E-4</v>
      </c>
    </row>
    <row r="1274" spans="1:45" x14ac:dyDescent="0.2">
      <c r="A1274" s="180"/>
      <c r="D1274" s="182" t="s">
        <v>40</v>
      </c>
      <c r="E1274" s="182" t="s">
        <v>40</v>
      </c>
      <c r="F1274" s="182" t="s">
        <v>40</v>
      </c>
      <c r="G1274" s="182"/>
      <c r="H1274" s="182" t="s">
        <v>40</v>
      </c>
      <c r="I1274" s="182" t="s">
        <v>40</v>
      </c>
      <c r="J1274" s="182" t="s">
        <v>40</v>
      </c>
      <c r="K1274" s="182" t="s">
        <v>40</v>
      </c>
      <c r="L1274" s="182" t="s">
        <v>40</v>
      </c>
      <c r="M1274" s="182"/>
      <c r="N1274" s="182" t="s">
        <v>40</v>
      </c>
      <c r="O1274" s="182" t="s">
        <v>40</v>
      </c>
      <c r="P1274" s="182" t="s">
        <v>40</v>
      </c>
      <c r="Q1274" s="182"/>
      <c r="R1274" s="182" t="s">
        <v>40</v>
      </c>
      <c r="S1274" s="182" t="s">
        <v>40</v>
      </c>
      <c r="T1274" s="182" t="s">
        <v>40</v>
      </c>
      <c r="U1274" s="182" t="s">
        <v>40</v>
      </c>
      <c r="V1274" s="182" t="s">
        <v>40</v>
      </c>
      <c r="W1274" s="182"/>
      <c r="X1274" s="182" t="s">
        <v>40</v>
      </c>
      <c r="Y1274" s="182" t="s">
        <v>40</v>
      </c>
      <c r="Z1274" s="182" t="s">
        <v>40</v>
      </c>
      <c r="AA1274" s="182" t="s">
        <v>40</v>
      </c>
      <c r="AB1274" s="182" t="s">
        <v>40</v>
      </c>
      <c r="AC1274" s="182"/>
      <c r="AD1274" s="182"/>
      <c r="AE1274" s="186" t="s">
        <v>267</v>
      </c>
      <c r="AF1274" s="195">
        <f t="shared" si="242"/>
        <v>2165.2130000000002</v>
      </c>
      <c r="AG1274" s="195">
        <f t="shared" si="242"/>
        <v>0</v>
      </c>
      <c r="AH1274" s="195">
        <f t="shared" si="242"/>
        <v>0</v>
      </c>
      <c r="AI1274" s="195">
        <f>+AG1274+AH1274</f>
        <v>0</v>
      </c>
      <c r="AJ1274" s="195">
        <f>+L1229</f>
        <v>0</v>
      </c>
      <c r="AK1274" s="195">
        <f>+AI1274+AJ1274</f>
        <v>0</v>
      </c>
      <c r="AL1274" s="195">
        <f>+O1229</f>
        <v>2165.21324</v>
      </c>
      <c r="AM1274" s="195">
        <f>+P1229</f>
        <v>0</v>
      </c>
      <c r="AN1274" s="195">
        <f>+AL1274+AM1274</f>
        <v>2165.21324</v>
      </c>
      <c r="AO1274" s="195">
        <f>+V1229</f>
        <v>0</v>
      </c>
      <c r="AP1274" s="195">
        <f>+AN1274+AO1274</f>
        <v>2165.21324</v>
      </c>
      <c r="AQ1274" s="195">
        <f>+AI1274+AN1274</f>
        <v>2165.21324</v>
      </c>
      <c r="AR1274" s="195">
        <f>+AF1274-AQ1274</f>
        <v>-2.399999998488056E-4</v>
      </c>
      <c r="AS1274" s="195">
        <f>+AF1275-AK1275-AP1275</f>
        <v>0.24037999999973181</v>
      </c>
    </row>
    <row r="1275" spans="1:45" x14ac:dyDescent="0.2">
      <c r="A1275" s="180"/>
      <c r="D1275" s="191">
        <f>SUM(D1267:D1273)</f>
        <v>576311.48199999996</v>
      </c>
      <c r="E1275" s="191">
        <f>SUM(E1267:E1273)</f>
        <v>11793.593000000001</v>
      </c>
      <c r="F1275" s="191">
        <f>SUM(F1267:F1273)</f>
        <v>0</v>
      </c>
      <c r="G1275" s="191"/>
      <c r="H1275" s="191">
        <f>SUM(H1267:H1273)</f>
        <v>341099.14299999998</v>
      </c>
      <c r="I1275" s="191">
        <f>SUM(I1267:I1273)</f>
        <v>0</v>
      </c>
      <c r="J1275" s="191">
        <f>SUM(J1267:J1273)</f>
        <v>0</v>
      </c>
      <c r="K1275" s="191">
        <f>SUM(K1267:K1273)</f>
        <v>0</v>
      </c>
      <c r="L1275" s="191">
        <f>SUM(L1267:L1273)</f>
        <v>0</v>
      </c>
      <c r="M1275" s="191"/>
      <c r="N1275" s="191">
        <f>SUM(N1267:N1273)</f>
        <v>11793.593000000001</v>
      </c>
      <c r="O1275" s="191">
        <f>SUM(O1267:O1273)</f>
        <v>407.18637000000001</v>
      </c>
      <c r="P1275" s="191">
        <f>SUM(P1267:P1273)</f>
        <v>0</v>
      </c>
      <c r="Q1275" s="191"/>
      <c r="R1275" s="191">
        <f>SUM(R1267:R1273)</f>
        <v>407.18599999999998</v>
      </c>
      <c r="S1275" s="191">
        <f>SUM(S1267:S1273)</f>
        <v>0</v>
      </c>
      <c r="T1275" s="191">
        <f>SUM(T1267:T1273)</f>
        <v>0</v>
      </c>
      <c r="U1275" s="191">
        <f>SUM(U1267:U1273)</f>
        <v>0</v>
      </c>
      <c r="V1275" s="191">
        <f>SUM(V1267:V1273)</f>
        <v>0</v>
      </c>
      <c r="W1275" s="191"/>
      <c r="X1275" s="191">
        <f>SUM(X1267:X1273)</f>
        <v>407.18637000000001</v>
      </c>
      <c r="Y1275" s="191">
        <f>SUM(Y1267:Y1273)</f>
        <v>341506.32899999997</v>
      </c>
      <c r="Z1275" s="191">
        <f>SUM(Z1267:Z1273)</f>
        <v>234805.15299999999</v>
      </c>
      <c r="AA1275" s="191">
        <f>SUM(AA1267:AA1273)</f>
        <v>12200.77937</v>
      </c>
      <c r="AB1275" s="191">
        <f>SUM(AB1267:AB1273)</f>
        <v>56645.197340000006</v>
      </c>
      <c r="AC1275" s="191"/>
      <c r="AD1275" s="191"/>
      <c r="AE1275" s="186" t="s">
        <v>276</v>
      </c>
      <c r="AF1275" s="195">
        <f>+D1253</f>
        <v>2360</v>
      </c>
      <c r="AG1275" s="195">
        <f>+E1253</f>
        <v>2359.7596200000003</v>
      </c>
      <c r="AH1275" s="195">
        <f>+F1253</f>
        <v>0</v>
      </c>
      <c r="AI1275" s="195">
        <f>+AG1275+AH1275</f>
        <v>2359.7596200000003</v>
      </c>
      <c r="AJ1275" s="195">
        <f>+L1253</f>
        <v>0</v>
      </c>
      <c r="AK1275" s="195">
        <f>+AI1275+AJ1275</f>
        <v>2359.7596200000003</v>
      </c>
      <c r="AL1275" s="195">
        <f>+O1253</f>
        <v>0</v>
      </c>
      <c r="AM1275" s="195">
        <f>+P1253</f>
        <v>0</v>
      </c>
      <c r="AN1275" s="195">
        <f>+AL1275+AM1275</f>
        <v>0</v>
      </c>
      <c r="AO1275" s="195">
        <f>+V1253</f>
        <v>0</v>
      </c>
      <c r="AP1275" s="195">
        <f>+AN1275+AO1275</f>
        <v>0</v>
      </c>
      <c r="AQ1275" s="195">
        <f>+AI1275+AN1275</f>
        <v>2359.7596200000003</v>
      </c>
      <c r="AR1275" s="195">
        <f>+AF1275-AQ1275</f>
        <v>0.24037999999973181</v>
      </c>
      <c r="AS1275" s="195">
        <f>SUM(AS1245:AS1274)</f>
        <v>546601.49146000005</v>
      </c>
    </row>
    <row r="1276" spans="1:45" x14ac:dyDescent="0.2">
      <c r="A1276" s="180"/>
      <c r="D1276" s="182" t="s">
        <v>40</v>
      </c>
      <c r="E1276" s="182" t="s">
        <v>40</v>
      </c>
      <c r="F1276" s="182" t="s">
        <v>40</v>
      </c>
      <c r="G1276" s="182"/>
      <c r="H1276" s="182" t="s">
        <v>40</v>
      </c>
      <c r="I1276" s="182" t="s">
        <v>40</v>
      </c>
      <c r="J1276" s="182" t="s">
        <v>40</v>
      </c>
      <c r="K1276" s="182" t="s">
        <v>40</v>
      </c>
      <c r="L1276" s="182" t="s">
        <v>40</v>
      </c>
      <c r="M1276" s="182"/>
      <c r="N1276" s="182" t="s">
        <v>40</v>
      </c>
      <c r="O1276" s="182" t="s">
        <v>40</v>
      </c>
      <c r="P1276" s="182" t="s">
        <v>40</v>
      </c>
      <c r="Q1276" s="182"/>
      <c r="R1276" s="182" t="s">
        <v>40</v>
      </c>
      <c r="S1276" s="182" t="s">
        <v>40</v>
      </c>
      <c r="T1276" s="182" t="s">
        <v>40</v>
      </c>
      <c r="U1276" s="182" t="s">
        <v>40</v>
      </c>
      <c r="V1276" s="182" t="s">
        <v>40</v>
      </c>
      <c r="W1276" s="182"/>
      <c r="X1276" s="182" t="s">
        <v>40</v>
      </c>
      <c r="Y1276" s="182" t="s">
        <v>40</v>
      </c>
      <c r="Z1276" s="182" t="s">
        <v>40</v>
      </c>
      <c r="AA1276" s="182" t="s">
        <v>40</v>
      </c>
      <c r="AB1276" s="182" t="s">
        <v>40</v>
      </c>
      <c r="AC1276" s="182"/>
      <c r="AD1276" s="182"/>
      <c r="AE1276" s="186" t="s">
        <v>271</v>
      </c>
      <c r="AF1276" s="195">
        <f t="shared" ref="AF1276:AR1276" si="243">SUM(AF1246:AF1275)</f>
        <v>634771.04183999996</v>
      </c>
      <c r="AG1276" s="195">
        <f t="shared" si="243"/>
        <v>32683.62916</v>
      </c>
      <c r="AH1276" s="195">
        <f t="shared" si="243"/>
        <v>0</v>
      </c>
      <c r="AI1276" s="195">
        <f t="shared" si="243"/>
        <v>32683.62916</v>
      </c>
      <c r="AJ1276" s="195">
        <f t="shared" si="243"/>
        <v>0</v>
      </c>
      <c r="AK1276" s="195">
        <f t="shared" si="243"/>
        <v>32683.62916</v>
      </c>
      <c r="AL1276" s="195">
        <f t="shared" si="243"/>
        <v>54613.402359999993</v>
      </c>
      <c r="AM1276" s="195">
        <f t="shared" si="243"/>
        <v>872.51886000000002</v>
      </c>
      <c r="AN1276" s="195">
        <f t="shared" si="243"/>
        <v>55485.921219999989</v>
      </c>
      <c r="AO1276" s="195">
        <f t="shared" si="243"/>
        <v>0</v>
      </c>
      <c r="AP1276" s="195">
        <f t="shared" si="243"/>
        <v>55485.921219999989</v>
      </c>
      <c r="AQ1276" s="195">
        <f t="shared" si="243"/>
        <v>88169.550379999986</v>
      </c>
      <c r="AR1276" s="195">
        <f t="shared" si="243"/>
        <v>546601.49146000005</v>
      </c>
      <c r="AS1276" s="195"/>
    </row>
    <row r="1277" spans="1:45" x14ac:dyDescent="0.2">
      <c r="A1277" s="180"/>
      <c r="B1277" s="202" t="s">
        <v>3</v>
      </c>
      <c r="C1277" s="202" t="s">
        <v>223</v>
      </c>
      <c r="D1277" s="196">
        <f>D1182+D1193+D1206+D1215+D1231+D1244+D1255+D1275</f>
        <v>2710512.58751</v>
      </c>
      <c r="E1277" s="196">
        <f>E1182+E1193+E1206+E1215+E1231+E1244+E1255+E1275</f>
        <v>32683.629160000004</v>
      </c>
      <c r="F1277" s="196">
        <f>F1182+F1193+F1206+F1215+F1231+F1244+F1255+F1275</f>
        <v>0</v>
      </c>
      <c r="G1277" s="196"/>
      <c r="H1277" s="196">
        <f>H1182+H1193+H1206+H1215+H1231+H1244+H1255+H1275</f>
        <v>2095479.06953</v>
      </c>
      <c r="I1277" s="196">
        <f>I1182+I1193+I1206+I1215+I1231+I1244+I1255+I1275</f>
        <v>0</v>
      </c>
      <c r="J1277" s="196">
        <f>J1182+J1193+J1206+J1215+J1231+J1244+J1255+J1275</f>
        <v>0</v>
      </c>
      <c r="K1277" s="196">
        <f>K1182+K1193+K1206+K1215+K1231+K1244+K1255+K1275</f>
        <v>0</v>
      </c>
      <c r="L1277" s="196">
        <f>L1182+L1193+L1206+L1215+L1231+L1244+L1255+L1275</f>
        <v>0</v>
      </c>
      <c r="M1277" s="196"/>
      <c r="N1277" s="196">
        <f>N1182+N1193+N1206+N1215+N1231+N1244+N1255+N1275</f>
        <v>32683.629160000004</v>
      </c>
      <c r="O1277" s="196">
        <f>O1182+O1193+O1206+O1215+O1231+O1244+O1255+O1275</f>
        <v>54613.40236</v>
      </c>
      <c r="P1277" s="196">
        <f>P1182+P1193+P1206+P1215+P1231+P1244+P1255+P1275</f>
        <v>872.51886000000002</v>
      </c>
      <c r="Q1277" s="196"/>
      <c r="R1277" s="196">
        <f>R1182+R1193+R1206+R1215+R1231+R1244+R1255+R1275</f>
        <v>58814.653320000005</v>
      </c>
      <c r="S1277" s="196">
        <f>S1182+S1193+S1206+S1215+S1231+S1244+S1255+S1275</f>
        <v>0</v>
      </c>
      <c r="T1277" s="196">
        <f>T1182+T1193+T1206+T1215+T1231+T1244+T1255+T1275</f>
        <v>0</v>
      </c>
      <c r="U1277" s="196">
        <f>U1182+U1193+U1206+U1215+U1231+U1244+U1255+U1275</f>
        <v>0</v>
      </c>
      <c r="V1277" s="196">
        <f>V1182+V1193+V1206+V1215+V1231+V1244+V1255+V1275</f>
        <v>0</v>
      </c>
      <c r="W1277" s="196"/>
      <c r="X1277" s="196">
        <f>X1182+X1193+X1206+X1215+X1231+X1244+X1255+X1275</f>
        <v>55485.921219999997</v>
      </c>
      <c r="Y1277" s="196">
        <f>Y1182+Y1193+Y1206+Y1215+Y1231+Y1244+Y1255+Y1275</f>
        <v>2154293.72285</v>
      </c>
      <c r="Z1277" s="196">
        <f>Z1182+Z1193+Z1206+Z1215+Z1231+Z1244+Z1255+Z1275</f>
        <v>556219.6675199999</v>
      </c>
      <c r="AA1277" s="196">
        <f>AA1182+AA1193+AA1206+AA1215+AA1231+AA1244+AA1255+AA1275</f>
        <v>88169.550380000015</v>
      </c>
      <c r="AB1277" s="196">
        <f>AB1182+AB1193+AB1206+AB1215+AB1231+AB1244+AB1255+AB1275</f>
        <v>273169.59279999998</v>
      </c>
      <c r="AC1277" s="196"/>
      <c r="AD1277" s="196"/>
      <c r="AF1277" s="195"/>
      <c r="AG1277" s="195"/>
      <c r="AH1277" s="195"/>
      <c r="AI1277" s="195"/>
      <c r="AJ1277" s="195"/>
      <c r="AK1277" s="195"/>
      <c r="AL1277" s="195"/>
      <c r="AM1277" s="195"/>
      <c r="AN1277" s="195"/>
      <c r="AO1277" s="195"/>
      <c r="AP1277" s="195"/>
      <c r="AQ1277" s="195"/>
      <c r="AR1277" s="195"/>
      <c r="AS1277" s="195">
        <f>+AS1275-AB1277</f>
        <v>273431.89866000006</v>
      </c>
    </row>
    <row r="1278" spans="1:45" x14ac:dyDescent="0.2">
      <c r="A1278" s="180"/>
      <c r="D1278" s="182" t="s">
        <v>50</v>
      </c>
      <c r="E1278" s="182" t="s">
        <v>50</v>
      </c>
      <c r="F1278" s="182" t="s">
        <v>50</v>
      </c>
      <c r="G1278" s="182"/>
      <c r="H1278" s="182" t="s">
        <v>50</v>
      </c>
      <c r="I1278" s="182" t="s">
        <v>50</v>
      </c>
      <c r="J1278" s="182" t="s">
        <v>50</v>
      </c>
      <c r="K1278" s="182" t="s">
        <v>50</v>
      </c>
      <c r="L1278" s="182" t="s">
        <v>50</v>
      </c>
      <c r="M1278" s="182"/>
      <c r="N1278" s="182" t="s">
        <v>50</v>
      </c>
      <c r="O1278" s="182" t="s">
        <v>50</v>
      </c>
      <c r="P1278" s="182" t="s">
        <v>50</v>
      </c>
      <c r="Q1278" s="182"/>
      <c r="R1278" s="182" t="s">
        <v>50</v>
      </c>
      <c r="S1278" s="182" t="s">
        <v>50</v>
      </c>
      <c r="T1278" s="182" t="s">
        <v>50</v>
      </c>
      <c r="U1278" s="182" t="s">
        <v>50</v>
      </c>
      <c r="V1278" s="182" t="s">
        <v>50</v>
      </c>
      <c r="W1278" s="182"/>
      <c r="X1278" s="182" t="s">
        <v>50</v>
      </c>
      <c r="Y1278" s="182" t="s">
        <v>50</v>
      </c>
      <c r="Z1278" s="182" t="s">
        <v>50</v>
      </c>
      <c r="AA1278" s="182" t="s">
        <v>50</v>
      </c>
      <c r="AB1278" s="182" t="s">
        <v>50</v>
      </c>
      <c r="AC1278" s="182"/>
      <c r="AD1278" s="182"/>
      <c r="AF1278" s="195"/>
      <c r="AG1278" s="195"/>
      <c r="AH1278" s="195"/>
      <c r="AI1278" s="195"/>
      <c r="AJ1278" s="195"/>
      <c r="AK1278" s="195"/>
      <c r="AL1278" s="195"/>
      <c r="AM1278" s="195"/>
      <c r="AN1278" s="195"/>
      <c r="AO1278" s="195"/>
      <c r="AP1278" s="195"/>
      <c r="AQ1278" s="195"/>
      <c r="AR1278" s="195"/>
      <c r="AS1278" s="195"/>
    </row>
    <row r="1279" spans="1:45" x14ac:dyDescent="0.2">
      <c r="A1279" s="180"/>
      <c r="C1279" s="186"/>
      <c r="D1279" s="191"/>
      <c r="E1279" s="196"/>
      <c r="F1279" s="182"/>
      <c r="G1279" s="182"/>
      <c r="H1279" s="196"/>
      <c r="I1279" s="182"/>
      <c r="J1279" s="182"/>
      <c r="K1279" s="182"/>
      <c r="L1279" s="182"/>
      <c r="M1279" s="182"/>
      <c r="N1279" s="182"/>
      <c r="O1279" s="196"/>
      <c r="P1279" s="182"/>
      <c r="Q1279" s="182"/>
      <c r="R1279" s="196"/>
      <c r="S1279" s="196"/>
      <c r="T1279" s="196"/>
      <c r="U1279" s="196"/>
      <c r="V1279" s="196"/>
      <c r="W1279" s="196"/>
      <c r="X1279" s="196"/>
      <c r="Y1279" s="196"/>
      <c r="Z1279" s="196"/>
      <c r="AA1279" s="182"/>
      <c r="AB1279" s="182"/>
      <c r="AC1279" s="182"/>
      <c r="AD1279" s="182"/>
      <c r="AF1279" s="195"/>
      <c r="AG1279" s="195"/>
      <c r="AH1279" s="195"/>
      <c r="AI1279" s="195"/>
      <c r="AJ1279" s="195"/>
      <c r="AK1279" s="195"/>
      <c r="AL1279" s="195"/>
      <c r="AM1279" s="195"/>
      <c r="AN1279" s="195"/>
      <c r="AO1279" s="195"/>
      <c r="AP1279" s="195"/>
      <c r="AQ1279" s="195"/>
      <c r="AR1279" s="195"/>
      <c r="AS1279" s="195"/>
    </row>
    <row r="1280" spans="1:45" ht="18" x14ac:dyDescent="0.25">
      <c r="A1280" s="180"/>
      <c r="B1280" s="227" t="s">
        <v>232</v>
      </c>
      <c r="D1280" s="182"/>
      <c r="E1280" s="182"/>
      <c r="F1280" s="182"/>
      <c r="G1280" s="182"/>
      <c r="H1280" s="182"/>
      <c r="I1280" s="182"/>
      <c r="J1280" s="182"/>
      <c r="K1280" s="182"/>
      <c r="L1280" s="182"/>
      <c r="M1280" s="182"/>
      <c r="N1280" s="182"/>
      <c r="O1280" s="182"/>
      <c r="P1280" s="182"/>
      <c r="Q1280" s="182"/>
      <c r="R1280" s="182"/>
      <c r="S1280" s="182"/>
      <c r="T1280" s="182"/>
      <c r="U1280" s="182"/>
      <c r="V1280" s="182"/>
      <c r="W1280" s="182"/>
      <c r="X1280" s="182"/>
      <c r="Y1280" s="182"/>
      <c r="Z1280" s="182"/>
      <c r="AA1280" s="182"/>
      <c r="AB1280" s="182"/>
      <c r="AC1280" s="182"/>
      <c r="AD1280" s="182"/>
      <c r="AF1280" s="195"/>
      <c r="AG1280" s="195"/>
      <c r="AH1280" s="195"/>
      <c r="AI1280" s="195"/>
      <c r="AJ1280" s="195"/>
      <c r="AK1280" s="195"/>
      <c r="AL1280" s="195"/>
      <c r="AM1280" s="195"/>
      <c r="AN1280" s="195"/>
      <c r="AO1280" s="195"/>
      <c r="AP1280" s="195"/>
      <c r="AQ1280" s="195"/>
      <c r="AR1280" s="195"/>
      <c r="AS1280" s="195"/>
    </row>
    <row r="1281" spans="1:45" x14ac:dyDescent="0.2">
      <c r="A1281" s="180"/>
      <c r="D1281" s="182"/>
      <c r="E1281" s="182"/>
      <c r="F1281" s="182"/>
      <c r="G1281" s="182"/>
      <c r="H1281" s="181"/>
      <c r="I1281" s="182"/>
      <c r="J1281" s="182"/>
      <c r="K1281" s="182"/>
      <c r="L1281" s="182"/>
      <c r="M1281" s="182"/>
      <c r="N1281" s="181"/>
      <c r="O1281" s="182"/>
      <c r="P1281" s="182"/>
      <c r="Q1281" s="182"/>
      <c r="R1281" s="181"/>
      <c r="S1281" s="182"/>
      <c r="T1281" s="182"/>
      <c r="U1281" s="182"/>
      <c r="V1281" s="182"/>
      <c r="W1281" s="182"/>
      <c r="X1281" s="181"/>
      <c r="Y1281" s="181"/>
      <c r="Z1281" s="181"/>
      <c r="AA1281" s="181"/>
      <c r="AB1281" s="181"/>
      <c r="AC1281" s="181"/>
      <c r="AD1281" s="181"/>
      <c r="AF1281" s="195"/>
      <c r="AG1281" s="195"/>
      <c r="AH1281" s="195"/>
      <c r="AI1281" s="195"/>
      <c r="AJ1281" s="195"/>
      <c r="AK1281" s="195"/>
      <c r="AL1281" s="195"/>
      <c r="AM1281" s="195"/>
      <c r="AN1281" s="195"/>
      <c r="AO1281" s="195"/>
      <c r="AP1281" s="195"/>
      <c r="AQ1281" s="195"/>
      <c r="AR1281" s="195"/>
      <c r="AS1281" s="195"/>
    </row>
    <row r="1282" spans="1:45" x14ac:dyDescent="0.2">
      <c r="A1282" s="180">
        <v>100</v>
      </c>
      <c r="B1282" s="165" t="s">
        <v>233</v>
      </c>
      <c r="C1282" s="166" t="s">
        <v>35</v>
      </c>
      <c r="D1282" s="181">
        <f>72307888/1000</f>
        <v>72307.888000000006</v>
      </c>
      <c r="E1282" s="181">
        <f>TOBEPAID!E974/1000</f>
        <v>0</v>
      </c>
      <c r="F1282" s="181">
        <f>TOBEPAID!F974/1000</f>
        <v>0</v>
      </c>
      <c r="G1282" s="181">
        <f>TOBEPAID!G974/1000</f>
        <v>0</v>
      </c>
      <c r="H1282" s="181">
        <f>73924188/1000</f>
        <v>73924.187999999995</v>
      </c>
      <c r="I1282" s="181">
        <f>TOBEPAID!I974/1000</f>
        <v>0</v>
      </c>
      <c r="J1282" s="181">
        <f>TOBEPAID!J974/1000</f>
        <v>0</v>
      </c>
      <c r="K1282" s="181">
        <f>TOBEPAID!K974/1000</f>
        <v>0</v>
      </c>
      <c r="L1282" s="181">
        <f>TOBEPAID!L974/1000</f>
        <v>0</v>
      </c>
      <c r="M1282" s="181">
        <f>TOBEPAID!M974/1000</f>
        <v>0</v>
      </c>
      <c r="N1282" s="181">
        <f>TOBEPAID!N974/1000</f>
        <v>0</v>
      </c>
      <c r="O1282" s="181">
        <f>TOBEPAID!O974/1000</f>
        <v>0</v>
      </c>
      <c r="P1282" s="181">
        <f>TOBEPAID!P974/1000</f>
        <v>0</v>
      </c>
      <c r="Q1282" s="181">
        <f>TOBEPAID!Q974/1000</f>
        <v>0</v>
      </c>
      <c r="R1282" s="181">
        <v>0</v>
      </c>
      <c r="S1282" s="181">
        <f>TOBEPAID!S974/1000</f>
        <v>0</v>
      </c>
      <c r="T1282" s="181">
        <f>TOBEPAID!T974/1000</f>
        <v>0</v>
      </c>
      <c r="U1282" s="181">
        <f>TOBEPAID!U974/1000</f>
        <v>0</v>
      </c>
      <c r="V1282" s="181">
        <f>TOBEPAID!V974/1000</f>
        <v>0</v>
      </c>
      <c r="W1282" s="181">
        <f>TOBEPAID!W974/1000</f>
        <v>0</v>
      </c>
      <c r="X1282" s="181">
        <f>TOBEPAID!X974/1000</f>
        <v>0</v>
      </c>
      <c r="Y1282" s="181">
        <f t="shared" ref="Y1282:Y1291" si="244">+H1282+R1282</f>
        <v>73924.187999999995</v>
      </c>
      <c r="Z1282" s="181">
        <f t="shared" ref="Z1282:Z1291" si="245">+D1282-Y1282</f>
        <v>-1616.2999999999884</v>
      </c>
      <c r="AA1282" s="181">
        <f>TOBEPAID!AA974/1000</f>
        <v>0</v>
      </c>
      <c r="AB1282" s="181">
        <f>TOBEPAID!AB974/1000</f>
        <v>36888.563280000002</v>
      </c>
      <c r="AC1282" s="181" t="s">
        <v>321</v>
      </c>
      <c r="AD1282" s="181"/>
      <c r="AF1282" s="195"/>
      <c r="AG1282" s="195"/>
      <c r="AH1282" s="195"/>
      <c r="AI1282" s="195"/>
      <c r="AJ1282" s="195"/>
      <c r="AK1282" s="195"/>
      <c r="AL1282" s="195"/>
      <c r="AM1282" s="195"/>
      <c r="AN1282" s="195"/>
      <c r="AO1282" s="195"/>
      <c r="AP1282" s="195"/>
      <c r="AQ1282" s="195"/>
      <c r="AR1282" s="195"/>
      <c r="AS1282" s="195"/>
    </row>
    <row r="1283" spans="1:45" x14ac:dyDescent="0.2">
      <c r="A1283" s="180"/>
      <c r="C1283" s="166" t="s">
        <v>389</v>
      </c>
      <c r="D1283" s="181">
        <f>11770518/1000</f>
        <v>11770.518</v>
      </c>
      <c r="E1283" s="181"/>
      <c r="F1283" s="181"/>
      <c r="G1283" s="181"/>
      <c r="H1283" s="181">
        <f>11770518/1000</f>
        <v>11770.518</v>
      </c>
      <c r="I1283" s="181"/>
      <c r="J1283" s="181"/>
      <c r="K1283" s="181"/>
      <c r="L1283" s="181"/>
      <c r="M1283" s="181"/>
      <c r="N1283" s="181"/>
      <c r="O1283" s="181"/>
      <c r="P1283" s="181"/>
      <c r="Q1283" s="181"/>
      <c r="R1283" s="181">
        <v>0</v>
      </c>
      <c r="S1283" s="181"/>
      <c r="T1283" s="181"/>
      <c r="U1283" s="181"/>
      <c r="V1283" s="181"/>
      <c r="W1283" s="181"/>
      <c r="X1283" s="181"/>
      <c r="Y1283" s="181">
        <f t="shared" si="244"/>
        <v>11770.518</v>
      </c>
      <c r="Z1283" s="181">
        <f t="shared" si="245"/>
        <v>0</v>
      </c>
      <c r="AA1283" s="181"/>
      <c r="AB1283" s="181"/>
      <c r="AC1283" s="181"/>
      <c r="AD1283" s="181"/>
      <c r="AF1283" s="195"/>
      <c r="AG1283" s="195"/>
      <c r="AH1283" s="195"/>
      <c r="AI1283" s="195"/>
      <c r="AJ1283" s="195"/>
      <c r="AK1283" s="195"/>
      <c r="AL1283" s="195"/>
      <c r="AM1283" s="195"/>
      <c r="AN1283" s="195"/>
      <c r="AO1283" s="195"/>
      <c r="AP1283" s="195"/>
      <c r="AQ1283" s="195"/>
      <c r="AR1283" s="195"/>
      <c r="AS1283" s="195"/>
    </row>
    <row r="1284" spans="1:45" x14ac:dyDescent="0.2">
      <c r="A1284" s="180"/>
      <c r="C1284" s="166" t="s">
        <v>413</v>
      </c>
      <c r="D1284" s="181">
        <f>12000000/1000</f>
        <v>12000</v>
      </c>
      <c r="E1284" s="181"/>
      <c r="F1284" s="181"/>
      <c r="G1284" s="181"/>
      <c r="H1284" s="181">
        <f>12000000/1000</f>
        <v>12000</v>
      </c>
      <c r="I1284" s="181"/>
      <c r="J1284" s="181"/>
      <c r="K1284" s="181"/>
      <c r="L1284" s="181"/>
      <c r="M1284" s="181"/>
      <c r="N1284" s="181"/>
      <c r="O1284" s="181"/>
      <c r="P1284" s="181"/>
      <c r="Q1284" s="181"/>
      <c r="R1284" s="181">
        <v>0</v>
      </c>
      <c r="S1284" s="181"/>
      <c r="T1284" s="181"/>
      <c r="U1284" s="181"/>
      <c r="V1284" s="181"/>
      <c r="W1284" s="181"/>
      <c r="X1284" s="181"/>
      <c r="Y1284" s="181">
        <f t="shared" si="244"/>
        <v>12000</v>
      </c>
      <c r="Z1284" s="181">
        <f t="shared" si="245"/>
        <v>0</v>
      </c>
      <c r="AA1284" s="181"/>
      <c r="AB1284" s="181"/>
      <c r="AC1284" s="181"/>
      <c r="AD1284" s="181"/>
      <c r="AF1284" s="195"/>
      <c r="AG1284" s="195"/>
      <c r="AH1284" s="195"/>
      <c r="AI1284" s="195"/>
      <c r="AJ1284" s="195"/>
      <c r="AK1284" s="195"/>
      <c r="AL1284" s="195"/>
      <c r="AM1284" s="195"/>
      <c r="AN1284" s="195"/>
      <c r="AO1284" s="195"/>
      <c r="AP1284" s="195"/>
      <c r="AQ1284" s="195"/>
      <c r="AR1284" s="195"/>
      <c r="AS1284" s="195"/>
    </row>
    <row r="1285" spans="1:45" x14ac:dyDescent="0.2">
      <c r="A1285" s="180"/>
      <c r="C1285" s="166" t="s">
        <v>450</v>
      </c>
      <c r="D1285" s="181">
        <f>12000000/1000</f>
        <v>12000</v>
      </c>
      <c r="E1285" s="181"/>
      <c r="F1285" s="181"/>
      <c r="G1285" s="181"/>
      <c r="H1285" s="181">
        <f>12000000/1000</f>
        <v>12000</v>
      </c>
      <c r="I1285" s="181"/>
      <c r="J1285" s="181"/>
      <c r="K1285" s="181"/>
      <c r="L1285" s="181"/>
      <c r="M1285" s="181"/>
      <c r="N1285" s="181"/>
      <c r="O1285" s="181"/>
      <c r="P1285" s="181"/>
      <c r="Q1285" s="181"/>
      <c r="R1285" s="181">
        <v>0</v>
      </c>
      <c r="S1285" s="181"/>
      <c r="T1285" s="181"/>
      <c r="U1285" s="181"/>
      <c r="V1285" s="181"/>
      <c r="W1285" s="181"/>
      <c r="X1285" s="181"/>
      <c r="Y1285" s="181">
        <f t="shared" si="244"/>
        <v>12000</v>
      </c>
      <c r="Z1285" s="181">
        <f t="shared" si="245"/>
        <v>0</v>
      </c>
      <c r="AA1285" s="181"/>
      <c r="AB1285" s="181"/>
      <c r="AC1285" s="181"/>
      <c r="AD1285" s="181"/>
      <c r="AF1285" s="195"/>
      <c r="AG1285" s="195"/>
      <c r="AH1285" s="195"/>
      <c r="AI1285" s="195"/>
      <c r="AJ1285" s="195"/>
      <c r="AK1285" s="195"/>
      <c r="AL1285" s="195"/>
      <c r="AM1285" s="195"/>
      <c r="AN1285" s="195"/>
      <c r="AO1285" s="195"/>
      <c r="AP1285" s="195"/>
      <c r="AQ1285" s="195"/>
      <c r="AR1285" s="195"/>
      <c r="AS1285" s="195"/>
    </row>
    <row r="1286" spans="1:45" x14ac:dyDescent="0.2">
      <c r="A1286" s="180"/>
      <c r="C1286" s="166" t="s">
        <v>450</v>
      </c>
      <c r="D1286" s="181">
        <f>12000000/1000</f>
        <v>12000</v>
      </c>
      <c r="E1286" s="181"/>
      <c r="F1286" s="181"/>
      <c r="G1286" s="181"/>
      <c r="H1286" s="181">
        <f>12000000/1000</f>
        <v>12000</v>
      </c>
      <c r="I1286" s="181"/>
      <c r="J1286" s="181"/>
      <c r="K1286" s="181"/>
      <c r="L1286" s="181"/>
      <c r="M1286" s="181"/>
      <c r="N1286" s="181"/>
      <c r="O1286" s="181"/>
      <c r="P1286" s="181"/>
      <c r="Q1286" s="181"/>
      <c r="R1286" s="181">
        <v>0</v>
      </c>
      <c r="S1286" s="181"/>
      <c r="T1286" s="181"/>
      <c r="U1286" s="181"/>
      <c r="V1286" s="181"/>
      <c r="W1286" s="181"/>
      <c r="X1286" s="181"/>
      <c r="Y1286" s="181">
        <f>+H1286+R1286</f>
        <v>12000</v>
      </c>
      <c r="Z1286" s="181">
        <f t="shared" si="245"/>
        <v>0</v>
      </c>
      <c r="AA1286" s="181"/>
      <c r="AB1286" s="181"/>
      <c r="AC1286" s="181"/>
      <c r="AD1286" s="181"/>
      <c r="AF1286" s="195"/>
      <c r="AG1286" s="195"/>
      <c r="AH1286" s="195"/>
      <c r="AI1286" s="195"/>
      <c r="AJ1286" s="195"/>
      <c r="AK1286" s="195"/>
      <c r="AL1286" s="195"/>
      <c r="AM1286" s="195"/>
      <c r="AN1286" s="195"/>
      <c r="AO1286" s="195"/>
      <c r="AP1286" s="195"/>
      <c r="AQ1286" s="195"/>
      <c r="AR1286" s="195"/>
      <c r="AS1286" s="195"/>
    </row>
    <row r="1287" spans="1:45" x14ac:dyDescent="0.2">
      <c r="A1287" s="180"/>
      <c r="C1287" s="166" t="s">
        <v>473</v>
      </c>
      <c r="D1287" s="181">
        <f>10153738/1000</f>
        <v>10153.737999999999</v>
      </c>
      <c r="E1287" s="181"/>
      <c r="F1287" s="181"/>
      <c r="G1287" s="181"/>
      <c r="H1287" s="181">
        <f>D1287</f>
        <v>10153.737999999999</v>
      </c>
      <c r="I1287" s="181"/>
      <c r="J1287" s="181"/>
      <c r="K1287" s="181"/>
      <c r="L1287" s="181"/>
      <c r="M1287" s="181"/>
      <c r="N1287" s="181"/>
      <c r="O1287" s="181"/>
      <c r="P1287" s="181"/>
      <c r="Q1287" s="181"/>
      <c r="R1287" s="181">
        <v>0</v>
      </c>
      <c r="S1287" s="181"/>
      <c r="T1287" s="181"/>
      <c r="U1287" s="181"/>
      <c r="V1287" s="181"/>
      <c r="W1287" s="181"/>
      <c r="X1287" s="181"/>
      <c r="Y1287" s="181">
        <f t="shared" ref="Y1287:Y1289" si="246">+H1287+R1287</f>
        <v>10153.737999999999</v>
      </c>
      <c r="Z1287" s="181">
        <f t="shared" ref="Z1287:Z1289" si="247">+D1287-Y1287</f>
        <v>0</v>
      </c>
      <c r="AA1287" s="181"/>
      <c r="AB1287" s="181"/>
      <c r="AC1287" s="181"/>
      <c r="AD1287" s="181"/>
      <c r="AF1287" s="195"/>
      <c r="AG1287" s="195"/>
      <c r="AH1287" s="195"/>
      <c r="AI1287" s="195"/>
      <c r="AJ1287" s="195"/>
      <c r="AK1287" s="195"/>
      <c r="AL1287" s="195"/>
      <c r="AM1287" s="195"/>
      <c r="AN1287" s="195"/>
      <c r="AO1287" s="195"/>
      <c r="AP1287" s="195"/>
      <c r="AQ1287" s="195"/>
      <c r="AR1287" s="195"/>
      <c r="AS1287" s="195"/>
    </row>
    <row r="1288" spans="1:45" x14ac:dyDescent="0.2">
      <c r="A1288" s="180"/>
      <c r="C1288" s="166" t="s">
        <v>473</v>
      </c>
      <c r="D1288" s="181">
        <f>9886585/1000</f>
        <v>9886.5849999999991</v>
      </c>
      <c r="E1288" s="181"/>
      <c r="F1288" s="181"/>
      <c r="G1288" s="181"/>
      <c r="H1288" s="181">
        <f>D1288</f>
        <v>9886.5849999999991</v>
      </c>
      <c r="I1288" s="181"/>
      <c r="J1288" s="181"/>
      <c r="K1288" s="181"/>
      <c r="L1288" s="181"/>
      <c r="M1288" s="181"/>
      <c r="N1288" s="181"/>
      <c r="O1288" s="181"/>
      <c r="P1288" s="181"/>
      <c r="Q1288" s="181"/>
      <c r="R1288" s="181">
        <v>0</v>
      </c>
      <c r="S1288" s="181"/>
      <c r="T1288" s="181"/>
      <c r="U1288" s="181"/>
      <c r="V1288" s="181"/>
      <c r="W1288" s="181"/>
      <c r="X1288" s="181"/>
      <c r="Y1288" s="181">
        <f t="shared" si="246"/>
        <v>9886.5849999999991</v>
      </c>
      <c r="Z1288" s="181">
        <f t="shared" si="247"/>
        <v>0</v>
      </c>
      <c r="AA1288" s="181"/>
      <c r="AB1288" s="181"/>
      <c r="AC1288" s="181"/>
      <c r="AD1288" s="181"/>
      <c r="AF1288" s="195"/>
      <c r="AG1288" s="195"/>
      <c r="AH1288" s="195"/>
      <c r="AI1288" s="195"/>
      <c r="AJ1288" s="195"/>
      <c r="AK1288" s="195"/>
      <c r="AL1288" s="195"/>
      <c r="AM1288" s="195"/>
      <c r="AN1288" s="195"/>
      <c r="AO1288" s="195"/>
      <c r="AP1288" s="195"/>
      <c r="AQ1288" s="195"/>
      <c r="AR1288" s="195"/>
      <c r="AS1288" s="195"/>
    </row>
    <row r="1289" spans="1:45" x14ac:dyDescent="0.2">
      <c r="A1289" s="180"/>
      <c r="C1289" s="166" t="s">
        <v>473</v>
      </c>
      <c r="D1289" s="181">
        <f>7400000/1000</f>
        <v>7400</v>
      </c>
      <c r="E1289" s="181"/>
      <c r="F1289" s="181"/>
      <c r="G1289" s="181"/>
      <c r="H1289" s="181">
        <f>7400000/1000</f>
        <v>7400</v>
      </c>
      <c r="I1289" s="181"/>
      <c r="J1289" s="181"/>
      <c r="K1289" s="181"/>
      <c r="L1289" s="181"/>
      <c r="M1289" s="181"/>
      <c r="N1289" s="181"/>
      <c r="O1289" s="181"/>
      <c r="P1289" s="181"/>
      <c r="Q1289" s="181"/>
      <c r="R1289" s="181">
        <v>0</v>
      </c>
      <c r="S1289" s="181"/>
      <c r="T1289" s="181"/>
      <c r="U1289" s="181"/>
      <c r="V1289" s="181"/>
      <c r="W1289" s="181"/>
      <c r="X1289" s="181"/>
      <c r="Y1289" s="181">
        <f t="shared" si="246"/>
        <v>7400</v>
      </c>
      <c r="Z1289" s="181">
        <f t="shared" si="247"/>
        <v>0</v>
      </c>
      <c r="AA1289" s="181"/>
      <c r="AB1289" s="181"/>
      <c r="AC1289" s="181"/>
      <c r="AD1289" s="181"/>
      <c r="AF1289" s="195"/>
      <c r="AG1289" s="195"/>
      <c r="AH1289" s="195"/>
      <c r="AI1289" s="195"/>
      <c r="AJ1289" s="195"/>
      <c r="AK1289" s="195"/>
      <c r="AL1289" s="195"/>
      <c r="AM1289" s="195"/>
      <c r="AN1289" s="195"/>
      <c r="AO1289" s="195"/>
      <c r="AP1289" s="195"/>
      <c r="AQ1289" s="195"/>
      <c r="AR1289" s="195"/>
      <c r="AS1289" s="195"/>
    </row>
    <row r="1290" spans="1:45" x14ac:dyDescent="0.2">
      <c r="A1290" s="180"/>
      <c r="C1290" s="165" t="s">
        <v>183</v>
      </c>
      <c r="D1290" s="181">
        <v>0</v>
      </c>
      <c r="E1290" s="181">
        <f>TOBEPAID!E975/1000</f>
        <v>0</v>
      </c>
      <c r="F1290" s="181">
        <f>TOBEPAID!F975/1000</f>
        <v>0</v>
      </c>
      <c r="G1290" s="181">
        <f>TOBEPAID!G975/1000</f>
        <v>0</v>
      </c>
      <c r="H1290" s="181">
        <v>0</v>
      </c>
      <c r="I1290" s="181">
        <f>TOBEPAID!I975/1000</f>
        <v>0</v>
      </c>
      <c r="J1290" s="181">
        <f>TOBEPAID!J975/1000</f>
        <v>0</v>
      </c>
      <c r="K1290" s="181">
        <f>TOBEPAID!K975/1000</f>
        <v>0</v>
      </c>
      <c r="L1290" s="181">
        <f>TOBEPAID!L975/1000</f>
        <v>0</v>
      </c>
      <c r="M1290" s="181">
        <f>TOBEPAID!M975/1000</f>
        <v>0</v>
      </c>
      <c r="N1290" s="181">
        <f>TOBEPAID!N975/1000</f>
        <v>0</v>
      </c>
      <c r="O1290" s="181">
        <f>TOBEPAID!O975/1000</f>
        <v>0</v>
      </c>
      <c r="P1290" s="181">
        <f>TOBEPAID!P975/1000</f>
        <v>0</v>
      </c>
      <c r="Q1290" s="181">
        <f>TOBEPAID!Q975/1000</f>
        <v>0</v>
      </c>
      <c r="R1290" s="181">
        <v>0</v>
      </c>
      <c r="S1290" s="181">
        <f>TOBEPAID!S975/1000</f>
        <v>0</v>
      </c>
      <c r="T1290" s="181">
        <f>TOBEPAID!T975/1000</f>
        <v>0</v>
      </c>
      <c r="U1290" s="181">
        <f>TOBEPAID!U975/1000</f>
        <v>0</v>
      </c>
      <c r="V1290" s="181">
        <f>TOBEPAID!V975/1000</f>
        <v>0</v>
      </c>
      <c r="W1290" s="181">
        <f>TOBEPAID!W975/1000</f>
        <v>0</v>
      </c>
      <c r="X1290" s="181">
        <f>TOBEPAID!X975/1000</f>
        <v>0</v>
      </c>
      <c r="Y1290" s="181">
        <f t="shared" si="244"/>
        <v>0</v>
      </c>
      <c r="Z1290" s="181">
        <f t="shared" si="245"/>
        <v>0</v>
      </c>
      <c r="AA1290" s="181">
        <f>TOBEPAID!AA975/1000</f>
        <v>0</v>
      </c>
      <c r="AB1290" s="181">
        <f>TOBEPAID!AB975/1000</f>
        <v>35419.325290000001</v>
      </c>
      <c r="AC1290" s="181"/>
      <c r="AD1290" s="181"/>
      <c r="AF1290" s="195"/>
      <c r="AG1290" s="195"/>
      <c r="AH1290" s="195"/>
      <c r="AI1290" s="195"/>
      <c r="AJ1290" s="195"/>
      <c r="AK1290" s="195"/>
      <c r="AL1290" s="195"/>
      <c r="AM1290" s="195"/>
      <c r="AN1290" s="195"/>
      <c r="AO1290" s="195"/>
      <c r="AP1290" s="195"/>
      <c r="AQ1290" s="195"/>
      <c r="AR1290" s="195"/>
      <c r="AS1290" s="195"/>
    </row>
    <row r="1291" spans="1:45" x14ac:dyDescent="0.2">
      <c r="A1291" s="180"/>
      <c r="C1291" s="165" t="s">
        <v>184</v>
      </c>
      <c r="D1291" s="181">
        <v>0</v>
      </c>
      <c r="E1291" s="181">
        <f>TOBEPAID!E976/1000</f>
        <v>0</v>
      </c>
      <c r="F1291" s="181">
        <f>TOBEPAID!F976/1000</f>
        <v>0</v>
      </c>
      <c r="G1291" s="181">
        <f>TOBEPAID!G976/1000</f>
        <v>0</v>
      </c>
      <c r="H1291" s="181">
        <v>0</v>
      </c>
      <c r="I1291" s="181">
        <f>TOBEPAID!I976/1000</f>
        <v>0</v>
      </c>
      <c r="J1291" s="181">
        <f>TOBEPAID!J976/1000</f>
        <v>0</v>
      </c>
      <c r="K1291" s="181">
        <f>TOBEPAID!K976/1000</f>
        <v>0</v>
      </c>
      <c r="L1291" s="181">
        <f>TOBEPAID!L976/1000</f>
        <v>0</v>
      </c>
      <c r="M1291" s="181">
        <f>TOBEPAID!M976/1000</f>
        <v>0</v>
      </c>
      <c r="N1291" s="181">
        <f>TOBEPAID!N976/1000</f>
        <v>0</v>
      </c>
      <c r="O1291" s="181">
        <f>TOBEPAID!O976/1000</f>
        <v>0</v>
      </c>
      <c r="P1291" s="181">
        <f>TOBEPAID!P976/1000</f>
        <v>0</v>
      </c>
      <c r="Q1291" s="181">
        <f>TOBEPAID!Q976/1000</f>
        <v>0</v>
      </c>
      <c r="R1291" s="181">
        <v>0</v>
      </c>
      <c r="S1291" s="181">
        <f>TOBEPAID!S976/1000</f>
        <v>0</v>
      </c>
      <c r="T1291" s="181">
        <f>TOBEPAID!T976/1000</f>
        <v>0</v>
      </c>
      <c r="U1291" s="181">
        <f>TOBEPAID!U976/1000</f>
        <v>0</v>
      </c>
      <c r="V1291" s="181">
        <f>TOBEPAID!V976/1000</f>
        <v>0</v>
      </c>
      <c r="W1291" s="181">
        <f>TOBEPAID!W976/1000</f>
        <v>0</v>
      </c>
      <c r="X1291" s="181">
        <f>TOBEPAID!X976/1000</f>
        <v>0</v>
      </c>
      <c r="Y1291" s="181">
        <f t="shared" si="244"/>
        <v>0</v>
      </c>
      <c r="Z1291" s="181">
        <f t="shared" si="245"/>
        <v>0</v>
      </c>
      <c r="AA1291" s="181">
        <f>TOBEPAID!AA976/1000</f>
        <v>0</v>
      </c>
      <c r="AB1291" s="181">
        <f>TOBEPAID!AB976/1000</f>
        <v>0</v>
      </c>
      <c r="AC1291" s="181"/>
      <c r="AD1291" s="181"/>
      <c r="AF1291" s="195"/>
      <c r="AG1291" s="195"/>
      <c r="AH1291" s="195"/>
      <c r="AI1291" s="195"/>
      <c r="AJ1291" s="195"/>
      <c r="AK1291" s="195"/>
      <c r="AL1291" s="195"/>
      <c r="AM1291" s="195"/>
      <c r="AN1291" s="195"/>
      <c r="AO1291" s="195"/>
      <c r="AP1291" s="195"/>
      <c r="AQ1291" s="195"/>
      <c r="AR1291" s="195"/>
      <c r="AS1291" s="195"/>
    </row>
    <row r="1292" spans="1:45" x14ac:dyDescent="0.2">
      <c r="A1292" s="180"/>
      <c r="D1292" s="182" t="s">
        <v>40</v>
      </c>
      <c r="E1292" s="182" t="s">
        <v>40</v>
      </c>
      <c r="F1292" s="182" t="s">
        <v>40</v>
      </c>
      <c r="G1292" s="182"/>
      <c r="H1292" s="182" t="s">
        <v>40</v>
      </c>
      <c r="I1292" s="182" t="s">
        <v>40</v>
      </c>
      <c r="J1292" s="182" t="s">
        <v>40</v>
      </c>
      <c r="K1292" s="182" t="s">
        <v>40</v>
      </c>
      <c r="L1292" s="182" t="s">
        <v>40</v>
      </c>
      <c r="M1292" s="182"/>
      <c r="N1292" s="182" t="s">
        <v>40</v>
      </c>
      <c r="O1292" s="182" t="s">
        <v>40</v>
      </c>
      <c r="P1292" s="182" t="s">
        <v>40</v>
      </c>
      <c r="Q1292" s="182"/>
      <c r="R1292" s="182" t="s">
        <v>40</v>
      </c>
      <c r="S1292" s="182" t="s">
        <v>40</v>
      </c>
      <c r="T1292" s="182" t="s">
        <v>40</v>
      </c>
      <c r="U1292" s="182" t="s">
        <v>40</v>
      </c>
      <c r="V1292" s="182" t="s">
        <v>40</v>
      </c>
      <c r="W1292" s="182"/>
      <c r="X1292" s="182" t="s">
        <v>40</v>
      </c>
      <c r="Y1292" s="182" t="s">
        <v>40</v>
      </c>
      <c r="Z1292" s="182" t="s">
        <v>40</v>
      </c>
      <c r="AA1292" s="182" t="s">
        <v>40</v>
      </c>
      <c r="AB1292" s="182" t="s">
        <v>40</v>
      </c>
      <c r="AC1292" s="182"/>
      <c r="AD1292" s="182"/>
      <c r="AF1292" s="195"/>
      <c r="AG1292" s="195"/>
      <c r="AH1292" s="195"/>
      <c r="AI1292" s="195"/>
      <c r="AJ1292" s="195"/>
      <c r="AK1292" s="195"/>
      <c r="AL1292" s="195"/>
      <c r="AM1292" s="195"/>
      <c r="AN1292" s="195"/>
      <c r="AO1292" s="195"/>
      <c r="AP1292" s="195"/>
      <c r="AQ1292" s="195"/>
      <c r="AR1292" s="195"/>
      <c r="AS1292" s="195"/>
    </row>
    <row r="1293" spans="1:45" x14ac:dyDescent="0.2">
      <c r="A1293" s="180"/>
      <c r="D1293" s="196">
        <f>SUM(D1282:D1291)</f>
        <v>147518.72899999999</v>
      </c>
      <c r="E1293" s="196">
        <f>SUM(E1282:E1291)</f>
        <v>0</v>
      </c>
      <c r="F1293" s="196">
        <f>SUM(F1282:F1291)</f>
        <v>0</v>
      </c>
      <c r="G1293" s="196"/>
      <c r="H1293" s="196">
        <f>SUM(H1282:H1291)</f>
        <v>149135.02899999998</v>
      </c>
      <c r="I1293" s="196">
        <f>SUM(I1282:I1291)</f>
        <v>0</v>
      </c>
      <c r="J1293" s="196">
        <f>SUM(J1282:J1291)</f>
        <v>0</v>
      </c>
      <c r="K1293" s="196">
        <f>SUM(K1282:K1291)</f>
        <v>0</v>
      </c>
      <c r="L1293" s="196">
        <f>SUM(L1282:L1291)</f>
        <v>0</v>
      </c>
      <c r="M1293" s="196"/>
      <c r="N1293" s="196">
        <f>SUM(N1282:N1291)</f>
        <v>0</v>
      </c>
      <c r="O1293" s="196">
        <f>SUM(O1282:O1291)</f>
        <v>0</v>
      </c>
      <c r="P1293" s="196">
        <f>SUM(P1282:P1291)</f>
        <v>0</v>
      </c>
      <c r="Q1293" s="196"/>
      <c r="R1293" s="196">
        <f>SUM(R1282:R1291)</f>
        <v>0</v>
      </c>
      <c r="S1293" s="196">
        <f>SUM(S1282:S1291)</f>
        <v>0</v>
      </c>
      <c r="T1293" s="196">
        <f>SUM(T1282:T1291)</f>
        <v>0</v>
      </c>
      <c r="U1293" s="196">
        <f>SUM(U1282:U1291)</f>
        <v>0</v>
      </c>
      <c r="V1293" s="196">
        <f>SUM(V1282:V1291)</f>
        <v>0</v>
      </c>
      <c r="W1293" s="196"/>
      <c r="X1293" s="196">
        <f>SUM(X1282:X1291)</f>
        <v>0</v>
      </c>
      <c r="Y1293" s="196">
        <f>SUM(Y1282:Y1291)</f>
        <v>149135.02899999998</v>
      </c>
      <c r="Z1293" s="196">
        <f>SUM(Z1282:Z1291)</f>
        <v>-1616.2999999999884</v>
      </c>
      <c r="AA1293" s="196">
        <f>SUM(AA1282:AA1291)</f>
        <v>0</v>
      </c>
      <c r="AB1293" s="196">
        <f>SUM(AB1282:AB1291)</f>
        <v>72307.88857000001</v>
      </c>
      <c r="AC1293" s="196"/>
      <c r="AD1293" s="196"/>
      <c r="AF1293" s="195"/>
      <c r="AG1293" s="195"/>
      <c r="AH1293" s="195"/>
      <c r="AI1293" s="195"/>
      <c r="AJ1293" s="195"/>
      <c r="AK1293" s="195"/>
      <c r="AL1293" s="195"/>
      <c r="AM1293" s="195"/>
      <c r="AN1293" s="195"/>
      <c r="AO1293" s="195"/>
      <c r="AP1293" s="195"/>
      <c r="AQ1293" s="195"/>
      <c r="AR1293" s="195"/>
      <c r="AS1293" s="195"/>
    </row>
    <row r="1294" spans="1:45" x14ac:dyDescent="0.2">
      <c r="A1294" s="180"/>
      <c r="D1294" s="182" t="s">
        <v>40</v>
      </c>
      <c r="E1294" s="182" t="s">
        <v>40</v>
      </c>
      <c r="F1294" s="182" t="s">
        <v>40</v>
      </c>
      <c r="G1294" s="182"/>
      <c r="H1294" s="182" t="s">
        <v>40</v>
      </c>
      <c r="I1294" s="182" t="s">
        <v>40</v>
      </c>
      <c r="J1294" s="182" t="s">
        <v>40</v>
      </c>
      <c r="K1294" s="182" t="s">
        <v>40</v>
      </c>
      <c r="L1294" s="182" t="s">
        <v>40</v>
      </c>
      <c r="M1294" s="182"/>
      <c r="N1294" s="182" t="s">
        <v>40</v>
      </c>
      <c r="O1294" s="182" t="s">
        <v>40</v>
      </c>
      <c r="P1294" s="182" t="s">
        <v>40</v>
      </c>
      <c r="Q1294" s="182"/>
      <c r="R1294" s="182" t="s">
        <v>40</v>
      </c>
      <c r="S1294" s="182" t="s">
        <v>40</v>
      </c>
      <c r="T1294" s="182" t="s">
        <v>40</v>
      </c>
      <c r="U1294" s="182" t="s">
        <v>40</v>
      </c>
      <c r="V1294" s="182" t="s">
        <v>40</v>
      </c>
      <c r="W1294" s="182"/>
      <c r="X1294" s="182" t="s">
        <v>40</v>
      </c>
      <c r="Y1294" s="182" t="s">
        <v>40</v>
      </c>
      <c r="Z1294" s="182" t="s">
        <v>40</v>
      </c>
      <c r="AA1294" s="182" t="s">
        <v>40</v>
      </c>
      <c r="AB1294" s="182" t="s">
        <v>40</v>
      </c>
      <c r="AC1294" s="182"/>
      <c r="AD1294" s="182"/>
      <c r="AF1294" s="195"/>
      <c r="AG1294" s="195"/>
      <c r="AH1294" s="195"/>
      <c r="AI1294" s="195"/>
      <c r="AJ1294" s="195"/>
      <c r="AK1294" s="195"/>
      <c r="AL1294" s="195"/>
      <c r="AM1294" s="195"/>
      <c r="AN1294" s="195"/>
      <c r="AO1294" s="195"/>
      <c r="AP1294" s="195"/>
      <c r="AQ1294" s="195"/>
      <c r="AR1294" s="195"/>
      <c r="AS1294" s="195"/>
    </row>
    <row r="1295" spans="1:45" ht="15.75" thickBot="1" x14ac:dyDescent="0.25">
      <c r="A1295" s="180"/>
      <c r="D1295" s="182"/>
      <c r="E1295" s="182"/>
      <c r="F1295" s="182"/>
      <c r="G1295" s="182"/>
      <c r="H1295" s="182"/>
      <c r="I1295" s="182"/>
      <c r="J1295" s="182"/>
      <c r="K1295" s="182"/>
      <c r="L1295" s="182"/>
      <c r="M1295" s="182"/>
      <c r="N1295" s="182"/>
      <c r="O1295" s="182"/>
      <c r="P1295" s="182"/>
      <c r="Q1295" s="182"/>
      <c r="R1295" s="182"/>
      <c r="S1295" s="182"/>
      <c r="T1295" s="182"/>
      <c r="U1295" s="182"/>
      <c r="V1295" s="182"/>
      <c r="W1295" s="182"/>
      <c r="X1295" s="182"/>
      <c r="Y1295" s="231" t="s">
        <v>431</v>
      </c>
      <c r="Z1295" s="231"/>
      <c r="AA1295" s="182"/>
      <c r="AB1295" s="182"/>
      <c r="AC1295" s="182"/>
      <c r="AD1295" s="182"/>
      <c r="AF1295" s="195"/>
      <c r="AG1295" s="195"/>
      <c r="AH1295" s="195"/>
      <c r="AI1295" s="195"/>
      <c r="AJ1295" s="195"/>
      <c r="AK1295" s="195"/>
      <c r="AL1295" s="195"/>
      <c r="AM1295" s="195"/>
      <c r="AN1295" s="195"/>
      <c r="AO1295" s="195"/>
      <c r="AP1295" s="195"/>
      <c r="AQ1295" s="195"/>
      <c r="AR1295" s="195"/>
      <c r="AS1295" s="195"/>
    </row>
    <row r="1296" spans="1:45" ht="15.75" thickTop="1" x14ac:dyDescent="0.2">
      <c r="A1296" s="180"/>
      <c r="D1296" s="182"/>
      <c r="E1296" s="182"/>
      <c r="F1296" s="182"/>
      <c r="G1296" s="182"/>
      <c r="H1296" s="182"/>
      <c r="I1296" s="182"/>
      <c r="J1296" s="182"/>
      <c r="K1296" s="182"/>
      <c r="L1296" s="182"/>
      <c r="M1296" s="182"/>
      <c r="N1296" s="182"/>
      <c r="O1296" s="182"/>
      <c r="P1296" s="182"/>
      <c r="Q1296" s="182"/>
      <c r="R1296" s="182"/>
      <c r="S1296" s="182"/>
      <c r="T1296" s="182"/>
      <c r="U1296" s="182"/>
      <c r="V1296" s="182"/>
      <c r="W1296" s="182"/>
      <c r="X1296" s="182"/>
      <c r="Y1296" s="182"/>
      <c r="Z1296" s="182"/>
      <c r="AA1296" s="182"/>
      <c r="AB1296" s="182"/>
      <c r="AC1296" s="182"/>
      <c r="AD1296" s="182"/>
      <c r="AF1296" s="195"/>
      <c r="AG1296" s="195"/>
      <c r="AH1296" s="195"/>
      <c r="AI1296" s="195"/>
      <c r="AJ1296" s="195"/>
      <c r="AK1296" s="195"/>
      <c r="AL1296" s="195"/>
      <c r="AM1296" s="195"/>
      <c r="AN1296" s="195"/>
      <c r="AO1296" s="195"/>
      <c r="AP1296" s="195"/>
      <c r="AQ1296" s="195"/>
      <c r="AR1296" s="195"/>
      <c r="AS1296" s="195"/>
    </row>
    <row r="1297" spans="1:45" x14ac:dyDescent="0.2">
      <c r="A1297" s="180"/>
      <c r="D1297" s="182"/>
      <c r="E1297" s="182"/>
      <c r="F1297" s="182"/>
      <c r="G1297" s="182"/>
      <c r="H1297" s="182"/>
      <c r="I1297" s="182"/>
      <c r="J1297" s="182"/>
      <c r="K1297" s="182"/>
      <c r="L1297" s="182"/>
      <c r="M1297" s="182"/>
      <c r="N1297" s="182"/>
      <c r="O1297" s="182"/>
      <c r="P1297" s="182"/>
      <c r="Q1297" s="182"/>
      <c r="R1297" s="182"/>
      <c r="S1297" s="182"/>
      <c r="T1297" s="182"/>
      <c r="U1297" s="182"/>
      <c r="V1297" s="182"/>
      <c r="W1297" s="182"/>
      <c r="X1297" s="182"/>
      <c r="Y1297" s="182"/>
      <c r="Z1297" s="182"/>
      <c r="AA1297" s="182"/>
      <c r="AB1297" s="182"/>
      <c r="AC1297" s="182"/>
      <c r="AD1297" s="182"/>
      <c r="AF1297" s="195"/>
      <c r="AG1297" s="195"/>
      <c r="AH1297" s="195"/>
      <c r="AI1297" s="195"/>
      <c r="AJ1297" s="195"/>
      <c r="AK1297" s="195"/>
      <c r="AL1297" s="195"/>
      <c r="AM1297" s="195"/>
      <c r="AN1297" s="195"/>
      <c r="AO1297" s="195"/>
      <c r="AP1297" s="195"/>
      <c r="AQ1297" s="195"/>
      <c r="AR1297" s="195"/>
      <c r="AS1297" s="195"/>
    </row>
    <row r="1298" spans="1:45" x14ac:dyDescent="0.2">
      <c r="A1298" s="180">
        <v>101</v>
      </c>
      <c r="B1298" s="165" t="s">
        <v>234</v>
      </c>
      <c r="C1298" s="166" t="s">
        <v>35</v>
      </c>
      <c r="D1298" s="181">
        <f>59681871/1000</f>
        <v>59681.870999999999</v>
      </c>
      <c r="E1298" s="181">
        <f>TOBEPAID!E980/1000</f>
        <v>0</v>
      </c>
      <c r="F1298" s="181">
        <f>TOBEPAID!F980/1000</f>
        <v>0</v>
      </c>
      <c r="G1298" s="181">
        <f>TOBEPAID!G980/1000</f>
        <v>0</v>
      </c>
      <c r="H1298" s="181">
        <f>54973042.64/1000</f>
        <v>54973.04264</v>
      </c>
      <c r="I1298" s="181">
        <f>TOBEPAID!I980/1000</f>
        <v>0</v>
      </c>
      <c r="J1298" s="181">
        <f>TOBEPAID!J980/1000</f>
        <v>0</v>
      </c>
      <c r="K1298" s="181">
        <f>TOBEPAID!K980/1000</f>
        <v>0</v>
      </c>
      <c r="L1298" s="181">
        <f>TOBEPAID!L980/1000</f>
        <v>0</v>
      </c>
      <c r="M1298" s="181">
        <f>TOBEPAID!M980/1000</f>
        <v>0</v>
      </c>
      <c r="N1298" s="181">
        <f>TOBEPAID!N980/1000</f>
        <v>0</v>
      </c>
      <c r="O1298" s="181">
        <f>TOBEPAID!O980/1000</f>
        <v>0</v>
      </c>
      <c r="P1298" s="181">
        <f>TOBEPAID!P980/1000</f>
        <v>0</v>
      </c>
      <c r="Q1298" s="181">
        <f>TOBEPAID!Q980/1000</f>
        <v>0</v>
      </c>
      <c r="R1298" s="181">
        <v>0</v>
      </c>
      <c r="S1298" s="181">
        <f>TOBEPAID!S980/1000</f>
        <v>0</v>
      </c>
      <c r="T1298" s="181">
        <f>TOBEPAID!T980/1000</f>
        <v>0</v>
      </c>
      <c r="U1298" s="181">
        <f>TOBEPAID!U980/1000</f>
        <v>0</v>
      </c>
      <c r="V1298" s="181">
        <f>TOBEPAID!V980/1000</f>
        <v>0</v>
      </c>
      <c r="W1298" s="181">
        <f>TOBEPAID!W980/1000</f>
        <v>0</v>
      </c>
      <c r="X1298" s="181">
        <f>TOBEPAID!X980/1000</f>
        <v>0</v>
      </c>
      <c r="Y1298" s="181">
        <f t="shared" ref="Y1298:Y1309" si="248">+H1298+R1298</f>
        <v>54973.04264</v>
      </c>
      <c r="Z1298" s="181">
        <f t="shared" ref="Z1298:Z1309" si="249">+D1298-Y1298</f>
        <v>4708.8283599999995</v>
      </c>
      <c r="AA1298" s="181">
        <f>TOBEPAID!AA980/1000</f>
        <v>0</v>
      </c>
      <c r="AB1298" s="181">
        <f>TOBEPAID!AB980/1000</f>
        <v>33103.740239999992</v>
      </c>
      <c r="AC1298" s="181"/>
      <c r="AD1298" s="181"/>
      <c r="AF1298" s="195"/>
      <c r="AG1298" s="195"/>
      <c r="AH1298" s="195"/>
      <c r="AI1298" s="195"/>
      <c r="AJ1298" s="195"/>
      <c r="AK1298" s="195"/>
      <c r="AL1298" s="195"/>
      <c r="AM1298" s="195"/>
      <c r="AN1298" s="195"/>
      <c r="AO1298" s="195"/>
      <c r="AP1298" s="195"/>
      <c r="AQ1298" s="195"/>
      <c r="AR1298" s="195"/>
    </row>
    <row r="1299" spans="1:45" x14ac:dyDescent="0.2">
      <c r="A1299" s="180"/>
      <c r="C1299" s="166" t="s">
        <v>444</v>
      </c>
      <c r="D1299" s="181">
        <f>25000000/1000</f>
        <v>25000</v>
      </c>
      <c r="E1299" s="181"/>
      <c r="F1299" s="181"/>
      <c r="G1299" s="181"/>
      <c r="H1299" s="181">
        <f>25000000/1000</f>
        <v>25000</v>
      </c>
      <c r="I1299" s="181"/>
      <c r="J1299" s="181"/>
      <c r="K1299" s="181"/>
      <c r="L1299" s="181"/>
      <c r="M1299" s="181"/>
      <c r="N1299" s="181"/>
      <c r="O1299" s="181"/>
      <c r="P1299" s="181"/>
      <c r="Q1299" s="181"/>
      <c r="R1299" s="181">
        <v>0</v>
      </c>
      <c r="S1299" s="181"/>
      <c r="T1299" s="181"/>
      <c r="U1299" s="181"/>
      <c r="V1299" s="181"/>
      <c r="W1299" s="181"/>
      <c r="X1299" s="181"/>
      <c r="Y1299" s="181">
        <f>+H1299+R1299</f>
        <v>25000</v>
      </c>
      <c r="Z1299" s="181">
        <f t="shared" si="249"/>
        <v>0</v>
      </c>
      <c r="AA1299" s="181"/>
      <c r="AB1299" s="181"/>
      <c r="AC1299" s="181"/>
      <c r="AD1299" s="181"/>
      <c r="AF1299" s="195"/>
      <c r="AG1299" s="195"/>
      <c r="AH1299" s="195"/>
      <c r="AI1299" s="195"/>
      <c r="AJ1299" s="195"/>
      <c r="AK1299" s="195"/>
      <c r="AL1299" s="195"/>
      <c r="AM1299" s="195"/>
      <c r="AN1299" s="195"/>
      <c r="AO1299" s="195"/>
      <c r="AP1299" s="195"/>
      <c r="AQ1299" s="195"/>
      <c r="AR1299" s="195"/>
    </row>
    <row r="1300" spans="1:45" x14ac:dyDescent="0.2">
      <c r="A1300" s="180"/>
      <c r="C1300" s="166" t="s">
        <v>456</v>
      </c>
      <c r="D1300" s="181">
        <f>127000000/1000</f>
        <v>127000</v>
      </c>
      <c r="E1300" s="181"/>
      <c r="F1300" s="181"/>
      <c r="G1300" s="181"/>
      <c r="H1300" s="181">
        <f>111135681.12/1000</f>
        <v>111135.68112000001</v>
      </c>
      <c r="I1300" s="181"/>
      <c r="J1300" s="181"/>
      <c r="K1300" s="181"/>
      <c r="L1300" s="181"/>
      <c r="M1300" s="181"/>
      <c r="N1300" s="181"/>
      <c r="O1300" s="181"/>
      <c r="P1300" s="181"/>
      <c r="Q1300" s="181"/>
      <c r="R1300" s="181">
        <v>0</v>
      </c>
      <c r="S1300" s="181"/>
      <c r="T1300" s="181"/>
      <c r="U1300" s="181"/>
      <c r="V1300" s="181"/>
      <c r="W1300" s="181"/>
      <c r="X1300" s="181"/>
      <c r="Y1300" s="181">
        <f>+H1300+R1300</f>
        <v>111135.68112000001</v>
      </c>
      <c r="Z1300" s="181">
        <f t="shared" si="249"/>
        <v>15864.318879999992</v>
      </c>
      <c r="AA1300" s="181"/>
      <c r="AB1300" s="181"/>
      <c r="AC1300" s="181"/>
      <c r="AD1300" s="181"/>
      <c r="AF1300" s="195"/>
      <c r="AG1300" s="195"/>
      <c r="AH1300" s="195"/>
      <c r="AI1300" s="195"/>
      <c r="AJ1300" s="195"/>
      <c r="AK1300" s="195"/>
      <c r="AL1300" s="195"/>
      <c r="AM1300" s="195"/>
      <c r="AN1300" s="195"/>
      <c r="AO1300" s="195"/>
      <c r="AP1300" s="195"/>
      <c r="AQ1300" s="195"/>
      <c r="AR1300" s="195"/>
    </row>
    <row r="1301" spans="1:45" x14ac:dyDescent="0.2">
      <c r="A1301" s="180"/>
      <c r="C1301" s="165" t="s">
        <v>36</v>
      </c>
      <c r="D1301" s="181">
        <f>257193/1000</f>
        <v>257.19299999999998</v>
      </c>
      <c r="E1301" s="181">
        <f>TOBEPAID!E981/1000</f>
        <v>257.19299999999998</v>
      </c>
      <c r="F1301" s="181">
        <f>TOBEPAID!F981/1000</f>
        <v>0</v>
      </c>
      <c r="G1301" s="181">
        <f>TOBEPAID!G981/1000</f>
        <v>0</v>
      </c>
      <c r="H1301" s="181">
        <f>257193/1000</f>
        <v>257.19299999999998</v>
      </c>
      <c r="I1301" s="181">
        <f>TOBEPAID!I981/1000</f>
        <v>0</v>
      </c>
      <c r="J1301" s="181">
        <f>TOBEPAID!J981/1000</f>
        <v>0</v>
      </c>
      <c r="K1301" s="181">
        <f>TOBEPAID!K981/1000</f>
        <v>0</v>
      </c>
      <c r="L1301" s="181">
        <f>TOBEPAID!L981/1000</f>
        <v>0</v>
      </c>
      <c r="M1301" s="181">
        <f>TOBEPAID!M981/1000</f>
        <v>0</v>
      </c>
      <c r="N1301" s="181">
        <f>TOBEPAID!N981/1000</f>
        <v>257.19299999999998</v>
      </c>
      <c r="O1301" s="181">
        <f>TOBEPAID!O981/1000</f>
        <v>0</v>
      </c>
      <c r="P1301" s="181">
        <f>TOBEPAID!P981/1000</f>
        <v>0</v>
      </c>
      <c r="Q1301" s="181">
        <f>TOBEPAID!Q981/1000</f>
        <v>0</v>
      </c>
      <c r="R1301" s="181">
        <v>0</v>
      </c>
      <c r="S1301" s="181">
        <f>TOBEPAID!S981/1000</f>
        <v>0</v>
      </c>
      <c r="T1301" s="181">
        <f>TOBEPAID!T981/1000</f>
        <v>0</v>
      </c>
      <c r="U1301" s="181">
        <f>TOBEPAID!U981/1000</f>
        <v>0</v>
      </c>
      <c r="V1301" s="181">
        <f>TOBEPAID!V981/1000</f>
        <v>0</v>
      </c>
      <c r="W1301" s="181">
        <f>TOBEPAID!W981/1000</f>
        <v>0</v>
      </c>
      <c r="X1301" s="181">
        <f>TOBEPAID!X981/1000</f>
        <v>0</v>
      </c>
      <c r="Y1301" s="181">
        <f t="shared" si="248"/>
        <v>257.19299999999998</v>
      </c>
      <c r="Z1301" s="181">
        <f t="shared" si="249"/>
        <v>0</v>
      </c>
      <c r="AA1301" s="181">
        <f>TOBEPAID!AA981/1000</f>
        <v>257.19299999999998</v>
      </c>
      <c r="AB1301" s="181">
        <f>TOBEPAID!AB981/1000</f>
        <v>0</v>
      </c>
      <c r="AC1301" s="181"/>
      <c r="AD1301" s="181"/>
      <c r="AS1301" s="195"/>
    </row>
    <row r="1302" spans="1:45" x14ac:dyDescent="0.2">
      <c r="C1302" s="165" t="s">
        <v>375</v>
      </c>
      <c r="D1302" s="181">
        <f>5521162/1000</f>
        <v>5521.1620000000003</v>
      </c>
      <c r="E1302" s="181">
        <f>TOBEPAID!E982/1000</f>
        <v>5521.1629199999998</v>
      </c>
      <c r="F1302" s="181">
        <f>TOBEPAID!F982/1000</f>
        <v>0</v>
      </c>
      <c r="G1302" s="181">
        <f>TOBEPAID!G982/1000</f>
        <v>0</v>
      </c>
      <c r="H1302" s="181">
        <f>5521162/1000</f>
        <v>5521.1620000000003</v>
      </c>
      <c r="I1302" s="181">
        <f>TOBEPAID!I982/1000</f>
        <v>0</v>
      </c>
      <c r="J1302" s="181">
        <f>TOBEPAID!J982/1000</f>
        <v>0</v>
      </c>
      <c r="K1302" s="181">
        <f>TOBEPAID!K982/1000</f>
        <v>0</v>
      </c>
      <c r="L1302" s="181">
        <f>TOBEPAID!L982/1000</f>
        <v>0</v>
      </c>
      <c r="M1302" s="181">
        <f>TOBEPAID!M982/1000</f>
        <v>0</v>
      </c>
      <c r="N1302" s="181">
        <f>TOBEPAID!N982/1000</f>
        <v>5521.1629199999998</v>
      </c>
      <c r="O1302" s="181">
        <f>TOBEPAID!O982/1000</f>
        <v>0</v>
      </c>
      <c r="P1302" s="181">
        <f>TOBEPAID!P982/1000</f>
        <v>0</v>
      </c>
      <c r="Q1302" s="181">
        <f>TOBEPAID!Q982/1000</f>
        <v>0</v>
      </c>
      <c r="R1302" s="181">
        <v>0</v>
      </c>
      <c r="S1302" s="181">
        <f>TOBEPAID!S982/1000</f>
        <v>0</v>
      </c>
      <c r="T1302" s="181">
        <f>TOBEPAID!T982/1000</f>
        <v>0</v>
      </c>
      <c r="U1302" s="181">
        <f>TOBEPAID!U982/1000</f>
        <v>0</v>
      </c>
      <c r="V1302" s="181">
        <f>TOBEPAID!V982/1000</f>
        <v>0</v>
      </c>
      <c r="W1302" s="181">
        <f>TOBEPAID!W982/1000</f>
        <v>0</v>
      </c>
      <c r="X1302" s="181">
        <f>TOBEPAID!X982/1000</f>
        <v>0</v>
      </c>
      <c r="Y1302" s="181">
        <f t="shared" si="248"/>
        <v>5521.1620000000003</v>
      </c>
      <c r="Z1302" s="181">
        <f t="shared" si="249"/>
        <v>0</v>
      </c>
      <c r="AA1302" s="181">
        <f>TOBEPAID!AA982/1000</f>
        <v>5521.1629199999998</v>
      </c>
      <c r="AB1302" s="181">
        <f>TOBEPAID!AB982/1000</f>
        <v>0</v>
      </c>
      <c r="AC1302" s="181"/>
      <c r="AD1302" s="181"/>
      <c r="AF1302" s="195"/>
      <c r="AG1302" s="195"/>
      <c r="AH1302" s="195"/>
      <c r="AI1302" s="195"/>
      <c r="AJ1302" s="195"/>
      <c r="AK1302" s="195"/>
      <c r="AL1302" s="195"/>
      <c r="AM1302" s="195"/>
      <c r="AN1302" s="195"/>
      <c r="AO1302" s="195"/>
      <c r="AP1302" s="195"/>
      <c r="AQ1302" s="195"/>
      <c r="AR1302" s="195"/>
      <c r="AS1302" s="195"/>
    </row>
    <row r="1303" spans="1:45" x14ac:dyDescent="0.2">
      <c r="C1303" s="165" t="s">
        <v>450</v>
      </c>
      <c r="D1303" s="181">
        <f>12000000/1000</f>
        <v>12000</v>
      </c>
      <c r="E1303" s="181"/>
      <c r="F1303" s="181"/>
      <c r="G1303" s="181"/>
      <c r="H1303" s="181">
        <f>12000000/1000</f>
        <v>12000</v>
      </c>
      <c r="I1303" s="181"/>
      <c r="J1303" s="181"/>
      <c r="K1303" s="181"/>
      <c r="L1303" s="181"/>
      <c r="M1303" s="181"/>
      <c r="N1303" s="181"/>
      <c r="O1303" s="181"/>
      <c r="P1303" s="181"/>
      <c r="Q1303" s="181"/>
      <c r="R1303" s="181">
        <v>0</v>
      </c>
      <c r="S1303" s="181"/>
      <c r="T1303" s="181"/>
      <c r="U1303" s="181"/>
      <c r="V1303" s="181"/>
      <c r="W1303" s="181"/>
      <c r="X1303" s="181"/>
      <c r="Y1303" s="181">
        <f t="shared" si="248"/>
        <v>12000</v>
      </c>
      <c r="Z1303" s="181">
        <f t="shared" si="249"/>
        <v>0</v>
      </c>
      <c r="AA1303" s="181"/>
      <c r="AB1303" s="181"/>
      <c r="AC1303" s="181"/>
      <c r="AD1303" s="181"/>
      <c r="AF1303" s="195"/>
      <c r="AG1303" s="195"/>
      <c r="AH1303" s="195"/>
      <c r="AI1303" s="195"/>
      <c r="AJ1303" s="195"/>
      <c r="AK1303" s="195"/>
      <c r="AL1303" s="195"/>
      <c r="AM1303" s="195"/>
      <c r="AN1303" s="195"/>
      <c r="AO1303" s="195"/>
      <c r="AP1303" s="195"/>
      <c r="AQ1303" s="195"/>
      <c r="AR1303" s="195"/>
      <c r="AS1303" s="195"/>
    </row>
    <row r="1304" spans="1:45" x14ac:dyDescent="0.2">
      <c r="C1304" s="165" t="s">
        <v>471</v>
      </c>
      <c r="D1304" s="181">
        <f>10000000/1000</f>
        <v>10000</v>
      </c>
      <c r="E1304" s="181"/>
      <c r="F1304" s="181"/>
      <c r="G1304" s="181"/>
      <c r="H1304" s="181">
        <f>10000000/1000</f>
        <v>10000</v>
      </c>
      <c r="I1304" s="181"/>
      <c r="J1304" s="181"/>
      <c r="K1304" s="181"/>
      <c r="L1304" s="181"/>
      <c r="M1304" s="181"/>
      <c r="N1304" s="181"/>
      <c r="O1304" s="181"/>
      <c r="P1304" s="181"/>
      <c r="Q1304" s="181"/>
      <c r="R1304" s="181">
        <v>0</v>
      </c>
      <c r="S1304" s="181"/>
      <c r="T1304" s="181"/>
      <c r="U1304" s="181"/>
      <c r="V1304" s="181"/>
      <c r="W1304" s="181"/>
      <c r="X1304" s="181"/>
      <c r="Y1304" s="181">
        <f t="shared" si="248"/>
        <v>10000</v>
      </c>
      <c r="Z1304" s="181">
        <f t="shared" si="249"/>
        <v>0</v>
      </c>
      <c r="AA1304" s="181"/>
      <c r="AB1304" s="181"/>
      <c r="AC1304" s="181"/>
      <c r="AD1304" s="181"/>
      <c r="AF1304" s="195"/>
      <c r="AG1304" s="195"/>
      <c r="AH1304" s="195"/>
      <c r="AI1304" s="195"/>
      <c r="AJ1304" s="195"/>
      <c r="AK1304" s="195"/>
      <c r="AL1304" s="195"/>
      <c r="AM1304" s="195"/>
      <c r="AN1304" s="195"/>
      <c r="AO1304" s="195"/>
      <c r="AP1304" s="195"/>
      <c r="AQ1304" s="195"/>
      <c r="AR1304" s="195"/>
      <c r="AS1304" s="195"/>
    </row>
    <row r="1305" spans="1:45" x14ac:dyDescent="0.2">
      <c r="C1305" s="165" t="s">
        <v>484</v>
      </c>
      <c r="D1305" s="181">
        <f>31544943/1000</f>
        <v>31544.942999999999</v>
      </c>
      <c r="E1305" s="181"/>
      <c r="F1305" s="181"/>
      <c r="G1305" s="181"/>
      <c r="H1305" s="181">
        <f>31544943/1000</f>
        <v>31544.942999999999</v>
      </c>
      <c r="I1305" s="181"/>
      <c r="J1305" s="181"/>
      <c r="K1305" s="181"/>
      <c r="L1305" s="181"/>
      <c r="M1305" s="181"/>
      <c r="N1305" s="181"/>
      <c r="O1305" s="181"/>
      <c r="P1305" s="181"/>
      <c r="Q1305" s="181"/>
      <c r="R1305" s="181">
        <v>0</v>
      </c>
      <c r="S1305" s="181"/>
      <c r="T1305" s="181"/>
      <c r="U1305" s="181"/>
      <c r="V1305" s="181"/>
      <c r="W1305" s="181"/>
      <c r="X1305" s="181"/>
      <c r="Y1305" s="181">
        <f t="shared" si="248"/>
        <v>31544.942999999999</v>
      </c>
      <c r="Z1305" s="181">
        <f t="shared" si="249"/>
        <v>0</v>
      </c>
      <c r="AA1305" s="181"/>
      <c r="AB1305" s="181"/>
      <c r="AC1305" s="181"/>
      <c r="AD1305" s="181"/>
      <c r="AF1305" s="195"/>
      <c r="AG1305" s="195"/>
      <c r="AH1305" s="195"/>
      <c r="AI1305" s="195"/>
      <c r="AJ1305" s="195"/>
      <c r="AK1305" s="195"/>
      <c r="AL1305" s="195"/>
      <c r="AM1305" s="195"/>
      <c r="AN1305" s="195"/>
      <c r="AO1305" s="195"/>
      <c r="AP1305" s="195"/>
      <c r="AQ1305" s="195"/>
      <c r="AR1305" s="195"/>
      <c r="AS1305" s="195"/>
    </row>
    <row r="1306" spans="1:45" x14ac:dyDescent="0.2">
      <c r="C1306" s="165" t="s">
        <v>290</v>
      </c>
      <c r="D1306" s="181">
        <f>75000000/1000</f>
        <v>75000</v>
      </c>
      <c r="E1306" s="181"/>
      <c r="F1306" s="181"/>
      <c r="G1306" s="181"/>
      <c r="H1306" s="181">
        <f>75000000/1000</f>
        <v>75000</v>
      </c>
      <c r="I1306" s="181"/>
      <c r="J1306" s="181"/>
      <c r="K1306" s="181"/>
      <c r="L1306" s="181"/>
      <c r="M1306" s="181"/>
      <c r="N1306" s="181"/>
      <c r="O1306" s="181"/>
      <c r="P1306" s="181"/>
      <c r="Q1306" s="181"/>
      <c r="R1306" s="181">
        <v>0</v>
      </c>
      <c r="S1306" s="181"/>
      <c r="T1306" s="181"/>
      <c r="U1306" s="181"/>
      <c r="V1306" s="181"/>
      <c r="W1306" s="181"/>
      <c r="X1306" s="181"/>
      <c r="Y1306" s="181">
        <f>+H1306+R1306</f>
        <v>75000</v>
      </c>
      <c r="Z1306" s="181">
        <f t="shared" si="249"/>
        <v>0</v>
      </c>
      <c r="AA1306" s="181"/>
      <c r="AB1306" s="181"/>
      <c r="AC1306" s="181"/>
      <c r="AD1306" s="181"/>
      <c r="AF1306" s="195"/>
      <c r="AG1306" s="195"/>
      <c r="AH1306" s="195"/>
      <c r="AI1306" s="195"/>
      <c r="AJ1306" s="195"/>
      <c r="AK1306" s="195"/>
      <c r="AL1306" s="195"/>
      <c r="AM1306" s="195"/>
      <c r="AN1306" s="195"/>
      <c r="AO1306" s="195"/>
      <c r="AP1306" s="195"/>
      <c r="AQ1306" s="195"/>
      <c r="AR1306" s="195"/>
      <c r="AS1306" s="195"/>
    </row>
    <row r="1307" spans="1:45" x14ac:dyDescent="0.2">
      <c r="A1307" s="180"/>
      <c r="C1307" s="165" t="s">
        <v>183</v>
      </c>
      <c r="D1307" s="181">
        <v>0</v>
      </c>
      <c r="E1307" s="181">
        <f>TOBEPAID!E983/1000</f>
        <v>0</v>
      </c>
      <c r="F1307" s="181">
        <f>TOBEPAID!F983/1000</f>
        <v>0</v>
      </c>
      <c r="G1307" s="181">
        <f>TOBEPAID!G983/1000</f>
        <v>0</v>
      </c>
      <c r="H1307" s="181">
        <v>0</v>
      </c>
      <c r="I1307" s="181">
        <f>TOBEPAID!I983/1000</f>
        <v>0</v>
      </c>
      <c r="J1307" s="181">
        <f>TOBEPAID!J983/1000</f>
        <v>0</v>
      </c>
      <c r="K1307" s="181">
        <f>TOBEPAID!K983/1000</f>
        <v>0</v>
      </c>
      <c r="L1307" s="181">
        <f>TOBEPAID!L983/1000</f>
        <v>0</v>
      </c>
      <c r="M1307" s="181">
        <f>TOBEPAID!M983/1000</f>
        <v>0</v>
      </c>
      <c r="N1307" s="181">
        <f>TOBEPAID!N983/1000</f>
        <v>0</v>
      </c>
      <c r="O1307" s="181">
        <f>TOBEPAID!O983/1000</f>
        <v>0</v>
      </c>
      <c r="P1307" s="181">
        <f>TOBEPAID!P983/1000</f>
        <v>0</v>
      </c>
      <c r="Q1307" s="181">
        <f>TOBEPAID!Q983/1000</f>
        <v>0</v>
      </c>
      <c r="R1307" s="181">
        <v>0</v>
      </c>
      <c r="S1307" s="181">
        <f>TOBEPAID!S983/1000</f>
        <v>0</v>
      </c>
      <c r="T1307" s="181">
        <f>TOBEPAID!T983/1000</f>
        <v>0</v>
      </c>
      <c r="U1307" s="181">
        <f>TOBEPAID!U983/1000</f>
        <v>0</v>
      </c>
      <c r="V1307" s="181">
        <f>TOBEPAID!V983/1000</f>
        <v>0</v>
      </c>
      <c r="W1307" s="181">
        <f>TOBEPAID!W983/1000</f>
        <v>0</v>
      </c>
      <c r="X1307" s="181">
        <f>TOBEPAID!X983/1000</f>
        <v>0</v>
      </c>
      <c r="Y1307" s="181">
        <f t="shared" si="248"/>
        <v>0</v>
      </c>
      <c r="Z1307" s="181">
        <f t="shared" si="249"/>
        <v>0</v>
      </c>
      <c r="AA1307" s="181">
        <f>TOBEPAID!AA983/1000</f>
        <v>0</v>
      </c>
      <c r="AB1307" s="181">
        <f>TOBEPAID!AB983/1000</f>
        <v>18626.426620000002</v>
      </c>
      <c r="AC1307" s="181"/>
      <c r="AD1307" s="181"/>
      <c r="AF1307" s="195"/>
      <c r="AG1307" s="195"/>
      <c r="AH1307" s="195"/>
      <c r="AI1307" s="195"/>
      <c r="AJ1307" s="195"/>
      <c r="AK1307" s="195"/>
      <c r="AL1307" s="195"/>
      <c r="AM1307" s="195"/>
      <c r="AN1307" s="195"/>
      <c r="AO1307" s="195"/>
      <c r="AP1307" s="195"/>
      <c r="AQ1307" s="195"/>
      <c r="AR1307" s="195"/>
      <c r="AS1307" s="195"/>
    </row>
    <row r="1308" spans="1:45" x14ac:dyDescent="0.2">
      <c r="A1308" s="180"/>
      <c r="C1308" s="165" t="s">
        <v>38</v>
      </c>
      <c r="D1308" s="181">
        <v>0</v>
      </c>
      <c r="E1308" s="181">
        <f>TOBEPAID!E984/1000</f>
        <v>0</v>
      </c>
      <c r="F1308" s="181">
        <f>TOBEPAID!F984/1000</f>
        <v>0</v>
      </c>
      <c r="G1308" s="181">
        <f>TOBEPAID!G984/1000</f>
        <v>0</v>
      </c>
      <c r="H1308" s="181">
        <v>0</v>
      </c>
      <c r="I1308" s="181">
        <f>TOBEPAID!I984/1000</f>
        <v>0</v>
      </c>
      <c r="J1308" s="181">
        <f>TOBEPAID!J984/1000</f>
        <v>0</v>
      </c>
      <c r="K1308" s="181">
        <f>TOBEPAID!K984/1000</f>
        <v>0</v>
      </c>
      <c r="L1308" s="181">
        <f>TOBEPAID!L984/1000</f>
        <v>0</v>
      </c>
      <c r="M1308" s="181">
        <f>TOBEPAID!M984/1000</f>
        <v>0</v>
      </c>
      <c r="N1308" s="181">
        <f>TOBEPAID!N984/1000</f>
        <v>0</v>
      </c>
      <c r="O1308" s="181">
        <f>TOBEPAID!O984/1000</f>
        <v>0</v>
      </c>
      <c r="P1308" s="181">
        <f>TOBEPAID!P984/1000</f>
        <v>0</v>
      </c>
      <c r="Q1308" s="181">
        <f>TOBEPAID!Q984/1000</f>
        <v>0</v>
      </c>
      <c r="R1308" s="181">
        <v>0</v>
      </c>
      <c r="S1308" s="181">
        <f>TOBEPAID!S984/1000</f>
        <v>0</v>
      </c>
      <c r="T1308" s="181">
        <f>TOBEPAID!T984/1000</f>
        <v>0</v>
      </c>
      <c r="U1308" s="181">
        <f>TOBEPAID!U984/1000</f>
        <v>0</v>
      </c>
      <c r="V1308" s="181">
        <f>TOBEPAID!V984/1000</f>
        <v>0</v>
      </c>
      <c r="W1308" s="181">
        <f>TOBEPAID!W984/1000</f>
        <v>0</v>
      </c>
      <c r="X1308" s="181">
        <f>TOBEPAID!X984/1000</f>
        <v>0</v>
      </c>
      <c r="Y1308" s="181">
        <f t="shared" si="248"/>
        <v>0</v>
      </c>
      <c r="Z1308" s="181">
        <f t="shared" si="249"/>
        <v>0</v>
      </c>
      <c r="AA1308" s="181">
        <f>TOBEPAID!AA984/1000</f>
        <v>0</v>
      </c>
      <c r="AB1308" s="181">
        <f>TOBEPAID!AB984/1000</f>
        <v>7242</v>
      </c>
      <c r="AC1308" s="181"/>
      <c r="AD1308" s="181"/>
      <c r="AF1308" s="195"/>
      <c r="AG1308" s="195"/>
      <c r="AH1308" s="195"/>
      <c r="AI1308" s="195"/>
      <c r="AJ1308" s="195"/>
      <c r="AK1308" s="195"/>
      <c r="AL1308" s="195"/>
      <c r="AM1308" s="195"/>
      <c r="AN1308" s="195"/>
      <c r="AO1308" s="195"/>
      <c r="AP1308" s="195"/>
      <c r="AQ1308" s="195"/>
      <c r="AR1308" s="195"/>
      <c r="AS1308" s="195"/>
    </row>
    <row r="1309" spans="1:45" x14ac:dyDescent="0.2">
      <c r="A1309" s="180"/>
      <c r="C1309" s="165" t="s">
        <v>184</v>
      </c>
      <c r="D1309" s="181">
        <v>0</v>
      </c>
      <c r="E1309" s="181">
        <f>TOBEPAID!E985/1000</f>
        <v>0</v>
      </c>
      <c r="F1309" s="181">
        <f>TOBEPAID!F985/1000</f>
        <v>0</v>
      </c>
      <c r="G1309" s="181">
        <f>TOBEPAID!G985/1000</f>
        <v>0</v>
      </c>
      <c r="H1309" s="181">
        <v>0</v>
      </c>
      <c r="I1309" s="181">
        <f>TOBEPAID!I985/1000</f>
        <v>0</v>
      </c>
      <c r="J1309" s="181">
        <f>TOBEPAID!J985/1000</f>
        <v>0</v>
      </c>
      <c r="K1309" s="181">
        <f>TOBEPAID!K985/1000</f>
        <v>0</v>
      </c>
      <c r="L1309" s="181">
        <f>TOBEPAID!L985/1000</f>
        <v>0</v>
      </c>
      <c r="M1309" s="181">
        <f>TOBEPAID!M985/1000</f>
        <v>0</v>
      </c>
      <c r="N1309" s="181">
        <f>TOBEPAID!N985/1000</f>
        <v>0</v>
      </c>
      <c r="O1309" s="181">
        <f>TOBEPAID!O985/1000</f>
        <v>0</v>
      </c>
      <c r="P1309" s="181">
        <f>TOBEPAID!P985/1000</f>
        <v>0</v>
      </c>
      <c r="Q1309" s="181">
        <f>TOBEPAID!Q985/1000</f>
        <v>0</v>
      </c>
      <c r="R1309" s="181">
        <v>0</v>
      </c>
      <c r="S1309" s="181">
        <f>TOBEPAID!S985/1000</f>
        <v>0</v>
      </c>
      <c r="T1309" s="181">
        <f>TOBEPAID!T985/1000</f>
        <v>0</v>
      </c>
      <c r="U1309" s="181">
        <f>TOBEPAID!U985/1000</f>
        <v>0</v>
      </c>
      <c r="V1309" s="181">
        <f>TOBEPAID!V985/1000</f>
        <v>0</v>
      </c>
      <c r="W1309" s="181">
        <f>TOBEPAID!W985/1000</f>
        <v>0</v>
      </c>
      <c r="X1309" s="181">
        <f>TOBEPAID!X985/1000</f>
        <v>0</v>
      </c>
      <c r="Y1309" s="181">
        <f t="shared" si="248"/>
        <v>0</v>
      </c>
      <c r="Z1309" s="181">
        <f t="shared" si="249"/>
        <v>0</v>
      </c>
      <c r="AA1309" s="181">
        <f>TOBEPAID!AA985/1000</f>
        <v>0</v>
      </c>
      <c r="AB1309" s="181">
        <f>TOBEPAID!AB985/1000</f>
        <v>709.70447000000001</v>
      </c>
      <c r="AC1309" s="181"/>
      <c r="AD1309" s="181"/>
      <c r="AF1309" s="195"/>
      <c r="AG1309" s="195"/>
      <c r="AH1309" s="195"/>
      <c r="AI1309" s="195"/>
      <c r="AJ1309" s="195"/>
      <c r="AK1309" s="195"/>
      <c r="AL1309" s="195"/>
      <c r="AM1309" s="195"/>
      <c r="AN1309" s="195"/>
      <c r="AO1309" s="195"/>
      <c r="AP1309" s="195"/>
      <c r="AQ1309" s="195"/>
      <c r="AR1309" s="195"/>
      <c r="AS1309" s="195"/>
    </row>
    <row r="1310" spans="1:45" x14ac:dyDescent="0.2">
      <c r="A1310" s="180"/>
      <c r="D1310" s="182" t="s">
        <v>40</v>
      </c>
      <c r="E1310" s="182" t="s">
        <v>40</v>
      </c>
      <c r="F1310" s="182" t="s">
        <v>40</v>
      </c>
      <c r="G1310" s="182"/>
      <c r="H1310" s="182" t="s">
        <v>40</v>
      </c>
      <c r="I1310" s="182" t="s">
        <v>40</v>
      </c>
      <c r="J1310" s="182" t="s">
        <v>40</v>
      </c>
      <c r="K1310" s="182" t="s">
        <v>40</v>
      </c>
      <c r="L1310" s="182" t="s">
        <v>40</v>
      </c>
      <c r="M1310" s="182"/>
      <c r="N1310" s="182" t="s">
        <v>40</v>
      </c>
      <c r="O1310" s="182" t="s">
        <v>40</v>
      </c>
      <c r="P1310" s="182" t="s">
        <v>40</v>
      </c>
      <c r="Q1310" s="182"/>
      <c r="R1310" s="182" t="s">
        <v>40</v>
      </c>
      <c r="S1310" s="182" t="s">
        <v>40</v>
      </c>
      <c r="T1310" s="182" t="s">
        <v>40</v>
      </c>
      <c r="U1310" s="182" t="s">
        <v>40</v>
      </c>
      <c r="V1310" s="182" t="s">
        <v>40</v>
      </c>
      <c r="W1310" s="182"/>
      <c r="X1310" s="182" t="s">
        <v>40</v>
      </c>
      <c r="Y1310" s="182" t="s">
        <v>40</v>
      </c>
      <c r="Z1310" s="182" t="s">
        <v>40</v>
      </c>
      <c r="AA1310" s="182" t="s">
        <v>40</v>
      </c>
      <c r="AB1310" s="182" t="s">
        <v>40</v>
      </c>
      <c r="AC1310" s="182"/>
      <c r="AD1310" s="182"/>
      <c r="AF1310" s="195"/>
      <c r="AG1310" s="195"/>
      <c r="AH1310" s="195"/>
      <c r="AI1310" s="195"/>
      <c r="AJ1310" s="195"/>
      <c r="AK1310" s="195"/>
      <c r="AL1310" s="195"/>
      <c r="AM1310" s="195"/>
      <c r="AN1310" s="195"/>
      <c r="AO1310" s="195"/>
      <c r="AP1310" s="195"/>
      <c r="AQ1310" s="195"/>
      <c r="AR1310" s="195"/>
      <c r="AS1310" s="195"/>
    </row>
    <row r="1311" spans="1:45" x14ac:dyDescent="0.2">
      <c r="A1311" s="180"/>
      <c r="D1311" s="196">
        <f>SUM(D1298:D1309)</f>
        <v>346005.16899999999</v>
      </c>
      <c r="E1311" s="196">
        <f>SUM(E1298:E1309)</f>
        <v>5778.35592</v>
      </c>
      <c r="F1311" s="196">
        <f>SUM(F1298:F1309)</f>
        <v>0</v>
      </c>
      <c r="G1311" s="196"/>
      <c r="H1311" s="196">
        <f>SUM(H1298:H1309)</f>
        <v>325432.02176000003</v>
      </c>
      <c r="I1311" s="196">
        <f>SUM(I1298:I1309)</f>
        <v>0</v>
      </c>
      <c r="J1311" s="196">
        <f>SUM(J1298:J1309)</f>
        <v>0</v>
      </c>
      <c r="K1311" s="196">
        <f>SUM(K1298:K1309)</f>
        <v>0</v>
      </c>
      <c r="L1311" s="196">
        <f>SUM(L1298:L1309)</f>
        <v>0</v>
      </c>
      <c r="M1311" s="196"/>
      <c r="N1311" s="196">
        <f>SUM(N1298:N1309)</f>
        <v>5778.35592</v>
      </c>
      <c r="O1311" s="196">
        <f>SUM(O1298:O1309)</f>
        <v>0</v>
      </c>
      <c r="P1311" s="196">
        <f>SUM(P1298:P1309)</f>
        <v>0</v>
      </c>
      <c r="Q1311" s="196"/>
      <c r="R1311" s="196">
        <f>SUM(R1298:R1309)</f>
        <v>0</v>
      </c>
      <c r="S1311" s="196">
        <f>SUM(S1298:S1309)</f>
        <v>0</v>
      </c>
      <c r="T1311" s="196">
        <f>SUM(T1298:T1309)</f>
        <v>0</v>
      </c>
      <c r="U1311" s="196">
        <f>SUM(U1298:U1309)</f>
        <v>0</v>
      </c>
      <c r="V1311" s="196">
        <f>SUM(V1298:V1309)</f>
        <v>0</v>
      </c>
      <c r="W1311" s="196"/>
      <c r="X1311" s="196">
        <f>SUM(X1298:X1309)</f>
        <v>0</v>
      </c>
      <c r="Y1311" s="196">
        <f>SUM(Y1298:Y1309)</f>
        <v>325432.02176000003</v>
      </c>
      <c r="Z1311" s="196">
        <f>SUM(Z1298:Z1309)</f>
        <v>20573.147239999991</v>
      </c>
      <c r="AA1311" s="196">
        <f>SUM(AA1298:AA1309)</f>
        <v>5778.35592</v>
      </c>
      <c r="AB1311" s="196">
        <f>SUM(AB1298:AB1309)</f>
        <v>59681.871329999994</v>
      </c>
      <c r="AC1311" s="196"/>
      <c r="AD1311" s="196"/>
      <c r="AF1311" s="195"/>
      <c r="AG1311" s="195"/>
      <c r="AH1311" s="195"/>
      <c r="AI1311" s="195"/>
      <c r="AJ1311" s="195"/>
      <c r="AK1311" s="195"/>
      <c r="AL1311" s="195"/>
      <c r="AM1311" s="195"/>
      <c r="AN1311" s="195"/>
      <c r="AO1311" s="195"/>
      <c r="AP1311" s="195"/>
      <c r="AQ1311" s="195"/>
      <c r="AR1311" s="195"/>
      <c r="AS1311" s="195"/>
    </row>
    <row r="1312" spans="1:45" x14ac:dyDescent="0.2">
      <c r="A1312" s="180"/>
      <c r="D1312" s="182" t="s">
        <v>40</v>
      </c>
      <c r="E1312" s="182" t="s">
        <v>40</v>
      </c>
      <c r="F1312" s="182" t="s">
        <v>40</v>
      </c>
      <c r="G1312" s="182"/>
      <c r="H1312" s="182" t="s">
        <v>40</v>
      </c>
      <c r="I1312" s="182" t="s">
        <v>40</v>
      </c>
      <c r="J1312" s="182" t="s">
        <v>40</v>
      </c>
      <c r="K1312" s="182" t="s">
        <v>40</v>
      </c>
      <c r="L1312" s="182" t="s">
        <v>40</v>
      </c>
      <c r="M1312" s="182"/>
      <c r="N1312" s="182" t="s">
        <v>40</v>
      </c>
      <c r="O1312" s="182" t="s">
        <v>40</v>
      </c>
      <c r="P1312" s="182" t="s">
        <v>40</v>
      </c>
      <c r="Q1312" s="182"/>
      <c r="R1312" s="182" t="s">
        <v>40</v>
      </c>
      <c r="S1312" s="182" t="s">
        <v>40</v>
      </c>
      <c r="T1312" s="182" t="s">
        <v>40</v>
      </c>
      <c r="U1312" s="182" t="s">
        <v>40</v>
      </c>
      <c r="V1312" s="182" t="s">
        <v>40</v>
      </c>
      <c r="W1312" s="182"/>
      <c r="X1312" s="182" t="s">
        <v>40</v>
      </c>
      <c r="Y1312" s="182" t="s">
        <v>40</v>
      </c>
      <c r="Z1312" s="182" t="s">
        <v>40</v>
      </c>
      <c r="AA1312" s="182" t="s">
        <v>40</v>
      </c>
      <c r="AB1312" s="182" t="s">
        <v>40</v>
      </c>
      <c r="AC1312" s="182"/>
      <c r="AD1312" s="182"/>
      <c r="AF1312" s="195"/>
      <c r="AG1312" s="195"/>
      <c r="AH1312" s="195"/>
      <c r="AI1312" s="195"/>
      <c r="AJ1312" s="195"/>
      <c r="AK1312" s="195"/>
      <c r="AL1312" s="195"/>
      <c r="AM1312" s="195"/>
      <c r="AN1312" s="195"/>
      <c r="AO1312" s="195"/>
      <c r="AP1312" s="195"/>
      <c r="AQ1312" s="195"/>
      <c r="AR1312" s="195"/>
      <c r="AS1312" s="195"/>
    </row>
    <row r="1313" spans="1:45" x14ac:dyDescent="0.2">
      <c r="A1313" s="180">
        <v>102</v>
      </c>
      <c r="B1313" s="165" t="s">
        <v>235</v>
      </c>
      <c r="C1313" s="166" t="s">
        <v>35</v>
      </c>
      <c r="D1313" s="181">
        <f>5068000/1000</f>
        <v>5068</v>
      </c>
      <c r="E1313" s="181">
        <f>TOBEPAID!E989/1000</f>
        <v>0</v>
      </c>
      <c r="F1313" s="181">
        <f>TOBEPAID!F989/1000</f>
        <v>0</v>
      </c>
      <c r="G1313" s="181">
        <f>TOBEPAID!G989/1000</f>
        <v>0</v>
      </c>
      <c r="H1313" s="181">
        <f>4650000/1000</f>
        <v>4650</v>
      </c>
      <c r="I1313" s="181">
        <f>TOBEPAID!I989/1000</f>
        <v>0</v>
      </c>
      <c r="J1313" s="181">
        <f>TOBEPAID!J989/1000</f>
        <v>0</v>
      </c>
      <c r="K1313" s="181">
        <f>TOBEPAID!K989/1000</f>
        <v>0</v>
      </c>
      <c r="L1313" s="181">
        <f>TOBEPAID!L989/1000</f>
        <v>0</v>
      </c>
      <c r="M1313" s="181">
        <f>TOBEPAID!M989/1000</f>
        <v>0</v>
      </c>
      <c r="N1313" s="181">
        <f>TOBEPAID!N989/1000</f>
        <v>0</v>
      </c>
      <c r="O1313" s="181">
        <f>TOBEPAID!O989/1000</f>
        <v>0</v>
      </c>
      <c r="P1313" s="181">
        <f>TOBEPAID!P989/1000</f>
        <v>0</v>
      </c>
      <c r="Q1313" s="181">
        <f>TOBEPAID!Q989/1000</f>
        <v>0</v>
      </c>
      <c r="R1313" s="181">
        <v>0</v>
      </c>
      <c r="S1313" s="181">
        <f>TOBEPAID!S989/1000</f>
        <v>0</v>
      </c>
      <c r="T1313" s="181">
        <f>TOBEPAID!T989/1000</f>
        <v>0</v>
      </c>
      <c r="U1313" s="181">
        <f>TOBEPAID!U989/1000</f>
        <v>0</v>
      </c>
      <c r="V1313" s="181">
        <f>TOBEPAID!V989/1000</f>
        <v>0</v>
      </c>
      <c r="W1313" s="181">
        <f>TOBEPAID!W989/1000</f>
        <v>0</v>
      </c>
      <c r="X1313" s="181">
        <f>TOBEPAID!X989/1000</f>
        <v>0</v>
      </c>
      <c r="Y1313" s="181">
        <f>+H1313+R1313</f>
        <v>4650</v>
      </c>
      <c r="Z1313" s="181">
        <f t="shared" ref="Z1313:Z1321" si="250">+D1313-Y1313</f>
        <v>418</v>
      </c>
      <c r="AA1313" s="181">
        <f>TOBEPAID!AA989/1000</f>
        <v>0</v>
      </c>
      <c r="AB1313" s="181">
        <f>TOBEPAID!AB989/1000</f>
        <v>0</v>
      </c>
      <c r="AC1313" s="181"/>
      <c r="AD1313" s="181"/>
      <c r="AF1313" s="195"/>
      <c r="AG1313" s="195"/>
      <c r="AH1313" s="195"/>
      <c r="AI1313" s="195"/>
      <c r="AJ1313" s="195"/>
      <c r="AK1313" s="195"/>
      <c r="AL1313" s="195"/>
      <c r="AM1313" s="195"/>
      <c r="AN1313" s="195"/>
      <c r="AO1313" s="195"/>
      <c r="AP1313" s="195"/>
      <c r="AQ1313" s="195"/>
      <c r="AR1313" s="195"/>
    </row>
    <row r="1314" spans="1:45" ht="15" customHeight="1" x14ac:dyDescent="0.2">
      <c r="A1314" s="180"/>
      <c r="C1314" s="165" t="s">
        <v>36</v>
      </c>
      <c r="D1314" s="181">
        <f>2580531/1000</f>
        <v>2580.5309999999999</v>
      </c>
      <c r="E1314" s="181">
        <f>TOBEPAID!E990/1000</f>
        <v>2580.5309999999999</v>
      </c>
      <c r="F1314" s="181">
        <f>TOBEPAID!F990/1000</f>
        <v>0</v>
      </c>
      <c r="G1314" s="181">
        <f>TOBEPAID!G990/1000</f>
        <v>0</v>
      </c>
      <c r="H1314" s="181">
        <f>2580531/1000</f>
        <v>2580.5309999999999</v>
      </c>
      <c r="I1314" s="181">
        <f>TOBEPAID!I990/1000</f>
        <v>0</v>
      </c>
      <c r="J1314" s="181">
        <f>TOBEPAID!J990/1000</f>
        <v>0</v>
      </c>
      <c r="K1314" s="181">
        <f>TOBEPAID!K990/1000</f>
        <v>0</v>
      </c>
      <c r="L1314" s="181">
        <f>TOBEPAID!L990/1000</f>
        <v>0</v>
      </c>
      <c r="M1314" s="181">
        <f>TOBEPAID!M990/1000</f>
        <v>0</v>
      </c>
      <c r="N1314" s="181">
        <f>TOBEPAID!N990/1000</f>
        <v>2580.5309999999999</v>
      </c>
      <c r="O1314" s="181">
        <f>TOBEPAID!O990/1000</f>
        <v>0</v>
      </c>
      <c r="P1314" s="181">
        <f>TOBEPAID!P990/1000</f>
        <v>0</v>
      </c>
      <c r="Q1314" s="181">
        <f>TOBEPAID!Q990/1000</f>
        <v>0</v>
      </c>
      <c r="R1314" s="181">
        <v>0</v>
      </c>
      <c r="S1314" s="181">
        <f>TOBEPAID!S990/1000</f>
        <v>0</v>
      </c>
      <c r="T1314" s="181">
        <f>TOBEPAID!T990/1000</f>
        <v>0</v>
      </c>
      <c r="U1314" s="181">
        <f>TOBEPAID!U990/1000</f>
        <v>0</v>
      </c>
      <c r="V1314" s="181">
        <f>TOBEPAID!V990/1000</f>
        <v>0</v>
      </c>
      <c r="W1314" s="181">
        <f>TOBEPAID!W990/1000</f>
        <v>0</v>
      </c>
      <c r="X1314" s="181">
        <f>TOBEPAID!X990/1000</f>
        <v>0</v>
      </c>
      <c r="Y1314" s="181">
        <f t="shared" ref="Y1314:Y1321" si="251">+H1314+R1314</f>
        <v>2580.5309999999999</v>
      </c>
      <c r="Z1314" s="181">
        <f t="shared" si="250"/>
        <v>0</v>
      </c>
      <c r="AA1314" s="181">
        <f>TOBEPAID!AA990/1000</f>
        <v>2580.5309999999999</v>
      </c>
      <c r="AB1314" s="181">
        <f>TOBEPAID!AB990/1000</f>
        <v>0</v>
      </c>
      <c r="AC1314" s="181"/>
      <c r="AD1314" s="181"/>
    </row>
    <row r="1315" spans="1:45" ht="15" customHeight="1" x14ac:dyDescent="0.2">
      <c r="A1315" s="180"/>
      <c r="C1315" s="165" t="s">
        <v>457</v>
      </c>
      <c r="D1315" s="181">
        <f>117790000/1000</f>
        <v>117790</v>
      </c>
      <c r="E1315" s="181"/>
      <c r="F1315" s="181"/>
      <c r="G1315" s="181"/>
      <c r="H1315" s="181">
        <f>(91936819+25853180.15)/1000</f>
        <v>117789.99915</v>
      </c>
      <c r="I1315" s="181"/>
      <c r="J1315" s="181"/>
      <c r="K1315" s="181"/>
      <c r="L1315" s="181"/>
      <c r="M1315" s="181"/>
      <c r="N1315" s="181"/>
      <c r="O1315" s="181"/>
      <c r="P1315" s="181"/>
      <c r="Q1315" s="181"/>
      <c r="R1315" s="181">
        <v>0</v>
      </c>
      <c r="S1315" s="181"/>
      <c r="T1315" s="181"/>
      <c r="U1315" s="181"/>
      <c r="V1315" s="181"/>
      <c r="W1315" s="181"/>
      <c r="X1315" s="181"/>
      <c r="Y1315" s="181">
        <f t="shared" si="251"/>
        <v>117789.99915</v>
      </c>
      <c r="Z1315" s="181">
        <f t="shared" si="250"/>
        <v>8.4999999671708792E-4</v>
      </c>
      <c r="AA1315" s="181"/>
      <c r="AB1315" s="181"/>
      <c r="AC1315" s="181"/>
      <c r="AD1315" s="181"/>
    </row>
    <row r="1316" spans="1:45" ht="15" customHeight="1" x14ac:dyDescent="0.2">
      <c r="A1316" s="180"/>
      <c r="C1316" s="165" t="s">
        <v>456</v>
      </c>
      <c r="D1316" s="181">
        <f>51140000/1000</f>
        <v>51140</v>
      </c>
      <c r="E1316" s="181"/>
      <c r="F1316" s="181"/>
      <c r="G1316" s="181"/>
      <c r="H1316" s="181">
        <f>2357189.65/1000</f>
        <v>2357.1896499999998</v>
      </c>
      <c r="I1316" s="181"/>
      <c r="J1316" s="181"/>
      <c r="K1316" s="181"/>
      <c r="L1316" s="181"/>
      <c r="M1316" s="181"/>
      <c r="N1316" s="181"/>
      <c r="O1316" s="181"/>
      <c r="P1316" s="181"/>
      <c r="Q1316" s="181"/>
      <c r="R1316" s="181">
        <v>0</v>
      </c>
      <c r="S1316" s="181"/>
      <c r="T1316" s="181"/>
      <c r="U1316" s="181"/>
      <c r="V1316" s="181"/>
      <c r="W1316" s="181"/>
      <c r="X1316" s="181"/>
      <c r="Y1316" s="181">
        <f>+H1316+R1316</f>
        <v>2357.1896499999998</v>
      </c>
      <c r="Z1316" s="181">
        <f t="shared" si="250"/>
        <v>48782.81035</v>
      </c>
      <c r="AA1316" s="181"/>
      <c r="AB1316" s="181"/>
      <c r="AC1316" s="181"/>
      <c r="AD1316" s="181"/>
    </row>
    <row r="1317" spans="1:45" ht="15" customHeight="1" x14ac:dyDescent="0.2">
      <c r="C1317" s="165" t="s">
        <v>305</v>
      </c>
      <c r="D1317" s="181">
        <v>0</v>
      </c>
      <c r="E1317" s="181">
        <f>TOBEPAID!E991/1000</f>
        <v>8725.1204399999988</v>
      </c>
      <c r="F1317" s="181">
        <f>TOBEPAID!F991/1000</f>
        <v>0</v>
      </c>
      <c r="G1317" s="181">
        <f>TOBEPAID!G991/1000</f>
        <v>0</v>
      </c>
      <c r="H1317" s="181">
        <v>0</v>
      </c>
      <c r="I1317" s="181">
        <f>TOBEPAID!I991/1000</f>
        <v>0</v>
      </c>
      <c r="J1317" s="181">
        <f>TOBEPAID!J991/1000</f>
        <v>0</v>
      </c>
      <c r="K1317" s="181">
        <f>TOBEPAID!K991/1000</f>
        <v>0</v>
      </c>
      <c r="L1317" s="181">
        <f>TOBEPAID!L991/1000</f>
        <v>0</v>
      </c>
      <c r="M1317" s="181">
        <f>TOBEPAID!M991/1000</f>
        <v>0</v>
      </c>
      <c r="N1317" s="181">
        <f>TOBEPAID!N991/1000</f>
        <v>8725.1204399999988</v>
      </c>
      <c r="O1317" s="181">
        <f>TOBEPAID!O991/1000</f>
        <v>0</v>
      </c>
      <c r="P1317" s="181">
        <f>TOBEPAID!P991/1000</f>
        <v>0</v>
      </c>
      <c r="Q1317" s="181">
        <f>TOBEPAID!Q991/1000</f>
        <v>0</v>
      </c>
      <c r="R1317" s="181">
        <v>0</v>
      </c>
      <c r="S1317" s="181">
        <f>TOBEPAID!S991/1000</f>
        <v>0</v>
      </c>
      <c r="T1317" s="181">
        <f>TOBEPAID!T991/1000</f>
        <v>0</v>
      </c>
      <c r="U1317" s="181">
        <f>TOBEPAID!U991/1000</f>
        <v>0</v>
      </c>
      <c r="V1317" s="181">
        <f>TOBEPAID!V991/1000</f>
        <v>0</v>
      </c>
      <c r="W1317" s="181">
        <f>TOBEPAID!W991/1000</f>
        <v>0</v>
      </c>
      <c r="X1317" s="181">
        <f>TOBEPAID!X991/1000</f>
        <v>0</v>
      </c>
      <c r="Y1317" s="181">
        <f t="shared" si="251"/>
        <v>0</v>
      </c>
      <c r="Z1317" s="181">
        <f t="shared" si="250"/>
        <v>0</v>
      </c>
      <c r="AA1317" s="181">
        <f>TOBEPAID!AA991/1000</f>
        <v>8725.1204399999988</v>
      </c>
      <c r="AB1317" s="181">
        <f>TOBEPAID!AB991/1000</f>
        <v>0</v>
      </c>
      <c r="AC1317" s="181"/>
      <c r="AD1317" s="181"/>
      <c r="AS1317" s="195"/>
    </row>
    <row r="1318" spans="1:45" ht="15" customHeight="1" x14ac:dyDescent="0.2">
      <c r="C1318" s="165" t="s">
        <v>290</v>
      </c>
      <c r="D1318" s="181">
        <f>606372112.21/1000</f>
        <v>606372.11221000005</v>
      </c>
      <c r="E1318" s="181">
        <f>TOBEPAID!E992/1000</f>
        <v>66096.245569999999</v>
      </c>
      <c r="F1318" s="181">
        <f>TOBEPAID!F992/1000</f>
        <v>5275.8666399999993</v>
      </c>
      <c r="G1318" s="181">
        <f>TOBEPAID!G992/1000</f>
        <v>0</v>
      </c>
      <c r="H1318" s="181">
        <f>606372112.21/1000</f>
        <v>606372.11221000005</v>
      </c>
      <c r="I1318" s="181">
        <f>TOBEPAID!I992/1000</f>
        <v>0</v>
      </c>
      <c r="J1318" s="181">
        <f>TOBEPAID!J992/1000</f>
        <v>0</v>
      </c>
      <c r="K1318" s="181">
        <f>TOBEPAID!K992/1000</f>
        <v>0</v>
      </c>
      <c r="L1318" s="181">
        <f>TOBEPAID!L992/1000</f>
        <v>0</v>
      </c>
      <c r="M1318" s="181">
        <f>TOBEPAID!M992/1000</f>
        <v>0</v>
      </c>
      <c r="N1318" s="181">
        <f>TOBEPAID!N992/1000</f>
        <v>71372.112209999992</v>
      </c>
      <c r="O1318" s="181">
        <f>TOBEPAID!O992/1000</f>
        <v>0</v>
      </c>
      <c r="P1318" s="181">
        <f>TOBEPAID!P992/1000</f>
        <v>0</v>
      </c>
      <c r="Q1318" s="181">
        <f>TOBEPAID!Q992/1000</f>
        <v>0</v>
      </c>
      <c r="R1318" s="181">
        <v>0</v>
      </c>
      <c r="S1318" s="181">
        <f>TOBEPAID!S992/1000</f>
        <v>0</v>
      </c>
      <c r="T1318" s="181">
        <f>TOBEPAID!T992/1000</f>
        <v>0</v>
      </c>
      <c r="U1318" s="181">
        <f>TOBEPAID!U992/1000</f>
        <v>0</v>
      </c>
      <c r="V1318" s="181">
        <f>TOBEPAID!V992/1000</f>
        <v>0</v>
      </c>
      <c r="W1318" s="181">
        <f>TOBEPAID!W992/1000</f>
        <v>0</v>
      </c>
      <c r="X1318" s="181">
        <f>TOBEPAID!X992/1000</f>
        <v>0</v>
      </c>
      <c r="Y1318" s="181">
        <f t="shared" si="251"/>
        <v>606372.11221000005</v>
      </c>
      <c r="Z1318" s="181">
        <f t="shared" si="250"/>
        <v>0</v>
      </c>
      <c r="AA1318" s="181">
        <f>TOBEPAID!AA992/1000</f>
        <v>71372.112209999992</v>
      </c>
      <c r="AB1318" s="181">
        <f>TOBEPAID!AB992/1000</f>
        <v>0</v>
      </c>
      <c r="AC1318" s="181"/>
      <c r="AD1318" s="181"/>
      <c r="AF1318" s="195"/>
      <c r="AG1318" s="195"/>
      <c r="AH1318" s="195"/>
      <c r="AI1318" s="195"/>
      <c r="AJ1318" s="195"/>
      <c r="AK1318" s="195"/>
      <c r="AL1318" s="195"/>
      <c r="AM1318" s="195"/>
      <c r="AN1318" s="195"/>
      <c r="AO1318" s="195"/>
      <c r="AP1318" s="195"/>
      <c r="AQ1318" s="195"/>
      <c r="AR1318" s="195"/>
      <c r="AS1318" s="195"/>
    </row>
    <row r="1319" spans="1:45" ht="15" customHeight="1" x14ac:dyDescent="0.2">
      <c r="C1319" s="165" t="s">
        <v>298</v>
      </c>
      <c r="D1319" s="165">
        <f>6390000/1000</f>
        <v>6390</v>
      </c>
      <c r="H1319" s="165">
        <f>6390000/1000</f>
        <v>6390</v>
      </c>
      <c r="R1319" s="181">
        <v>0</v>
      </c>
      <c r="Y1319" s="181">
        <f t="shared" si="251"/>
        <v>6390</v>
      </c>
      <c r="Z1319" s="181">
        <f t="shared" si="250"/>
        <v>0</v>
      </c>
    </row>
    <row r="1320" spans="1:45" ht="15" customHeight="1" x14ac:dyDescent="0.2">
      <c r="A1320" s="180"/>
      <c r="C1320" s="165" t="s">
        <v>53</v>
      </c>
      <c r="D1320" s="181">
        <f>1088000/1000</f>
        <v>1088</v>
      </c>
      <c r="E1320" s="181">
        <f>TOBEPAID!E993/1000</f>
        <v>0</v>
      </c>
      <c r="F1320" s="181">
        <f>TOBEPAID!F993/1000</f>
        <v>0</v>
      </c>
      <c r="G1320" s="181">
        <f>TOBEPAID!G993/1000</f>
        <v>0</v>
      </c>
      <c r="H1320" s="181">
        <v>0</v>
      </c>
      <c r="I1320" s="181">
        <f>TOBEPAID!I993/1000</f>
        <v>0</v>
      </c>
      <c r="J1320" s="181">
        <f>TOBEPAID!J993/1000</f>
        <v>0</v>
      </c>
      <c r="K1320" s="181">
        <f>TOBEPAID!K993/1000</f>
        <v>0</v>
      </c>
      <c r="L1320" s="181">
        <f>TOBEPAID!L993/1000</f>
        <v>0</v>
      </c>
      <c r="M1320" s="181">
        <f>TOBEPAID!M993/1000</f>
        <v>0</v>
      </c>
      <c r="N1320" s="181">
        <f>TOBEPAID!N993/1000</f>
        <v>0</v>
      </c>
      <c r="O1320" s="181">
        <f>TOBEPAID!O993/1000</f>
        <v>1087.8298500000001</v>
      </c>
      <c r="P1320" s="181">
        <f>TOBEPAID!P993/1000</f>
        <v>0</v>
      </c>
      <c r="Q1320" s="181">
        <f>TOBEPAID!Q993/1000</f>
        <v>0</v>
      </c>
      <c r="R1320" s="181">
        <f>1087829/1000</f>
        <v>1087.829</v>
      </c>
      <c r="S1320" s="181">
        <f>TOBEPAID!S993/1000</f>
        <v>0</v>
      </c>
      <c r="T1320" s="181">
        <f>TOBEPAID!T993/1000</f>
        <v>0</v>
      </c>
      <c r="U1320" s="181">
        <f>TOBEPAID!U993/1000</f>
        <v>0</v>
      </c>
      <c r="V1320" s="181">
        <f>TOBEPAID!V993/1000</f>
        <v>0</v>
      </c>
      <c r="W1320" s="181">
        <f>TOBEPAID!W993/1000</f>
        <v>0</v>
      </c>
      <c r="X1320" s="181">
        <f>TOBEPAID!X993/1000</f>
        <v>1087.8298500000001</v>
      </c>
      <c r="Y1320" s="181">
        <f t="shared" si="251"/>
        <v>1087.829</v>
      </c>
      <c r="Z1320" s="181">
        <f t="shared" si="250"/>
        <v>0.17100000000004911</v>
      </c>
      <c r="AA1320" s="181">
        <f>TOBEPAID!AA993/1000</f>
        <v>1087.8298500000001</v>
      </c>
      <c r="AB1320" s="181">
        <f>TOBEPAID!AB993/1000</f>
        <v>0</v>
      </c>
      <c r="AC1320" s="181"/>
      <c r="AD1320" s="181"/>
      <c r="AF1320" s="195"/>
      <c r="AG1320" s="195"/>
      <c r="AH1320" s="195"/>
      <c r="AI1320" s="195"/>
      <c r="AJ1320" s="195"/>
      <c r="AK1320" s="195"/>
      <c r="AL1320" s="195"/>
      <c r="AM1320" s="195"/>
      <c r="AN1320" s="195"/>
      <c r="AO1320" s="195"/>
      <c r="AP1320" s="195"/>
      <c r="AQ1320" s="195"/>
      <c r="AR1320" s="195"/>
      <c r="AS1320" s="195"/>
    </row>
    <row r="1321" spans="1:45" ht="15" customHeight="1" x14ac:dyDescent="0.2">
      <c r="A1321" s="180"/>
      <c r="C1321" s="165" t="s">
        <v>54</v>
      </c>
      <c r="D1321" s="181">
        <f>698224/1000</f>
        <v>698.22400000000005</v>
      </c>
      <c r="E1321" s="181">
        <f>TOBEPAID!E994/1000</f>
        <v>0</v>
      </c>
      <c r="F1321" s="181">
        <f>TOBEPAID!F994/1000</f>
        <v>0</v>
      </c>
      <c r="G1321" s="181">
        <f>TOBEPAID!G994/1000</f>
        <v>0</v>
      </c>
      <c r="H1321" s="181">
        <v>0</v>
      </c>
      <c r="I1321" s="181">
        <f>TOBEPAID!I994/1000</f>
        <v>0</v>
      </c>
      <c r="J1321" s="181">
        <f>TOBEPAID!J994/1000</f>
        <v>0</v>
      </c>
      <c r="K1321" s="181">
        <f>TOBEPAID!K994/1000</f>
        <v>0</v>
      </c>
      <c r="L1321" s="181">
        <f>TOBEPAID!L994/1000</f>
        <v>0</v>
      </c>
      <c r="M1321" s="181">
        <f>TOBEPAID!M994/1000</f>
        <v>0</v>
      </c>
      <c r="N1321" s="181">
        <f>TOBEPAID!N994/1000</f>
        <v>0</v>
      </c>
      <c r="O1321" s="181">
        <f>TOBEPAID!O994/1000</f>
        <v>698.22444999999993</v>
      </c>
      <c r="P1321" s="181">
        <f>TOBEPAID!P994/1000</f>
        <v>0</v>
      </c>
      <c r="Q1321" s="181">
        <f>TOBEPAID!Q994/1000</f>
        <v>0</v>
      </c>
      <c r="R1321" s="181">
        <f>698224/1000</f>
        <v>698.22400000000005</v>
      </c>
      <c r="S1321" s="181">
        <f>TOBEPAID!S994/1000</f>
        <v>0</v>
      </c>
      <c r="T1321" s="181">
        <f>TOBEPAID!T994/1000</f>
        <v>0</v>
      </c>
      <c r="U1321" s="181">
        <f>TOBEPAID!U994/1000</f>
        <v>0</v>
      </c>
      <c r="V1321" s="181">
        <f>TOBEPAID!V994/1000</f>
        <v>0</v>
      </c>
      <c r="W1321" s="181">
        <f>TOBEPAID!W994/1000</f>
        <v>0</v>
      </c>
      <c r="X1321" s="181">
        <f>TOBEPAID!X994/1000</f>
        <v>698.22444999999993</v>
      </c>
      <c r="Y1321" s="181">
        <f t="shared" si="251"/>
        <v>698.22400000000005</v>
      </c>
      <c r="Z1321" s="181">
        <f t="shared" si="250"/>
        <v>0</v>
      </c>
      <c r="AA1321" s="181">
        <f>TOBEPAID!AA994/1000</f>
        <v>698.22444999999993</v>
      </c>
      <c r="AB1321" s="181">
        <f>TOBEPAID!AB994/1000</f>
        <v>5067.6977100000004</v>
      </c>
      <c r="AC1321" s="181"/>
      <c r="AD1321" s="181"/>
      <c r="AF1321" s="195"/>
      <c r="AG1321" s="195"/>
      <c r="AH1321" s="195"/>
      <c r="AI1321" s="195"/>
      <c r="AJ1321" s="195"/>
      <c r="AK1321" s="195"/>
      <c r="AL1321" s="195"/>
      <c r="AM1321" s="195"/>
      <c r="AN1321" s="195"/>
      <c r="AO1321" s="195"/>
      <c r="AP1321" s="195"/>
      <c r="AQ1321" s="195"/>
      <c r="AR1321" s="195"/>
      <c r="AS1321" s="195"/>
    </row>
    <row r="1322" spans="1:45" ht="20.25" customHeight="1" x14ac:dyDescent="0.2">
      <c r="A1322" s="180"/>
      <c r="D1322" s="182" t="s">
        <v>40</v>
      </c>
      <c r="E1322" s="182" t="s">
        <v>40</v>
      </c>
      <c r="F1322" s="182" t="s">
        <v>40</v>
      </c>
      <c r="G1322" s="182"/>
      <c r="H1322" s="182" t="s">
        <v>40</v>
      </c>
      <c r="I1322" s="182" t="s">
        <v>40</v>
      </c>
      <c r="J1322" s="182" t="s">
        <v>40</v>
      </c>
      <c r="K1322" s="182" t="s">
        <v>40</v>
      </c>
      <c r="L1322" s="182" t="s">
        <v>40</v>
      </c>
      <c r="M1322" s="182"/>
      <c r="N1322" s="182" t="s">
        <v>40</v>
      </c>
      <c r="O1322" s="182" t="s">
        <v>40</v>
      </c>
      <c r="P1322" s="182" t="s">
        <v>40</v>
      </c>
      <c r="Q1322" s="182"/>
      <c r="R1322" s="182" t="s">
        <v>40</v>
      </c>
      <c r="S1322" s="182" t="s">
        <v>40</v>
      </c>
      <c r="T1322" s="182" t="s">
        <v>40</v>
      </c>
      <c r="U1322" s="182" t="s">
        <v>40</v>
      </c>
      <c r="V1322" s="182" t="s">
        <v>40</v>
      </c>
      <c r="W1322" s="182"/>
      <c r="X1322" s="182" t="s">
        <v>40</v>
      </c>
      <c r="Y1322" s="182" t="s">
        <v>40</v>
      </c>
      <c r="Z1322" s="182" t="s">
        <v>40</v>
      </c>
      <c r="AA1322" s="182" t="s">
        <v>40</v>
      </c>
      <c r="AB1322" s="182" t="s">
        <v>40</v>
      </c>
      <c r="AC1322" s="182"/>
      <c r="AD1322" s="182"/>
      <c r="AF1322" s="195"/>
      <c r="AG1322" s="195"/>
      <c r="AH1322" s="195"/>
      <c r="AI1322" s="195"/>
      <c r="AJ1322" s="195"/>
      <c r="AK1322" s="195"/>
      <c r="AL1322" s="195"/>
      <c r="AM1322" s="195"/>
      <c r="AN1322" s="195"/>
      <c r="AO1322" s="195"/>
      <c r="AP1322" s="195"/>
      <c r="AQ1322" s="195"/>
      <c r="AR1322" s="195"/>
      <c r="AS1322" s="195"/>
    </row>
    <row r="1323" spans="1:45" ht="16.5" customHeight="1" x14ac:dyDescent="0.2">
      <c r="A1323" s="180"/>
      <c r="D1323" s="196">
        <f>SUM(D1313:D1321)</f>
        <v>791126.86721000017</v>
      </c>
      <c r="E1323" s="196">
        <f>SUM(E1313:E1321)</f>
        <v>77401.897010000001</v>
      </c>
      <c r="F1323" s="196">
        <f>SUM(F1313:F1321)</f>
        <v>5275.8666399999993</v>
      </c>
      <c r="G1323" s="196"/>
      <c r="H1323" s="196">
        <f>SUM(H1313:H1321)</f>
        <v>740139.83201000001</v>
      </c>
      <c r="I1323" s="196">
        <f>SUM(I1313:I1321)</f>
        <v>0</v>
      </c>
      <c r="J1323" s="196">
        <f>SUM(J1313:J1321)</f>
        <v>0</v>
      </c>
      <c r="K1323" s="196">
        <f>SUM(K1313:K1321)</f>
        <v>0</v>
      </c>
      <c r="L1323" s="196">
        <f>SUM(L1313:L1321)</f>
        <v>0</v>
      </c>
      <c r="M1323" s="196"/>
      <c r="N1323" s="196">
        <f>SUM(N1313:N1321)</f>
        <v>82677.763649999994</v>
      </c>
      <c r="O1323" s="196">
        <f>SUM(O1313:O1321)</f>
        <v>1786.0543</v>
      </c>
      <c r="P1323" s="196">
        <f>SUM(P1313:P1321)</f>
        <v>0</v>
      </c>
      <c r="Q1323" s="196"/>
      <c r="R1323" s="196">
        <f>SUM(R1313:R1321)</f>
        <v>1786.0529999999999</v>
      </c>
      <c r="S1323" s="196">
        <f>SUM(S1313:S1321)</f>
        <v>0</v>
      </c>
      <c r="T1323" s="196">
        <f>SUM(T1313:T1321)</f>
        <v>0</v>
      </c>
      <c r="U1323" s="196">
        <f>SUM(U1313:U1321)</f>
        <v>0</v>
      </c>
      <c r="V1323" s="196">
        <f>SUM(V1313:V1321)</f>
        <v>0</v>
      </c>
      <c r="W1323" s="196"/>
      <c r="X1323" s="196">
        <f>SUM(X1313:X1321)</f>
        <v>1786.0543</v>
      </c>
      <c r="Y1323" s="196">
        <f>SUM(Y1313:Y1321)</f>
        <v>741925.88501000009</v>
      </c>
      <c r="Z1323" s="196">
        <f>SUM(Z1313:Z1321)</f>
        <v>49200.982199999999</v>
      </c>
      <c r="AA1323" s="196">
        <f>SUM(AA1313:AA1321)</f>
        <v>84463.817949999982</v>
      </c>
      <c r="AB1323" s="196">
        <f>SUM(AB1313:AB1321)</f>
        <v>5067.6977100000004</v>
      </c>
      <c r="AC1323" s="196"/>
      <c r="AD1323" s="196"/>
      <c r="AF1323" s="195"/>
      <c r="AG1323" s="195"/>
      <c r="AH1323" s="195"/>
      <c r="AI1323" s="195"/>
      <c r="AJ1323" s="195"/>
      <c r="AK1323" s="195"/>
      <c r="AL1323" s="195"/>
      <c r="AM1323" s="195"/>
      <c r="AN1323" s="195"/>
      <c r="AO1323" s="195"/>
      <c r="AP1323" s="195"/>
      <c r="AQ1323" s="195"/>
      <c r="AR1323" s="195"/>
      <c r="AS1323" s="195"/>
    </row>
    <row r="1324" spans="1:45" ht="17.25" customHeight="1" x14ac:dyDescent="0.2">
      <c r="A1324" s="180"/>
      <c r="D1324" s="182" t="s">
        <v>40</v>
      </c>
      <c r="E1324" s="182" t="s">
        <v>40</v>
      </c>
      <c r="F1324" s="182" t="s">
        <v>40</v>
      </c>
      <c r="G1324" s="182"/>
      <c r="H1324" s="182" t="s">
        <v>40</v>
      </c>
      <c r="I1324" s="182" t="s">
        <v>40</v>
      </c>
      <c r="J1324" s="182" t="s">
        <v>40</v>
      </c>
      <c r="K1324" s="182" t="s">
        <v>40</v>
      </c>
      <c r="L1324" s="182" t="s">
        <v>40</v>
      </c>
      <c r="M1324" s="182"/>
      <c r="N1324" s="182" t="s">
        <v>40</v>
      </c>
      <c r="O1324" s="182" t="s">
        <v>40</v>
      </c>
      <c r="P1324" s="182" t="s">
        <v>40</v>
      </c>
      <c r="Q1324" s="182"/>
      <c r="R1324" s="182" t="s">
        <v>40</v>
      </c>
      <c r="S1324" s="182" t="s">
        <v>40</v>
      </c>
      <c r="T1324" s="182" t="s">
        <v>40</v>
      </c>
      <c r="U1324" s="182" t="s">
        <v>40</v>
      </c>
      <c r="V1324" s="182" t="s">
        <v>40</v>
      </c>
      <c r="W1324" s="182"/>
      <c r="X1324" s="182" t="s">
        <v>40</v>
      </c>
      <c r="Y1324" s="182" t="s">
        <v>40</v>
      </c>
      <c r="Z1324" s="182" t="s">
        <v>40</v>
      </c>
      <c r="AA1324" s="182" t="s">
        <v>40</v>
      </c>
      <c r="AB1324" s="182" t="s">
        <v>40</v>
      </c>
      <c r="AC1324" s="182"/>
      <c r="AD1324" s="182"/>
      <c r="AF1324" s="195"/>
      <c r="AG1324" s="195"/>
      <c r="AH1324" s="195"/>
      <c r="AI1324" s="195"/>
      <c r="AJ1324" s="195"/>
      <c r="AK1324" s="195"/>
      <c r="AL1324" s="195"/>
      <c r="AM1324" s="195"/>
      <c r="AN1324" s="195"/>
      <c r="AO1324" s="195"/>
      <c r="AP1324" s="195"/>
      <c r="AQ1324" s="195"/>
      <c r="AR1324" s="195"/>
    </row>
    <row r="1325" spans="1:45" ht="17.25" customHeight="1" x14ac:dyDescent="0.2">
      <c r="A1325" s="180">
        <v>103</v>
      </c>
      <c r="B1325" s="165" t="s">
        <v>236</v>
      </c>
      <c r="C1325" s="166" t="s">
        <v>35</v>
      </c>
      <c r="D1325" s="181">
        <f>470216/1000</f>
        <v>470.21600000000001</v>
      </c>
      <c r="E1325" s="181">
        <f>TOBEPAID!E998/1000</f>
        <v>0</v>
      </c>
      <c r="F1325" s="181">
        <f>TOBEPAID!F998/1000</f>
        <v>0</v>
      </c>
      <c r="G1325" s="181">
        <f>TOBEPAID!G998/1000</f>
        <v>0</v>
      </c>
      <c r="H1325" s="181">
        <f>452924/1000</f>
        <v>452.92399999999998</v>
      </c>
      <c r="I1325" s="181">
        <f>TOBEPAID!I998/1000</f>
        <v>0</v>
      </c>
      <c r="J1325" s="181">
        <f>TOBEPAID!J998/1000</f>
        <v>0</v>
      </c>
      <c r="K1325" s="181">
        <f>TOBEPAID!K998/1000</f>
        <v>0</v>
      </c>
      <c r="L1325" s="181">
        <f>TOBEPAID!L998/1000</f>
        <v>0</v>
      </c>
      <c r="M1325" s="181">
        <f>TOBEPAID!M998/1000</f>
        <v>0</v>
      </c>
      <c r="N1325" s="181">
        <f>TOBEPAID!N998/1000</f>
        <v>0</v>
      </c>
      <c r="O1325" s="181">
        <f>TOBEPAID!O998/1000</f>
        <v>17.292200000000005</v>
      </c>
      <c r="P1325" s="181">
        <f>TOBEPAID!P998/1000</f>
        <v>0</v>
      </c>
      <c r="Q1325" s="181">
        <f>TOBEPAID!Q998/1000</f>
        <v>0</v>
      </c>
      <c r="R1325" s="181">
        <v>17.292000000000002</v>
      </c>
      <c r="S1325" s="181">
        <f>TOBEPAID!S998/1000</f>
        <v>0</v>
      </c>
      <c r="T1325" s="181">
        <f>TOBEPAID!T998/1000</f>
        <v>0</v>
      </c>
      <c r="U1325" s="181">
        <f>TOBEPAID!U998/1000</f>
        <v>0</v>
      </c>
      <c r="V1325" s="181">
        <f>TOBEPAID!V998/1000</f>
        <v>0</v>
      </c>
      <c r="W1325" s="181">
        <f>TOBEPAID!W998/1000</f>
        <v>0</v>
      </c>
      <c r="X1325" s="181">
        <f>TOBEPAID!X998/1000</f>
        <v>17.292200000000005</v>
      </c>
      <c r="Y1325" s="181">
        <f>+H1325+R1325</f>
        <v>470.21600000000001</v>
      </c>
      <c r="Z1325" s="181">
        <f>+D1325-Y1325</f>
        <v>0</v>
      </c>
      <c r="AA1325" s="181">
        <f>TOBEPAID!AA998/1000</f>
        <v>17.292200000000005</v>
      </c>
      <c r="AB1325" s="181">
        <f>TOBEPAID!AB998/1000</f>
        <v>452.92465999999985</v>
      </c>
      <c r="AC1325" s="181"/>
      <c r="AD1325" s="181"/>
      <c r="AS1325" s="195"/>
    </row>
    <row r="1326" spans="1:45" x14ac:dyDescent="0.2">
      <c r="A1326" s="180"/>
      <c r="C1326" s="166" t="s">
        <v>458</v>
      </c>
      <c r="D1326" s="181">
        <f>30000000/1000</f>
        <v>30000</v>
      </c>
      <c r="E1326" s="181"/>
      <c r="F1326" s="181"/>
      <c r="G1326" s="181"/>
      <c r="H1326" s="181">
        <f>30000000/1000</f>
        <v>30000</v>
      </c>
      <c r="I1326" s="181"/>
      <c r="J1326" s="181"/>
      <c r="K1326" s="181"/>
      <c r="L1326" s="181"/>
      <c r="M1326" s="181"/>
      <c r="N1326" s="181"/>
      <c r="O1326" s="181"/>
      <c r="P1326" s="181"/>
      <c r="Q1326" s="181"/>
      <c r="R1326" s="181">
        <v>0</v>
      </c>
      <c r="S1326" s="181"/>
      <c r="T1326" s="181"/>
      <c r="U1326" s="181"/>
      <c r="V1326" s="181"/>
      <c r="W1326" s="181"/>
      <c r="X1326" s="181"/>
      <c r="Y1326" s="181">
        <f>+H1326+R1326</f>
        <v>30000</v>
      </c>
      <c r="Z1326" s="181">
        <f>+D1326-Y1326</f>
        <v>0</v>
      </c>
      <c r="AA1326" s="181"/>
      <c r="AB1326" s="181"/>
      <c r="AC1326" s="181"/>
      <c r="AD1326" s="181"/>
      <c r="AS1326" s="195"/>
    </row>
    <row r="1327" spans="1:45" x14ac:dyDescent="0.2">
      <c r="A1327" s="180"/>
      <c r="C1327" s="166" t="s">
        <v>456</v>
      </c>
      <c r="D1327" s="181">
        <f>33500000/1000</f>
        <v>33500</v>
      </c>
      <c r="E1327" s="181"/>
      <c r="F1327" s="181"/>
      <c r="G1327" s="181"/>
      <c r="H1327" s="181">
        <f>32646919.93/1000</f>
        <v>32646.91993</v>
      </c>
      <c r="I1327" s="181"/>
      <c r="J1327" s="181"/>
      <c r="K1327" s="181"/>
      <c r="L1327" s="181"/>
      <c r="M1327" s="181"/>
      <c r="N1327" s="181"/>
      <c r="O1327" s="181"/>
      <c r="P1327" s="181"/>
      <c r="Q1327" s="181"/>
      <c r="R1327" s="181">
        <v>0</v>
      </c>
      <c r="S1327" s="181"/>
      <c r="T1327" s="181"/>
      <c r="U1327" s="181"/>
      <c r="V1327" s="181"/>
      <c r="W1327" s="181"/>
      <c r="X1327" s="181"/>
      <c r="Y1327" s="181">
        <f>+H1327+R1327</f>
        <v>32646.91993</v>
      </c>
      <c r="Z1327" s="181">
        <f>+D1327-Y1327</f>
        <v>853.08006999999998</v>
      </c>
      <c r="AA1327" s="181"/>
      <c r="AB1327" s="181"/>
      <c r="AC1327" s="181"/>
      <c r="AD1327" s="181"/>
      <c r="AS1327" s="195"/>
    </row>
    <row r="1328" spans="1:45" x14ac:dyDescent="0.2">
      <c r="C1328" s="165" t="s">
        <v>375</v>
      </c>
      <c r="D1328" s="181">
        <f>3077163/1000</f>
        <v>3077.163</v>
      </c>
      <c r="E1328" s="181">
        <f>TOBEPAID!E999/1000</f>
        <v>3077.1636000000003</v>
      </c>
      <c r="F1328" s="181">
        <f>TOBEPAID!F999/1000</f>
        <v>0</v>
      </c>
      <c r="G1328" s="181">
        <f>TOBEPAID!G999/1000</f>
        <v>0</v>
      </c>
      <c r="H1328" s="181">
        <f>3077163/1000</f>
        <v>3077.163</v>
      </c>
      <c r="I1328" s="181">
        <f>TOBEPAID!I999/1000</f>
        <v>0</v>
      </c>
      <c r="J1328" s="181">
        <f>TOBEPAID!J999/1000</f>
        <v>0</v>
      </c>
      <c r="K1328" s="181">
        <f>TOBEPAID!K999/1000</f>
        <v>0</v>
      </c>
      <c r="L1328" s="181">
        <f>TOBEPAID!L999/1000</f>
        <v>0</v>
      </c>
      <c r="M1328" s="181">
        <f>TOBEPAID!M999/1000</f>
        <v>0</v>
      </c>
      <c r="N1328" s="181">
        <f>TOBEPAID!N999/1000</f>
        <v>3077.1636000000003</v>
      </c>
      <c r="O1328" s="181">
        <f>TOBEPAID!O999/1000</f>
        <v>0</v>
      </c>
      <c r="P1328" s="181">
        <f>TOBEPAID!P999/1000</f>
        <v>0</v>
      </c>
      <c r="Q1328" s="181">
        <f>TOBEPAID!Q999/1000</f>
        <v>0</v>
      </c>
      <c r="R1328" s="181">
        <v>0</v>
      </c>
      <c r="S1328" s="181">
        <f>TOBEPAID!S999/1000</f>
        <v>0</v>
      </c>
      <c r="T1328" s="181">
        <f>TOBEPAID!T999/1000</f>
        <v>0</v>
      </c>
      <c r="U1328" s="181">
        <f>TOBEPAID!U999/1000</f>
        <v>0</v>
      </c>
      <c r="V1328" s="181">
        <f>TOBEPAID!V999/1000</f>
        <v>0</v>
      </c>
      <c r="W1328" s="181">
        <f>TOBEPAID!W999/1000</f>
        <v>0</v>
      </c>
      <c r="X1328" s="181">
        <f>TOBEPAID!X999/1000</f>
        <v>0</v>
      </c>
      <c r="Y1328" s="181">
        <f>+H1328+R1328</f>
        <v>3077.163</v>
      </c>
      <c r="Z1328" s="181">
        <f>+D1328-Y1328</f>
        <v>0</v>
      </c>
      <c r="AA1328" s="181">
        <f>TOBEPAID!AA999/1000</f>
        <v>3077.1636000000003</v>
      </c>
      <c r="AB1328" s="181">
        <f>TOBEPAID!AB999/1000</f>
        <v>0</v>
      </c>
      <c r="AC1328" s="181"/>
      <c r="AD1328" s="181"/>
      <c r="AF1328" s="195"/>
      <c r="AG1328" s="195"/>
      <c r="AH1328" s="195"/>
      <c r="AI1328" s="195"/>
      <c r="AJ1328" s="195"/>
      <c r="AK1328" s="195"/>
      <c r="AL1328" s="195"/>
      <c r="AM1328" s="195"/>
      <c r="AN1328" s="195"/>
      <c r="AO1328" s="195"/>
      <c r="AP1328" s="195"/>
      <c r="AQ1328" s="195"/>
      <c r="AR1328" s="195"/>
      <c r="AS1328" s="195"/>
    </row>
    <row r="1329" spans="1:45" x14ac:dyDescent="0.2">
      <c r="A1329" s="180"/>
      <c r="C1329" s="165" t="s">
        <v>36</v>
      </c>
      <c r="D1329" s="181">
        <f>125000/1000</f>
        <v>125</v>
      </c>
      <c r="E1329" s="181">
        <f>TOBEPAID!E1000/1000</f>
        <v>125</v>
      </c>
      <c r="F1329" s="181">
        <f>TOBEPAID!F1000/1000</f>
        <v>0</v>
      </c>
      <c r="G1329" s="181">
        <f>TOBEPAID!G1000/1000</f>
        <v>0</v>
      </c>
      <c r="H1329" s="181">
        <f>125000/1000</f>
        <v>125</v>
      </c>
      <c r="I1329" s="181">
        <f>TOBEPAID!I1000/1000</f>
        <v>0</v>
      </c>
      <c r="J1329" s="181">
        <f>TOBEPAID!J1000/1000</f>
        <v>0</v>
      </c>
      <c r="K1329" s="181">
        <f>TOBEPAID!K1000/1000</f>
        <v>0</v>
      </c>
      <c r="L1329" s="181">
        <f>TOBEPAID!L1000/1000</f>
        <v>0</v>
      </c>
      <c r="M1329" s="181">
        <f>TOBEPAID!M1000/1000</f>
        <v>0</v>
      </c>
      <c r="N1329" s="181">
        <f>TOBEPAID!N1000/1000</f>
        <v>125</v>
      </c>
      <c r="O1329" s="181">
        <f>TOBEPAID!O1000/1000</f>
        <v>0</v>
      </c>
      <c r="P1329" s="181">
        <f>TOBEPAID!P1000/1000</f>
        <v>0</v>
      </c>
      <c r="Q1329" s="181">
        <f>TOBEPAID!Q1000/1000</f>
        <v>0</v>
      </c>
      <c r="R1329" s="181">
        <v>0</v>
      </c>
      <c r="S1329" s="181">
        <f>TOBEPAID!S1000/1000</f>
        <v>0</v>
      </c>
      <c r="T1329" s="181">
        <f>TOBEPAID!T1000/1000</f>
        <v>0</v>
      </c>
      <c r="U1329" s="181">
        <f>TOBEPAID!U1000/1000</f>
        <v>0</v>
      </c>
      <c r="V1329" s="181">
        <f>TOBEPAID!V1000/1000</f>
        <v>0</v>
      </c>
      <c r="W1329" s="181">
        <f>TOBEPAID!W1000/1000</f>
        <v>0</v>
      </c>
      <c r="X1329" s="181">
        <f>TOBEPAID!X1000/1000</f>
        <v>0</v>
      </c>
      <c r="Y1329" s="181">
        <f>+H1329+R1329</f>
        <v>125</v>
      </c>
      <c r="Z1329" s="181">
        <f>+D1329-Y1329</f>
        <v>0</v>
      </c>
      <c r="AA1329" s="181">
        <f>TOBEPAID!AA1000/1000</f>
        <v>125</v>
      </c>
      <c r="AB1329" s="181">
        <f>TOBEPAID!AB1000/1000</f>
        <v>0</v>
      </c>
      <c r="AC1329" s="181"/>
      <c r="AD1329" s="181"/>
      <c r="AF1329" s="195"/>
      <c r="AG1329" s="195"/>
      <c r="AH1329" s="195"/>
      <c r="AI1329" s="195"/>
      <c r="AJ1329" s="195"/>
      <c r="AK1329" s="195"/>
      <c r="AL1329" s="195"/>
      <c r="AM1329" s="195"/>
      <c r="AN1329" s="195"/>
      <c r="AO1329" s="195"/>
      <c r="AP1329" s="195"/>
      <c r="AQ1329" s="195"/>
      <c r="AR1329" s="195"/>
      <c r="AS1329" s="195"/>
    </row>
    <row r="1330" spans="1:45" ht="21" customHeight="1" x14ac:dyDescent="0.2">
      <c r="A1330" s="180"/>
      <c r="D1330" s="182" t="s">
        <v>40</v>
      </c>
      <c r="E1330" s="182" t="s">
        <v>40</v>
      </c>
      <c r="F1330" s="182" t="s">
        <v>40</v>
      </c>
      <c r="G1330" s="182"/>
      <c r="H1330" s="182" t="s">
        <v>40</v>
      </c>
      <c r="I1330" s="182" t="s">
        <v>40</v>
      </c>
      <c r="J1330" s="182" t="s">
        <v>40</v>
      </c>
      <c r="K1330" s="182" t="s">
        <v>40</v>
      </c>
      <c r="L1330" s="182" t="s">
        <v>40</v>
      </c>
      <c r="M1330" s="182"/>
      <c r="N1330" s="182" t="s">
        <v>40</v>
      </c>
      <c r="O1330" s="182" t="s">
        <v>40</v>
      </c>
      <c r="P1330" s="182" t="s">
        <v>40</v>
      </c>
      <c r="Q1330" s="182"/>
      <c r="R1330" s="182" t="s">
        <v>40</v>
      </c>
      <c r="S1330" s="182" t="s">
        <v>40</v>
      </c>
      <c r="T1330" s="182" t="s">
        <v>40</v>
      </c>
      <c r="U1330" s="182" t="s">
        <v>40</v>
      </c>
      <c r="V1330" s="182" t="s">
        <v>40</v>
      </c>
      <c r="W1330" s="182"/>
      <c r="X1330" s="182" t="s">
        <v>40</v>
      </c>
      <c r="Y1330" s="182" t="s">
        <v>40</v>
      </c>
      <c r="Z1330" s="182" t="s">
        <v>40</v>
      </c>
      <c r="AA1330" s="182" t="s">
        <v>40</v>
      </c>
      <c r="AB1330" s="182" t="s">
        <v>40</v>
      </c>
      <c r="AC1330" s="182"/>
      <c r="AD1330" s="182"/>
      <c r="AF1330" s="195"/>
      <c r="AG1330" s="195"/>
      <c r="AH1330" s="195"/>
      <c r="AI1330" s="195"/>
      <c r="AJ1330" s="195"/>
      <c r="AK1330" s="195"/>
      <c r="AL1330" s="195"/>
      <c r="AM1330" s="195"/>
      <c r="AN1330" s="195"/>
      <c r="AO1330" s="195"/>
      <c r="AP1330" s="195"/>
      <c r="AQ1330" s="195"/>
      <c r="AR1330" s="195"/>
      <c r="AS1330" s="195"/>
    </row>
    <row r="1331" spans="1:45" x14ac:dyDescent="0.2">
      <c r="A1331" s="180"/>
      <c r="B1331" s="195"/>
      <c r="D1331" s="196">
        <f>SUM(D1325:D1329)</f>
        <v>67172.379000000001</v>
      </c>
      <c r="E1331" s="196">
        <f>SUM(E1325:E1329)</f>
        <v>3202.1636000000003</v>
      </c>
      <c r="F1331" s="196">
        <f>SUM(F1325:F1329)</f>
        <v>0</v>
      </c>
      <c r="G1331" s="196"/>
      <c r="H1331" s="196">
        <f>SUM(H1325:H1329)</f>
        <v>66302.006930000003</v>
      </c>
      <c r="I1331" s="196">
        <f>SUM(I1325:I1329)</f>
        <v>0</v>
      </c>
      <c r="J1331" s="196">
        <f>SUM(J1325:J1329)</f>
        <v>0</v>
      </c>
      <c r="K1331" s="196">
        <f>SUM(K1325:K1329)</f>
        <v>0</v>
      </c>
      <c r="L1331" s="196">
        <f>SUM(L1325:L1329)</f>
        <v>0</v>
      </c>
      <c r="M1331" s="196"/>
      <c r="N1331" s="196">
        <f>SUM(N1325:N1329)</f>
        <v>3202.1636000000003</v>
      </c>
      <c r="O1331" s="196">
        <f>SUM(O1325:O1329)</f>
        <v>17.292200000000005</v>
      </c>
      <c r="P1331" s="196">
        <f>SUM(P1325:P1329)</f>
        <v>0</v>
      </c>
      <c r="Q1331" s="196"/>
      <c r="R1331" s="196">
        <f>SUM(R1325:R1329)</f>
        <v>17.292000000000002</v>
      </c>
      <c r="S1331" s="196">
        <f>SUM(S1325:S1329)</f>
        <v>0</v>
      </c>
      <c r="T1331" s="196">
        <f>SUM(T1325:T1329)</f>
        <v>0</v>
      </c>
      <c r="U1331" s="196">
        <f>SUM(U1325:U1329)</f>
        <v>0</v>
      </c>
      <c r="V1331" s="196">
        <f>SUM(V1325:V1329)</f>
        <v>0</v>
      </c>
      <c r="W1331" s="196"/>
      <c r="X1331" s="196">
        <f>SUM(X1325:X1329)</f>
        <v>17.292200000000005</v>
      </c>
      <c r="Y1331" s="196">
        <f>SUM(Y1325:Y1329)</f>
        <v>66319.298930000004</v>
      </c>
      <c r="Z1331" s="196">
        <f>SUM(Z1325:Z1329)</f>
        <v>853.08006999999998</v>
      </c>
      <c r="AA1331" s="196">
        <f>SUM(AA1325:AA1329)</f>
        <v>3219.4558000000002</v>
      </c>
      <c r="AB1331" s="196">
        <f>SUM(AB1325:AB1329)</f>
        <v>452.92465999999985</v>
      </c>
      <c r="AC1331" s="196"/>
      <c r="AD1331" s="196"/>
      <c r="AF1331" s="195"/>
      <c r="AG1331" s="195"/>
      <c r="AH1331" s="195"/>
      <c r="AI1331" s="195"/>
      <c r="AJ1331" s="195"/>
      <c r="AK1331" s="195"/>
      <c r="AL1331" s="195"/>
      <c r="AM1331" s="195"/>
      <c r="AN1331" s="195"/>
      <c r="AO1331" s="195"/>
      <c r="AP1331" s="195"/>
      <c r="AQ1331" s="195"/>
      <c r="AR1331" s="195"/>
    </row>
    <row r="1332" spans="1:45" x14ac:dyDescent="0.2">
      <c r="A1332" s="180"/>
      <c r="B1332" s="165" t="str">
        <f>+B1325</f>
        <v>SIARGAO IS.</v>
      </c>
      <c r="D1332" s="182" t="s">
        <v>40</v>
      </c>
      <c r="E1332" s="182" t="s">
        <v>40</v>
      </c>
      <c r="F1332" s="182" t="s">
        <v>40</v>
      </c>
      <c r="G1332" s="182"/>
      <c r="H1332" s="182" t="s">
        <v>40</v>
      </c>
      <c r="I1332" s="182" t="s">
        <v>40</v>
      </c>
      <c r="J1332" s="182" t="s">
        <v>40</v>
      </c>
      <c r="K1332" s="182" t="s">
        <v>40</v>
      </c>
      <c r="L1332" s="182" t="s">
        <v>40</v>
      </c>
      <c r="M1332" s="182"/>
      <c r="N1332" s="182" t="s">
        <v>40</v>
      </c>
      <c r="O1332" s="182" t="s">
        <v>40</v>
      </c>
      <c r="P1332" s="182" t="s">
        <v>40</v>
      </c>
      <c r="Q1332" s="182"/>
      <c r="R1332" s="182" t="s">
        <v>40</v>
      </c>
      <c r="S1332" s="182" t="s">
        <v>40</v>
      </c>
      <c r="T1332" s="182" t="s">
        <v>40</v>
      </c>
      <c r="U1332" s="182" t="s">
        <v>40</v>
      </c>
      <c r="V1332" s="182" t="s">
        <v>40</v>
      </c>
      <c r="W1332" s="182"/>
      <c r="X1332" s="182" t="s">
        <v>40</v>
      </c>
      <c r="Y1332" s="182" t="s">
        <v>40</v>
      </c>
      <c r="Z1332" s="182" t="s">
        <v>40</v>
      </c>
      <c r="AA1332" s="182" t="s">
        <v>40</v>
      </c>
      <c r="AB1332" s="182" t="s">
        <v>40</v>
      </c>
      <c r="AC1332" s="182"/>
      <c r="AD1332" s="182"/>
    </row>
    <row r="1333" spans="1:45" ht="15.75" thickBot="1" x14ac:dyDescent="0.25">
      <c r="B1333" s="183" t="s">
        <v>292</v>
      </c>
      <c r="D1333" s="198">
        <f>44184.18/1000</f>
        <v>44.184179999999998</v>
      </c>
      <c r="E1333" s="191"/>
      <c r="F1333" s="191"/>
      <c r="G1333" s="191"/>
      <c r="H1333" s="191"/>
      <c r="I1333" s="191"/>
      <c r="J1333" s="191"/>
      <c r="K1333" s="191"/>
      <c r="L1333" s="191"/>
      <c r="M1333" s="191"/>
      <c r="N1333" s="191"/>
      <c r="O1333" s="198">
        <v>44184.18</v>
      </c>
      <c r="P1333" s="199"/>
      <c r="Q1333" s="191"/>
      <c r="R1333" s="198">
        <f>+D1333</f>
        <v>44.184179999999998</v>
      </c>
      <c r="S1333" s="191"/>
      <c r="T1333" s="191"/>
      <c r="U1333" s="191"/>
      <c r="V1333" s="191"/>
      <c r="W1333" s="191"/>
      <c r="X1333" s="191"/>
      <c r="Y1333" s="198">
        <f>+H1333+R1333</f>
        <v>44.184179999999998</v>
      </c>
      <c r="Z1333" s="198">
        <f>+D1333-Y1333</f>
        <v>0</v>
      </c>
      <c r="AA1333" s="191"/>
      <c r="AB1333" s="191"/>
      <c r="AC1333" s="191"/>
      <c r="AD1333" s="191"/>
      <c r="AS1333" s="195"/>
    </row>
    <row r="1334" spans="1:45" ht="37.5" customHeight="1" thickTop="1" x14ac:dyDescent="0.2">
      <c r="D1334" s="191"/>
      <c r="E1334" s="191"/>
      <c r="F1334" s="191"/>
      <c r="G1334" s="191"/>
      <c r="H1334" s="191"/>
      <c r="I1334" s="191"/>
      <c r="J1334" s="191"/>
      <c r="K1334" s="191"/>
      <c r="L1334" s="191"/>
      <c r="M1334" s="191"/>
      <c r="N1334" s="191"/>
      <c r="O1334" s="191"/>
      <c r="P1334" s="191"/>
      <c r="Q1334" s="191"/>
      <c r="R1334" s="191"/>
      <c r="S1334" s="191"/>
      <c r="T1334" s="191"/>
      <c r="U1334" s="191"/>
      <c r="V1334" s="191"/>
      <c r="W1334" s="191"/>
      <c r="X1334" s="191"/>
      <c r="Y1334" s="191"/>
      <c r="Z1334" s="191"/>
      <c r="AA1334" s="191"/>
      <c r="AB1334" s="191"/>
      <c r="AC1334" s="191"/>
      <c r="AD1334" s="191"/>
      <c r="AF1334" s="195"/>
      <c r="AG1334" s="195"/>
      <c r="AH1334" s="195"/>
      <c r="AI1334" s="195"/>
      <c r="AJ1334" s="195"/>
      <c r="AK1334" s="195"/>
      <c r="AL1334" s="195"/>
      <c r="AM1334" s="195"/>
      <c r="AN1334" s="195"/>
      <c r="AO1334" s="195"/>
      <c r="AP1334" s="195"/>
      <c r="AQ1334" s="195"/>
      <c r="AR1334" s="195"/>
    </row>
    <row r="1335" spans="1:45" ht="15.75" customHeight="1" x14ac:dyDescent="0.2">
      <c r="A1335" s="180">
        <v>104</v>
      </c>
      <c r="B1335" s="165" t="s">
        <v>237</v>
      </c>
      <c r="C1335" s="166" t="s">
        <v>35</v>
      </c>
      <c r="D1335" s="181">
        <f>36253064/1000</f>
        <v>36253.063999999998</v>
      </c>
      <c r="E1335" s="181">
        <f>TOBEPAID!E1006/1000</f>
        <v>4500</v>
      </c>
      <c r="F1335" s="181">
        <f>TOBEPAID!F1006/1000</f>
        <v>0</v>
      </c>
      <c r="G1335" s="181">
        <f>TOBEPAID!G1006/1000</f>
        <v>0</v>
      </c>
      <c r="H1335" s="181">
        <f>15188156/1000</f>
        <v>15188.156000000001</v>
      </c>
      <c r="I1335" s="181">
        <f>TOBEPAID!I1006/1000</f>
        <v>0</v>
      </c>
      <c r="J1335" s="181">
        <f>TOBEPAID!J1006/1000</f>
        <v>0</v>
      </c>
      <c r="K1335" s="181">
        <f>TOBEPAID!K1006/1000</f>
        <v>0</v>
      </c>
      <c r="L1335" s="181">
        <f>TOBEPAID!L1006/1000</f>
        <v>0</v>
      </c>
      <c r="M1335" s="181">
        <f>TOBEPAID!M1006/1000</f>
        <v>0</v>
      </c>
      <c r="N1335" s="181">
        <f>TOBEPAID!N1006/1000</f>
        <v>4500</v>
      </c>
      <c r="O1335" s="181">
        <f>TOBEPAID!O1006/1000</f>
        <v>536.37722999999994</v>
      </c>
      <c r="P1335" s="181">
        <f>TOBEPAID!P1006/1000</f>
        <v>0</v>
      </c>
      <c r="Q1335" s="181">
        <f>TOBEPAID!Q1006/1000</f>
        <v>0</v>
      </c>
      <c r="R1335" s="181">
        <f>630377.23/1000</f>
        <v>630.37722999999994</v>
      </c>
      <c r="S1335" s="181">
        <f>TOBEPAID!S1006/1000</f>
        <v>0</v>
      </c>
      <c r="T1335" s="181">
        <f>TOBEPAID!T1006/1000</f>
        <v>0</v>
      </c>
      <c r="U1335" s="181">
        <f>TOBEPAID!U1006/1000</f>
        <v>0</v>
      </c>
      <c r="V1335" s="181">
        <f>TOBEPAID!V1006/1000</f>
        <v>0</v>
      </c>
      <c r="W1335" s="181">
        <f>TOBEPAID!W1006/1000</f>
        <v>0</v>
      </c>
      <c r="X1335" s="181">
        <f>TOBEPAID!X1006/1000</f>
        <v>536.37722999999994</v>
      </c>
      <c r="Y1335" s="181">
        <f>+H1335+R1335</f>
        <v>15818.533230000001</v>
      </c>
      <c r="Z1335" s="181">
        <f>+D1335-Y1335</f>
        <v>20434.530769999998</v>
      </c>
      <c r="AA1335" s="181">
        <f>TOBEPAID!AA1006/1000</f>
        <v>5036.3772300000001</v>
      </c>
      <c r="AB1335" s="181">
        <f>TOBEPAID!AB1006/1000</f>
        <v>31216.687249999995</v>
      </c>
      <c r="AC1335" s="181"/>
      <c r="AD1335" s="181"/>
      <c r="AS1335" s="195"/>
    </row>
    <row r="1336" spans="1:45" x14ac:dyDescent="0.2">
      <c r="A1336" s="180"/>
      <c r="C1336" s="166"/>
      <c r="D1336" s="182" t="s">
        <v>40</v>
      </c>
      <c r="E1336" s="182" t="s">
        <v>40</v>
      </c>
      <c r="F1336" s="182" t="s">
        <v>40</v>
      </c>
      <c r="G1336" s="182"/>
      <c r="H1336" s="182" t="s">
        <v>40</v>
      </c>
      <c r="I1336" s="182" t="s">
        <v>40</v>
      </c>
      <c r="J1336" s="182" t="s">
        <v>40</v>
      </c>
      <c r="K1336" s="182" t="s">
        <v>40</v>
      </c>
      <c r="L1336" s="182" t="s">
        <v>40</v>
      </c>
      <c r="M1336" s="182"/>
      <c r="N1336" s="182" t="s">
        <v>40</v>
      </c>
      <c r="O1336" s="182" t="s">
        <v>40</v>
      </c>
      <c r="P1336" s="182" t="s">
        <v>40</v>
      </c>
      <c r="Q1336" s="182"/>
      <c r="R1336" s="182" t="s">
        <v>40</v>
      </c>
      <c r="S1336" s="182" t="s">
        <v>40</v>
      </c>
      <c r="T1336" s="182" t="s">
        <v>40</v>
      </c>
      <c r="U1336" s="182" t="s">
        <v>40</v>
      </c>
      <c r="V1336" s="182" t="s">
        <v>40</v>
      </c>
      <c r="W1336" s="182"/>
      <c r="X1336" s="182" t="s">
        <v>40</v>
      </c>
      <c r="Y1336" s="182" t="s">
        <v>40</v>
      </c>
      <c r="Z1336" s="182" t="s">
        <v>40</v>
      </c>
      <c r="AA1336" s="182" t="s">
        <v>40</v>
      </c>
      <c r="AB1336" s="182" t="s">
        <v>40</v>
      </c>
      <c r="AC1336" s="182"/>
      <c r="AD1336" s="181"/>
      <c r="AS1336" s="195"/>
    </row>
    <row r="1337" spans="1:45" x14ac:dyDescent="0.2">
      <c r="B1337" s="165" t="s">
        <v>384</v>
      </c>
      <c r="AD1337" s="182"/>
      <c r="AF1337" s="195"/>
      <c r="AG1337" s="195"/>
      <c r="AH1337" s="195"/>
      <c r="AI1337" s="195"/>
      <c r="AJ1337" s="195"/>
      <c r="AK1337" s="195"/>
      <c r="AL1337" s="195"/>
      <c r="AM1337" s="195"/>
      <c r="AN1337" s="195"/>
      <c r="AO1337" s="195"/>
      <c r="AP1337" s="195"/>
      <c r="AQ1337" s="195"/>
      <c r="AR1337" s="195"/>
      <c r="AS1337" s="195"/>
    </row>
    <row r="1338" spans="1:45" ht="18" customHeight="1" thickBot="1" x14ac:dyDescent="0.25">
      <c r="B1338" s="183" t="s">
        <v>292</v>
      </c>
      <c r="D1338" s="185">
        <v>29.303000000000001</v>
      </c>
      <c r="E1338" s="182"/>
      <c r="F1338" s="182"/>
      <c r="G1338" s="182"/>
      <c r="H1338" s="182"/>
      <c r="I1338" s="182"/>
      <c r="J1338" s="182"/>
      <c r="K1338" s="182"/>
      <c r="L1338" s="182"/>
      <c r="M1338" s="182"/>
      <c r="N1338" s="182"/>
      <c r="O1338" s="182"/>
      <c r="P1338" s="182"/>
      <c r="Q1338" s="182"/>
      <c r="R1338" s="185">
        <v>29.303000000000001</v>
      </c>
      <c r="S1338" s="185">
        <v>29.303000000000001</v>
      </c>
      <c r="T1338" s="185">
        <v>29.303000000000001</v>
      </c>
      <c r="U1338" s="185">
        <v>29.303000000000001</v>
      </c>
      <c r="V1338" s="185">
        <v>29.303000000000001</v>
      </c>
      <c r="W1338" s="185">
        <v>29.303000000000001</v>
      </c>
      <c r="X1338" s="185">
        <v>29.303000000000001</v>
      </c>
      <c r="Y1338" s="185">
        <v>29.303000000000001</v>
      </c>
      <c r="Z1338" s="182"/>
      <c r="AA1338" s="182"/>
      <c r="AB1338" s="182"/>
      <c r="AC1338" s="182"/>
      <c r="AD1338" s="182"/>
      <c r="AF1338" s="195"/>
      <c r="AG1338" s="195"/>
      <c r="AH1338" s="195"/>
      <c r="AI1338" s="195"/>
      <c r="AJ1338" s="195"/>
      <c r="AK1338" s="195"/>
      <c r="AL1338" s="195"/>
      <c r="AM1338" s="195"/>
      <c r="AN1338" s="195"/>
      <c r="AO1338" s="195"/>
      <c r="AP1338" s="195"/>
      <c r="AQ1338" s="195"/>
      <c r="AR1338" s="195"/>
      <c r="AS1338" s="195"/>
    </row>
    <row r="1339" spans="1:45" ht="53.25" customHeight="1" thickTop="1" x14ac:dyDescent="0.2">
      <c r="A1339" s="228"/>
      <c r="B1339" s="226"/>
      <c r="C1339" s="174"/>
      <c r="D1339" s="205"/>
      <c r="E1339" s="205"/>
      <c r="F1339" s="205"/>
      <c r="G1339" s="205"/>
      <c r="H1339" s="205"/>
      <c r="I1339" s="205"/>
      <c r="J1339" s="205"/>
      <c r="K1339" s="205"/>
      <c r="L1339" s="205"/>
      <c r="M1339" s="205"/>
      <c r="N1339" s="205"/>
      <c r="O1339" s="205"/>
      <c r="P1339" s="205"/>
      <c r="Q1339" s="205"/>
      <c r="R1339" s="205"/>
      <c r="S1339" s="205"/>
      <c r="T1339" s="205"/>
      <c r="U1339" s="205"/>
      <c r="V1339" s="205"/>
      <c r="W1339" s="205"/>
      <c r="X1339" s="205"/>
      <c r="Y1339" s="205"/>
      <c r="Z1339" s="205"/>
      <c r="AA1339" s="181">
        <f>TOBEPAID!AA1008/1000</f>
        <v>0</v>
      </c>
      <c r="AB1339" s="181">
        <f>TOBEPAID!AB1008/1000</f>
        <v>0</v>
      </c>
      <c r="AC1339" s="181"/>
      <c r="AD1339" s="181"/>
      <c r="AF1339" s="195"/>
      <c r="AG1339" s="195"/>
      <c r="AH1339" s="195"/>
      <c r="AI1339" s="195"/>
      <c r="AJ1339" s="195"/>
      <c r="AK1339" s="195"/>
      <c r="AL1339" s="195"/>
      <c r="AM1339" s="195"/>
      <c r="AN1339" s="195"/>
      <c r="AO1339" s="195"/>
      <c r="AP1339" s="195"/>
      <c r="AQ1339" s="195"/>
      <c r="AR1339" s="195"/>
      <c r="AS1339" s="195"/>
    </row>
    <row r="1340" spans="1:45" x14ac:dyDescent="0.2">
      <c r="A1340" s="180">
        <v>105</v>
      </c>
      <c r="B1340" s="165" t="s">
        <v>238</v>
      </c>
      <c r="C1340" s="166" t="s">
        <v>35</v>
      </c>
      <c r="D1340" s="181">
        <f>19170486/1000</f>
        <v>19170.486000000001</v>
      </c>
      <c r="E1340" s="181">
        <f>TOBEPAID!E1009/1000</f>
        <v>4000</v>
      </c>
      <c r="F1340" s="181">
        <f>TOBEPAID!F1009/1000</f>
        <v>0</v>
      </c>
      <c r="G1340" s="181">
        <f>TOBEPAID!G1009/1000</f>
        <v>0</v>
      </c>
      <c r="H1340" s="181">
        <f>19000000/1000</f>
        <v>19000</v>
      </c>
      <c r="I1340" s="181">
        <f>TOBEPAID!I1009/1000</f>
        <v>0</v>
      </c>
      <c r="J1340" s="181">
        <f>TOBEPAID!J1009/1000</f>
        <v>0</v>
      </c>
      <c r="K1340" s="181">
        <f>TOBEPAID!K1009/1000</f>
        <v>0</v>
      </c>
      <c r="L1340" s="181">
        <f>TOBEPAID!L1009/1000</f>
        <v>0</v>
      </c>
      <c r="M1340" s="181">
        <f>TOBEPAID!M1009/1000</f>
        <v>0</v>
      </c>
      <c r="N1340" s="181">
        <f>TOBEPAID!N1009/1000</f>
        <v>4000</v>
      </c>
      <c r="O1340" s="181">
        <f>TOBEPAID!O1009/1000</f>
        <v>0</v>
      </c>
      <c r="P1340" s="181">
        <f>TOBEPAID!P1009/1000</f>
        <v>0</v>
      </c>
      <c r="Q1340" s="181">
        <f>TOBEPAID!Q1009/1000</f>
        <v>0</v>
      </c>
      <c r="R1340" s="181">
        <f>87000/1000</f>
        <v>87</v>
      </c>
      <c r="S1340" s="181">
        <f>TOBEPAID!S1009/1000</f>
        <v>0</v>
      </c>
      <c r="T1340" s="181">
        <f>TOBEPAID!T1009/1000</f>
        <v>0</v>
      </c>
      <c r="U1340" s="181">
        <f>TOBEPAID!U1009/1000</f>
        <v>0</v>
      </c>
      <c r="V1340" s="181">
        <f>TOBEPAID!V1009/1000</f>
        <v>0</v>
      </c>
      <c r="W1340" s="181">
        <f>TOBEPAID!W1009/1000</f>
        <v>0</v>
      </c>
      <c r="X1340" s="181">
        <f>TOBEPAID!X1009/1000</f>
        <v>0</v>
      </c>
      <c r="Y1340" s="181">
        <f t="shared" ref="Y1340:Y1349" si="252">+H1340+R1340</f>
        <v>19087</v>
      </c>
      <c r="Z1340" s="181">
        <f t="shared" ref="Z1340:Z1349" si="253">+D1340-Y1340</f>
        <v>83.486000000000786</v>
      </c>
      <c r="AA1340" s="181">
        <f>TOBEPAID!AA1009/1000</f>
        <v>4000</v>
      </c>
      <c r="AB1340" s="181">
        <f>TOBEPAID!AB1009/1000</f>
        <v>15170.486940000001</v>
      </c>
      <c r="AC1340" s="181"/>
      <c r="AD1340" s="181"/>
      <c r="AF1340" s="195"/>
      <c r="AG1340" s="195"/>
      <c r="AH1340" s="195"/>
      <c r="AI1340" s="195"/>
      <c r="AJ1340" s="195"/>
      <c r="AK1340" s="195"/>
      <c r="AL1340" s="195"/>
      <c r="AM1340" s="195"/>
      <c r="AN1340" s="195"/>
      <c r="AO1340" s="195"/>
      <c r="AP1340" s="195"/>
      <c r="AQ1340" s="195"/>
      <c r="AR1340" s="195"/>
    </row>
    <row r="1341" spans="1:45" x14ac:dyDescent="0.2">
      <c r="A1341" s="180"/>
      <c r="C1341" s="165" t="s">
        <v>36</v>
      </c>
      <c r="D1341" s="181">
        <f>2217196/1000</f>
        <v>2217.1959999999999</v>
      </c>
      <c r="E1341" s="181">
        <f>TOBEPAID!E1010/1000</f>
        <v>2217.19652</v>
      </c>
      <c r="F1341" s="181">
        <f>TOBEPAID!F1010/1000</f>
        <v>0</v>
      </c>
      <c r="G1341" s="181">
        <f>TOBEPAID!G1010/1000</f>
        <v>0</v>
      </c>
      <c r="H1341" s="181">
        <f>2217196/1000</f>
        <v>2217.1959999999999</v>
      </c>
      <c r="I1341" s="181">
        <f>TOBEPAID!I1010/1000</f>
        <v>0</v>
      </c>
      <c r="J1341" s="181">
        <f>TOBEPAID!J1010/1000</f>
        <v>0</v>
      </c>
      <c r="K1341" s="181">
        <f>TOBEPAID!K1010/1000</f>
        <v>0</v>
      </c>
      <c r="L1341" s="181">
        <f>TOBEPAID!L1010/1000</f>
        <v>0</v>
      </c>
      <c r="M1341" s="181">
        <f>TOBEPAID!M1010/1000</f>
        <v>0</v>
      </c>
      <c r="N1341" s="181">
        <f>TOBEPAID!N1010/1000</f>
        <v>2217.19652</v>
      </c>
      <c r="O1341" s="181">
        <f>TOBEPAID!O1010/1000</f>
        <v>0</v>
      </c>
      <c r="P1341" s="181">
        <f>TOBEPAID!P1010/1000</f>
        <v>0</v>
      </c>
      <c r="Q1341" s="181">
        <f>TOBEPAID!Q1010/1000</f>
        <v>0</v>
      </c>
      <c r="R1341" s="181">
        <v>0</v>
      </c>
      <c r="S1341" s="181">
        <f>TOBEPAID!S1010/1000</f>
        <v>0</v>
      </c>
      <c r="T1341" s="181">
        <f>TOBEPAID!T1010/1000</f>
        <v>0</v>
      </c>
      <c r="U1341" s="181">
        <f>TOBEPAID!U1010/1000</f>
        <v>0</v>
      </c>
      <c r="V1341" s="181">
        <f>TOBEPAID!V1010/1000</f>
        <v>0</v>
      </c>
      <c r="W1341" s="181">
        <f>TOBEPAID!W1010/1000</f>
        <v>0</v>
      </c>
      <c r="X1341" s="181">
        <f>TOBEPAID!X1010/1000</f>
        <v>0</v>
      </c>
      <c r="Y1341" s="181">
        <f t="shared" si="252"/>
        <v>2217.1959999999999</v>
      </c>
      <c r="Z1341" s="181">
        <f t="shared" si="253"/>
        <v>0</v>
      </c>
      <c r="AA1341" s="181">
        <f>TOBEPAID!AA1010/1000</f>
        <v>2217.19652</v>
      </c>
      <c r="AB1341" s="181">
        <f>TOBEPAID!AB1010/1000</f>
        <v>0</v>
      </c>
      <c r="AC1341" s="181"/>
      <c r="AD1341" s="181"/>
      <c r="AS1341" s="195"/>
    </row>
    <row r="1342" spans="1:45" x14ac:dyDescent="0.2">
      <c r="C1342" s="165" t="s">
        <v>290</v>
      </c>
      <c r="D1342" s="181">
        <f>555821174.77/1000</f>
        <v>555821.17476999993</v>
      </c>
      <c r="E1342" s="181">
        <f>TOBEPAID!E1011/1000</f>
        <v>0</v>
      </c>
      <c r="F1342" s="181">
        <f>TOBEPAID!F1011/1000</f>
        <v>2718.7767200000003</v>
      </c>
      <c r="G1342" s="181">
        <f>TOBEPAID!G1011/1000</f>
        <v>0</v>
      </c>
      <c r="H1342" s="181">
        <f>555821174.77/1000</f>
        <v>555821.17476999993</v>
      </c>
      <c r="I1342" s="181">
        <f>TOBEPAID!I1011/1000</f>
        <v>0</v>
      </c>
      <c r="J1342" s="181">
        <f>TOBEPAID!J1011/1000</f>
        <v>0</v>
      </c>
      <c r="K1342" s="181">
        <f>TOBEPAID!K1011/1000</f>
        <v>0</v>
      </c>
      <c r="L1342" s="181">
        <f>TOBEPAID!L1011/1000</f>
        <v>0</v>
      </c>
      <c r="M1342" s="181">
        <f>TOBEPAID!M1011/1000</f>
        <v>0</v>
      </c>
      <c r="N1342" s="181">
        <f>TOBEPAID!N1011/1000</f>
        <v>2718.7767200000003</v>
      </c>
      <c r="O1342" s="181">
        <f>TOBEPAID!O1011/1000</f>
        <v>0</v>
      </c>
      <c r="P1342" s="181">
        <f>TOBEPAID!P1011/1000</f>
        <v>0</v>
      </c>
      <c r="Q1342" s="181">
        <f>TOBEPAID!Q1011/1000</f>
        <v>0</v>
      </c>
      <c r="R1342" s="181">
        <v>0</v>
      </c>
      <c r="S1342" s="181">
        <f>TOBEPAID!S1011/1000</f>
        <v>0</v>
      </c>
      <c r="T1342" s="181">
        <f>TOBEPAID!T1011/1000</f>
        <v>0</v>
      </c>
      <c r="U1342" s="181">
        <f>TOBEPAID!U1011/1000</f>
        <v>0</v>
      </c>
      <c r="V1342" s="181">
        <f>TOBEPAID!V1011/1000</f>
        <v>0</v>
      </c>
      <c r="W1342" s="181">
        <f>TOBEPAID!W1011/1000</f>
        <v>0</v>
      </c>
      <c r="X1342" s="181">
        <f>TOBEPAID!X1011/1000</f>
        <v>0</v>
      </c>
      <c r="Y1342" s="181">
        <f t="shared" si="252"/>
        <v>555821.17476999993</v>
      </c>
      <c r="Z1342" s="181">
        <f t="shared" si="253"/>
        <v>0</v>
      </c>
      <c r="AA1342" s="181">
        <f>TOBEPAID!AA1011/1000</f>
        <v>2718.7767200000003</v>
      </c>
      <c r="AB1342" s="181">
        <f>TOBEPAID!AB1011/1000</f>
        <v>0</v>
      </c>
      <c r="AC1342" s="181"/>
      <c r="AD1342" s="181"/>
      <c r="AF1342" s="195"/>
      <c r="AG1342" s="195"/>
      <c r="AH1342" s="195"/>
      <c r="AI1342" s="195"/>
      <c r="AJ1342" s="195"/>
      <c r="AK1342" s="195"/>
      <c r="AL1342" s="195"/>
      <c r="AM1342" s="195"/>
      <c r="AN1342" s="195"/>
      <c r="AO1342" s="195"/>
      <c r="AP1342" s="195"/>
      <c r="AQ1342" s="195"/>
      <c r="AR1342" s="195"/>
      <c r="AS1342" s="195">
        <f>+AF1348-AK1348-AP1348</f>
        <v>-1.5199999998003477E-3</v>
      </c>
    </row>
    <row r="1343" spans="1:45" x14ac:dyDescent="0.2">
      <c r="C1343" s="165" t="s">
        <v>381</v>
      </c>
      <c r="D1343" s="181">
        <f>12000000/1000</f>
        <v>12000</v>
      </c>
      <c r="E1343" s="181"/>
      <c r="F1343" s="181"/>
      <c r="G1343" s="181"/>
      <c r="H1343" s="181">
        <f>12000000/1000</f>
        <v>12000</v>
      </c>
      <c r="I1343" s="181"/>
      <c r="J1343" s="181"/>
      <c r="K1343" s="181"/>
      <c r="L1343" s="181"/>
      <c r="M1343" s="181"/>
      <c r="N1343" s="181"/>
      <c r="O1343" s="181"/>
      <c r="P1343" s="181"/>
      <c r="Q1343" s="181"/>
      <c r="R1343" s="181">
        <v>0</v>
      </c>
      <c r="S1343" s="181"/>
      <c r="T1343" s="181"/>
      <c r="U1343" s="181"/>
      <c r="V1343" s="181"/>
      <c r="W1343" s="181"/>
      <c r="X1343" s="181"/>
      <c r="Y1343" s="181">
        <f t="shared" si="252"/>
        <v>12000</v>
      </c>
      <c r="Z1343" s="181">
        <f t="shared" si="253"/>
        <v>0</v>
      </c>
      <c r="AA1343" s="181"/>
      <c r="AB1343" s="181"/>
      <c r="AC1343" s="181"/>
      <c r="AD1343" s="181"/>
      <c r="AF1343" s="195"/>
      <c r="AG1343" s="195"/>
      <c r="AH1343" s="195"/>
      <c r="AI1343" s="195"/>
      <c r="AJ1343" s="195"/>
      <c r="AK1343" s="195"/>
      <c r="AL1343" s="195"/>
      <c r="AM1343" s="195"/>
      <c r="AN1343" s="195"/>
      <c r="AO1343" s="195"/>
      <c r="AP1343" s="195"/>
      <c r="AQ1343" s="195"/>
      <c r="AR1343" s="195"/>
      <c r="AS1343" s="195"/>
    </row>
    <row r="1344" spans="1:45" x14ac:dyDescent="0.2">
      <c r="C1344" s="165" t="s">
        <v>443</v>
      </c>
      <c r="D1344" s="181">
        <f>3360000/1000</f>
        <v>3360</v>
      </c>
      <c r="E1344" s="181"/>
      <c r="F1344" s="181"/>
      <c r="G1344" s="181"/>
      <c r="H1344" s="181">
        <f>3360000/1000</f>
        <v>3360</v>
      </c>
      <c r="I1344" s="181"/>
      <c r="J1344" s="181"/>
      <c r="K1344" s="181"/>
      <c r="L1344" s="181"/>
      <c r="M1344" s="181"/>
      <c r="N1344" s="181"/>
      <c r="O1344" s="181"/>
      <c r="P1344" s="181"/>
      <c r="Q1344" s="181"/>
      <c r="R1344" s="181">
        <v>0</v>
      </c>
      <c r="S1344" s="181"/>
      <c r="T1344" s="181"/>
      <c r="U1344" s="181"/>
      <c r="V1344" s="181"/>
      <c r="W1344" s="181"/>
      <c r="X1344" s="181"/>
      <c r="Y1344" s="181">
        <f t="shared" si="252"/>
        <v>3360</v>
      </c>
      <c r="Z1344" s="181">
        <f t="shared" si="253"/>
        <v>0</v>
      </c>
      <c r="AA1344" s="181"/>
      <c r="AB1344" s="181"/>
      <c r="AC1344" s="181"/>
      <c r="AD1344" s="181"/>
      <c r="AF1344" s="195"/>
      <c r="AG1344" s="195"/>
      <c r="AH1344" s="195"/>
      <c r="AI1344" s="195"/>
      <c r="AJ1344" s="195"/>
      <c r="AK1344" s="195"/>
      <c r="AL1344" s="195"/>
      <c r="AM1344" s="195"/>
      <c r="AN1344" s="195"/>
      <c r="AO1344" s="195"/>
      <c r="AP1344" s="195"/>
      <c r="AQ1344" s="195"/>
      <c r="AR1344" s="195"/>
      <c r="AS1344" s="195"/>
    </row>
    <row r="1345" spans="1:45" x14ac:dyDescent="0.2">
      <c r="C1345" s="165" t="s">
        <v>474</v>
      </c>
      <c r="D1345" s="181">
        <f>3284095/1000</f>
        <v>3284.0949999999998</v>
      </c>
      <c r="E1345" s="181"/>
      <c r="F1345" s="181"/>
      <c r="G1345" s="181"/>
      <c r="H1345" s="181">
        <f>3284095/1000</f>
        <v>3284.0949999999998</v>
      </c>
      <c r="I1345" s="181"/>
      <c r="J1345" s="181"/>
      <c r="K1345" s="181"/>
      <c r="L1345" s="181"/>
      <c r="M1345" s="181"/>
      <c r="N1345" s="181"/>
      <c r="O1345" s="181"/>
      <c r="P1345" s="181"/>
      <c r="Q1345" s="181"/>
      <c r="R1345" s="181">
        <v>0</v>
      </c>
      <c r="S1345" s="181"/>
      <c r="T1345" s="181"/>
      <c r="U1345" s="181"/>
      <c r="V1345" s="181"/>
      <c r="W1345" s="181"/>
      <c r="X1345" s="181"/>
      <c r="Y1345" s="181">
        <f t="shared" si="252"/>
        <v>3284.0949999999998</v>
      </c>
      <c r="Z1345" s="181">
        <f t="shared" si="253"/>
        <v>0</v>
      </c>
      <c r="AA1345" s="181"/>
      <c r="AB1345" s="181"/>
      <c r="AC1345" s="181"/>
      <c r="AD1345" s="181"/>
      <c r="AF1345" s="195"/>
      <c r="AG1345" s="195"/>
      <c r="AH1345" s="195"/>
      <c r="AI1345" s="195"/>
      <c r="AJ1345" s="195"/>
      <c r="AK1345" s="195"/>
      <c r="AL1345" s="195"/>
      <c r="AM1345" s="195"/>
      <c r="AN1345" s="195"/>
      <c r="AO1345" s="195"/>
      <c r="AP1345" s="195"/>
      <c r="AQ1345" s="195"/>
      <c r="AR1345" s="195"/>
      <c r="AS1345" s="195"/>
    </row>
    <row r="1346" spans="1:45" x14ac:dyDescent="0.2">
      <c r="C1346" s="165" t="s">
        <v>485</v>
      </c>
      <c r="D1346" s="181">
        <f>3000000/1000</f>
        <v>3000</v>
      </c>
      <c r="E1346" s="181"/>
      <c r="F1346" s="181"/>
      <c r="G1346" s="181"/>
      <c r="H1346" s="181">
        <f>3000000/1000</f>
        <v>3000</v>
      </c>
      <c r="I1346" s="181"/>
      <c r="J1346" s="181"/>
      <c r="K1346" s="181"/>
      <c r="L1346" s="181"/>
      <c r="M1346" s="181"/>
      <c r="N1346" s="181"/>
      <c r="O1346" s="181"/>
      <c r="P1346" s="181"/>
      <c r="Q1346" s="181"/>
      <c r="R1346" s="181">
        <v>0</v>
      </c>
      <c r="S1346" s="181"/>
      <c r="T1346" s="181"/>
      <c r="U1346" s="181"/>
      <c r="V1346" s="181"/>
      <c r="W1346" s="181"/>
      <c r="X1346" s="181"/>
      <c r="Y1346" s="181">
        <f t="shared" si="252"/>
        <v>3000</v>
      </c>
      <c r="Z1346" s="181">
        <f t="shared" si="253"/>
        <v>0</v>
      </c>
      <c r="AA1346" s="181"/>
      <c r="AB1346" s="181"/>
      <c r="AC1346" s="181"/>
      <c r="AD1346" s="181"/>
      <c r="AF1346" s="195"/>
      <c r="AG1346" s="195"/>
      <c r="AH1346" s="195"/>
      <c r="AI1346" s="195"/>
      <c r="AJ1346" s="195"/>
      <c r="AK1346" s="195"/>
      <c r="AL1346" s="195"/>
      <c r="AM1346" s="195"/>
      <c r="AN1346" s="195"/>
      <c r="AO1346" s="195"/>
      <c r="AP1346" s="195"/>
      <c r="AQ1346" s="195"/>
      <c r="AR1346" s="195"/>
      <c r="AS1346" s="195"/>
    </row>
    <row r="1347" spans="1:45" x14ac:dyDescent="0.2">
      <c r="C1347" s="165" t="s">
        <v>486</v>
      </c>
      <c r="D1347" s="181">
        <f>4478104.01/1000</f>
        <v>4478.10401</v>
      </c>
      <c r="E1347" s="181"/>
      <c r="F1347" s="181"/>
      <c r="G1347" s="181"/>
      <c r="H1347" s="181">
        <f>4478104.01/1000</f>
        <v>4478.10401</v>
      </c>
      <c r="I1347" s="181"/>
      <c r="J1347" s="181"/>
      <c r="K1347" s="181"/>
      <c r="L1347" s="181"/>
      <c r="M1347" s="181"/>
      <c r="N1347" s="181"/>
      <c r="O1347" s="181"/>
      <c r="P1347" s="181"/>
      <c r="Q1347" s="181"/>
      <c r="R1347" s="181">
        <v>0</v>
      </c>
      <c r="S1347" s="181"/>
      <c r="T1347" s="181"/>
      <c r="U1347" s="181"/>
      <c r="V1347" s="181"/>
      <c r="W1347" s="181"/>
      <c r="X1347" s="181"/>
      <c r="Y1347" s="181">
        <f t="shared" si="252"/>
        <v>4478.10401</v>
      </c>
      <c r="Z1347" s="181">
        <f t="shared" si="253"/>
        <v>0</v>
      </c>
      <c r="AA1347" s="181"/>
      <c r="AB1347" s="181"/>
      <c r="AC1347" s="181"/>
      <c r="AD1347" s="181"/>
      <c r="AF1347" s="195"/>
      <c r="AG1347" s="195"/>
      <c r="AH1347" s="195"/>
      <c r="AI1347" s="195"/>
      <c r="AJ1347" s="195"/>
      <c r="AK1347" s="195"/>
      <c r="AL1347" s="195"/>
      <c r="AM1347" s="195"/>
      <c r="AN1347" s="195"/>
      <c r="AO1347" s="195"/>
      <c r="AP1347" s="195"/>
      <c r="AQ1347" s="195"/>
      <c r="AR1347" s="195"/>
      <c r="AS1347" s="195"/>
    </row>
    <row r="1348" spans="1:45" x14ac:dyDescent="0.2">
      <c r="A1348" s="180"/>
      <c r="C1348" s="165" t="s">
        <v>53</v>
      </c>
      <c r="D1348" s="181">
        <f>3593720/1000</f>
        <v>3593.72</v>
      </c>
      <c r="E1348" s="181">
        <f>TOBEPAID!E1012/1000</f>
        <v>0</v>
      </c>
      <c r="F1348" s="181">
        <f>TOBEPAID!F1012/1000</f>
        <v>0</v>
      </c>
      <c r="G1348" s="181">
        <f>TOBEPAID!G1012/1000</f>
        <v>0</v>
      </c>
      <c r="H1348" s="181">
        <v>0</v>
      </c>
      <c r="I1348" s="181">
        <f>TOBEPAID!I1012/1000</f>
        <v>0</v>
      </c>
      <c r="J1348" s="181">
        <f>TOBEPAID!J1012/1000</f>
        <v>0</v>
      </c>
      <c r="K1348" s="181">
        <f>TOBEPAID!K1012/1000</f>
        <v>0</v>
      </c>
      <c r="L1348" s="181">
        <f>TOBEPAID!L1012/1000</f>
        <v>0</v>
      </c>
      <c r="M1348" s="181">
        <f>TOBEPAID!M1012/1000</f>
        <v>0</v>
      </c>
      <c r="N1348" s="181">
        <f>TOBEPAID!N1012/1000</f>
        <v>0</v>
      </c>
      <c r="O1348" s="181">
        <f>TOBEPAID!O1012/1000</f>
        <v>3593.7202800000005</v>
      </c>
      <c r="P1348" s="181">
        <f>TOBEPAID!P1012/1000</f>
        <v>0</v>
      </c>
      <c r="Q1348" s="181">
        <f>TOBEPAID!Q1012/1000</f>
        <v>0</v>
      </c>
      <c r="R1348" s="181">
        <f>3593720/1000</f>
        <v>3593.72</v>
      </c>
      <c r="S1348" s="181">
        <f>TOBEPAID!S1012/1000</f>
        <v>0</v>
      </c>
      <c r="T1348" s="181">
        <f>TOBEPAID!T1012/1000</f>
        <v>0</v>
      </c>
      <c r="U1348" s="181">
        <f>TOBEPAID!U1012/1000</f>
        <v>0</v>
      </c>
      <c r="V1348" s="181">
        <f>TOBEPAID!V1012/1000</f>
        <v>0</v>
      </c>
      <c r="W1348" s="181">
        <f>TOBEPAID!W1012/1000</f>
        <v>0</v>
      </c>
      <c r="X1348" s="181">
        <f>TOBEPAID!X1012/1000</f>
        <v>3593.7202800000005</v>
      </c>
      <c r="Y1348" s="181">
        <f t="shared" si="252"/>
        <v>3593.72</v>
      </c>
      <c r="Z1348" s="181">
        <f t="shared" si="253"/>
        <v>0</v>
      </c>
      <c r="AA1348" s="181">
        <f>TOBEPAID!AA1012/1000</f>
        <v>3593.7202800000005</v>
      </c>
      <c r="AB1348" s="181">
        <f>TOBEPAID!AB1012/1000</f>
        <v>0</v>
      </c>
      <c r="AC1348" s="181"/>
      <c r="AD1348" s="181"/>
      <c r="AF1348" s="195">
        <f>+D1328+D1302</f>
        <v>8598.3250000000007</v>
      </c>
      <c r="AG1348" s="195">
        <f>+E1328+E1302</f>
        <v>8598.3265200000005</v>
      </c>
      <c r="AH1348" s="195">
        <f>+F1328+F1302</f>
        <v>0</v>
      </c>
      <c r="AI1348" s="195">
        <f>+AG1348+AH1348</f>
        <v>8598.3265200000005</v>
      </c>
      <c r="AJ1348" s="195">
        <f>+L1328+L1302</f>
        <v>0</v>
      </c>
      <c r="AK1348" s="195">
        <f>+AI1348+AJ1348</f>
        <v>8598.3265200000005</v>
      </c>
      <c r="AL1348" s="195">
        <f>+O1328+O1302</f>
        <v>0</v>
      </c>
      <c r="AM1348" s="195">
        <f>+P1328+P1302</f>
        <v>0</v>
      </c>
      <c r="AN1348" s="195">
        <f>+AL1348+AM1348</f>
        <v>0</v>
      </c>
      <c r="AO1348" s="195">
        <f>+V1328+V1302</f>
        <v>0</v>
      </c>
      <c r="AP1348" s="195">
        <f>+AN1348+AO1348</f>
        <v>0</v>
      </c>
      <c r="AQ1348" s="195">
        <f>+AI1348+AN1348</f>
        <v>8598.3265200000005</v>
      </c>
      <c r="AR1348" s="195">
        <f>+AF1348-AQ1348</f>
        <v>-1.5199999998003477E-3</v>
      </c>
      <c r="AS1348" s="195">
        <f>+AF1349-AK1349-AP1349</f>
        <v>1472544.89805</v>
      </c>
    </row>
    <row r="1349" spans="1:45" x14ac:dyDescent="0.2">
      <c r="A1349" s="180"/>
      <c r="C1349" s="165" t="s">
        <v>54</v>
      </c>
      <c r="D1349" s="181">
        <f>TOBEPAID!D1013/1000</f>
        <v>10192.733540000001</v>
      </c>
      <c r="E1349" s="181">
        <f>TOBEPAID!E1013/1000</f>
        <v>0</v>
      </c>
      <c r="F1349" s="181">
        <f>TOBEPAID!F1013/1000</f>
        <v>0</v>
      </c>
      <c r="G1349" s="181">
        <f>TOBEPAID!G1013/1000</f>
        <v>0</v>
      </c>
      <c r="H1349" s="181">
        <v>0</v>
      </c>
      <c r="I1349" s="181">
        <f>TOBEPAID!I1013/1000</f>
        <v>0</v>
      </c>
      <c r="J1349" s="181">
        <f>TOBEPAID!J1013/1000</f>
        <v>0</v>
      </c>
      <c r="K1349" s="181">
        <f>TOBEPAID!K1013/1000</f>
        <v>0</v>
      </c>
      <c r="L1349" s="181">
        <f>TOBEPAID!L1013/1000</f>
        <v>0</v>
      </c>
      <c r="M1349" s="181">
        <f>TOBEPAID!M1013/1000</f>
        <v>0</v>
      </c>
      <c r="N1349" s="181">
        <f>TOBEPAID!N1013/1000</f>
        <v>0</v>
      </c>
      <c r="O1349" s="181">
        <f>TOBEPAID!O1013/1000</f>
        <v>10192.733539999999</v>
      </c>
      <c r="P1349" s="181">
        <f>TOBEPAID!P1013/1000</f>
        <v>0</v>
      </c>
      <c r="Q1349" s="181">
        <f>TOBEPAID!Q1013/1000</f>
        <v>0</v>
      </c>
      <c r="R1349" s="181">
        <f>10192733/1000</f>
        <v>10192.733</v>
      </c>
      <c r="S1349" s="181">
        <f>TOBEPAID!S1013/1000</f>
        <v>0</v>
      </c>
      <c r="T1349" s="181">
        <f>TOBEPAID!T1013/1000</f>
        <v>0</v>
      </c>
      <c r="U1349" s="181">
        <f>TOBEPAID!U1013/1000</f>
        <v>0</v>
      </c>
      <c r="V1349" s="181">
        <f>TOBEPAID!V1013/1000</f>
        <v>0</v>
      </c>
      <c r="W1349" s="181">
        <f>TOBEPAID!W1013/1000</f>
        <v>0</v>
      </c>
      <c r="X1349" s="181">
        <f>TOBEPAID!X1013/1000</f>
        <v>10192.733539999999</v>
      </c>
      <c r="Y1349" s="181">
        <f t="shared" si="252"/>
        <v>10192.733</v>
      </c>
      <c r="Z1349" s="181">
        <f t="shared" si="253"/>
        <v>5.4000000091036782E-4</v>
      </c>
      <c r="AA1349" s="181">
        <f>TOBEPAID!AA1013/1000</f>
        <v>10192.733539999999</v>
      </c>
      <c r="AB1349" s="181">
        <f>TOBEPAID!AB1013/1000</f>
        <v>0</v>
      </c>
      <c r="AC1349" s="181"/>
      <c r="AD1349" s="181"/>
      <c r="AE1349" s="186" t="s">
        <v>317</v>
      </c>
      <c r="AF1349" s="195">
        <f>+D1318+D1355+D1342</f>
        <v>1551635.7869799999</v>
      </c>
      <c r="AG1349" s="195">
        <f>+E1318+E1355+E1342</f>
        <v>71096.245569999999</v>
      </c>
      <c r="AH1349" s="195">
        <f>+F1318+F1355+F1342</f>
        <v>7994.64336</v>
      </c>
      <c r="AI1349" s="195">
        <f>+AG1349+AH1349</f>
        <v>79090.888930000001</v>
      </c>
      <c r="AJ1349" s="195">
        <f>+L1318+L1355+L1342</f>
        <v>0</v>
      </c>
      <c r="AK1349" s="195">
        <f>+AI1349+AJ1349</f>
        <v>79090.888930000001</v>
      </c>
      <c r="AL1349" s="195">
        <f>+O1318+O1355+O1342</f>
        <v>0</v>
      </c>
      <c r="AM1349" s="195">
        <f>+P1318+P1355+P1342</f>
        <v>0</v>
      </c>
      <c r="AN1349" s="195">
        <f>+AL1349+AM1349</f>
        <v>0</v>
      </c>
      <c r="AO1349" s="195">
        <f>+V1318+V1355+V1342</f>
        <v>0</v>
      </c>
      <c r="AP1349" s="195">
        <f>+AN1349+AO1349</f>
        <v>0</v>
      </c>
      <c r="AQ1349" s="195">
        <f>+AI1349+AN1349</f>
        <v>79090.888930000001</v>
      </c>
      <c r="AR1349" s="195">
        <f>+AF1349-AQ1349</f>
        <v>1472544.89805</v>
      </c>
      <c r="AS1349" s="195">
        <f>+AF1350-AK1350-AP1350</f>
        <v>-8725.1204399999988</v>
      </c>
    </row>
    <row r="1350" spans="1:45" x14ac:dyDescent="0.2">
      <c r="A1350" s="180"/>
      <c r="D1350" s="182" t="s">
        <v>40</v>
      </c>
      <c r="E1350" s="182" t="s">
        <v>40</v>
      </c>
      <c r="F1350" s="182" t="s">
        <v>40</v>
      </c>
      <c r="G1350" s="182"/>
      <c r="H1350" s="182" t="s">
        <v>40</v>
      </c>
      <c r="I1350" s="182" t="s">
        <v>40</v>
      </c>
      <c r="J1350" s="182" t="s">
        <v>40</v>
      </c>
      <c r="K1350" s="182" t="s">
        <v>40</v>
      </c>
      <c r="L1350" s="182" t="s">
        <v>40</v>
      </c>
      <c r="M1350" s="182"/>
      <c r="N1350" s="182" t="s">
        <v>40</v>
      </c>
      <c r="O1350" s="182" t="s">
        <v>40</v>
      </c>
      <c r="P1350" s="182" t="s">
        <v>40</v>
      </c>
      <c r="Q1350" s="182"/>
      <c r="R1350" s="182" t="s">
        <v>40</v>
      </c>
      <c r="S1350" s="182" t="s">
        <v>40</v>
      </c>
      <c r="T1350" s="182" t="s">
        <v>40</v>
      </c>
      <c r="U1350" s="182" t="s">
        <v>40</v>
      </c>
      <c r="V1350" s="182" t="s">
        <v>40</v>
      </c>
      <c r="W1350" s="182"/>
      <c r="X1350" s="182" t="s">
        <v>40</v>
      </c>
      <c r="Y1350" s="182" t="s">
        <v>40</v>
      </c>
      <c r="Z1350" s="182" t="s">
        <v>40</v>
      </c>
      <c r="AA1350" s="182" t="s">
        <v>40</v>
      </c>
      <c r="AB1350" s="182" t="s">
        <v>40</v>
      </c>
      <c r="AC1350" s="182"/>
      <c r="AD1350" s="182"/>
      <c r="AE1350" s="194" t="s">
        <v>323</v>
      </c>
      <c r="AF1350" s="194">
        <f>+D1317</f>
        <v>0</v>
      </c>
      <c r="AG1350" s="165">
        <f>+E1317</f>
        <v>8725.1204399999988</v>
      </c>
      <c r="AH1350" s="165">
        <f>+F1317</f>
        <v>0</v>
      </c>
      <c r="AI1350" s="195">
        <f>+AG1350+AH1350</f>
        <v>8725.1204399999988</v>
      </c>
      <c r="AJ1350" s="195">
        <f>+L1317</f>
        <v>0</v>
      </c>
      <c r="AK1350" s="195">
        <f>+AI1350+AJ1350</f>
        <v>8725.1204399999988</v>
      </c>
      <c r="AL1350" s="195">
        <f>+O1317</f>
        <v>0</v>
      </c>
      <c r="AM1350" s="195">
        <f>+P1317</f>
        <v>0</v>
      </c>
      <c r="AN1350" s="195">
        <f>+AL1350+AM1350</f>
        <v>0</v>
      </c>
      <c r="AO1350" s="195">
        <f>+V1317</f>
        <v>0</v>
      </c>
      <c r="AP1350" s="195">
        <f>+AN1350+AO1350</f>
        <v>0</v>
      </c>
      <c r="AQ1350" s="195">
        <f>+AI1350+AN1350</f>
        <v>8725.1204399999988</v>
      </c>
      <c r="AR1350" s="195">
        <f>+AF1350-AQ1350</f>
        <v>-8725.1204399999988</v>
      </c>
      <c r="AS1350" s="195">
        <f>+AF1351-AK1351-AP1351</f>
        <v>249579.40159000002</v>
      </c>
    </row>
    <row r="1351" spans="1:45" x14ac:dyDescent="0.2">
      <c r="A1351" s="180"/>
      <c r="D1351" s="196">
        <f>SUM(D1340:D1349)</f>
        <v>617117.50931999995</v>
      </c>
      <c r="E1351" s="196">
        <f>SUM(E1340:E1349)</f>
        <v>6217.1965199999995</v>
      </c>
      <c r="F1351" s="196">
        <f>SUM(F1340:F1349)</f>
        <v>2718.7767200000003</v>
      </c>
      <c r="G1351" s="196"/>
      <c r="H1351" s="196">
        <f>SUM(H1340:H1349)</f>
        <v>603160.5697799999</v>
      </c>
      <c r="I1351" s="196">
        <f>SUM(I1340:I1349)</f>
        <v>0</v>
      </c>
      <c r="J1351" s="196">
        <f>SUM(J1340:J1349)</f>
        <v>0</v>
      </c>
      <c r="K1351" s="196">
        <f>SUM(K1340:K1349)</f>
        <v>0</v>
      </c>
      <c r="L1351" s="196">
        <f>SUM(L1340:L1349)</f>
        <v>0</v>
      </c>
      <c r="M1351" s="196"/>
      <c r="N1351" s="196">
        <f>SUM(N1340:N1349)</f>
        <v>8935.9732399999994</v>
      </c>
      <c r="O1351" s="196">
        <f>SUM(O1340:O1349)</f>
        <v>13786.453819999999</v>
      </c>
      <c r="P1351" s="196">
        <f>SUM(P1340:P1349)</f>
        <v>0</v>
      </c>
      <c r="Q1351" s="196"/>
      <c r="R1351" s="196">
        <f>SUM(R1340:R1349)</f>
        <v>13873.453</v>
      </c>
      <c r="S1351" s="196">
        <f>SUM(S1340:S1349)</f>
        <v>0</v>
      </c>
      <c r="T1351" s="196">
        <f>SUM(T1340:T1349)</f>
        <v>0</v>
      </c>
      <c r="U1351" s="196">
        <f>SUM(U1340:U1349)</f>
        <v>0</v>
      </c>
      <c r="V1351" s="196">
        <f>SUM(V1340:V1349)</f>
        <v>0</v>
      </c>
      <c r="W1351" s="196"/>
      <c r="X1351" s="196">
        <f>SUM(X1340:X1349)</f>
        <v>13786.453819999999</v>
      </c>
      <c r="Y1351" s="196">
        <f>SUM(Y1340:Y1349)</f>
        <v>617034.02277999988</v>
      </c>
      <c r="Z1351" s="196">
        <f>SUM(Z1340:Z1349)</f>
        <v>83.486540000001696</v>
      </c>
      <c r="AA1351" s="196">
        <f>SUM(AA1340:AA1349)</f>
        <v>22722.427060000002</v>
      </c>
      <c r="AB1351" s="196">
        <f>SUM(AB1340:AB1349)</f>
        <v>15170.486940000001</v>
      </c>
      <c r="AC1351" s="196"/>
      <c r="AD1351" s="196"/>
      <c r="AE1351" s="186" t="s">
        <v>313</v>
      </c>
      <c r="AF1351" s="195">
        <f>D1282+D1298+D1313+D1325+D1335+D1340+D1354</f>
        <v>259056.29200000002</v>
      </c>
      <c r="AG1351" s="195">
        <f>E1282+E1298+E1313+E1325+E1335+E1340+E1354</f>
        <v>8500</v>
      </c>
      <c r="AH1351" s="195">
        <f>F1282+F1298+F1313+F1325+F1335+F1340+F1354</f>
        <v>0</v>
      </c>
      <c r="AI1351" s="195">
        <f>+AG1351+AH1351</f>
        <v>8500</v>
      </c>
      <c r="AJ1351" s="195">
        <f>L1282+L1298+L1313+L1325+L1335+L1340+L1354</f>
        <v>0</v>
      </c>
      <c r="AK1351" s="195">
        <f>+AI1351+AJ1351</f>
        <v>8500</v>
      </c>
      <c r="AL1351" s="195">
        <f>O1282+O1298+O1313+O1325+O1335+O1340+O1354</f>
        <v>976.89040999999997</v>
      </c>
      <c r="AM1351" s="195">
        <f>P1282+P1298+P1313+P1325+P1335+P1340+P1354</f>
        <v>0</v>
      </c>
      <c r="AN1351" s="195">
        <f>+AL1351+AM1351</f>
        <v>976.89040999999997</v>
      </c>
      <c r="AO1351" s="195">
        <f>V1282+V1298+V1313+V1325+V1335+V1340+V1354</f>
        <v>0</v>
      </c>
      <c r="AP1351" s="195">
        <f>+AN1351+AO1351</f>
        <v>976.89040999999997</v>
      </c>
      <c r="AQ1351" s="195">
        <f>+AI1351+AN1351</f>
        <v>9476.89041</v>
      </c>
      <c r="AR1351" s="195">
        <f>+AF1351-AQ1351</f>
        <v>249579.40159000002</v>
      </c>
      <c r="AS1351" s="195">
        <f>+AF1352-AK1352-AP1352</f>
        <v>-5.1999999959662091E-4</v>
      </c>
    </row>
    <row r="1352" spans="1:45" ht="12.75" customHeight="1" x14ac:dyDescent="0.2">
      <c r="A1352" s="180"/>
      <c r="D1352" s="182" t="s">
        <v>40</v>
      </c>
      <c r="E1352" s="182" t="s">
        <v>40</v>
      </c>
      <c r="F1352" s="182" t="s">
        <v>40</v>
      </c>
      <c r="G1352" s="182"/>
      <c r="H1352" s="182" t="s">
        <v>40</v>
      </c>
      <c r="I1352" s="182" t="s">
        <v>40</v>
      </c>
      <c r="J1352" s="182" t="s">
        <v>40</v>
      </c>
      <c r="K1352" s="182" t="s">
        <v>40</v>
      </c>
      <c r="L1352" s="182" t="s">
        <v>40</v>
      </c>
      <c r="M1352" s="182"/>
      <c r="N1352" s="182" t="s">
        <v>40</v>
      </c>
      <c r="O1352" s="182" t="s">
        <v>40</v>
      </c>
      <c r="P1352" s="182" t="s">
        <v>40</v>
      </c>
      <c r="Q1352" s="182"/>
      <c r="R1352" s="182" t="s">
        <v>40</v>
      </c>
      <c r="S1352" s="182" t="s">
        <v>40</v>
      </c>
      <c r="T1352" s="182" t="s">
        <v>40</v>
      </c>
      <c r="U1352" s="182" t="s">
        <v>40</v>
      </c>
      <c r="V1352" s="182" t="s">
        <v>40</v>
      </c>
      <c r="W1352" s="182"/>
      <c r="X1352" s="182" t="s">
        <v>40</v>
      </c>
      <c r="Y1352" s="182" t="s">
        <v>40</v>
      </c>
      <c r="Z1352" s="182" t="s">
        <v>40</v>
      </c>
      <c r="AA1352" s="182" t="s">
        <v>40</v>
      </c>
      <c r="AB1352" s="182" t="s">
        <v>40</v>
      </c>
      <c r="AC1352" s="182"/>
      <c r="AD1352" s="182"/>
      <c r="AE1352" s="186" t="s">
        <v>47</v>
      </c>
      <c r="AF1352" s="195">
        <f>D1301+D1314+D1329+D1341</f>
        <v>5179.92</v>
      </c>
      <c r="AG1352" s="195">
        <f>E1301+E1314+E1329+E1341</f>
        <v>5179.9205199999997</v>
      </c>
      <c r="AH1352" s="195">
        <f>F1301+F1314+F1329+F1341</f>
        <v>0</v>
      </c>
      <c r="AI1352" s="195">
        <f>+AG1352+AH1352</f>
        <v>5179.9205199999997</v>
      </c>
      <c r="AJ1352" s="195">
        <f>L1301+L1314+L1329+L1341</f>
        <v>0</v>
      </c>
      <c r="AK1352" s="195">
        <f>+AI1352+AJ1352</f>
        <v>5179.9205199999997</v>
      </c>
      <c r="AL1352" s="195">
        <f>O1301+O1314+O1329+O1341</f>
        <v>0</v>
      </c>
      <c r="AM1352" s="195">
        <f>P1301+P1314+P1329+P1341</f>
        <v>0</v>
      </c>
      <c r="AN1352" s="195">
        <f>+AL1352+AM1352</f>
        <v>0</v>
      </c>
      <c r="AO1352" s="195">
        <f>V1301+V1314+V1329+V1341</f>
        <v>0</v>
      </c>
      <c r="AP1352" s="195">
        <f>+AN1352+AO1352</f>
        <v>0</v>
      </c>
      <c r="AQ1352" s="195">
        <f>+AI1352+AN1352</f>
        <v>5179.9205199999997</v>
      </c>
      <c r="AR1352" s="195">
        <f>+AF1352-AQ1352</f>
        <v>-5.1999999959662091E-4</v>
      </c>
    </row>
    <row r="1353" spans="1:45" ht="21.75" customHeight="1" x14ac:dyDescent="0.2">
      <c r="A1353" s="180"/>
      <c r="D1353" s="182"/>
      <c r="E1353" s="182" t="s">
        <v>40</v>
      </c>
      <c r="F1353" s="182" t="s">
        <v>40</v>
      </c>
      <c r="G1353" s="182"/>
      <c r="H1353" s="182"/>
      <c r="I1353" s="182" t="s">
        <v>40</v>
      </c>
      <c r="J1353" s="182" t="s">
        <v>40</v>
      </c>
      <c r="K1353" s="182" t="s">
        <v>40</v>
      </c>
      <c r="L1353" s="182" t="s">
        <v>40</v>
      </c>
      <c r="M1353" s="182"/>
      <c r="N1353" s="182" t="s">
        <v>40</v>
      </c>
      <c r="O1353" s="182" t="s">
        <v>40</v>
      </c>
      <c r="P1353" s="182" t="s">
        <v>40</v>
      </c>
      <c r="Q1353" s="182"/>
      <c r="R1353" s="182"/>
      <c r="S1353" s="182" t="s">
        <v>40</v>
      </c>
      <c r="T1353" s="182" t="s">
        <v>40</v>
      </c>
      <c r="U1353" s="182" t="s">
        <v>40</v>
      </c>
      <c r="V1353" s="182" t="s">
        <v>40</v>
      </c>
      <c r="W1353" s="182"/>
      <c r="X1353" s="182" t="s">
        <v>40</v>
      </c>
      <c r="Y1353" s="182"/>
      <c r="Z1353" s="182"/>
      <c r="AA1353" s="182"/>
      <c r="AB1353" s="182"/>
      <c r="AC1353" s="182"/>
      <c r="AD1353" s="182"/>
      <c r="AE1353" s="186"/>
      <c r="AF1353" s="195"/>
      <c r="AG1353" s="195"/>
      <c r="AH1353" s="195"/>
      <c r="AI1353" s="195"/>
      <c r="AJ1353" s="195"/>
      <c r="AK1353" s="195"/>
      <c r="AL1353" s="195"/>
      <c r="AM1353" s="195"/>
      <c r="AN1353" s="195"/>
      <c r="AO1353" s="195"/>
      <c r="AP1353" s="195"/>
      <c r="AQ1353" s="195"/>
      <c r="AR1353" s="195"/>
    </row>
    <row r="1354" spans="1:45" x14ac:dyDescent="0.2">
      <c r="A1354" s="180">
        <v>106</v>
      </c>
      <c r="B1354" s="165" t="s">
        <v>239</v>
      </c>
      <c r="C1354" s="166" t="s">
        <v>35</v>
      </c>
      <c r="D1354" s="181">
        <f>66104767/1000</f>
        <v>66104.767000000007</v>
      </c>
      <c r="E1354" s="181">
        <f>TOBEPAID!E1017/1000</f>
        <v>0</v>
      </c>
      <c r="F1354" s="181">
        <f>TOBEPAID!F1017/1000</f>
        <v>0</v>
      </c>
      <c r="G1354" s="181">
        <f>TOBEPAID!G1017/1000</f>
        <v>0</v>
      </c>
      <c r="H1354" s="181">
        <f>39299610/1000</f>
        <v>39299.61</v>
      </c>
      <c r="I1354" s="181">
        <f>TOBEPAID!I1017/1000</f>
        <v>0</v>
      </c>
      <c r="J1354" s="181">
        <f>TOBEPAID!J1017/1000</f>
        <v>0</v>
      </c>
      <c r="K1354" s="181">
        <f>TOBEPAID!K1017/1000</f>
        <v>0</v>
      </c>
      <c r="L1354" s="181">
        <f>TOBEPAID!L1017/1000</f>
        <v>0</v>
      </c>
      <c r="M1354" s="181">
        <f>TOBEPAID!M1017/1000</f>
        <v>0</v>
      </c>
      <c r="N1354" s="181">
        <f>TOBEPAID!N1017/1000</f>
        <v>0</v>
      </c>
      <c r="O1354" s="181">
        <f>TOBEPAID!O1017/1000</f>
        <v>423.22098</v>
      </c>
      <c r="P1354" s="181">
        <f>TOBEPAID!P1017/1000</f>
        <v>0</v>
      </c>
      <c r="Q1354" s="181">
        <f>TOBEPAID!Q1017/1000</f>
        <v>0</v>
      </c>
      <c r="R1354" s="181">
        <f>471180.3/1000</f>
        <v>471.18029999999999</v>
      </c>
      <c r="S1354" s="181">
        <f>TOBEPAID!S1017/1000</f>
        <v>0</v>
      </c>
      <c r="T1354" s="181">
        <f>TOBEPAID!T1017/1000</f>
        <v>0</v>
      </c>
      <c r="U1354" s="181">
        <f>TOBEPAID!U1017/1000</f>
        <v>0</v>
      </c>
      <c r="V1354" s="181">
        <f>TOBEPAID!V1017/1000</f>
        <v>0</v>
      </c>
      <c r="W1354" s="181">
        <f>TOBEPAID!W1017/1000</f>
        <v>0</v>
      </c>
      <c r="X1354" s="181">
        <f>TOBEPAID!X1017/1000</f>
        <v>423.22098</v>
      </c>
      <c r="Y1354" s="181">
        <f>+H1354+R1354</f>
        <v>39770.790300000001</v>
      </c>
      <c r="Z1354" s="181">
        <f>+D1354-Y1354</f>
        <v>26333.976700000007</v>
      </c>
      <c r="AA1354" s="181">
        <f>TOBEPAID!AA1017/1000</f>
        <v>423.22098</v>
      </c>
      <c r="AB1354" s="181">
        <f>TOBEPAID!AB1017/1000</f>
        <v>52570.287200000006</v>
      </c>
      <c r="AC1354" s="181"/>
      <c r="AD1354" s="181"/>
      <c r="AE1354" s="186" t="s">
        <v>36</v>
      </c>
    </row>
    <row r="1355" spans="1:45" x14ac:dyDescent="0.2">
      <c r="C1355" s="165" t="s">
        <v>290</v>
      </c>
      <c r="D1355" s="181">
        <f>389442500/1000</f>
        <v>389442.5</v>
      </c>
      <c r="E1355" s="181">
        <f>TOBEPAID!E1018/1000</f>
        <v>5000</v>
      </c>
      <c r="F1355" s="181">
        <f>TOBEPAID!F1018/1000</f>
        <v>0</v>
      </c>
      <c r="G1355" s="181">
        <f>TOBEPAID!G1018/1000</f>
        <v>0</v>
      </c>
      <c r="H1355" s="181">
        <f>389442500/1000</f>
        <v>389442.5</v>
      </c>
      <c r="I1355" s="181">
        <f>TOBEPAID!I1018/1000</f>
        <v>0</v>
      </c>
      <c r="J1355" s="181">
        <f>TOBEPAID!J1018/1000</f>
        <v>0</v>
      </c>
      <c r="K1355" s="181">
        <f>TOBEPAID!K1018/1000</f>
        <v>0</v>
      </c>
      <c r="L1355" s="181">
        <f>TOBEPAID!L1018/1000</f>
        <v>0</v>
      </c>
      <c r="M1355" s="181">
        <f>TOBEPAID!M1018/1000</f>
        <v>0</v>
      </c>
      <c r="N1355" s="181">
        <f>TOBEPAID!N1018/1000</f>
        <v>5000</v>
      </c>
      <c r="O1355" s="181">
        <f>TOBEPAID!O1018/1000</f>
        <v>0</v>
      </c>
      <c r="P1355" s="181">
        <f>TOBEPAID!P1018/1000</f>
        <v>0</v>
      </c>
      <c r="Q1355" s="181">
        <f>TOBEPAID!Q1018/1000</f>
        <v>0</v>
      </c>
      <c r="R1355" s="181">
        <v>0</v>
      </c>
      <c r="S1355" s="181">
        <f>TOBEPAID!S1018/1000</f>
        <v>0</v>
      </c>
      <c r="T1355" s="181">
        <f>TOBEPAID!T1018/1000</f>
        <v>0</v>
      </c>
      <c r="U1355" s="181">
        <f>TOBEPAID!U1018/1000</f>
        <v>0</v>
      </c>
      <c r="V1355" s="181">
        <f>TOBEPAID!V1018/1000</f>
        <v>0</v>
      </c>
      <c r="W1355" s="181">
        <f>TOBEPAID!W1018/1000</f>
        <v>0</v>
      </c>
      <c r="X1355" s="181">
        <f>TOBEPAID!X1018/1000</f>
        <v>0</v>
      </c>
      <c r="Y1355" s="181">
        <f>+H1355+R1355</f>
        <v>389442.5</v>
      </c>
      <c r="Z1355" s="181">
        <f>+D1355-Y1355</f>
        <v>0</v>
      </c>
      <c r="AA1355" s="181">
        <f>TOBEPAID!AA1018/1000</f>
        <v>5000</v>
      </c>
      <c r="AB1355" s="181">
        <f>TOBEPAID!AB1018/1000</f>
        <v>0</v>
      </c>
      <c r="AC1355" s="181"/>
      <c r="AD1355" s="181"/>
      <c r="AS1355" s="195">
        <f>+AF1356-AK1356-AP1356</f>
        <v>0.17014999999992142</v>
      </c>
    </row>
    <row r="1356" spans="1:45" x14ac:dyDescent="0.2">
      <c r="C1356" s="165" t="s">
        <v>366</v>
      </c>
      <c r="D1356" s="165">
        <f>4095443.35/1000</f>
        <v>4095.44335</v>
      </c>
      <c r="H1356" s="165">
        <f>4095443.35/1000</f>
        <v>4095.44335</v>
      </c>
      <c r="R1356" s="165">
        <v>0</v>
      </c>
      <c r="Y1356" s="181">
        <f>+H1356+R1356</f>
        <v>4095.44335</v>
      </c>
      <c r="Z1356" s="181">
        <f>+D1356-Y1356</f>
        <v>0</v>
      </c>
      <c r="AF1356" s="195">
        <f>D1290+D1307+D1320</f>
        <v>1088</v>
      </c>
      <c r="AG1356" s="195">
        <f>E1290+E1307+E1320</f>
        <v>0</v>
      </c>
      <c r="AH1356" s="195">
        <f>F1290+F1307+F1320</f>
        <v>0</v>
      </c>
      <c r="AI1356" s="195">
        <f>+AG1356+AH1356</f>
        <v>0</v>
      </c>
      <c r="AJ1356" s="195">
        <f>L1290+L1307+L1320</f>
        <v>0</v>
      </c>
      <c r="AK1356" s="195">
        <f>+AI1356+AJ1356</f>
        <v>0</v>
      </c>
      <c r="AL1356" s="195">
        <f>O1290+O1307+O1320</f>
        <v>1087.8298500000001</v>
      </c>
      <c r="AM1356" s="195">
        <f>P1290+P1307+P1320</f>
        <v>0</v>
      </c>
      <c r="AN1356" s="195">
        <f>+AL1356+AM1356</f>
        <v>1087.8298500000001</v>
      </c>
      <c r="AO1356" s="195">
        <f>V1290+V1307+V1320</f>
        <v>0</v>
      </c>
      <c r="AP1356" s="195">
        <f>+AN1356+AO1356</f>
        <v>1087.8298500000001</v>
      </c>
      <c r="AQ1356" s="195">
        <f>+AI1356+AN1356</f>
        <v>1087.8298500000001</v>
      </c>
      <c r="AR1356" s="195">
        <f>+AF1356-AQ1356</f>
        <v>0.17014999999992142</v>
      </c>
      <c r="AS1356" s="195">
        <f>+AF1357-AK1357-AP1357</f>
        <v>-4.4999999988704076E-4</v>
      </c>
    </row>
    <row r="1357" spans="1:45" x14ac:dyDescent="0.2">
      <c r="A1357" s="180"/>
      <c r="C1357" s="165" t="s">
        <v>53</v>
      </c>
      <c r="D1357" s="181">
        <f>8204233/1000</f>
        <v>8204.2330000000002</v>
      </c>
      <c r="E1357" s="181">
        <f>TOBEPAID!E1019/1000</f>
        <v>0</v>
      </c>
      <c r="F1357" s="181">
        <f>TOBEPAID!F1019/1000</f>
        <v>0</v>
      </c>
      <c r="G1357" s="181">
        <f>TOBEPAID!G1019/1000</f>
        <v>0</v>
      </c>
      <c r="H1357" s="181">
        <v>0</v>
      </c>
      <c r="I1357" s="181">
        <f>TOBEPAID!I1019/1000</f>
        <v>0</v>
      </c>
      <c r="J1357" s="181">
        <f>TOBEPAID!J1019/1000</f>
        <v>0</v>
      </c>
      <c r="K1357" s="181">
        <f>TOBEPAID!K1019/1000</f>
        <v>0</v>
      </c>
      <c r="L1357" s="181">
        <f>TOBEPAID!L1019/1000</f>
        <v>0</v>
      </c>
      <c r="M1357" s="181">
        <f>TOBEPAID!M1019/1000</f>
        <v>0</v>
      </c>
      <c r="N1357" s="181">
        <f>TOBEPAID!N1019/1000</f>
        <v>0</v>
      </c>
      <c r="O1357" s="181">
        <f>TOBEPAID!O1019/1000</f>
        <v>8204.23315</v>
      </c>
      <c r="P1357" s="181">
        <f>TOBEPAID!P1019/1000</f>
        <v>0</v>
      </c>
      <c r="Q1357" s="181">
        <f>TOBEPAID!Q1019/1000</f>
        <v>0</v>
      </c>
      <c r="R1357" s="181">
        <f>8204233/1000</f>
        <v>8204.2330000000002</v>
      </c>
      <c r="S1357" s="181">
        <f>TOBEPAID!S1019/1000</f>
        <v>0</v>
      </c>
      <c r="T1357" s="181">
        <f>TOBEPAID!T1019/1000</f>
        <v>0</v>
      </c>
      <c r="U1357" s="181">
        <f>TOBEPAID!U1019/1000</f>
        <v>0</v>
      </c>
      <c r="V1357" s="181">
        <f>TOBEPAID!V1019/1000</f>
        <v>0</v>
      </c>
      <c r="W1357" s="181">
        <f>TOBEPAID!W1019/1000</f>
        <v>0</v>
      </c>
      <c r="X1357" s="181">
        <f>TOBEPAID!X1019/1000</f>
        <v>8204.23315</v>
      </c>
      <c r="Y1357" s="181">
        <f>+H1357+R1357</f>
        <v>8204.2330000000002</v>
      </c>
      <c r="Z1357" s="181">
        <f>+D1357-Y1357</f>
        <v>0</v>
      </c>
      <c r="AA1357" s="181">
        <f>TOBEPAID!AA1019/1000</f>
        <v>8204.23315</v>
      </c>
      <c r="AB1357" s="181">
        <f>TOBEPAID!AB1019/1000</f>
        <v>17206.702929999999</v>
      </c>
      <c r="AC1357" s="181"/>
      <c r="AD1357" s="181"/>
      <c r="AE1357" s="186" t="s">
        <v>183</v>
      </c>
      <c r="AF1357" s="195">
        <f>D1291+D1309+D1321</f>
        <v>698.22400000000005</v>
      </c>
      <c r="AG1357" s="195">
        <f>E1291+E1309+E1321</f>
        <v>0</v>
      </c>
      <c r="AH1357" s="195">
        <f>F1291+F1309+F1321</f>
        <v>0</v>
      </c>
      <c r="AI1357" s="195">
        <f>+AG1357+AH1357</f>
        <v>0</v>
      </c>
      <c r="AJ1357" s="195">
        <f>L1291+L1309+L1321</f>
        <v>0</v>
      </c>
      <c r="AK1357" s="195">
        <f>+AI1357+AJ1357</f>
        <v>0</v>
      </c>
      <c r="AL1357" s="195">
        <f>O1291+O1309+O1321</f>
        <v>698.22444999999993</v>
      </c>
      <c r="AM1357" s="195">
        <f>P1291+P1309+P1321</f>
        <v>0</v>
      </c>
      <c r="AN1357" s="195">
        <f>+AL1357+AM1357</f>
        <v>698.22444999999993</v>
      </c>
      <c r="AO1357" s="195">
        <f>V1291+V1309+V1321</f>
        <v>0</v>
      </c>
      <c r="AP1357" s="195">
        <f>+AN1357+AO1357</f>
        <v>698.22444999999993</v>
      </c>
      <c r="AQ1357" s="195">
        <f>+AI1357+AN1357</f>
        <v>698.22444999999993</v>
      </c>
      <c r="AR1357" s="195">
        <f>+AF1357-AQ1357</f>
        <v>-4.4999999988704076E-4</v>
      </c>
      <c r="AS1357" s="195">
        <f>+AF1358-AK1358-AP1358</f>
        <v>0</v>
      </c>
    </row>
    <row r="1358" spans="1:45" x14ac:dyDescent="0.2">
      <c r="A1358" s="180"/>
      <c r="C1358" s="165" t="s">
        <v>54</v>
      </c>
      <c r="D1358" s="181">
        <f>TOBEPAID!D1020/1000</f>
        <v>16231.23163</v>
      </c>
      <c r="E1358" s="181">
        <f>TOBEPAID!E1020/1000</f>
        <v>0</v>
      </c>
      <c r="F1358" s="181">
        <f>TOBEPAID!F1020/1000</f>
        <v>0</v>
      </c>
      <c r="G1358" s="181">
        <f>TOBEPAID!G1020/1000</f>
        <v>0</v>
      </c>
      <c r="H1358" s="181">
        <v>0</v>
      </c>
      <c r="I1358" s="181">
        <f>TOBEPAID!I1020/1000</f>
        <v>0</v>
      </c>
      <c r="J1358" s="181">
        <f>TOBEPAID!J1020/1000</f>
        <v>0</v>
      </c>
      <c r="K1358" s="181">
        <f>TOBEPAID!K1020/1000</f>
        <v>0</v>
      </c>
      <c r="L1358" s="181">
        <f>TOBEPAID!L1020/1000</f>
        <v>0</v>
      </c>
      <c r="M1358" s="181">
        <f>TOBEPAID!M1020/1000</f>
        <v>0</v>
      </c>
      <c r="N1358" s="181">
        <f>TOBEPAID!N1020/1000</f>
        <v>0</v>
      </c>
      <c r="O1358" s="181">
        <f>TOBEPAID!O1020/1000</f>
        <v>11134.864860000001</v>
      </c>
      <c r="P1358" s="181">
        <f>TOBEPAID!P1020/1000</f>
        <v>0</v>
      </c>
      <c r="Q1358" s="181">
        <f>TOBEPAID!Q1020/1000</f>
        <v>0</v>
      </c>
      <c r="R1358" s="181">
        <f>11134864/1000</f>
        <v>11134.864</v>
      </c>
      <c r="S1358" s="181">
        <f>TOBEPAID!S1020/1000</f>
        <v>0</v>
      </c>
      <c r="T1358" s="181">
        <f>TOBEPAID!T1020/1000</f>
        <v>0</v>
      </c>
      <c r="U1358" s="181">
        <f>TOBEPAID!U1020/1000</f>
        <v>0</v>
      </c>
      <c r="V1358" s="181">
        <f>TOBEPAID!V1020/1000</f>
        <v>0</v>
      </c>
      <c r="W1358" s="181">
        <f>TOBEPAID!W1020/1000</f>
        <v>0</v>
      </c>
      <c r="X1358" s="181">
        <f>TOBEPAID!X1020/1000</f>
        <v>11134.864860000001</v>
      </c>
      <c r="Y1358" s="181">
        <f>+H1358+R1358</f>
        <v>11134.864</v>
      </c>
      <c r="Z1358" s="181">
        <f>+D1358-Y1358</f>
        <v>5096.3676300000006</v>
      </c>
      <c r="AA1358" s="181">
        <f>TOBEPAID!AA1020/1000</f>
        <v>11134.864860000001</v>
      </c>
      <c r="AB1358" s="181">
        <f>TOBEPAID!AB1020/1000</f>
        <v>5096.3667699999996</v>
      </c>
      <c r="AC1358" s="181"/>
      <c r="AD1358" s="181"/>
      <c r="AE1358" s="186" t="s">
        <v>184</v>
      </c>
      <c r="AF1358" s="195">
        <f>+D1308</f>
        <v>0</v>
      </c>
      <c r="AG1358" s="195">
        <f>+E1308</f>
        <v>0</v>
      </c>
      <c r="AH1358" s="195">
        <f>+F1308</f>
        <v>0</v>
      </c>
      <c r="AI1358" s="195">
        <f>+AG1358+AH1358</f>
        <v>0</v>
      </c>
      <c r="AJ1358" s="195">
        <f>+L1308</f>
        <v>0</v>
      </c>
      <c r="AK1358" s="195">
        <f>+AI1358+AJ1358</f>
        <v>0</v>
      </c>
      <c r="AL1358" s="195">
        <f>+O1308</f>
        <v>0</v>
      </c>
      <c r="AM1358" s="195">
        <f>+P1308</f>
        <v>0</v>
      </c>
      <c r="AN1358" s="195">
        <f>+AL1358+AM1358</f>
        <v>0</v>
      </c>
      <c r="AO1358" s="195">
        <f>+V1308</f>
        <v>0</v>
      </c>
      <c r="AP1358" s="195">
        <f>+AN1358+AO1358</f>
        <v>0</v>
      </c>
      <c r="AQ1358" s="195">
        <f>+AI1358+AN1358</f>
        <v>0</v>
      </c>
      <c r="AR1358" s="195">
        <f>+AF1358-AQ1358</f>
        <v>0</v>
      </c>
      <c r="AS1358" s="195">
        <f>+AF1359-AK1359-AP1359</f>
        <v>-4.3000000187021215E-4</v>
      </c>
    </row>
    <row r="1359" spans="1:45" x14ac:dyDescent="0.2">
      <c r="A1359" s="180"/>
      <c r="D1359" s="182" t="s">
        <v>40</v>
      </c>
      <c r="E1359" s="182" t="s">
        <v>40</v>
      </c>
      <c r="F1359" s="182" t="s">
        <v>40</v>
      </c>
      <c r="G1359" s="182"/>
      <c r="H1359" s="182" t="s">
        <v>40</v>
      </c>
      <c r="I1359" s="182" t="s">
        <v>40</v>
      </c>
      <c r="J1359" s="182" t="s">
        <v>40</v>
      </c>
      <c r="K1359" s="182" t="s">
        <v>40</v>
      </c>
      <c r="L1359" s="182" t="s">
        <v>40</v>
      </c>
      <c r="M1359" s="182"/>
      <c r="N1359" s="182" t="s">
        <v>40</v>
      </c>
      <c r="O1359" s="182" t="s">
        <v>40</v>
      </c>
      <c r="P1359" s="182" t="s">
        <v>40</v>
      </c>
      <c r="Q1359" s="182"/>
      <c r="R1359" s="182" t="s">
        <v>40</v>
      </c>
      <c r="S1359" s="182" t="s">
        <v>40</v>
      </c>
      <c r="T1359" s="182" t="s">
        <v>40</v>
      </c>
      <c r="U1359" s="182" t="s">
        <v>40</v>
      </c>
      <c r="V1359" s="182" t="s">
        <v>40</v>
      </c>
      <c r="W1359" s="182"/>
      <c r="X1359" s="182" t="s">
        <v>40</v>
      </c>
      <c r="Y1359" s="182" t="s">
        <v>40</v>
      </c>
      <c r="Z1359" s="182" t="s">
        <v>40</v>
      </c>
      <c r="AA1359" s="182" t="s">
        <v>40</v>
      </c>
      <c r="AB1359" s="182" t="s">
        <v>40</v>
      </c>
      <c r="AC1359" s="182"/>
      <c r="AD1359" s="182"/>
      <c r="AE1359" s="186" t="s">
        <v>38</v>
      </c>
      <c r="AF1359" s="195">
        <f t="shared" ref="AF1359:AH1360" si="254">D1348+D1357</f>
        <v>11797.953</v>
      </c>
      <c r="AG1359" s="195">
        <f t="shared" si="254"/>
        <v>0</v>
      </c>
      <c r="AH1359" s="195">
        <f t="shared" si="254"/>
        <v>0</v>
      </c>
      <c r="AI1359" s="195">
        <f>+AG1359+AH1359</f>
        <v>0</v>
      </c>
      <c r="AJ1359" s="195">
        <f>L1348+L1357</f>
        <v>0</v>
      </c>
      <c r="AK1359" s="195">
        <f>+AI1359+AJ1359</f>
        <v>0</v>
      </c>
      <c r="AL1359" s="195">
        <f>O1348+O1357</f>
        <v>11797.953430000001</v>
      </c>
      <c r="AM1359" s="195">
        <f>P1348+P1357</f>
        <v>0</v>
      </c>
      <c r="AN1359" s="195">
        <f>+AL1359+AM1359</f>
        <v>11797.953430000001</v>
      </c>
      <c r="AO1359" s="195">
        <f>V1348+V1357</f>
        <v>0</v>
      </c>
      <c r="AP1359" s="195">
        <f>+AN1359+AO1359</f>
        <v>11797.953430000001</v>
      </c>
      <c r="AQ1359" s="195">
        <f>+AI1359+AN1359</f>
        <v>11797.953430000001</v>
      </c>
      <c r="AR1359" s="195">
        <f>+AF1359-AQ1359</f>
        <v>-4.3000000187021215E-4</v>
      </c>
      <c r="AS1359" s="195">
        <f>+AF1360-AK1360-AP1360</f>
        <v>5096.3667700000005</v>
      </c>
    </row>
    <row r="1360" spans="1:45" x14ac:dyDescent="0.2">
      <c r="A1360" s="180"/>
      <c r="D1360" s="196">
        <f>SUM(D1354:D1358)</f>
        <v>484078.17498000001</v>
      </c>
      <c r="E1360" s="196">
        <f>SUM(E1354:E1358)</f>
        <v>5000</v>
      </c>
      <c r="F1360" s="196">
        <f>SUM(F1354:F1358)</f>
        <v>0</v>
      </c>
      <c r="G1360" s="196"/>
      <c r="H1360" s="196">
        <f>SUM(H1354:H1358)</f>
        <v>432837.55335</v>
      </c>
      <c r="I1360" s="196">
        <f>SUM(I1354:I1358)</f>
        <v>0</v>
      </c>
      <c r="J1360" s="196">
        <f>SUM(J1354:J1358)</f>
        <v>0</v>
      </c>
      <c r="K1360" s="196">
        <f>SUM(K1354:K1358)</f>
        <v>0</v>
      </c>
      <c r="L1360" s="196">
        <f>SUM(L1354:L1358)</f>
        <v>0</v>
      </c>
      <c r="M1360" s="196"/>
      <c r="N1360" s="196">
        <f>SUM(N1354:N1358)</f>
        <v>5000</v>
      </c>
      <c r="O1360" s="196">
        <f>SUM(O1354:O1358)</f>
        <v>19762.31899</v>
      </c>
      <c r="P1360" s="196">
        <f>SUM(P1354:P1358)</f>
        <v>0</v>
      </c>
      <c r="Q1360" s="196"/>
      <c r="R1360" s="196">
        <f>SUM(R1354:R1358)</f>
        <v>19810.277300000002</v>
      </c>
      <c r="S1360" s="196">
        <f>SUM(S1354:S1358)</f>
        <v>0</v>
      </c>
      <c r="T1360" s="196">
        <f>SUM(T1354:T1358)</f>
        <v>0</v>
      </c>
      <c r="U1360" s="196">
        <f>SUM(U1354:U1358)</f>
        <v>0</v>
      </c>
      <c r="V1360" s="196">
        <f>SUM(V1354:V1358)</f>
        <v>0</v>
      </c>
      <c r="W1360" s="196"/>
      <c r="X1360" s="196">
        <f>SUM(X1354:X1358)</f>
        <v>19762.31899</v>
      </c>
      <c r="Y1360" s="196">
        <f>SUM(Y1354:Y1358)</f>
        <v>452647.83065000002</v>
      </c>
      <c r="Z1360" s="196">
        <f>SUM(Z1354:Z1358)</f>
        <v>31430.344330000007</v>
      </c>
      <c r="AA1360" s="196">
        <f>SUM(AA1354:AA1358)</f>
        <v>24762.31899</v>
      </c>
      <c r="AB1360" s="196">
        <f>SUM(AB1354:AB1358)</f>
        <v>74873.356899999999</v>
      </c>
      <c r="AC1360" s="196"/>
      <c r="AD1360" s="196"/>
      <c r="AE1360" s="186" t="s">
        <v>53</v>
      </c>
      <c r="AF1360" s="195">
        <f t="shared" si="254"/>
        <v>26423.965170000003</v>
      </c>
      <c r="AG1360" s="195">
        <f t="shared" si="254"/>
        <v>0</v>
      </c>
      <c r="AH1360" s="195">
        <f t="shared" si="254"/>
        <v>0</v>
      </c>
      <c r="AI1360" s="195">
        <f>+AG1360+AH1360</f>
        <v>0</v>
      </c>
      <c r="AJ1360" s="195">
        <f>L1349+L1358</f>
        <v>0</v>
      </c>
      <c r="AK1360" s="195">
        <f>+AI1360+AJ1360</f>
        <v>0</v>
      </c>
      <c r="AL1360" s="195">
        <f>O1349+O1358</f>
        <v>21327.598400000003</v>
      </c>
      <c r="AM1360" s="195">
        <f>P1349+P1358</f>
        <v>0</v>
      </c>
      <c r="AN1360" s="195">
        <f>+AL1360+AM1360</f>
        <v>21327.598400000003</v>
      </c>
      <c r="AO1360" s="195">
        <f>V1349+V1358</f>
        <v>0</v>
      </c>
      <c r="AP1360" s="195">
        <f>+AN1360+AO1360</f>
        <v>21327.598400000003</v>
      </c>
      <c r="AQ1360" s="195">
        <f>+AI1360+AN1360</f>
        <v>21327.598400000003</v>
      </c>
      <c r="AR1360" s="195">
        <f>+AF1360-AQ1360</f>
        <v>5096.3667700000005</v>
      </c>
      <c r="AS1360" s="195">
        <f>SUM(AS1342:AS1359)</f>
        <v>1718495.7132000001</v>
      </c>
    </row>
    <row r="1361" spans="1:45" x14ac:dyDescent="0.2">
      <c r="A1361" s="180"/>
      <c r="D1361" s="182" t="s">
        <v>40</v>
      </c>
      <c r="E1361" s="182" t="s">
        <v>40</v>
      </c>
      <c r="F1361" s="182" t="s">
        <v>40</v>
      </c>
      <c r="G1361" s="182"/>
      <c r="H1361" s="182" t="s">
        <v>40</v>
      </c>
      <c r="I1361" s="182" t="s">
        <v>40</v>
      </c>
      <c r="J1361" s="182" t="s">
        <v>40</v>
      </c>
      <c r="K1361" s="182" t="s">
        <v>40</v>
      </c>
      <c r="L1361" s="182" t="s">
        <v>40</v>
      </c>
      <c r="M1361" s="182"/>
      <c r="N1361" s="182" t="s">
        <v>40</v>
      </c>
      <c r="O1361" s="182" t="s">
        <v>40</v>
      </c>
      <c r="P1361" s="182" t="s">
        <v>40</v>
      </c>
      <c r="Q1361" s="182"/>
      <c r="R1361" s="182" t="s">
        <v>40</v>
      </c>
      <c r="S1361" s="182" t="s">
        <v>40</v>
      </c>
      <c r="T1361" s="182" t="s">
        <v>40</v>
      </c>
      <c r="U1361" s="182" t="s">
        <v>40</v>
      </c>
      <c r="V1361" s="182" t="s">
        <v>40</v>
      </c>
      <c r="W1361" s="182"/>
      <c r="X1361" s="182" t="s">
        <v>40</v>
      </c>
      <c r="Y1361" s="182" t="s">
        <v>40</v>
      </c>
      <c r="Z1361" s="182" t="s">
        <v>40</v>
      </c>
      <c r="AA1361" s="182" t="s">
        <v>40</v>
      </c>
      <c r="AB1361" s="182" t="s">
        <v>40</v>
      </c>
      <c r="AC1361" s="182"/>
      <c r="AD1361" s="182"/>
      <c r="AE1361" s="186" t="s">
        <v>54</v>
      </c>
      <c r="AF1361" s="195">
        <f t="shared" ref="AF1361:AR1361" si="255">SUM(AF1348:AF1360)</f>
        <v>1864478.4661499998</v>
      </c>
      <c r="AG1361" s="195">
        <f t="shared" si="255"/>
        <v>102099.61305</v>
      </c>
      <c r="AH1361" s="195">
        <f t="shared" si="255"/>
        <v>7994.64336</v>
      </c>
      <c r="AI1361" s="195">
        <f t="shared" si="255"/>
        <v>110094.25641</v>
      </c>
      <c r="AJ1361" s="195">
        <f t="shared" si="255"/>
        <v>0</v>
      </c>
      <c r="AK1361" s="195">
        <f t="shared" si="255"/>
        <v>110094.25641</v>
      </c>
      <c r="AL1361" s="195">
        <f t="shared" si="255"/>
        <v>35888.496540000007</v>
      </c>
      <c r="AM1361" s="195">
        <f t="shared" si="255"/>
        <v>0</v>
      </c>
      <c r="AN1361" s="195">
        <f t="shared" si="255"/>
        <v>35888.496540000007</v>
      </c>
      <c r="AO1361" s="195">
        <f t="shared" si="255"/>
        <v>0</v>
      </c>
      <c r="AP1361" s="195">
        <f t="shared" si="255"/>
        <v>35888.496540000007</v>
      </c>
      <c r="AQ1361" s="195">
        <f t="shared" si="255"/>
        <v>145982.75294999999</v>
      </c>
      <c r="AR1361" s="195">
        <f t="shared" si="255"/>
        <v>1718495.7132000001</v>
      </c>
      <c r="AS1361" s="195"/>
    </row>
    <row r="1362" spans="1:45" x14ac:dyDescent="0.2">
      <c r="A1362" s="180"/>
      <c r="B1362" s="202" t="s">
        <v>3</v>
      </c>
      <c r="C1362" s="202" t="s">
        <v>232</v>
      </c>
      <c r="D1362" s="196">
        <f>D1293+D1311+D1323+D1331+D1335+D1351+D1360</f>
        <v>2489271.8925100002</v>
      </c>
      <c r="E1362" s="196">
        <f>E1293+E1311+E1323+E1331+E1335+E1351+E1360</f>
        <v>102099.61305</v>
      </c>
      <c r="F1362" s="196">
        <f>F1293+F1311+F1323+F1331+F1335+F1351+F1360</f>
        <v>7994.64336</v>
      </c>
      <c r="G1362" s="196"/>
      <c r="H1362" s="196">
        <f>H1293+H1311+H1323+H1331+H1335+H1351+H1360</f>
        <v>2332195.1688299999</v>
      </c>
      <c r="I1362" s="196">
        <f>I1293+I1311+I1323+I1331+I1335+I1351+I1360</f>
        <v>0</v>
      </c>
      <c r="J1362" s="196">
        <f>J1293+J1311+J1323+J1331+J1335+J1351+J1360</f>
        <v>0</v>
      </c>
      <c r="K1362" s="196">
        <f>K1293+K1311+K1323+K1331+K1335+K1351+K1360</f>
        <v>0</v>
      </c>
      <c r="L1362" s="196">
        <f>L1293+L1311+L1323+L1331+L1335+L1351+L1360</f>
        <v>0</v>
      </c>
      <c r="M1362" s="196"/>
      <c r="N1362" s="196">
        <f>N1293+N1311+N1323+N1331+N1335+N1351+N1360</f>
        <v>110094.25641</v>
      </c>
      <c r="O1362" s="196">
        <f>O1293+O1311+O1323+O1331+O1335+O1351+O1360</f>
        <v>35888.49654</v>
      </c>
      <c r="P1362" s="196">
        <f>P1293+P1311+P1323+P1331+P1335+P1351+P1360</f>
        <v>0</v>
      </c>
      <c r="Q1362" s="196"/>
      <c r="R1362" s="196">
        <f>R1293+R1311+R1323+R1331+R1335+R1351+R1360</f>
        <v>36117.452530000002</v>
      </c>
      <c r="S1362" s="196">
        <f>S1293+S1311+S1323+S1331+S1335+S1351+S1360</f>
        <v>0</v>
      </c>
      <c r="T1362" s="196">
        <f>T1293+T1311+T1323+T1331+T1335+T1351+T1360</f>
        <v>0</v>
      </c>
      <c r="U1362" s="196">
        <f>U1293+U1311+U1323+U1331+U1335+U1351+U1360</f>
        <v>0</v>
      </c>
      <c r="V1362" s="196">
        <f>V1293+V1311+V1323+V1331+V1335+V1351+V1360</f>
        <v>0</v>
      </c>
      <c r="W1362" s="196"/>
      <c r="X1362" s="196">
        <f>X1293+X1311+X1323+X1331+X1335+X1351+X1360</f>
        <v>35888.49654</v>
      </c>
      <c r="Y1362" s="196">
        <f>Y1293+Y1311+Y1323+Y1331+Y1335+Y1351+Y1360</f>
        <v>2368312.6213599998</v>
      </c>
      <c r="Z1362" s="196">
        <f>Z1293+Z1311+Z1323+Z1331+Z1335+Z1351+Z1360</f>
        <v>120959.27115</v>
      </c>
      <c r="AA1362" s="196">
        <f>AA1293+AA1311+AA1323+AA1331+AA1335+AA1351+AA1360</f>
        <v>145982.75294999999</v>
      </c>
      <c r="AB1362" s="196">
        <f>AB1293+AB1311+AB1323+AB1331+AB1335+AB1351+AB1360</f>
        <v>258770.91336000001</v>
      </c>
      <c r="AC1362" s="196"/>
      <c r="AD1362" s="196"/>
      <c r="AF1362" s="195"/>
      <c r="AG1362" s="195"/>
      <c r="AH1362" s="195"/>
      <c r="AI1362" s="195"/>
      <c r="AJ1362" s="195"/>
      <c r="AK1362" s="195"/>
      <c r="AL1362" s="195"/>
      <c r="AM1362" s="195"/>
      <c r="AN1362" s="195"/>
      <c r="AO1362" s="195"/>
      <c r="AP1362" s="195"/>
      <c r="AQ1362" s="195"/>
      <c r="AR1362" s="195"/>
      <c r="AS1362" s="195"/>
    </row>
    <row r="1363" spans="1:45" x14ac:dyDescent="0.2">
      <c r="A1363" s="180"/>
      <c r="D1363" s="182" t="s">
        <v>50</v>
      </c>
      <c r="E1363" s="182" t="s">
        <v>50</v>
      </c>
      <c r="F1363" s="182" t="s">
        <v>50</v>
      </c>
      <c r="G1363" s="182"/>
      <c r="H1363" s="182" t="s">
        <v>50</v>
      </c>
      <c r="I1363" s="182" t="s">
        <v>50</v>
      </c>
      <c r="J1363" s="182" t="s">
        <v>50</v>
      </c>
      <c r="K1363" s="182" t="s">
        <v>50</v>
      </c>
      <c r="L1363" s="182" t="s">
        <v>50</v>
      </c>
      <c r="M1363" s="182"/>
      <c r="N1363" s="182" t="s">
        <v>50</v>
      </c>
      <c r="O1363" s="182" t="s">
        <v>50</v>
      </c>
      <c r="P1363" s="182" t="s">
        <v>50</v>
      </c>
      <c r="Q1363" s="182"/>
      <c r="R1363" s="182" t="s">
        <v>50</v>
      </c>
      <c r="S1363" s="182" t="s">
        <v>50</v>
      </c>
      <c r="T1363" s="182" t="s">
        <v>50</v>
      </c>
      <c r="U1363" s="182" t="s">
        <v>50</v>
      </c>
      <c r="V1363" s="182" t="s">
        <v>50</v>
      </c>
      <c r="W1363" s="182"/>
      <c r="X1363" s="182" t="s">
        <v>50</v>
      </c>
      <c r="Y1363" s="182" t="s">
        <v>50</v>
      </c>
      <c r="Z1363" s="182" t="s">
        <v>50</v>
      </c>
      <c r="AA1363" s="182" t="s">
        <v>50</v>
      </c>
      <c r="AB1363" s="182" t="s">
        <v>50</v>
      </c>
      <c r="AC1363" s="182"/>
      <c r="AD1363" s="182"/>
      <c r="AF1363" s="195"/>
      <c r="AG1363" s="195"/>
      <c r="AH1363" s="195"/>
      <c r="AI1363" s="195"/>
      <c r="AJ1363" s="195"/>
      <c r="AK1363" s="195"/>
      <c r="AL1363" s="195"/>
      <c r="AM1363" s="195"/>
      <c r="AN1363" s="195"/>
      <c r="AO1363" s="195"/>
      <c r="AP1363" s="195"/>
      <c r="AQ1363" s="195"/>
      <c r="AR1363" s="195"/>
      <c r="AS1363" s="195"/>
    </row>
    <row r="1364" spans="1:45" x14ac:dyDescent="0.2">
      <c r="A1364" s="180"/>
      <c r="C1364" s="186"/>
      <c r="D1364" s="191"/>
      <c r="E1364" s="191"/>
      <c r="F1364" s="191"/>
      <c r="G1364" s="191"/>
      <c r="H1364" s="191"/>
      <c r="I1364" s="191"/>
      <c r="J1364" s="191"/>
      <c r="K1364" s="191"/>
      <c r="L1364" s="191"/>
      <c r="M1364" s="191"/>
      <c r="N1364" s="191"/>
      <c r="O1364" s="229"/>
      <c r="P1364" s="199"/>
      <c r="Q1364" s="199"/>
      <c r="R1364" s="191"/>
      <c r="S1364" s="191"/>
      <c r="T1364" s="191"/>
      <c r="U1364" s="191"/>
      <c r="V1364" s="191"/>
      <c r="W1364" s="191"/>
      <c r="X1364" s="191"/>
      <c r="Y1364" s="191"/>
      <c r="Z1364" s="191"/>
      <c r="AA1364" s="191"/>
      <c r="AB1364" s="191"/>
      <c r="AC1364" s="191"/>
      <c r="AD1364" s="191"/>
      <c r="AF1364" s="195"/>
      <c r="AG1364" s="195"/>
      <c r="AH1364" s="195"/>
      <c r="AI1364" s="195"/>
      <c r="AJ1364" s="195"/>
      <c r="AK1364" s="195"/>
      <c r="AL1364" s="195"/>
      <c r="AM1364" s="195"/>
      <c r="AN1364" s="195"/>
      <c r="AO1364" s="195"/>
      <c r="AP1364" s="195"/>
      <c r="AQ1364" s="195"/>
      <c r="AR1364" s="195"/>
      <c r="AS1364" s="195"/>
    </row>
    <row r="1365" spans="1:45" x14ac:dyDescent="0.2">
      <c r="A1365" s="180"/>
      <c r="C1365" s="186"/>
      <c r="D1365" s="191"/>
      <c r="E1365" s="191"/>
      <c r="F1365" s="191"/>
      <c r="G1365" s="191"/>
      <c r="H1365" s="191"/>
      <c r="I1365" s="191"/>
      <c r="J1365" s="191"/>
      <c r="K1365" s="191"/>
      <c r="L1365" s="191"/>
      <c r="M1365" s="191"/>
      <c r="N1365" s="191"/>
      <c r="O1365" s="191"/>
      <c r="P1365" s="191"/>
      <c r="Q1365" s="191"/>
      <c r="R1365" s="191"/>
      <c r="S1365" s="191"/>
      <c r="T1365" s="191"/>
      <c r="U1365" s="191"/>
      <c r="V1365" s="191"/>
      <c r="W1365" s="191"/>
      <c r="X1365" s="191"/>
      <c r="Y1365" s="191"/>
      <c r="Z1365" s="191"/>
      <c r="AA1365" s="191"/>
      <c r="AB1365" s="191"/>
      <c r="AC1365" s="191"/>
      <c r="AD1365" s="191"/>
      <c r="AF1365" s="195"/>
      <c r="AG1365" s="195"/>
      <c r="AH1365" s="195"/>
      <c r="AI1365" s="195"/>
      <c r="AJ1365" s="195"/>
      <c r="AK1365" s="195"/>
      <c r="AL1365" s="195"/>
      <c r="AM1365" s="195"/>
      <c r="AN1365" s="195"/>
      <c r="AO1365" s="195"/>
      <c r="AP1365" s="195"/>
      <c r="AQ1365" s="195"/>
      <c r="AR1365" s="195"/>
      <c r="AS1365" s="195"/>
    </row>
    <row r="1366" spans="1:45" x14ac:dyDescent="0.2">
      <c r="A1366" s="180"/>
      <c r="C1366" s="186"/>
      <c r="D1366" s="191"/>
      <c r="E1366" s="191"/>
      <c r="F1366" s="191"/>
      <c r="G1366" s="191"/>
      <c r="H1366" s="191"/>
      <c r="I1366" s="191"/>
      <c r="J1366" s="191"/>
      <c r="K1366" s="191"/>
      <c r="L1366" s="191"/>
      <c r="M1366" s="191"/>
      <c r="N1366" s="191"/>
      <c r="O1366" s="191"/>
      <c r="P1366" s="191"/>
      <c r="Q1366" s="191"/>
      <c r="R1366" s="191"/>
      <c r="S1366" s="191"/>
      <c r="T1366" s="191"/>
      <c r="U1366" s="191"/>
      <c r="V1366" s="191"/>
      <c r="W1366" s="191"/>
      <c r="X1366" s="191"/>
      <c r="Y1366" s="191"/>
      <c r="Z1366" s="191"/>
      <c r="AA1366" s="191"/>
      <c r="AB1366" s="191"/>
      <c r="AC1366" s="191"/>
      <c r="AD1366" s="191"/>
      <c r="AF1366" s="195"/>
      <c r="AG1366" s="195"/>
      <c r="AH1366" s="195"/>
      <c r="AI1366" s="195"/>
      <c r="AJ1366" s="195"/>
      <c r="AK1366" s="195"/>
      <c r="AL1366" s="195"/>
      <c r="AM1366" s="195"/>
      <c r="AN1366" s="195"/>
      <c r="AO1366" s="195"/>
      <c r="AP1366" s="195"/>
      <c r="AQ1366" s="195"/>
      <c r="AR1366" s="195"/>
      <c r="AS1366" s="195"/>
    </row>
    <row r="1367" spans="1:45" x14ac:dyDescent="0.2">
      <c r="A1367" s="180"/>
      <c r="B1367" s="166" t="s">
        <v>111</v>
      </c>
      <c r="D1367" s="191"/>
      <c r="E1367" s="191"/>
      <c r="F1367" s="191"/>
      <c r="G1367" s="191"/>
      <c r="H1367" s="191"/>
      <c r="I1367" s="191"/>
      <c r="J1367" s="191"/>
      <c r="K1367" s="191"/>
      <c r="L1367" s="191"/>
      <c r="M1367" s="191"/>
      <c r="N1367" s="191"/>
      <c r="O1367" s="191"/>
      <c r="P1367" s="191"/>
      <c r="Q1367" s="191"/>
      <c r="R1367" s="191"/>
      <c r="S1367" s="191"/>
      <c r="T1367" s="191"/>
      <c r="U1367" s="191"/>
      <c r="V1367" s="191"/>
      <c r="W1367" s="191"/>
      <c r="X1367" s="191"/>
      <c r="Y1367" s="191"/>
      <c r="Z1367" s="191"/>
      <c r="AA1367" s="191"/>
      <c r="AB1367" s="191"/>
      <c r="AC1367" s="191"/>
      <c r="AD1367" s="191"/>
      <c r="AF1367" s="195"/>
      <c r="AG1367" s="195"/>
      <c r="AH1367" s="195"/>
      <c r="AI1367" s="195"/>
      <c r="AJ1367" s="195"/>
      <c r="AK1367" s="195"/>
      <c r="AL1367" s="195"/>
      <c r="AM1367" s="195"/>
      <c r="AN1367" s="195"/>
      <c r="AO1367" s="195"/>
      <c r="AP1367" s="195"/>
      <c r="AQ1367" s="195"/>
      <c r="AR1367" s="195"/>
      <c r="AS1367" s="195"/>
    </row>
    <row r="1368" spans="1:45" x14ac:dyDescent="0.2">
      <c r="A1368" s="180"/>
      <c r="D1368" s="191"/>
      <c r="E1368" s="191"/>
      <c r="F1368" s="191"/>
      <c r="G1368" s="191"/>
      <c r="H1368" s="191"/>
      <c r="I1368" s="191"/>
      <c r="J1368" s="191"/>
      <c r="K1368" s="191"/>
      <c r="L1368" s="191"/>
      <c r="M1368" s="191"/>
      <c r="N1368" s="191"/>
      <c r="O1368" s="191"/>
      <c r="P1368" s="191"/>
      <c r="Q1368" s="191"/>
      <c r="R1368" s="191"/>
      <c r="S1368" s="191"/>
      <c r="T1368" s="191"/>
      <c r="U1368" s="191"/>
      <c r="V1368" s="191"/>
      <c r="W1368" s="191"/>
      <c r="X1368" s="191"/>
      <c r="Y1368" s="191"/>
      <c r="Z1368" s="191"/>
      <c r="AA1368" s="191"/>
      <c r="AB1368" s="191"/>
      <c r="AC1368" s="191"/>
      <c r="AD1368" s="191"/>
      <c r="AF1368" s="195"/>
      <c r="AG1368" s="195"/>
      <c r="AH1368" s="195"/>
      <c r="AI1368" s="195"/>
      <c r="AJ1368" s="195"/>
      <c r="AK1368" s="195"/>
      <c r="AL1368" s="195"/>
      <c r="AM1368" s="195"/>
      <c r="AN1368" s="195"/>
      <c r="AO1368" s="195"/>
      <c r="AP1368" s="195"/>
      <c r="AQ1368" s="195"/>
      <c r="AR1368" s="195"/>
      <c r="AS1368" s="195"/>
    </row>
    <row r="1369" spans="1:45" x14ac:dyDescent="0.2">
      <c r="A1369" s="180">
        <v>107</v>
      </c>
      <c r="B1369" s="166" t="s">
        <v>112</v>
      </c>
      <c r="C1369" s="166" t="s">
        <v>35</v>
      </c>
      <c r="D1369" s="181">
        <f>50397361/1000</f>
        <v>50397.360999999997</v>
      </c>
      <c r="E1369" s="181">
        <f>TOBEPAID!E1031/1000</f>
        <v>0</v>
      </c>
      <c r="F1369" s="181">
        <f>TOBEPAID!F1031/1000</f>
        <v>0</v>
      </c>
      <c r="G1369" s="181">
        <f>TOBEPAID!G1031/1000</f>
        <v>0</v>
      </c>
      <c r="H1369" s="181">
        <v>0</v>
      </c>
      <c r="I1369" s="181">
        <f>TOBEPAID!I1031/1000</f>
        <v>0</v>
      </c>
      <c r="J1369" s="181">
        <f>TOBEPAID!J1031/1000</f>
        <v>0</v>
      </c>
      <c r="K1369" s="181">
        <f>TOBEPAID!K1031/1000</f>
        <v>0</v>
      </c>
      <c r="L1369" s="181">
        <f>TOBEPAID!L1031/1000</f>
        <v>0</v>
      </c>
      <c r="M1369" s="181">
        <f>TOBEPAID!M1031/1000</f>
        <v>0</v>
      </c>
      <c r="N1369" s="181">
        <f>TOBEPAID!N1031/1000</f>
        <v>0</v>
      </c>
      <c r="O1369" s="181">
        <f>TOBEPAID!O1031/1000</f>
        <v>0</v>
      </c>
      <c r="P1369" s="181">
        <f>TOBEPAID!P1031/1000</f>
        <v>0</v>
      </c>
      <c r="Q1369" s="181">
        <f>TOBEPAID!Q1031/1000</f>
        <v>0</v>
      </c>
      <c r="R1369" s="181">
        <v>0</v>
      </c>
      <c r="S1369" s="181">
        <f>TOBEPAID!S1031/1000</f>
        <v>0</v>
      </c>
      <c r="T1369" s="181">
        <f>TOBEPAID!T1031/1000</f>
        <v>0</v>
      </c>
      <c r="U1369" s="181">
        <f>TOBEPAID!U1031/1000</f>
        <v>0</v>
      </c>
      <c r="V1369" s="181">
        <f>TOBEPAID!V1031/1000</f>
        <v>0</v>
      </c>
      <c r="W1369" s="181">
        <f>TOBEPAID!W1031/1000</f>
        <v>0</v>
      </c>
      <c r="X1369" s="181">
        <f>TOBEPAID!X1031/1000</f>
        <v>0</v>
      </c>
      <c r="Y1369" s="181">
        <f>+H1369+R1369</f>
        <v>0</v>
      </c>
      <c r="Z1369" s="181">
        <f t="shared" ref="Z1369:Z1374" si="256">+D1369-Y1369</f>
        <v>50397.360999999997</v>
      </c>
      <c r="AA1369" s="181">
        <f>TOBEPAID!AA1031/1000</f>
        <v>0</v>
      </c>
      <c r="AB1369" s="181">
        <f>TOBEPAID!AB1031/1000</f>
        <v>50397.361530000002</v>
      </c>
      <c r="AC1369" s="181"/>
      <c r="AD1369" s="181"/>
      <c r="AF1369" s="195"/>
      <c r="AG1369" s="195"/>
      <c r="AH1369" s="195"/>
      <c r="AI1369" s="195"/>
      <c r="AJ1369" s="195"/>
      <c r="AK1369" s="195"/>
      <c r="AL1369" s="195"/>
      <c r="AM1369" s="195"/>
      <c r="AN1369" s="195"/>
      <c r="AO1369" s="195"/>
      <c r="AP1369" s="195"/>
      <c r="AQ1369" s="195"/>
      <c r="AR1369" s="195"/>
      <c r="AS1369" s="195"/>
    </row>
    <row r="1370" spans="1:45" x14ac:dyDescent="0.2">
      <c r="A1370" s="180"/>
      <c r="C1370" s="168" t="s">
        <v>36</v>
      </c>
      <c r="D1370" s="181">
        <f>2322818/1000</f>
        <v>2322.8180000000002</v>
      </c>
      <c r="E1370" s="181">
        <f>TOBEPAID!E1032/1000</f>
        <v>2322.8182499999998</v>
      </c>
      <c r="F1370" s="181">
        <f>TOBEPAID!F1032/1000</f>
        <v>0</v>
      </c>
      <c r="G1370" s="181">
        <f>TOBEPAID!G1032/1000</f>
        <v>0</v>
      </c>
      <c r="H1370" s="181">
        <f>2322818/1000</f>
        <v>2322.8180000000002</v>
      </c>
      <c r="I1370" s="181">
        <f>TOBEPAID!I1032/1000</f>
        <v>0</v>
      </c>
      <c r="J1370" s="181">
        <f>TOBEPAID!J1032/1000</f>
        <v>0</v>
      </c>
      <c r="K1370" s="181">
        <f>TOBEPAID!K1032/1000</f>
        <v>0</v>
      </c>
      <c r="L1370" s="181">
        <f>TOBEPAID!L1032/1000</f>
        <v>0</v>
      </c>
      <c r="M1370" s="181">
        <f>TOBEPAID!M1032/1000</f>
        <v>0</v>
      </c>
      <c r="N1370" s="181">
        <f>TOBEPAID!N1032/1000</f>
        <v>2322.8182499999998</v>
      </c>
      <c r="O1370" s="181">
        <f>TOBEPAID!O1032/1000</f>
        <v>0</v>
      </c>
      <c r="P1370" s="181">
        <f>TOBEPAID!P1032/1000</f>
        <v>0</v>
      </c>
      <c r="Q1370" s="181">
        <f>TOBEPAID!Q1032/1000</f>
        <v>0</v>
      </c>
      <c r="R1370" s="181">
        <v>0</v>
      </c>
      <c r="S1370" s="181">
        <f>TOBEPAID!S1032/1000</f>
        <v>0</v>
      </c>
      <c r="T1370" s="181">
        <f>TOBEPAID!T1032/1000</f>
        <v>0</v>
      </c>
      <c r="U1370" s="181">
        <f>TOBEPAID!U1032/1000</f>
        <v>0</v>
      </c>
      <c r="V1370" s="181">
        <f>TOBEPAID!V1032/1000</f>
        <v>0</v>
      </c>
      <c r="W1370" s="181">
        <f>TOBEPAID!W1032/1000</f>
        <v>0</v>
      </c>
      <c r="X1370" s="181">
        <f>TOBEPAID!X1032/1000</f>
        <v>0</v>
      </c>
      <c r="Y1370" s="181">
        <f>+H1370+R1370</f>
        <v>2322.8180000000002</v>
      </c>
      <c r="Z1370" s="181">
        <f t="shared" si="256"/>
        <v>0</v>
      </c>
      <c r="AA1370" s="181">
        <f>TOBEPAID!AA1032/1000</f>
        <v>2322.8182499999998</v>
      </c>
      <c r="AB1370" s="181">
        <f>TOBEPAID!AB1032/1000</f>
        <v>0</v>
      </c>
      <c r="AC1370" s="181"/>
      <c r="AD1370" s="181"/>
      <c r="AF1370" s="195"/>
      <c r="AG1370" s="195"/>
      <c r="AH1370" s="195"/>
      <c r="AI1370" s="195"/>
      <c r="AJ1370" s="195"/>
      <c r="AK1370" s="195"/>
      <c r="AL1370" s="195"/>
      <c r="AM1370" s="195"/>
      <c r="AN1370" s="195"/>
      <c r="AO1370" s="195"/>
      <c r="AP1370" s="195"/>
      <c r="AQ1370" s="195"/>
      <c r="AR1370" s="195"/>
      <c r="AS1370" s="195"/>
    </row>
    <row r="1371" spans="1:45" x14ac:dyDescent="0.2">
      <c r="A1371" s="180"/>
      <c r="C1371" s="168" t="s">
        <v>412</v>
      </c>
      <c r="D1371" s="181">
        <f>10365000/1000</f>
        <v>10365</v>
      </c>
      <c r="E1371" s="181"/>
      <c r="F1371" s="181"/>
      <c r="G1371" s="181"/>
      <c r="H1371" s="181">
        <f>10365000/1000</f>
        <v>10365</v>
      </c>
      <c r="I1371" s="181"/>
      <c r="J1371" s="181"/>
      <c r="K1371" s="181"/>
      <c r="L1371" s="181"/>
      <c r="M1371" s="181"/>
      <c r="N1371" s="181"/>
      <c r="O1371" s="181"/>
      <c r="P1371" s="181"/>
      <c r="Q1371" s="181"/>
      <c r="R1371" s="181">
        <v>0</v>
      </c>
      <c r="S1371" s="181"/>
      <c r="T1371" s="181"/>
      <c r="U1371" s="181"/>
      <c r="V1371" s="181"/>
      <c r="W1371" s="181"/>
      <c r="X1371" s="181"/>
      <c r="Y1371" s="181">
        <f>+H1371+R1371</f>
        <v>10365</v>
      </c>
      <c r="Z1371" s="181">
        <f t="shared" si="256"/>
        <v>0</v>
      </c>
      <c r="AA1371" s="181"/>
      <c r="AB1371" s="181"/>
      <c r="AC1371" s="181"/>
      <c r="AD1371" s="181"/>
      <c r="AF1371" s="195"/>
      <c r="AG1371" s="195"/>
      <c r="AH1371" s="195"/>
      <c r="AI1371" s="195"/>
      <c r="AJ1371" s="195"/>
      <c r="AK1371" s="195"/>
      <c r="AL1371" s="195"/>
      <c r="AM1371" s="195"/>
      <c r="AN1371" s="195"/>
      <c r="AO1371" s="195"/>
      <c r="AP1371" s="195"/>
      <c r="AQ1371" s="195"/>
      <c r="AR1371" s="195"/>
      <c r="AS1371" s="195"/>
    </row>
    <row r="1372" spans="1:45" x14ac:dyDescent="0.2">
      <c r="A1372" s="180"/>
      <c r="C1372" s="168" t="s">
        <v>480</v>
      </c>
      <c r="D1372" s="181">
        <f>3000000/1000</f>
        <v>3000</v>
      </c>
      <c r="E1372" s="181"/>
      <c r="F1372" s="181"/>
      <c r="G1372" s="181"/>
      <c r="H1372" s="181">
        <f>3000000/1000</f>
        <v>3000</v>
      </c>
      <c r="I1372" s="181"/>
      <c r="J1372" s="181"/>
      <c r="K1372" s="181"/>
      <c r="L1372" s="181"/>
      <c r="M1372" s="181"/>
      <c r="N1372" s="181"/>
      <c r="O1372" s="181"/>
      <c r="P1372" s="181"/>
      <c r="Q1372" s="181"/>
      <c r="R1372" s="181">
        <v>0</v>
      </c>
      <c r="S1372" s="181"/>
      <c r="T1372" s="181"/>
      <c r="U1372" s="181"/>
      <c r="V1372" s="181"/>
      <c r="W1372" s="181"/>
      <c r="X1372" s="181"/>
      <c r="Y1372" s="181">
        <f>+H1372-R1372</f>
        <v>3000</v>
      </c>
      <c r="Z1372" s="181">
        <f t="shared" si="256"/>
        <v>0</v>
      </c>
      <c r="AA1372" s="181"/>
      <c r="AB1372" s="181"/>
      <c r="AC1372" s="181"/>
      <c r="AD1372" s="181"/>
      <c r="AF1372" s="195"/>
      <c r="AG1372" s="195"/>
      <c r="AH1372" s="195"/>
      <c r="AI1372" s="195"/>
      <c r="AJ1372" s="195"/>
      <c r="AK1372" s="195"/>
      <c r="AL1372" s="195"/>
      <c r="AM1372" s="195"/>
      <c r="AN1372" s="195"/>
      <c r="AO1372" s="195"/>
      <c r="AP1372" s="195"/>
      <c r="AQ1372" s="195"/>
      <c r="AR1372" s="195"/>
      <c r="AS1372" s="195"/>
    </row>
    <row r="1373" spans="1:45" x14ac:dyDescent="0.2">
      <c r="A1373" s="180"/>
      <c r="C1373" s="168" t="s">
        <v>289</v>
      </c>
      <c r="D1373" s="181">
        <f>2000000/1000</f>
        <v>2000</v>
      </c>
      <c r="E1373" s="181">
        <f>TOBEPAID!E1033/1000</f>
        <v>0</v>
      </c>
      <c r="F1373" s="181">
        <f>TOBEPAID!F1033/1000</f>
        <v>0</v>
      </c>
      <c r="G1373" s="181">
        <f>TOBEPAID!G1033/1000</f>
        <v>0</v>
      </c>
      <c r="H1373" s="181">
        <v>0</v>
      </c>
      <c r="I1373" s="181">
        <f>TOBEPAID!I1033/1000</f>
        <v>0</v>
      </c>
      <c r="J1373" s="181">
        <f>TOBEPAID!J1033/1000</f>
        <v>0</v>
      </c>
      <c r="K1373" s="181">
        <f>TOBEPAID!K1033/1000</f>
        <v>0</v>
      </c>
      <c r="L1373" s="181">
        <f>TOBEPAID!L1033/1000</f>
        <v>0</v>
      </c>
      <c r="M1373" s="181">
        <f>TOBEPAID!M1033/1000</f>
        <v>0</v>
      </c>
      <c r="N1373" s="181">
        <f>TOBEPAID!N1033/1000</f>
        <v>0</v>
      </c>
      <c r="O1373" s="181">
        <f>TOBEPAID!O1033/1000</f>
        <v>2000</v>
      </c>
      <c r="P1373" s="181">
        <f>TOBEPAID!P1033/1000</f>
        <v>0</v>
      </c>
      <c r="Q1373" s="181">
        <f>TOBEPAID!Q1033/1000</f>
        <v>0</v>
      </c>
      <c r="R1373" s="181">
        <f>2000000/1000</f>
        <v>2000</v>
      </c>
      <c r="S1373" s="181">
        <f>TOBEPAID!S1033/1000</f>
        <v>0</v>
      </c>
      <c r="T1373" s="181">
        <f>TOBEPAID!T1033/1000</f>
        <v>0</v>
      </c>
      <c r="U1373" s="181">
        <f>TOBEPAID!U1033/1000</f>
        <v>0</v>
      </c>
      <c r="V1373" s="181">
        <f>TOBEPAID!V1033/1000</f>
        <v>0</v>
      </c>
      <c r="W1373" s="181">
        <f>TOBEPAID!W1033/1000</f>
        <v>0</v>
      </c>
      <c r="X1373" s="181">
        <f>TOBEPAID!X1033/1000</f>
        <v>2000</v>
      </c>
      <c r="Y1373" s="181">
        <f>+H1373+R1373</f>
        <v>2000</v>
      </c>
      <c r="Z1373" s="181">
        <f t="shared" si="256"/>
        <v>0</v>
      </c>
      <c r="AA1373" s="181">
        <f>TOBEPAID!AA1033/1000</f>
        <v>2000</v>
      </c>
      <c r="AB1373" s="181">
        <f>TOBEPAID!AB1033/1000</f>
        <v>0</v>
      </c>
      <c r="AC1373" s="181"/>
      <c r="AD1373" s="181"/>
      <c r="AE1373" s="170"/>
      <c r="AF1373" s="195"/>
      <c r="AG1373" s="195"/>
      <c r="AH1373" s="195"/>
      <c r="AI1373" s="195"/>
      <c r="AJ1373" s="195"/>
      <c r="AK1373" s="195"/>
      <c r="AL1373" s="195"/>
      <c r="AM1373" s="195"/>
      <c r="AN1373" s="195"/>
      <c r="AO1373" s="195"/>
      <c r="AP1373" s="195"/>
      <c r="AQ1373" s="195"/>
      <c r="AR1373" s="195"/>
      <c r="AS1373" s="195"/>
    </row>
    <row r="1374" spans="1:45" x14ac:dyDescent="0.2">
      <c r="A1374" s="180"/>
      <c r="C1374" s="166" t="s">
        <v>38</v>
      </c>
      <c r="D1374" s="181">
        <f>3152350/1000</f>
        <v>3152.35</v>
      </c>
      <c r="E1374" s="181">
        <f>TOBEPAID!E1034/1000</f>
        <v>0</v>
      </c>
      <c r="F1374" s="181">
        <f>TOBEPAID!F1034/1000</f>
        <v>0</v>
      </c>
      <c r="G1374" s="181">
        <f>TOBEPAID!G1034/1000</f>
        <v>0</v>
      </c>
      <c r="H1374" s="181">
        <v>0</v>
      </c>
      <c r="I1374" s="181">
        <f>TOBEPAID!I1034/1000</f>
        <v>0</v>
      </c>
      <c r="J1374" s="181">
        <f>TOBEPAID!J1034/1000</f>
        <v>0</v>
      </c>
      <c r="K1374" s="181">
        <f>TOBEPAID!K1034/1000</f>
        <v>0</v>
      </c>
      <c r="L1374" s="181">
        <f>TOBEPAID!L1034/1000</f>
        <v>0</v>
      </c>
      <c r="M1374" s="181">
        <f>TOBEPAID!M1034/1000</f>
        <v>0</v>
      </c>
      <c r="N1374" s="181">
        <f>TOBEPAID!N1034/1000</f>
        <v>0</v>
      </c>
      <c r="O1374" s="181">
        <f>TOBEPAID!O1034/1000</f>
        <v>0</v>
      </c>
      <c r="P1374" s="181">
        <f>TOBEPAID!P1034/1000</f>
        <v>0</v>
      </c>
      <c r="Q1374" s="181">
        <f>TOBEPAID!Q1034/1000</f>
        <v>0</v>
      </c>
      <c r="R1374" s="181">
        <v>0</v>
      </c>
      <c r="S1374" s="181">
        <f>TOBEPAID!S1034/1000</f>
        <v>0</v>
      </c>
      <c r="T1374" s="181">
        <f>TOBEPAID!T1034/1000</f>
        <v>0</v>
      </c>
      <c r="U1374" s="181">
        <f>TOBEPAID!U1034/1000</f>
        <v>0</v>
      </c>
      <c r="V1374" s="181">
        <f>TOBEPAID!V1034/1000</f>
        <v>0</v>
      </c>
      <c r="W1374" s="181">
        <f>TOBEPAID!W1034/1000</f>
        <v>0</v>
      </c>
      <c r="X1374" s="181">
        <f>TOBEPAID!X1034/1000</f>
        <v>0</v>
      </c>
      <c r="Y1374" s="181">
        <f>+H1374+R1374</f>
        <v>0</v>
      </c>
      <c r="Z1374" s="181">
        <f t="shared" si="256"/>
        <v>3152.35</v>
      </c>
      <c r="AA1374" s="181">
        <f>TOBEPAID!AA1034/1000</f>
        <v>0</v>
      </c>
      <c r="AB1374" s="181">
        <f>TOBEPAID!AB1034/1000</f>
        <v>3152.35</v>
      </c>
      <c r="AC1374" s="181"/>
      <c r="AD1374" s="181"/>
      <c r="AF1374" s="195"/>
      <c r="AG1374" s="195"/>
      <c r="AH1374" s="195"/>
      <c r="AI1374" s="195"/>
      <c r="AJ1374" s="195"/>
      <c r="AK1374" s="195"/>
      <c r="AL1374" s="195"/>
      <c r="AM1374" s="195"/>
      <c r="AN1374" s="195"/>
      <c r="AO1374" s="195"/>
      <c r="AP1374" s="195"/>
      <c r="AQ1374" s="195"/>
      <c r="AR1374" s="195"/>
      <c r="AS1374" s="195"/>
    </row>
    <row r="1375" spans="1:45" x14ac:dyDescent="0.2">
      <c r="A1375" s="180"/>
      <c r="B1375" s="172"/>
      <c r="D1375" s="182" t="s">
        <v>40</v>
      </c>
      <c r="E1375" s="182" t="s">
        <v>40</v>
      </c>
      <c r="F1375" s="182" t="s">
        <v>40</v>
      </c>
      <c r="G1375" s="182"/>
      <c r="H1375" s="182" t="s">
        <v>40</v>
      </c>
      <c r="I1375" s="182" t="s">
        <v>40</v>
      </c>
      <c r="J1375" s="182" t="s">
        <v>40</v>
      </c>
      <c r="K1375" s="182" t="s">
        <v>40</v>
      </c>
      <c r="L1375" s="182" t="s">
        <v>40</v>
      </c>
      <c r="M1375" s="182"/>
      <c r="N1375" s="182" t="s">
        <v>40</v>
      </c>
      <c r="O1375" s="182" t="s">
        <v>40</v>
      </c>
      <c r="P1375" s="182" t="s">
        <v>40</v>
      </c>
      <c r="Q1375" s="182"/>
      <c r="R1375" s="182" t="s">
        <v>40</v>
      </c>
      <c r="S1375" s="182" t="s">
        <v>40</v>
      </c>
      <c r="T1375" s="182" t="s">
        <v>40</v>
      </c>
      <c r="U1375" s="182" t="s">
        <v>40</v>
      </c>
      <c r="V1375" s="182" t="s">
        <v>40</v>
      </c>
      <c r="W1375" s="182"/>
      <c r="X1375" s="182" t="s">
        <v>40</v>
      </c>
      <c r="Y1375" s="182" t="s">
        <v>40</v>
      </c>
      <c r="Z1375" s="182" t="s">
        <v>40</v>
      </c>
      <c r="AA1375" s="182" t="s">
        <v>40</v>
      </c>
      <c r="AB1375" s="182" t="s">
        <v>40</v>
      </c>
      <c r="AC1375" s="182"/>
      <c r="AD1375" s="182"/>
      <c r="AF1375" s="195"/>
      <c r="AG1375" s="195"/>
      <c r="AH1375" s="195"/>
      <c r="AI1375" s="195"/>
      <c r="AJ1375" s="195"/>
      <c r="AK1375" s="195"/>
      <c r="AL1375" s="195"/>
      <c r="AM1375" s="195"/>
      <c r="AN1375" s="195"/>
      <c r="AO1375" s="195"/>
      <c r="AP1375" s="195"/>
      <c r="AQ1375" s="195"/>
      <c r="AR1375" s="195"/>
      <c r="AS1375" s="195"/>
    </row>
    <row r="1376" spans="1:45" x14ac:dyDescent="0.2">
      <c r="A1376" s="180"/>
      <c r="D1376" s="181">
        <f>SUM(D1369:D1374)</f>
        <v>71237.52900000001</v>
      </c>
      <c r="E1376" s="181">
        <f>SUM(E1369:E1374)</f>
        <v>2322.8182499999998</v>
      </c>
      <c r="F1376" s="181">
        <f>SUM(F1369:F1374)</f>
        <v>0</v>
      </c>
      <c r="G1376" s="181"/>
      <c r="H1376" s="181">
        <f>SUM(H1369:H1374)</f>
        <v>15687.817999999999</v>
      </c>
      <c r="I1376" s="181">
        <f>SUM(I1369:I1374)</f>
        <v>0</v>
      </c>
      <c r="J1376" s="181">
        <f>SUM(J1369:J1374)</f>
        <v>0</v>
      </c>
      <c r="K1376" s="181">
        <f>SUM(K1369:K1374)</f>
        <v>0</v>
      </c>
      <c r="L1376" s="181">
        <f>SUM(L1369:L1374)</f>
        <v>0</v>
      </c>
      <c r="M1376" s="181"/>
      <c r="N1376" s="181">
        <f>SUM(N1369:N1374)</f>
        <v>2322.8182499999998</v>
      </c>
      <c r="O1376" s="181">
        <f>SUM(O1369:O1374)</f>
        <v>2000</v>
      </c>
      <c r="P1376" s="181">
        <f>SUM(P1369:P1374)</f>
        <v>0</v>
      </c>
      <c r="Q1376" s="181"/>
      <c r="R1376" s="181">
        <f>SUM(R1369:R1374)</f>
        <v>2000</v>
      </c>
      <c r="S1376" s="181">
        <f>SUM(S1369:S1374)</f>
        <v>0</v>
      </c>
      <c r="T1376" s="181">
        <f>SUM(T1369:T1374)</f>
        <v>0</v>
      </c>
      <c r="U1376" s="181">
        <f>SUM(U1369:U1374)</f>
        <v>0</v>
      </c>
      <c r="V1376" s="181">
        <f>SUM(V1369:V1374)</f>
        <v>0</v>
      </c>
      <c r="W1376" s="181"/>
      <c r="X1376" s="181">
        <f>SUM(X1369:X1374)</f>
        <v>2000</v>
      </c>
      <c r="Y1376" s="181">
        <f>SUM(Y1369:Y1374)</f>
        <v>17687.817999999999</v>
      </c>
      <c r="Z1376" s="181">
        <f>SUM(Z1369:Z1374)</f>
        <v>53549.710999999996</v>
      </c>
      <c r="AA1376" s="181">
        <f>SUM(AA1369:AA1374)</f>
        <v>4322.8182500000003</v>
      </c>
      <c r="AB1376" s="181">
        <f>SUM(AB1369:AB1374)</f>
        <v>53549.71153</v>
      </c>
      <c r="AC1376" s="181"/>
      <c r="AD1376" s="181"/>
      <c r="AF1376" s="195"/>
      <c r="AG1376" s="195"/>
      <c r="AH1376" s="195"/>
      <c r="AI1376" s="195"/>
      <c r="AJ1376" s="195"/>
      <c r="AK1376" s="195"/>
      <c r="AL1376" s="195"/>
      <c r="AM1376" s="195"/>
      <c r="AN1376" s="195"/>
      <c r="AO1376" s="195"/>
      <c r="AP1376" s="195"/>
      <c r="AQ1376" s="195"/>
      <c r="AR1376" s="195"/>
      <c r="AS1376" s="195"/>
    </row>
    <row r="1377" spans="1:45" x14ac:dyDescent="0.2">
      <c r="A1377" s="180"/>
      <c r="D1377" s="182" t="s">
        <v>40</v>
      </c>
      <c r="E1377" s="182" t="s">
        <v>40</v>
      </c>
      <c r="F1377" s="182" t="s">
        <v>40</v>
      </c>
      <c r="G1377" s="182"/>
      <c r="H1377" s="182" t="s">
        <v>40</v>
      </c>
      <c r="I1377" s="182" t="s">
        <v>40</v>
      </c>
      <c r="J1377" s="182" t="s">
        <v>40</v>
      </c>
      <c r="K1377" s="182" t="s">
        <v>40</v>
      </c>
      <c r="L1377" s="182" t="s">
        <v>40</v>
      </c>
      <c r="M1377" s="182"/>
      <c r="N1377" s="182" t="s">
        <v>40</v>
      </c>
      <c r="O1377" s="182" t="s">
        <v>40</v>
      </c>
      <c r="P1377" s="182" t="s">
        <v>40</v>
      </c>
      <c r="Q1377" s="182"/>
      <c r="R1377" s="182" t="s">
        <v>40</v>
      </c>
      <c r="S1377" s="182" t="s">
        <v>40</v>
      </c>
      <c r="T1377" s="182" t="s">
        <v>40</v>
      </c>
      <c r="U1377" s="182" t="s">
        <v>40</v>
      </c>
      <c r="V1377" s="182" t="s">
        <v>40</v>
      </c>
      <c r="W1377" s="182"/>
      <c r="X1377" s="182" t="s">
        <v>40</v>
      </c>
      <c r="Y1377" s="182" t="s">
        <v>40</v>
      </c>
      <c r="Z1377" s="182" t="s">
        <v>40</v>
      </c>
      <c r="AA1377" s="182" t="s">
        <v>40</v>
      </c>
      <c r="AB1377" s="182" t="s">
        <v>40</v>
      </c>
      <c r="AC1377" s="182"/>
      <c r="AD1377" s="182"/>
      <c r="AF1377" s="195"/>
      <c r="AG1377" s="195"/>
      <c r="AH1377" s="195"/>
      <c r="AI1377" s="195"/>
      <c r="AJ1377" s="195"/>
      <c r="AK1377" s="195"/>
      <c r="AL1377" s="195"/>
      <c r="AM1377" s="195"/>
      <c r="AN1377" s="195"/>
      <c r="AO1377" s="195"/>
      <c r="AP1377" s="195"/>
      <c r="AQ1377" s="195"/>
      <c r="AR1377" s="195"/>
      <c r="AS1377" s="195"/>
    </row>
    <row r="1378" spans="1:45" x14ac:dyDescent="0.2">
      <c r="A1378" s="180"/>
      <c r="D1378" s="182"/>
      <c r="E1378" s="182"/>
      <c r="F1378" s="182"/>
      <c r="G1378" s="182"/>
      <c r="H1378" s="182"/>
      <c r="I1378" s="182"/>
      <c r="J1378" s="182"/>
      <c r="K1378" s="182"/>
      <c r="L1378" s="182"/>
      <c r="M1378" s="182"/>
      <c r="N1378" s="182"/>
      <c r="O1378" s="182"/>
      <c r="P1378" s="182"/>
      <c r="Q1378" s="182"/>
      <c r="R1378" s="182"/>
      <c r="S1378" s="182"/>
      <c r="T1378" s="182"/>
      <c r="U1378" s="182"/>
      <c r="V1378" s="182"/>
      <c r="W1378" s="182"/>
      <c r="X1378" s="182"/>
      <c r="Y1378" s="182"/>
      <c r="Z1378" s="182"/>
      <c r="AA1378" s="182"/>
      <c r="AB1378" s="182"/>
      <c r="AC1378" s="182"/>
      <c r="AD1378" s="182"/>
      <c r="AF1378" s="195"/>
      <c r="AG1378" s="195"/>
      <c r="AH1378" s="195"/>
      <c r="AI1378" s="195"/>
      <c r="AJ1378" s="195"/>
      <c r="AK1378" s="195"/>
      <c r="AL1378" s="195"/>
      <c r="AM1378" s="195"/>
      <c r="AN1378" s="195"/>
      <c r="AO1378" s="195"/>
      <c r="AP1378" s="195"/>
      <c r="AQ1378" s="195"/>
      <c r="AR1378" s="195"/>
      <c r="AS1378" s="195"/>
    </row>
    <row r="1379" spans="1:45" x14ac:dyDescent="0.2">
      <c r="A1379" s="180">
        <v>108</v>
      </c>
      <c r="B1379" s="166" t="s">
        <v>113</v>
      </c>
      <c r="C1379" s="166" t="s">
        <v>35</v>
      </c>
      <c r="D1379" s="181">
        <f>20838782/1000</f>
        <v>20838.781999999999</v>
      </c>
      <c r="E1379" s="181">
        <f>TOBEPAID!E1039/1000</f>
        <v>0</v>
      </c>
      <c r="F1379" s="181">
        <f>TOBEPAID!F1039/1000</f>
        <v>0</v>
      </c>
      <c r="G1379" s="181">
        <f>TOBEPAID!G1039/1000</f>
        <v>0</v>
      </c>
      <c r="H1379" s="181">
        <f>1018839/1000</f>
        <v>1018.8390000000001</v>
      </c>
      <c r="I1379" s="181">
        <f>TOBEPAID!I1039/1000</f>
        <v>0</v>
      </c>
      <c r="J1379" s="181">
        <f>TOBEPAID!J1039/1000</f>
        <v>0</v>
      </c>
      <c r="K1379" s="181">
        <f>TOBEPAID!K1039/1000</f>
        <v>0</v>
      </c>
      <c r="L1379" s="181">
        <f>TOBEPAID!L1039/1000</f>
        <v>0</v>
      </c>
      <c r="M1379" s="181">
        <f>TOBEPAID!M1039/1000</f>
        <v>0</v>
      </c>
      <c r="N1379" s="181">
        <f>TOBEPAID!N1039/1000</f>
        <v>0</v>
      </c>
      <c r="O1379" s="181">
        <f>TOBEPAID!O1039/1000</f>
        <v>0</v>
      </c>
      <c r="P1379" s="181">
        <f>TOBEPAID!P1039/1000</f>
        <v>0</v>
      </c>
      <c r="Q1379" s="181">
        <f>TOBEPAID!Q1039/1000</f>
        <v>0</v>
      </c>
      <c r="R1379" s="181">
        <f>365816.41/1000</f>
        <v>365.81640999999996</v>
      </c>
      <c r="S1379" s="181">
        <f>TOBEPAID!S1039/1000</f>
        <v>0</v>
      </c>
      <c r="T1379" s="181">
        <f>TOBEPAID!T1039/1000</f>
        <v>0</v>
      </c>
      <c r="U1379" s="181">
        <f>TOBEPAID!U1039/1000</f>
        <v>0</v>
      </c>
      <c r="V1379" s="181">
        <f>TOBEPAID!V1039/1000</f>
        <v>0</v>
      </c>
      <c r="W1379" s="181">
        <f>TOBEPAID!W1039/1000</f>
        <v>0</v>
      </c>
      <c r="X1379" s="181">
        <f>TOBEPAID!X1039/1000</f>
        <v>0</v>
      </c>
      <c r="Y1379" s="181">
        <f t="shared" ref="Y1379:Y1385" si="257">+H1379+R1379</f>
        <v>1384.6554100000001</v>
      </c>
      <c r="Z1379" s="181">
        <f t="shared" ref="Z1379:Z1385" si="258">+D1379-Y1379</f>
        <v>19454.12659</v>
      </c>
      <c r="AA1379" s="181">
        <f>TOBEPAID!AA1039/1000</f>
        <v>0</v>
      </c>
      <c r="AB1379" s="181">
        <f>TOBEPAID!AB1039/1000</f>
        <v>20838.78284</v>
      </c>
      <c r="AC1379" s="181"/>
      <c r="AD1379" s="181"/>
      <c r="AF1379" s="195"/>
      <c r="AG1379" s="195"/>
      <c r="AH1379" s="195"/>
      <c r="AI1379" s="195"/>
      <c r="AJ1379" s="195"/>
      <c r="AK1379" s="195"/>
      <c r="AL1379" s="195"/>
      <c r="AM1379" s="195"/>
      <c r="AN1379" s="195"/>
      <c r="AO1379" s="195"/>
      <c r="AP1379" s="195"/>
      <c r="AQ1379" s="195"/>
      <c r="AR1379" s="195"/>
      <c r="AS1379" s="195"/>
    </row>
    <row r="1380" spans="1:45" x14ac:dyDescent="0.2">
      <c r="A1380" s="180"/>
      <c r="C1380" s="168" t="s">
        <v>36</v>
      </c>
      <c r="D1380" s="181">
        <f>1300242/1000</f>
        <v>1300.242</v>
      </c>
      <c r="E1380" s="181">
        <f>TOBEPAID!E1040/1000</f>
        <v>1300.2423799999999</v>
      </c>
      <c r="F1380" s="181">
        <f>TOBEPAID!F1040/1000</f>
        <v>0</v>
      </c>
      <c r="G1380" s="181">
        <f>TOBEPAID!G1040/1000</f>
        <v>0</v>
      </c>
      <c r="H1380" s="181">
        <f>1300242/1000</f>
        <v>1300.242</v>
      </c>
      <c r="I1380" s="181">
        <f>TOBEPAID!I1040/1000</f>
        <v>0</v>
      </c>
      <c r="J1380" s="181">
        <f>TOBEPAID!J1040/1000</f>
        <v>0</v>
      </c>
      <c r="K1380" s="181">
        <f>TOBEPAID!K1040/1000</f>
        <v>0</v>
      </c>
      <c r="L1380" s="181">
        <f>TOBEPAID!L1040/1000</f>
        <v>0</v>
      </c>
      <c r="M1380" s="181">
        <f>TOBEPAID!M1040/1000</f>
        <v>0</v>
      </c>
      <c r="N1380" s="181">
        <f>TOBEPAID!N1040/1000</f>
        <v>1300.2423799999999</v>
      </c>
      <c r="O1380" s="181">
        <f>TOBEPAID!O1040/1000</f>
        <v>0</v>
      </c>
      <c r="P1380" s="181">
        <f>TOBEPAID!P1040/1000</f>
        <v>0</v>
      </c>
      <c r="Q1380" s="181">
        <f>TOBEPAID!Q1040/1000</f>
        <v>0</v>
      </c>
      <c r="R1380" s="181">
        <v>0</v>
      </c>
      <c r="S1380" s="181">
        <f>TOBEPAID!S1040/1000</f>
        <v>0</v>
      </c>
      <c r="T1380" s="181">
        <f>TOBEPAID!T1040/1000</f>
        <v>0</v>
      </c>
      <c r="U1380" s="181">
        <f>TOBEPAID!U1040/1000</f>
        <v>0</v>
      </c>
      <c r="V1380" s="181">
        <f>TOBEPAID!V1040/1000</f>
        <v>0</v>
      </c>
      <c r="W1380" s="181">
        <f>TOBEPAID!W1040/1000</f>
        <v>0</v>
      </c>
      <c r="X1380" s="181">
        <f>TOBEPAID!X1040/1000</f>
        <v>0</v>
      </c>
      <c r="Y1380" s="181">
        <f t="shared" si="257"/>
        <v>1300.242</v>
      </c>
      <c r="Z1380" s="181">
        <f t="shared" si="258"/>
        <v>0</v>
      </c>
      <c r="AA1380" s="181">
        <f>TOBEPAID!AA1040/1000</f>
        <v>1300.2423799999999</v>
      </c>
      <c r="AB1380" s="181">
        <f>TOBEPAID!AB1040/1000</f>
        <v>0</v>
      </c>
      <c r="AC1380" s="181"/>
      <c r="AD1380" s="181"/>
      <c r="AF1380" s="195"/>
      <c r="AG1380" s="195"/>
      <c r="AH1380" s="195"/>
      <c r="AI1380" s="195"/>
      <c r="AJ1380" s="195"/>
      <c r="AK1380" s="195"/>
      <c r="AL1380" s="195"/>
      <c r="AM1380" s="195"/>
      <c r="AN1380" s="195"/>
      <c r="AO1380" s="195"/>
      <c r="AP1380" s="195"/>
      <c r="AQ1380" s="195"/>
      <c r="AR1380" s="195"/>
      <c r="AS1380" s="195"/>
    </row>
    <row r="1381" spans="1:45" x14ac:dyDescent="0.2">
      <c r="A1381" s="180"/>
      <c r="C1381" s="166" t="s">
        <v>53</v>
      </c>
      <c r="D1381" s="181">
        <f>6966507/1000</f>
        <v>6966.5069999999996</v>
      </c>
      <c r="E1381" s="181">
        <f>TOBEPAID!E1041/1000</f>
        <v>0</v>
      </c>
      <c r="F1381" s="181">
        <f>TOBEPAID!F1041/1000</f>
        <v>0</v>
      </c>
      <c r="G1381" s="181">
        <f>TOBEPAID!G1041/1000</f>
        <v>0</v>
      </c>
      <c r="H1381" s="181">
        <v>0</v>
      </c>
      <c r="I1381" s="181">
        <f>TOBEPAID!I1041/1000</f>
        <v>0</v>
      </c>
      <c r="J1381" s="181">
        <f>TOBEPAID!J1041/1000</f>
        <v>0</v>
      </c>
      <c r="K1381" s="181">
        <f>TOBEPAID!K1041/1000</f>
        <v>0</v>
      </c>
      <c r="L1381" s="181">
        <f>TOBEPAID!L1041/1000</f>
        <v>0</v>
      </c>
      <c r="M1381" s="181">
        <f>TOBEPAID!M1041/1000</f>
        <v>0</v>
      </c>
      <c r="N1381" s="181">
        <f>TOBEPAID!N1041/1000</f>
        <v>0</v>
      </c>
      <c r="O1381" s="181">
        <f>TOBEPAID!O1041/1000</f>
        <v>493.85509999999999</v>
      </c>
      <c r="P1381" s="181">
        <f>TOBEPAID!P1041/1000</f>
        <v>0</v>
      </c>
      <c r="Q1381" s="181">
        <f>TOBEPAID!Q1041/1000</f>
        <v>0</v>
      </c>
      <c r="R1381" s="181">
        <f>493855/1000</f>
        <v>493.85500000000002</v>
      </c>
      <c r="S1381" s="181">
        <f>TOBEPAID!S1041/1000</f>
        <v>0</v>
      </c>
      <c r="T1381" s="181">
        <f>TOBEPAID!T1041/1000</f>
        <v>0</v>
      </c>
      <c r="U1381" s="181">
        <f>TOBEPAID!U1041/1000</f>
        <v>0</v>
      </c>
      <c r="V1381" s="181">
        <f>TOBEPAID!V1041/1000</f>
        <v>0</v>
      </c>
      <c r="W1381" s="181">
        <f>TOBEPAID!W1041/1000</f>
        <v>0</v>
      </c>
      <c r="X1381" s="181">
        <f>TOBEPAID!X1041/1000</f>
        <v>493.85509999999999</v>
      </c>
      <c r="Y1381" s="181">
        <f t="shared" si="257"/>
        <v>493.85500000000002</v>
      </c>
      <c r="Z1381" s="181">
        <f t="shared" si="258"/>
        <v>6472.652</v>
      </c>
      <c r="AA1381" s="181">
        <f>TOBEPAID!AA1041/1000</f>
        <v>493.85509999999999</v>
      </c>
      <c r="AB1381" s="181">
        <f>TOBEPAID!AB1041/1000</f>
        <v>6472.6524800000007</v>
      </c>
      <c r="AC1381" s="181"/>
      <c r="AD1381" s="181"/>
      <c r="AF1381" s="195"/>
      <c r="AG1381" s="195"/>
      <c r="AH1381" s="195"/>
      <c r="AI1381" s="195"/>
      <c r="AJ1381" s="195"/>
      <c r="AK1381" s="195"/>
      <c r="AL1381" s="195"/>
      <c r="AM1381" s="195"/>
      <c r="AN1381" s="195"/>
      <c r="AO1381" s="195"/>
      <c r="AP1381" s="195"/>
      <c r="AQ1381" s="195"/>
      <c r="AR1381" s="195"/>
      <c r="AS1381" s="195"/>
    </row>
    <row r="1382" spans="1:45" x14ac:dyDescent="0.2">
      <c r="A1382" s="180"/>
      <c r="C1382" s="166" t="s">
        <v>440</v>
      </c>
      <c r="D1382" s="181">
        <f>11600000/1000</f>
        <v>11600</v>
      </c>
      <c r="E1382" s="181"/>
      <c r="F1382" s="181"/>
      <c r="G1382" s="181"/>
      <c r="H1382" s="181">
        <f>11500000/1000</f>
        <v>11500</v>
      </c>
      <c r="I1382" s="181"/>
      <c r="J1382" s="181"/>
      <c r="K1382" s="181"/>
      <c r="L1382" s="181"/>
      <c r="M1382" s="181"/>
      <c r="N1382" s="181"/>
      <c r="O1382" s="181"/>
      <c r="P1382" s="181"/>
      <c r="Q1382" s="181"/>
      <c r="R1382" s="181">
        <v>0</v>
      </c>
      <c r="S1382" s="181"/>
      <c r="T1382" s="181"/>
      <c r="U1382" s="181"/>
      <c r="V1382" s="181"/>
      <c r="W1382" s="181"/>
      <c r="X1382" s="181"/>
      <c r="Y1382" s="181">
        <f>+H1382+R1382</f>
        <v>11500</v>
      </c>
      <c r="Z1382" s="181">
        <f t="shared" si="258"/>
        <v>100</v>
      </c>
      <c r="AA1382" s="181"/>
      <c r="AB1382" s="181"/>
      <c r="AC1382" s="181"/>
      <c r="AD1382" s="181"/>
      <c r="AF1382" s="195"/>
      <c r="AG1382" s="195"/>
      <c r="AH1382" s="195"/>
      <c r="AI1382" s="195"/>
      <c r="AJ1382" s="195"/>
      <c r="AK1382" s="195"/>
      <c r="AL1382" s="195"/>
      <c r="AM1382" s="195"/>
      <c r="AN1382" s="195"/>
      <c r="AO1382" s="195"/>
      <c r="AP1382" s="195"/>
      <c r="AQ1382" s="195"/>
      <c r="AR1382" s="195"/>
      <c r="AS1382" s="195"/>
    </row>
    <row r="1383" spans="1:45" x14ac:dyDescent="0.2">
      <c r="A1383" s="180"/>
      <c r="C1383" s="165" t="s">
        <v>392</v>
      </c>
      <c r="D1383" s="181">
        <f>1684796.77/1000</f>
        <v>1684.7967699999999</v>
      </c>
      <c r="E1383" s="181"/>
      <c r="F1383" s="181"/>
      <c r="G1383" s="181"/>
      <c r="H1383" s="181">
        <f>1684796.77/1000</f>
        <v>1684.7967699999999</v>
      </c>
      <c r="I1383" s="181"/>
      <c r="J1383" s="181"/>
      <c r="K1383" s="181"/>
      <c r="L1383" s="181"/>
      <c r="M1383" s="181"/>
      <c r="N1383" s="181"/>
      <c r="O1383" s="181"/>
      <c r="P1383" s="181"/>
      <c r="Q1383" s="181"/>
      <c r="R1383" s="181">
        <v>0</v>
      </c>
      <c r="S1383" s="181"/>
      <c r="T1383" s="181"/>
      <c r="U1383" s="181"/>
      <c r="V1383" s="181"/>
      <c r="W1383" s="181"/>
      <c r="X1383" s="181"/>
      <c r="Y1383" s="181">
        <f t="shared" si="257"/>
        <v>1684.7967699999999</v>
      </c>
      <c r="Z1383" s="181">
        <f t="shared" si="258"/>
        <v>0</v>
      </c>
      <c r="AA1383" s="181"/>
      <c r="AB1383" s="181"/>
      <c r="AC1383" s="181"/>
      <c r="AD1383" s="181"/>
      <c r="AF1383" s="195"/>
      <c r="AG1383" s="195"/>
      <c r="AH1383" s="195"/>
      <c r="AI1383" s="195"/>
      <c r="AJ1383" s="195"/>
      <c r="AK1383" s="195"/>
      <c r="AL1383" s="195"/>
      <c r="AM1383" s="195"/>
      <c r="AN1383" s="195"/>
      <c r="AO1383" s="195"/>
      <c r="AP1383" s="195"/>
      <c r="AQ1383" s="195"/>
      <c r="AR1383" s="195"/>
      <c r="AS1383" s="195"/>
    </row>
    <row r="1384" spans="1:45" x14ac:dyDescent="0.2">
      <c r="A1384" s="180"/>
      <c r="C1384" s="166" t="s">
        <v>38</v>
      </c>
      <c r="D1384" s="181">
        <f>5017163/1000</f>
        <v>5017.1629999999996</v>
      </c>
      <c r="E1384" s="181">
        <f>TOBEPAID!E1042/1000</f>
        <v>0</v>
      </c>
      <c r="F1384" s="181">
        <f>TOBEPAID!F1042/1000</f>
        <v>0</v>
      </c>
      <c r="G1384" s="181">
        <f>TOBEPAID!G1042/1000</f>
        <v>0</v>
      </c>
      <c r="H1384" s="181">
        <v>0</v>
      </c>
      <c r="I1384" s="181">
        <f>TOBEPAID!I1042/1000</f>
        <v>0</v>
      </c>
      <c r="J1384" s="181">
        <f>TOBEPAID!J1042/1000</f>
        <v>0</v>
      </c>
      <c r="K1384" s="181">
        <f>TOBEPAID!K1042/1000</f>
        <v>0</v>
      </c>
      <c r="L1384" s="181">
        <f>TOBEPAID!L1042/1000</f>
        <v>0</v>
      </c>
      <c r="M1384" s="181">
        <f>TOBEPAID!M1042/1000</f>
        <v>0</v>
      </c>
      <c r="N1384" s="181">
        <f>TOBEPAID!N1042/1000</f>
        <v>0</v>
      </c>
      <c r="O1384" s="181">
        <f>TOBEPAID!O1042/1000</f>
        <v>0</v>
      </c>
      <c r="P1384" s="181">
        <f>TOBEPAID!P1042/1000</f>
        <v>0</v>
      </c>
      <c r="Q1384" s="181">
        <f>TOBEPAID!Q1042/1000</f>
        <v>0</v>
      </c>
      <c r="R1384" s="181">
        <f>37800/1000</f>
        <v>37.799999999999997</v>
      </c>
      <c r="S1384" s="181">
        <f>TOBEPAID!S1042/1000</f>
        <v>0</v>
      </c>
      <c r="T1384" s="181">
        <f>TOBEPAID!T1042/1000</f>
        <v>0</v>
      </c>
      <c r="U1384" s="181">
        <f>TOBEPAID!U1042/1000</f>
        <v>0</v>
      </c>
      <c r="V1384" s="181">
        <f>TOBEPAID!V1042/1000</f>
        <v>0</v>
      </c>
      <c r="W1384" s="181">
        <f>TOBEPAID!W1042/1000</f>
        <v>0</v>
      </c>
      <c r="X1384" s="181">
        <f>TOBEPAID!X1042/1000</f>
        <v>0</v>
      </c>
      <c r="Y1384" s="181">
        <f t="shared" si="257"/>
        <v>37.799999999999997</v>
      </c>
      <c r="Z1384" s="181">
        <f t="shared" si="258"/>
        <v>4979.3629999999994</v>
      </c>
      <c r="AA1384" s="181">
        <f>TOBEPAID!AA1042/1000</f>
        <v>0</v>
      </c>
      <c r="AB1384" s="181">
        <f>TOBEPAID!AB1042/1000</f>
        <v>5017.1630500000001</v>
      </c>
      <c r="AC1384" s="181"/>
      <c r="AD1384" s="181"/>
      <c r="AF1384" s="195"/>
      <c r="AG1384" s="195"/>
      <c r="AH1384" s="195"/>
      <c r="AI1384" s="195"/>
      <c r="AJ1384" s="195"/>
      <c r="AK1384" s="195"/>
      <c r="AL1384" s="195"/>
      <c r="AM1384" s="195"/>
      <c r="AN1384" s="195"/>
      <c r="AO1384" s="195"/>
      <c r="AP1384" s="195"/>
      <c r="AQ1384" s="195"/>
      <c r="AR1384" s="195"/>
      <c r="AS1384" s="195"/>
    </row>
    <row r="1385" spans="1:45" x14ac:dyDescent="0.2">
      <c r="A1385" s="180"/>
      <c r="C1385" s="166" t="s">
        <v>54</v>
      </c>
      <c r="D1385" s="181">
        <f>5096366/1000</f>
        <v>5096.366</v>
      </c>
      <c r="E1385" s="181">
        <f>TOBEPAID!E1043/1000</f>
        <v>0</v>
      </c>
      <c r="F1385" s="181">
        <f>TOBEPAID!F1043/1000</f>
        <v>0</v>
      </c>
      <c r="G1385" s="181">
        <f>TOBEPAID!G1043/1000</f>
        <v>0</v>
      </c>
      <c r="H1385" s="181">
        <v>0</v>
      </c>
      <c r="I1385" s="181">
        <f>TOBEPAID!I1043/1000</f>
        <v>0</v>
      </c>
      <c r="J1385" s="181">
        <f>TOBEPAID!J1043/1000</f>
        <v>0</v>
      </c>
      <c r="K1385" s="181">
        <f>TOBEPAID!K1043/1000</f>
        <v>0</v>
      </c>
      <c r="L1385" s="181">
        <f>TOBEPAID!L1043/1000</f>
        <v>0</v>
      </c>
      <c r="M1385" s="181">
        <f>TOBEPAID!M1043/1000</f>
        <v>0</v>
      </c>
      <c r="N1385" s="181">
        <f>TOBEPAID!N1043/1000</f>
        <v>0</v>
      </c>
      <c r="O1385" s="181">
        <f>TOBEPAID!O1043/1000</f>
        <v>5096.3667699999996</v>
      </c>
      <c r="P1385" s="181">
        <f>TOBEPAID!P1043/1000</f>
        <v>0</v>
      </c>
      <c r="Q1385" s="181">
        <f>TOBEPAID!Q1043/1000</f>
        <v>0</v>
      </c>
      <c r="R1385" s="181">
        <f>5096366/1000</f>
        <v>5096.366</v>
      </c>
      <c r="S1385" s="181">
        <f>TOBEPAID!S1043/1000</f>
        <v>0</v>
      </c>
      <c r="T1385" s="181">
        <f>TOBEPAID!T1043/1000</f>
        <v>0</v>
      </c>
      <c r="U1385" s="181">
        <f>TOBEPAID!U1043/1000</f>
        <v>0</v>
      </c>
      <c r="V1385" s="181">
        <f>TOBEPAID!V1043/1000</f>
        <v>0</v>
      </c>
      <c r="W1385" s="181">
        <f>TOBEPAID!W1043/1000</f>
        <v>0</v>
      </c>
      <c r="X1385" s="181">
        <f>TOBEPAID!X1043/1000</f>
        <v>5096.3667699999996</v>
      </c>
      <c r="Y1385" s="181">
        <f t="shared" si="257"/>
        <v>5096.366</v>
      </c>
      <c r="Z1385" s="181">
        <f t="shared" si="258"/>
        <v>0</v>
      </c>
      <c r="AA1385" s="181">
        <f>TOBEPAID!AA1043/1000</f>
        <v>5096.3667699999996</v>
      </c>
      <c r="AB1385" s="181">
        <f>TOBEPAID!AB1043/1000</f>
        <v>0</v>
      </c>
      <c r="AC1385" s="181"/>
      <c r="AD1385" s="181"/>
      <c r="AF1385" s="195"/>
      <c r="AG1385" s="195"/>
      <c r="AH1385" s="195"/>
      <c r="AI1385" s="195"/>
      <c r="AJ1385" s="195"/>
      <c r="AK1385" s="195"/>
      <c r="AL1385" s="195"/>
      <c r="AM1385" s="195"/>
      <c r="AN1385" s="195"/>
      <c r="AO1385" s="195"/>
      <c r="AP1385" s="195"/>
      <c r="AQ1385" s="195"/>
      <c r="AR1385" s="195"/>
      <c r="AS1385" s="195"/>
    </row>
    <row r="1386" spans="1:45" x14ac:dyDescent="0.2">
      <c r="A1386" s="180"/>
      <c r="D1386" s="182" t="s">
        <v>40</v>
      </c>
      <c r="E1386" s="182" t="s">
        <v>40</v>
      </c>
      <c r="F1386" s="182" t="s">
        <v>40</v>
      </c>
      <c r="G1386" s="182"/>
      <c r="H1386" s="182" t="s">
        <v>40</v>
      </c>
      <c r="I1386" s="182" t="s">
        <v>40</v>
      </c>
      <c r="J1386" s="182" t="s">
        <v>40</v>
      </c>
      <c r="K1386" s="182" t="s">
        <v>40</v>
      </c>
      <c r="L1386" s="182" t="s">
        <v>40</v>
      </c>
      <c r="M1386" s="182"/>
      <c r="N1386" s="182" t="s">
        <v>40</v>
      </c>
      <c r="O1386" s="182" t="s">
        <v>40</v>
      </c>
      <c r="P1386" s="182" t="s">
        <v>40</v>
      </c>
      <c r="Q1386" s="182"/>
      <c r="R1386" s="182" t="s">
        <v>40</v>
      </c>
      <c r="S1386" s="182" t="s">
        <v>40</v>
      </c>
      <c r="T1386" s="182" t="s">
        <v>40</v>
      </c>
      <c r="U1386" s="182" t="s">
        <v>40</v>
      </c>
      <c r="V1386" s="182" t="s">
        <v>40</v>
      </c>
      <c r="W1386" s="182"/>
      <c r="X1386" s="182" t="s">
        <v>40</v>
      </c>
      <c r="Y1386" s="182" t="s">
        <v>40</v>
      </c>
      <c r="Z1386" s="182" t="s">
        <v>40</v>
      </c>
      <c r="AA1386" s="182" t="s">
        <v>40</v>
      </c>
      <c r="AB1386" s="182" t="s">
        <v>40</v>
      </c>
      <c r="AC1386" s="182"/>
      <c r="AD1386" s="182"/>
      <c r="AF1386" s="195"/>
      <c r="AG1386" s="195"/>
      <c r="AH1386" s="195"/>
      <c r="AI1386" s="195"/>
      <c r="AJ1386" s="195"/>
      <c r="AK1386" s="195"/>
      <c r="AL1386" s="195"/>
      <c r="AM1386" s="195"/>
      <c r="AN1386" s="195"/>
      <c r="AO1386" s="195"/>
      <c r="AP1386" s="195"/>
      <c r="AQ1386" s="195"/>
      <c r="AR1386" s="195"/>
      <c r="AS1386" s="195"/>
    </row>
    <row r="1387" spans="1:45" x14ac:dyDescent="0.2">
      <c r="A1387" s="180"/>
      <c r="D1387" s="181">
        <f>SUM(D1379:D1385)</f>
        <v>52503.856769999999</v>
      </c>
      <c r="E1387" s="181">
        <f>SUM(E1379:E1385)</f>
        <v>1300.2423799999999</v>
      </c>
      <c r="F1387" s="181">
        <f>SUM(F1379:F1385)</f>
        <v>0</v>
      </c>
      <c r="G1387" s="181"/>
      <c r="H1387" s="181">
        <f>SUM(H1379:H1385)</f>
        <v>15503.877769999999</v>
      </c>
      <c r="I1387" s="181">
        <f>SUM(I1379:I1385)</f>
        <v>0</v>
      </c>
      <c r="J1387" s="181">
        <f>SUM(J1379:J1385)</f>
        <v>0</v>
      </c>
      <c r="K1387" s="181">
        <f>SUM(K1379:K1385)</f>
        <v>0</v>
      </c>
      <c r="L1387" s="181">
        <f>SUM(L1379:L1385)</f>
        <v>0</v>
      </c>
      <c r="M1387" s="181"/>
      <c r="N1387" s="181">
        <f>SUM(N1379:N1385)</f>
        <v>1300.2423799999999</v>
      </c>
      <c r="O1387" s="181">
        <f>SUM(O1379:O1385)</f>
        <v>5590.2218699999994</v>
      </c>
      <c r="P1387" s="181">
        <f>SUM(P1379:P1385)</f>
        <v>0</v>
      </c>
      <c r="Q1387" s="181"/>
      <c r="R1387" s="181">
        <f>SUM(R1379:R1385)</f>
        <v>5993.8374100000001</v>
      </c>
      <c r="S1387" s="181">
        <f>SUM(S1379:S1385)</f>
        <v>0</v>
      </c>
      <c r="T1387" s="181">
        <f>SUM(T1379:T1385)</f>
        <v>0</v>
      </c>
      <c r="U1387" s="181">
        <f>SUM(U1379:U1385)</f>
        <v>0</v>
      </c>
      <c r="V1387" s="181">
        <f>SUM(V1379:V1385)</f>
        <v>0</v>
      </c>
      <c r="W1387" s="181"/>
      <c r="X1387" s="181">
        <f>SUM(X1379:X1385)</f>
        <v>5590.2218699999994</v>
      </c>
      <c r="Y1387" s="181">
        <f>SUM(Y1379:Y1385)</f>
        <v>21497.715179999999</v>
      </c>
      <c r="Z1387" s="181">
        <f>SUM(Z1379:Z1385)</f>
        <v>31006.141589999999</v>
      </c>
      <c r="AA1387" s="181">
        <f>SUM(AA1379:AA1385)</f>
        <v>6890.4642499999991</v>
      </c>
      <c r="AB1387" s="181">
        <f>SUM(AB1379:AB1385)</f>
        <v>32328.59837</v>
      </c>
      <c r="AC1387" s="181"/>
      <c r="AD1387" s="181"/>
      <c r="AF1387" s="195"/>
      <c r="AG1387" s="195"/>
      <c r="AH1387" s="195"/>
      <c r="AI1387" s="195"/>
      <c r="AJ1387" s="195"/>
      <c r="AK1387" s="195"/>
      <c r="AL1387" s="195"/>
      <c r="AM1387" s="195"/>
      <c r="AN1387" s="195"/>
      <c r="AO1387" s="195"/>
      <c r="AP1387" s="195"/>
      <c r="AQ1387" s="195"/>
      <c r="AR1387" s="195"/>
      <c r="AS1387" s="195"/>
    </row>
    <row r="1388" spans="1:45" x14ac:dyDescent="0.2">
      <c r="A1388" s="180"/>
      <c r="D1388" s="182" t="s">
        <v>40</v>
      </c>
      <c r="E1388" s="182" t="s">
        <v>40</v>
      </c>
      <c r="F1388" s="182" t="s">
        <v>40</v>
      </c>
      <c r="G1388" s="182"/>
      <c r="H1388" s="182" t="s">
        <v>40</v>
      </c>
      <c r="I1388" s="182" t="s">
        <v>40</v>
      </c>
      <c r="J1388" s="182" t="s">
        <v>40</v>
      </c>
      <c r="K1388" s="182" t="s">
        <v>40</v>
      </c>
      <c r="L1388" s="182" t="s">
        <v>40</v>
      </c>
      <c r="M1388" s="182"/>
      <c r="N1388" s="182" t="s">
        <v>40</v>
      </c>
      <c r="O1388" s="182" t="s">
        <v>40</v>
      </c>
      <c r="P1388" s="182" t="s">
        <v>40</v>
      </c>
      <c r="Q1388" s="182"/>
      <c r="R1388" s="182" t="s">
        <v>40</v>
      </c>
      <c r="S1388" s="182" t="s">
        <v>40</v>
      </c>
      <c r="T1388" s="182" t="s">
        <v>40</v>
      </c>
      <c r="U1388" s="182" t="s">
        <v>40</v>
      </c>
      <c r="V1388" s="182" t="s">
        <v>40</v>
      </c>
      <c r="W1388" s="182"/>
      <c r="X1388" s="182" t="s">
        <v>40</v>
      </c>
      <c r="Y1388" s="182" t="s">
        <v>40</v>
      </c>
      <c r="Z1388" s="182" t="s">
        <v>40</v>
      </c>
      <c r="AA1388" s="182" t="s">
        <v>40</v>
      </c>
      <c r="AB1388" s="182" t="s">
        <v>40</v>
      </c>
      <c r="AC1388" s="182"/>
      <c r="AD1388" s="182"/>
      <c r="AF1388" s="195"/>
      <c r="AG1388" s="195"/>
      <c r="AH1388" s="195"/>
      <c r="AI1388" s="195"/>
      <c r="AJ1388" s="195"/>
      <c r="AK1388" s="195"/>
      <c r="AL1388" s="195"/>
      <c r="AM1388" s="195"/>
      <c r="AN1388" s="195"/>
      <c r="AO1388" s="195"/>
      <c r="AP1388" s="195"/>
      <c r="AQ1388" s="195"/>
      <c r="AR1388" s="195"/>
      <c r="AS1388" s="195"/>
    </row>
    <row r="1389" spans="1:45" x14ac:dyDescent="0.2">
      <c r="A1389" s="180"/>
      <c r="D1389" s="182"/>
      <c r="E1389" s="182"/>
      <c r="F1389" s="182"/>
      <c r="G1389" s="182"/>
      <c r="H1389" s="182"/>
      <c r="I1389" s="182"/>
      <c r="J1389" s="182"/>
      <c r="K1389" s="182"/>
      <c r="L1389" s="182"/>
      <c r="M1389" s="182"/>
      <c r="N1389" s="182"/>
      <c r="O1389" s="182"/>
      <c r="P1389" s="182"/>
      <c r="Q1389" s="182"/>
      <c r="R1389" s="182"/>
      <c r="S1389" s="182"/>
      <c r="T1389" s="182"/>
      <c r="U1389" s="182"/>
      <c r="V1389" s="182"/>
      <c r="W1389" s="182"/>
      <c r="X1389" s="182"/>
      <c r="Y1389" s="230"/>
      <c r="Z1389" s="182"/>
      <c r="AA1389" s="182"/>
      <c r="AB1389" s="182"/>
      <c r="AC1389" s="182"/>
      <c r="AD1389" s="182"/>
      <c r="AF1389" s="195"/>
      <c r="AG1389" s="195"/>
      <c r="AH1389" s="195"/>
      <c r="AI1389" s="195"/>
      <c r="AJ1389" s="195"/>
      <c r="AK1389" s="195"/>
      <c r="AL1389" s="195"/>
      <c r="AM1389" s="195"/>
      <c r="AN1389" s="195"/>
      <c r="AO1389" s="195"/>
      <c r="AP1389" s="195"/>
      <c r="AQ1389" s="195"/>
      <c r="AR1389" s="195"/>
      <c r="AS1389" s="195"/>
    </row>
    <row r="1390" spans="1:45" x14ac:dyDescent="0.2">
      <c r="A1390" s="180">
        <v>109</v>
      </c>
      <c r="B1390" s="166" t="s">
        <v>114</v>
      </c>
      <c r="C1390" s="166" t="s">
        <v>35</v>
      </c>
      <c r="D1390" s="181">
        <f>1393121/1000</f>
        <v>1393.1210000000001</v>
      </c>
      <c r="E1390" s="181">
        <f>TOBEPAID!E1048/1000</f>
        <v>0</v>
      </c>
      <c r="F1390" s="181">
        <f>TOBEPAID!F1048/1000</f>
        <v>0</v>
      </c>
      <c r="G1390" s="181">
        <f>TOBEPAID!G1048/1000</f>
        <v>0</v>
      </c>
      <c r="H1390" s="181">
        <v>0</v>
      </c>
      <c r="I1390" s="181">
        <f>TOBEPAID!I1048/1000</f>
        <v>0</v>
      </c>
      <c r="J1390" s="181">
        <f>TOBEPAID!J1048/1000</f>
        <v>0</v>
      </c>
      <c r="K1390" s="181">
        <f>TOBEPAID!K1048/1000</f>
        <v>0</v>
      </c>
      <c r="L1390" s="181">
        <f>TOBEPAID!L1048/1000</f>
        <v>0</v>
      </c>
      <c r="M1390" s="181">
        <f>TOBEPAID!M1048/1000</f>
        <v>0</v>
      </c>
      <c r="N1390" s="181">
        <f>TOBEPAID!N1048/1000</f>
        <v>0</v>
      </c>
      <c r="O1390" s="181">
        <f>TOBEPAID!O1048/1000</f>
        <v>0</v>
      </c>
      <c r="P1390" s="181">
        <f>TOBEPAID!P1048/1000</f>
        <v>0</v>
      </c>
      <c r="Q1390" s="181">
        <f>TOBEPAID!Q1048/1000</f>
        <v>0</v>
      </c>
      <c r="R1390" s="181">
        <v>0</v>
      </c>
      <c r="S1390" s="181">
        <f>TOBEPAID!S1048/1000</f>
        <v>108.12775000000001</v>
      </c>
      <c r="T1390" s="181">
        <f>TOBEPAID!T1048/1000</f>
        <v>0</v>
      </c>
      <c r="U1390" s="181">
        <f>TOBEPAID!U1048/1000</f>
        <v>0</v>
      </c>
      <c r="V1390" s="181">
        <f>TOBEPAID!V1048/1000</f>
        <v>0</v>
      </c>
      <c r="W1390" s="181">
        <f>TOBEPAID!W1048/1000</f>
        <v>0</v>
      </c>
      <c r="X1390" s="181">
        <f>TOBEPAID!X1048/1000</f>
        <v>0</v>
      </c>
      <c r="Y1390" s="181">
        <f>+H1390+R1390</f>
        <v>0</v>
      </c>
      <c r="Z1390" s="181">
        <f>+D1390-Y1390</f>
        <v>1393.1210000000001</v>
      </c>
      <c r="AA1390" s="181">
        <f>TOBEPAID!AA1048/1000</f>
        <v>0</v>
      </c>
      <c r="AB1390" s="181">
        <f>TOBEPAID!AB1048/1000</f>
        <v>1393.1211499999999</v>
      </c>
      <c r="AC1390" s="181"/>
      <c r="AD1390" s="181"/>
      <c r="AF1390" s="195"/>
      <c r="AG1390" s="195"/>
      <c r="AH1390" s="195"/>
      <c r="AI1390" s="195"/>
      <c r="AJ1390" s="195"/>
      <c r="AK1390" s="195"/>
      <c r="AL1390" s="195"/>
      <c r="AM1390" s="195"/>
      <c r="AN1390" s="195"/>
      <c r="AO1390" s="195"/>
      <c r="AP1390" s="195"/>
      <c r="AQ1390" s="195"/>
      <c r="AR1390" s="195"/>
      <c r="AS1390" s="195"/>
    </row>
    <row r="1391" spans="1:45" ht="15.75" customHeight="1" x14ac:dyDescent="0.2">
      <c r="A1391" s="180"/>
      <c r="C1391" s="168" t="s">
        <v>36</v>
      </c>
      <c r="D1391" s="181">
        <f>38839/1000</f>
        <v>38.838999999999999</v>
      </c>
      <c r="E1391" s="181">
        <f>TOBEPAID!E1049/1000</f>
        <v>38.839849999999998</v>
      </c>
      <c r="F1391" s="181">
        <f>TOBEPAID!F1049/1000</f>
        <v>0</v>
      </c>
      <c r="G1391" s="181">
        <f>TOBEPAID!G1049/1000</f>
        <v>0</v>
      </c>
      <c r="H1391" s="181">
        <f>38839/1000</f>
        <v>38.838999999999999</v>
      </c>
      <c r="I1391" s="181">
        <f>TOBEPAID!I1049/1000</f>
        <v>0</v>
      </c>
      <c r="J1391" s="181">
        <f>TOBEPAID!J1049/1000</f>
        <v>0</v>
      </c>
      <c r="K1391" s="181">
        <f>TOBEPAID!K1049/1000</f>
        <v>0</v>
      </c>
      <c r="L1391" s="181">
        <f>TOBEPAID!L1049/1000</f>
        <v>0</v>
      </c>
      <c r="M1391" s="181">
        <f>TOBEPAID!M1049/1000</f>
        <v>0</v>
      </c>
      <c r="N1391" s="181">
        <f>TOBEPAID!N1049/1000</f>
        <v>38.839849999999998</v>
      </c>
      <c r="O1391" s="181">
        <f>TOBEPAID!O1049/1000</f>
        <v>0</v>
      </c>
      <c r="P1391" s="181">
        <f>TOBEPAID!P1049/1000</f>
        <v>0</v>
      </c>
      <c r="Q1391" s="181">
        <f>TOBEPAID!Q1049/1000</f>
        <v>0</v>
      </c>
      <c r="R1391" s="181">
        <v>0</v>
      </c>
      <c r="S1391" s="181">
        <f>TOBEPAID!S1049/1000</f>
        <v>0</v>
      </c>
      <c r="T1391" s="181">
        <f>TOBEPAID!T1049/1000</f>
        <v>0</v>
      </c>
      <c r="U1391" s="181">
        <f>TOBEPAID!U1049/1000</f>
        <v>0</v>
      </c>
      <c r="V1391" s="181">
        <f>TOBEPAID!V1049/1000</f>
        <v>0</v>
      </c>
      <c r="W1391" s="181">
        <f>TOBEPAID!W1049/1000</f>
        <v>0</v>
      </c>
      <c r="X1391" s="181">
        <f>TOBEPAID!X1049/1000</f>
        <v>0</v>
      </c>
      <c r="Y1391" s="181">
        <f>+H1391+R1391</f>
        <v>38.838999999999999</v>
      </c>
      <c r="Z1391" s="181">
        <f>+D1391-Y1391</f>
        <v>0</v>
      </c>
      <c r="AA1391" s="181">
        <f>TOBEPAID!AA1049/1000</f>
        <v>38.839849999999998</v>
      </c>
      <c r="AB1391" s="181">
        <f>TOBEPAID!AB1049/1000</f>
        <v>0</v>
      </c>
      <c r="AC1391" s="181"/>
      <c r="AD1391" s="181"/>
      <c r="AF1391" s="195"/>
      <c r="AG1391" s="195"/>
      <c r="AH1391" s="195"/>
      <c r="AI1391" s="195"/>
      <c r="AJ1391" s="195"/>
      <c r="AK1391" s="195"/>
      <c r="AL1391" s="195"/>
      <c r="AM1391" s="195"/>
      <c r="AN1391" s="195"/>
      <c r="AO1391" s="195"/>
      <c r="AP1391" s="195"/>
      <c r="AQ1391" s="195"/>
      <c r="AR1391" s="195"/>
      <c r="AS1391" s="195"/>
    </row>
    <row r="1392" spans="1:45" ht="16.5" customHeight="1" x14ac:dyDescent="0.2">
      <c r="A1392" s="180"/>
      <c r="D1392" s="182" t="s">
        <v>40</v>
      </c>
      <c r="E1392" s="182" t="s">
        <v>40</v>
      </c>
      <c r="F1392" s="182" t="s">
        <v>40</v>
      </c>
      <c r="G1392" s="182"/>
      <c r="H1392" s="182" t="s">
        <v>40</v>
      </c>
      <c r="I1392" s="182" t="s">
        <v>40</v>
      </c>
      <c r="J1392" s="182" t="s">
        <v>40</v>
      </c>
      <c r="K1392" s="182" t="s">
        <v>40</v>
      </c>
      <c r="L1392" s="182" t="s">
        <v>40</v>
      </c>
      <c r="M1392" s="182"/>
      <c r="N1392" s="182" t="s">
        <v>40</v>
      </c>
      <c r="O1392" s="182" t="s">
        <v>40</v>
      </c>
      <c r="P1392" s="182" t="s">
        <v>40</v>
      </c>
      <c r="Q1392" s="182"/>
      <c r="R1392" s="182" t="s">
        <v>40</v>
      </c>
      <c r="S1392" s="182" t="s">
        <v>40</v>
      </c>
      <c r="T1392" s="182" t="s">
        <v>40</v>
      </c>
      <c r="U1392" s="182" t="s">
        <v>40</v>
      </c>
      <c r="V1392" s="182" t="s">
        <v>40</v>
      </c>
      <c r="W1392" s="182"/>
      <c r="X1392" s="182" t="s">
        <v>40</v>
      </c>
      <c r="Y1392" s="182" t="s">
        <v>40</v>
      </c>
      <c r="Z1392" s="182" t="s">
        <v>40</v>
      </c>
      <c r="AA1392" s="182" t="s">
        <v>40</v>
      </c>
      <c r="AB1392" s="182" t="s">
        <v>40</v>
      </c>
      <c r="AC1392" s="182"/>
      <c r="AD1392" s="182"/>
      <c r="AF1392" s="195"/>
      <c r="AG1392" s="195"/>
      <c r="AH1392" s="195"/>
      <c r="AI1392" s="195"/>
      <c r="AJ1392" s="195"/>
      <c r="AK1392" s="195"/>
      <c r="AL1392" s="195"/>
      <c r="AM1392" s="195"/>
      <c r="AN1392" s="195"/>
      <c r="AO1392" s="195"/>
      <c r="AP1392" s="195"/>
      <c r="AQ1392" s="195"/>
      <c r="AR1392" s="195"/>
      <c r="AS1392" s="195"/>
    </row>
    <row r="1393" spans="1:45" x14ac:dyDescent="0.2">
      <c r="A1393" s="180"/>
      <c r="D1393" s="181">
        <f>D1390+D1391</f>
        <v>1431.96</v>
      </c>
      <c r="E1393" s="181">
        <f>E1390+E1391</f>
        <v>38.839849999999998</v>
      </c>
      <c r="F1393" s="181">
        <f>F1390+F1391</f>
        <v>0</v>
      </c>
      <c r="G1393" s="181"/>
      <c r="H1393" s="181">
        <f>H1390+H1391</f>
        <v>38.838999999999999</v>
      </c>
      <c r="I1393" s="181">
        <f>I1390+I1391</f>
        <v>0</v>
      </c>
      <c r="J1393" s="181">
        <f>J1390+J1391</f>
        <v>0</v>
      </c>
      <c r="K1393" s="181">
        <f>K1390+K1391</f>
        <v>0</v>
      </c>
      <c r="L1393" s="181">
        <f>L1390+L1391</f>
        <v>0</v>
      </c>
      <c r="M1393" s="181"/>
      <c r="N1393" s="181">
        <f>N1390+N1391</f>
        <v>38.839849999999998</v>
      </c>
      <c r="O1393" s="181">
        <f>O1390+O1391</f>
        <v>0</v>
      </c>
      <c r="P1393" s="181">
        <f>P1390+P1391</f>
        <v>0</v>
      </c>
      <c r="Q1393" s="181"/>
      <c r="R1393" s="181">
        <f>R1390+R1391</f>
        <v>0</v>
      </c>
      <c r="S1393" s="181">
        <f>S1390+S1391</f>
        <v>108.12775000000001</v>
      </c>
      <c r="T1393" s="181">
        <f>T1390+T1391</f>
        <v>0</v>
      </c>
      <c r="U1393" s="181">
        <f>U1390+U1391</f>
        <v>0</v>
      </c>
      <c r="V1393" s="181">
        <f>V1390+V1391</f>
        <v>0</v>
      </c>
      <c r="W1393" s="181"/>
      <c r="X1393" s="181">
        <f>X1390+X1391</f>
        <v>0</v>
      </c>
      <c r="Y1393" s="181">
        <f>Y1390+Y1391</f>
        <v>38.838999999999999</v>
      </c>
      <c r="Z1393" s="181">
        <f>Z1390+Z1391</f>
        <v>1393.1210000000001</v>
      </c>
      <c r="AA1393" s="181">
        <f>AA1390+AA1391</f>
        <v>38.839849999999998</v>
      </c>
      <c r="AB1393" s="181">
        <f>AB1390+AB1391</f>
        <v>1393.1211499999999</v>
      </c>
      <c r="AC1393" s="181"/>
      <c r="AD1393" s="181"/>
      <c r="AF1393" s="195"/>
      <c r="AG1393" s="195"/>
      <c r="AH1393" s="195"/>
      <c r="AI1393" s="195"/>
      <c r="AJ1393" s="195"/>
      <c r="AK1393" s="195"/>
      <c r="AL1393" s="195"/>
      <c r="AM1393" s="195"/>
      <c r="AN1393" s="195"/>
      <c r="AO1393" s="195"/>
      <c r="AP1393" s="195"/>
      <c r="AQ1393" s="195"/>
      <c r="AR1393" s="195"/>
      <c r="AS1393" s="195"/>
    </row>
    <row r="1394" spans="1:45" ht="18" customHeight="1" x14ac:dyDescent="0.2">
      <c r="A1394" s="180"/>
      <c r="D1394" s="182" t="s">
        <v>40</v>
      </c>
      <c r="E1394" s="182" t="s">
        <v>40</v>
      </c>
      <c r="F1394" s="182" t="s">
        <v>40</v>
      </c>
      <c r="G1394" s="182"/>
      <c r="H1394" s="182" t="s">
        <v>40</v>
      </c>
      <c r="I1394" s="182" t="s">
        <v>40</v>
      </c>
      <c r="J1394" s="182" t="s">
        <v>40</v>
      </c>
      <c r="K1394" s="182" t="s">
        <v>40</v>
      </c>
      <c r="L1394" s="182" t="s">
        <v>40</v>
      </c>
      <c r="M1394" s="182"/>
      <c r="N1394" s="182" t="s">
        <v>40</v>
      </c>
      <c r="O1394" s="182" t="s">
        <v>40</v>
      </c>
      <c r="P1394" s="182" t="s">
        <v>40</v>
      </c>
      <c r="Q1394" s="182"/>
      <c r="R1394" s="182" t="s">
        <v>40</v>
      </c>
      <c r="S1394" s="182" t="s">
        <v>40</v>
      </c>
      <c r="T1394" s="182" t="s">
        <v>40</v>
      </c>
      <c r="U1394" s="182" t="s">
        <v>40</v>
      </c>
      <c r="V1394" s="182" t="s">
        <v>40</v>
      </c>
      <c r="W1394" s="182"/>
      <c r="X1394" s="182" t="s">
        <v>40</v>
      </c>
      <c r="Y1394" s="182" t="s">
        <v>40</v>
      </c>
      <c r="Z1394" s="182" t="s">
        <v>40</v>
      </c>
      <c r="AA1394" s="182" t="s">
        <v>40</v>
      </c>
      <c r="AB1394" s="182" t="s">
        <v>40</v>
      </c>
      <c r="AC1394" s="182"/>
      <c r="AD1394" s="182"/>
      <c r="AF1394" s="195"/>
      <c r="AG1394" s="195"/>
      <c r="AH1394" s="195"/>
      <c r="AI1394" s="195"/>
      <c r="AJ1394" s="195"/>
      <c r="AK1394" s="195"/>
      <c r="AL1394" s="195"/>
      <c r="AM1394" s="195"/>
      <c r="AN1394" s="195"/>
      <c r="AO1394" s="195"/>
      <c r="AP1394" s="195"/>
      <c r="AQ1394" s="195"/>
      <c r="AR1394" s="195"/>
      <c r="AS1394" s="195"/>
    </row>
    <row r="1395" spans="1:45" x14ac:dyDescent="0.2">
      <c r="A1395" s="180"/>
      <c r="D1395" s="182"/>
      <c r="E1395" s="182"/>
      <c r="F1395" s="182"/>
      <c r="G1395" s="182"/>
      <c r="H1395" s="182"/>
      <c r="I1395" s="182"/>
      <c r="J1395" s="182"/>
      <c r="K1395" s="182"/>
      <c r="L1395" s="182"/>
      <c r="M1395" s="182"/>
      <c r="N1395" s="182"/>
      <c r="O1395" s="182"/>
      <c r="P1395" s="182"/>
      <c r="Q1395" s="182"/>
      <c r="R1395" s="182"/>
      <c r="S1395" s="182"/>
      <c r="T1395" s="182"/>
      <c r="U1395" s="182"/>
      <c r="V1395" s="182"/>
      <c r="W1395" s="182"/>
      <c r="X1395" s="182"/>
      <c r="Y1395" s="182"/>
      <c r="Z1395" s="182"/>
      <c r="AA1395" s="182"/>
      <c r="AB1395" s="182"/>
      <c r="AC1395" s="182"/>
      <c r="AD1395" s="182"/>
      <c r="AF1395" s="195"/>
      <c r="AG1395" s="195"/>
      <c r="AH1395" s="195"/>
      <c r="AI1395" s="195"/>
      <c r="AJ1395" s="195"/>
      <c r="AK1395" s="195"/>
      <c r="AL1395" s="195"/>
      <c r="AM1395" s="195"/>
      <c r="AN1395" s="195"/>
      <c r="AO1395" s="195"/>
      <c r="AP1395" s="195"/>
      <c r="AQ1395" s="195"/>
      <c r="AR1395" s="195"/>
    </row>
    <row r="1396" spans="1:45" ht="16.5" customHeight="1" x14ac:dyDescent="0.2">
      <c r="A1396" s="180">
        <v>110</v>
      </c>
      <c r="B1396" s="166" t="s">
        <v>115</v>
      </c>
      <c r="C1396" s="166" t="s">
        <v>35</v>
      </c>
      <c r="D1396" s="181">
        <f>529367/1000</f>
        <v>529.36699999999996</v>
      </c>
      <c r="E1396" s="181">
        <f>TOBEPAID!E1054/1000</f>
        <v>0</v>
      </c>
      <c r="F1396" s="181">
        <f>TOBEPAID!F1054/1000</f>
        <v>0</v>
      </c>
      <c r="G1396" s="181">
        <f>TOBEPAID!G1054/1000</f>
        <v>0</v>
      </c>
      <c r="H1396" s="181">
        <v>0</v>
      </c>
      <c r="I1396" s="181">
        <f>TOBEPAID!I1054/1000</f>
        <v>0</v>
      </c>
      <c r="J1396" s="181">
        <f>TOBEPAID!J1054/1000</f>
        <v>0</v>
      </c>
      <c r="K1396" s="181">
        <f>TOBEPAID!K1054/1000</f>
        <v>0</v>
      </c>
      <c r="L1396" s="181">
        <f>TOBEPAID!L1054/1000</f>
        <v>0</v>
      </c>
      <c r="M1396" s="181">
        <f>TOBEPAID!M1054/1000</f>
        <v>0</v>
      </c>
      <c r="N1396" s="181">
        <f>TOBEPAID!N1054/1000</f>
        <v>0</v>
      </c>
      <c r="O1396" s="181">
        <f>TOBEPAID!O1054/1000</f>
        <v>0</v>
      </c>
      <c r="P1396" s="181">
        <f>TOBEPAID!P1054/1000</f>
        <v>0</v>
      </c>
      <c r="Q1396" s="181">
        <f>TOBEPAID!Q1054/1000</f>
        <v>0</v>
      </c>
      <c r="R1396" s="181">
        <v>0</v>
      </c>
      <c r="S1396" s="181">
        <f>TOBEPAID!S1054/1000</f>
        <v>0</v>
      </c>
      <c r="T1396" s="181">
        <f>TOBEPAID!T1054/1000</f>
        <v>0</v>
      </c>
      <c r="U1396" s="181">
        <f>TOBEPAID!U1054/1000</f>
        <v>0</v>
      </c>
      <c r="V1396" s="181">
        <f>TOBEPAID!V1054/1000</f>
        <v>0</v>
      </c>
      <c r="W1396" s="181">
        <f>TOBEPAID!W1054/1000</f>
        <v>0</v>
      </c>
      <c r="X1396" s="181">
        <f>TOBEPAID!X1054/1000</f>
        <v>0</v>
      </c>
      <c r="Y1396" s="181">
        <f>+H1396+R1396</f>
        <v>0</v>
      </c>
      <c r="Z1396" s="181">
        <f>+D1396-Y1396</f>
        <v>529.36699999999996</v>
      </c>
      <c r="AA1396" s="181">
        <f>TOBEPAID!AA1054/1000</f>
        <v>0</v>
      </c>
      <c r="AB1396" s="181">
        <f>TOBEPAID!AB1054/1000</f>
        <v>529.36709999999994</v>
      </c>
      <c r="AC1396" s="181"/>
      <c r="AD1396" s="181"/>
      <c r="AS1396" s="195"/>
    </row>
    <row r="1397" spans="1:45" ht="16.5" customHeight="1" x14ac:dyDescent="0.2">
      <c r="C1397" s="165" t="s">
        <v>305</v>
      </c>
      <c r="D1397" s="181">
        <v>0</v>
      </c>
      <c r="E1397" s="181">
        <f>TOBEPAID!E1055/1000</f>
        <v>5590.00731</v>
      </c>
      <c r="F1397" s="181">
        <f>TOBEPAID!F1055/1000</f>
        <v>0</v>
      </c>
      <c r="G1397" s="181">
        <f>TOBEPAID!G1055/1000</f>
        <v>0</v>
      </c>
      <c r="H1397" s="181">
        <v>0</v>
      </c>
      <c r="I1397" s="181">
        <f>TOBEPAID!I1055/1000</f>
        <v>0</v>
      </c>
      <c r="J1397" s="181">
        <f>TOBEPAID!J1055/1000</f>
        <v>0</v>
      </c>
      <c r="K1397" s="181">
        <f>TOBEPAID!K1055/1000</f>
        <v>0</v>
      </c>
      <c r="L1397" s="181">
        <f>TOBEPAID!L1055/1000</f>
        <v>0</v>
      </c>
      <c r="M1397" s="181">
        <f>TOBEPAID!M1055/1000</f>
        <v>0</v>
      </c>
      <c r="N1397" s="181">
        <f>TOBEPAID!N1055/1000</f>
        <v>5590.00731</v>
      </c>
      <c r="O1397" s="181">
        <f>TOBEPAID!O1055/1000</f>
        <v>0</v>
      </c>
      <c r="P1397" s="181">
        <f>TOBEPAID!P1055/1000</f>
        <v>0</v>
      </c>
      <c r="Q1397" s="181">
        <f>TOBEPAID!Q1055/1000</f>
        <v>0</v>
      </c>
      <c r="R1397" s="181">
        <v>0</v>
      </c>
      <c r="S1397" s="181">
        <f>TOBEPAID!S1055/1000</f>
        <v>0</v>
      </c>
      <c r="T1397" s="181">
        <f>TOBEPAID!T1055/1000</f>
        <v>0</v>
      </c>
      <c r="U1397" s="181">
        <f>TOBEPAID!U1055/1000</f>
        <v>0</v>
      </c>
      <c r="V1397" s="181">
        <f>TOBEPAID!V1055/1000</f>
        <v>0</v>
      </c>
      <c r="W1397" s="181">
        <f>TOBEPAID!W1055/1000</f>
        <v>0</v>
      </c>
      <c r="X1397" s="181">
        <f>TOBEPAID!X1055/1000</f>
        <v>0</v>
      </c>
      <c r="Y1397" s="181">
        <f>+H1397+R1397</f>
        <v>0</v>
      </c>
      <c r="Z1397" s="181">
        <f>+D1397-Y1397</f>
        <v>0</v>
      </c>
      <c r="AA1397" s="181">
        <f>TOBEPAID!AA1055/1000</f>
        <v>5590.00731</v>
      </c>
      <c r="AB1397" s="181">
        <f>TOBEPAID!AB1055/1000</f>
        <v>0</v>
      </c>
      <c r="AC1397" s="181"/>
      <c r="AD1397" s="181"/>
      <c r="AF1397" s="195"/>
      <c r="AG1397" s="195"/>
      <c r="AH1397" s="195"/>
      <c r="AI1397" s="195"/>
      <c r="AJ1397" s="195"/>
      <c r="AK1397" s="195"/>
      <c r="AL1397" s="195"/>
      <c r="AM1397" s="195"/>
      <c r="AN1397" s="195"/>
      <c r="AO1397" s="195"/>
      <c r="AP1397" s="195"/>
      <c r="AQ1397" s="195"/>
      <c r="AR1397" s="195"/>
      <c r="AS1397" s="195"/>
    </row>
    <row r="1398" spans="1:45" x14ac:dyDescent="0.2">
      <c r="A1398" s="180"/>
      <c r="D1398" s="182" t="s">
        <v>40</v>
      </c>
      <c r="E1398" s="182" t="s">
        <v>40</v>
      </c>
      <c r="F1398" s="182" t="s">
        <v>40</v>
      </c>
      <c r="G1398" s="182"/>
      <c r="H1398" s="182" t="s">
        <v>40</v>
      </c>
      <c r="I1398" s="182" t="s">
        <v>40</v>
      </c>
      <c r="J1398" s="182" t="s">
        <v>40</v>
      </c>
      <c r="K1398" s="182" t="s">
        <v>40</v>
      </c>
      <c r="L1398" s="182" t="s">
        <v>40</v>
      </c>
      <c r="M1398" s="182"/>
      <c r="N1398" s="182" t="s">
        <v>40</v>
      </c>
      <c r="O1398" s="182" t="s">
        <v>40</v>
      </c>
      <c r="P1398" s="182" t="s">
        <v>40</v>
      </c>
      <c r="Q1398" s="182"/>
      <c r="R1398" s="182" t="s">
        <v>40</v>
      </c>
      <c r="S1398" s="182" t="s">
        <v>40</v>
      </c>
      <c r="T1398" s="182" t="s">
        <v>40</v>
      </c>
      <c r="U1398" s="182" t="s">
        <v>40</v>
      </c>
      <c r="V1398" s="182" t="s">
        <v>40</v>
      </c>
      <c r="W1398" s="182"/>
      <c r="X1398" s="182" t="s">
        <v>40</v>
      </c>
      <c r="Y1398" s="182" t="s">
        <v>40</v>
      </c>
      <c r="Z1398" s="182" t="s">
        <v>40</v>
      </c>
      <c r="AA1398" s="182" t="s">
        <v>40</v>
      </c>
      <c r="AB1398" s="182" t="s">
        <v>40</v>
      </c>
      <c r="AC1398" s="182"/>
      <c r="AD1398" s="182"/>
      <c r="AF1398" s="195"/>
      <c r="AG1398" s="195"/>
      <c r="AH1398" s="195"/>
      <c r="AI1398" s="195"/>
      <c r="AJ1398" s="195"/>
      <c r="AK1398" s="195"/>
      <c r="AL1398" s="195"/>
      <c r="AM1398" s="195"/>
      <c r="AN1398" s="195"/>
      <c r="AO1398" s="195"/>
      <c r="AP1398" s="195"/>
      <c r="AQ1398" s="195"/>
      <c r="AR1398" s="195"/>
      <c r="AS1398" s="195"/>
    </row>
    <row r="1399" spans="1:45" x14ac:dyDescent="0.2">
      <c r="A1399" s="180"/>
      <c r="D1399" s="181">
        <f>+D1396+D1397</f>
        <v>529.36699999999996</v>
      </c>
      <c r="E1399" s="181">
        <f>+E1396+E1397</f>
        <v>5590.00731</v>
      </c>
      <c r="F1399" s="181">
        <f>+F1396+F1397</f>
        <v>0</v>
      </c>
      <c r="G1399" s="181"/>
      <c r="H1399" s="181">
        <f>+H1396+H1397</f>
        <v>0</v>
      </c>
      <c r="I1399" s="181">
        <f>+I1396+I1397</f>
        <v>0</v>
      </c>
      <c r="J1399" s="181">
        <f>+J1396+J1397</f>
        <v>0</v>
      </c>
      <c r="K1399" s="181">
        <f>+K1396+K1397</f>
        <v>0</v>
      </c>
      <c r="L1399" s="181">
        <f>+L1396+L1397</f>
        <v>0</v>
      </c>
      <c r="M1399" s="181"/>
      <c r="N1399" s="181">
        <f>+N1396+N1397</f>
        <v>5590.00731</v>
      </c>
      <c r="O1399" s="181">
        <f>+O1396+O1397</f>
        <v>0</v>
      </c>
      <c r="P1399" s="181">
        <f>+P1396+P1397</f>
        <v>0</v>
      </c>
      <c r="Q1399" s="181"/>
      <c r="R1399" s="181">
        <f>+R1396+R1397</f>
        <v>0</v>
      </c>
      <c r="S1399" s="181">
        <f>+S1396+S1397</f>
        <v>0</v>
      </c>
      <c r="T1399" s="181">
        <f>+T1396+T1397</f>
        <v>0</v>
      </c>
      <c r="U1399" s="181">
        <f>+U1396+U1397</f>
        <v>0</v>
      </c>
      <c r="V1399" s="181">
        <f>+V1396+V1397</f>
        <v>0</v>
      </c>
      <c r="W1399" s="181"/>
      <c r="X1399" s="181">
        <f>+X1396+X1397</f>
        <v>0</v>
      </c>
      <c r="Y1399" s="181">
        <f>+Y1396+Y1397</f>
        <v>0</v>
      </c>
      <c r="Z1399" s="181">
        <f>+Z1396+Z1397</f>
        <v>529.36699999999996</v>
      </c>
      <c r="AA1399" s="181">
        <f>+AA1396+AA1397</f>
        <v>5590.00731</v>
      </c>
      <c r="AB1399" s="181">
        <f>+AB1396+AB1397</f>
        <v>529.36709999999994</v>
      </c>
      <c r="AC1399" s="181"/>
      <c r="AD1399" s="181"/>
      <c r="AF1399" s="195"/>
      <c r="AG1399" s="195"/>
      <c r="AH1399" s="195"/>
      <c r="AI1399" s="195"/>
      <c r="AJ1399" s="195"/>
      <c r="AK1399" s="195"/>
      <c r="AL1399" s="195"/>
      <c r="AM1399" s="195"/>
      <c r="AN1399" s="195"/>
      <c r="AO1399" s="195"/>
      <c r="AP1399" s="195"/>
      <c r="AQ1399" s="195"/>
      <c r="AR1399" s="195"/>
      <c r="AS1399" s="195"/>
    </row>
    <row r="1400" spans="1:45" x14ac:dyDescent="0.2">
      <c r="A1400" s="180"/>
      <c r="D1400" s="182" t="s">
        <v>40</v>
      </c>
      <c r="E1400" s="182" t="s">
        <v>40</v>
      </c>
      <c r="F1400" s="182" t="s">
        <v>40</v>
      </c>
      <c r="G1400" s="182"/>
      <c r="H1400" s="182" t="s">
        <v>40</v>
      </c>
      <c r="I1400" s="182" t="s">
        <v>40</v>
      </c>
      <c r="J1400" s="182" t="s">
        <v>40</v>
      </c>
      <c r="K1400" s="182" t="s">
        <v>40</v>
      </c>
      <c r="L1400" s="182" t="s">
        <v>40</v>
      </c>
      <c r="M1400" s="182"/>
      <c r="N1400" s="182" t="s">
        <v>40</v>
      </c>
      <c r="O1400" s="182" t="s">
        <v>40</v>
      </c>
      <c r="P1400" s="182" t="s">
        <v>40</v>
      </c>
      <c r="Q1400" s="182"/>
      <c r="R1400" s="182" t="s">
        <v>40</v>
      </c>
      <c r="S1400" s="182" t="s">
        <v>40</v>
      </c>
      <c r="T1400" s="182" t="s">
        <v>40</v>
      </c>
      <c r="U1400" s="182" t="s">
        <v>40</v>
      </c>
      <c r="V1400" s="182" t="s">
        <v>40</v>
      </c>
      <c r="W1400" s="182"/>
      <c r="X1400" s="182" t="s">
        <v>40</v>
      </c>
      <c r="Y1400" s="182" t="s">
        <v>40</v>
      </c>
      <c r="Z1400" s="182" t="s">
        <v>40</v>
      </c>
      <c r="AA1400" s="182" t="s">
        <v>40</v>
      </c>
      <c r="AB1400" s="182" t="s">
        <v>40</v>
      </c>
      <c r="AC1400" s="182"/>
      <c r="AD1400" s="182"/>
      <c r="AF1400" s="195"/>
      <c r="AG1400" s="195"/>
      <c r="AH1400" s="195"/>
      <c r="AI1400" s="195"/>
      <c r="AJ1400" s="195"/>
      <c r="AK1400" s="195"/>
      <c r="AL1400" s="195"/>
      <c r="AM1400" s="195"/>
      <c r="AN1400" s="195"/>
      <c r="AO1400" s="195"/>
      <c r="AP1400" s="195"/>
      <c r="AQ1400" s="195"/>
      <c r="AR1400" s="195"/>
      <c r="AS1400" s="195"/>
    </row>
    <row r="1401" spans="1:45" x14ac:dyDescent="0.2">
      <c r="A1401" s="180"/>
      <c r="D1401" s="182"/>
      <c r="E1401" s="182"/>
      <c r="F1401" s="182"/>
      <c r="G1401" s="182"/>
      <c r="H1401" s="182"/>
      <c r="I1401" s="182"/>
      <c r="J1401" s="182"/>
      <c r="K1401" s="182"/>
      <c r="L1401" s="182"/>
      <c r="M1401" s="182"/>
      <c r="N1401" s="182"/>
      <c r="O1401" s="182"/>
      <c r="P1401" s="182"/>
      <c r="Q1401" s="182"/>
      <c r="R1401" s="182"/>
      <c r="S1401" s="182"/>
      <c r="T1401" s="182"/>
      <c r="U1401" s="182"/>
      <c r="V1401" s="182"/>
      <c r="W1401" s="182"/>
      <c r="X1401" s="182"/>
      <c r="Y1401" s="182"/>
      <c r="Z1401" s="182"/>
      <c r="AA1401" s="182"/>
      <c r="AB1401" s="182"/>
      <c r="AC1401" s="182"/>
      <c r="AD1401" s="182"/>
      <c r="AF1401" s="195"/>
      <c r="AG1401" s="195"/>
      <c r="AH1401" s="195"/>
      <c r="AI1401" s="195"/>
      <c r="AJ1401" s="195"/>
      <c r="AK1401" s="195"/>
      <c r="AL1401" s="195"/>
      <c r="AM1401" s="195"/>
      <c r="AN1401" s="195"/>
      <c r="AO1401" s="195"/>
      <c r="AP1401" s="195"/>
      <c r="AQ1401" s="195"/>
      <c r="AR1401" s="195"/>
      <c r="AS1401" s="195"/>
    </row>
    <row r="1402" spans="1:45" x14ac:dyDescent="0.2">
      <c r="A1402" s="180">
        <v>111</v>
      </c>
      <c r="B1402" s="168" t="s">
        <v>116</v>
      </c>
      <c r="C1402" s="168" t="s">
        <v>35</v>
      </c>
      <c r="D1402" s="181">
        <f>TOBEPAID!D1060/1000</f>
        <v>0</v>
      </c>
      <c r="E1402" s="181">
        <f>TOBEPAID!E1060/1000</f>
        <v>0</v>
      </c>
      <c r="F1402" s="181">
        <f>TOBEPAID!F1060/1000</f>
        <v>0</v>
      </c>
      <c r="G1402" s="181">
        <f>TOBEPAID!G1060/1000</f>
        <v>0</v>
      </c>
      <c r="H1402" s="181">
        <v>0</v>
      </c>
      <c r="I1402" s="181">
        <f>TOBEPAID!I1060/1000</f>
        <v>0</v>
      </c>
      <c r="J1402" s="181">
        <f>TOBEPAID!J1060/1000</f>
        <v>0</v>
      </c>
      <c r="K1402" s="181">
        <f>TOBEPAID!K1060/1000</f>
        <v>0</v>
      </c>
      <c r="L1402" s="181">
        <f>TOBEPAID!L1060/1000</f>
        <v>0</v>
      </c>
      <c r="M1402" s="181">
        <f>TOBEPAID!M1060/1000</f>
        <v>0</v>
      </c>
      <c r="N1402" s="181">
        <f>TOBEPAID!N1060/1000</f>
        <v>0</v>
      </c>
      <c r="O1402" s="181">
        <f>TOBEPAID!O1060/1000</f>
        <v>2564.3158800000001</v>
      </c>
      <c r="P1402" s="181">
        <f>TOBEPAID!P1060/1000</f>
        <v>0</v>
      </c>
      <c r="Q1402" s="181">
        <f>TOBEPAID!Q1060/1000</f>
        <v>0</v>
      </c>
      <c r="R1402" s="181">
        <f>2528938.56/1000</f>
        <v>2528.9385600000001</v>
      </c>
      <c r="S1402" s="181">
        <f>TOBEPAID!S1060/1000</f>
        <v>0</v>
      </c>
      <c r="T1402" s="181">
        <f>TOBEPAID!T1060/1000</f>
        <v>0</v>
      </c>
      <c r="U1402" s="181">
        <f>TOBEPAID!U1060/1000</f>
        <v>0</v>
      </c>
      <c r="V1402" s="181">
        <f>TOBEPAID!V1060/1000</f>
        <v>0</v>
      </c>
      <c r="W1402" s="181">
        <f>TOBEPAID!W1060/1000</f>
        <v>0</v>
      </c>
      <c r="X1402" s="181">
        <f>TOBEPAID!X1060/1000</f>
        <v>2564.3158800000001</v>
      </c>
      <c r="Y1402" s="181">
        <f t="shared" ref="Y1402:Y1408" si="259">+H1402+R1402</f>
        <v>2528.9385600000001</v>
      </c>
      <c r="Z1402" s="181">
        <f t="shared" ref="Z1402:Z1408" si="260">+D1402-Y1402</f>
        <v>-2528.9385600000001</v>
      </c>
      <c r="AA1402" s="181">
        <f>TOBEPAID!AA1060/1000</f>
        <v>2564.3158800000001</v>
      </c>
      <c r="AB1402" s="181">
        <f>TOBEPAID!AB1060/1000</f>
        <v>-2564.3158800000001</v>
      </c>
      <c r="AC1402" s="181" t="s">
        <v>321</v>
      </c>
      <c r="AD1402" s="181"/>
      <c r="AF1402" s="195"/>
      <c r="AG1402" s="195"/>
      <c r="AH1402" s="195"/>
      <c r="AI1402" s="195"/>
      <c r="AJ1402" s="195"/>
      <c r="AK1402" s="195"/>
      <c r="AL1402" s="195"/>
      <c r="AM1402" s="195"/>
      <c r="AN1402" s="195"/>
      <c r="AO1402" s="195"/>
      <c r="AP1402" s="195"/>
      <c r="AQ1402" s="195"/>
      <c r="AR1402" s="195"/>
      <c r="AS1402" s="195"/>
    </row>
    <row r="1403" spans="1:45" x14ac:dyDescent="0.2">
      <c r="A1403" s="180"/>
      <c r="B1403" s="168"/>
      <c r="C1403" s="168" t="s">
        <v>441</v>
      </c>
      <c r="D1403" s="181">
        <f>40000000/1000</f>
        <v>40000</v>
      </c>
      <c r="E1403" s="181"/>
      <c r="F1403" s="181"/>
      <c r="G1403" s="181"/>
      <c r="H1403" s="181">
        <f>40000000/1000</f>
        <v>40000</v>
      </c>
      <c r="I1403" s="181"/>
      <c r="J1403" s="181"/>
      <c r="K1403" s="181"/>
      <c r="L1403" s="181"/>
      <c r="M1403" s="181"/>
      <c r="N1403" s="181"/>
      <c r="O1403" s="181"/>
      <c r="P1403" s="181"/>
      <c r="Q1403" s="181"/>
      <c r="R1403" s="181">
        <v>0</v>
      </c>
      <c r="S1403" s="181"/>
      <c r="T1403" s="181"/>
      <c r="U1403" s="181"/>
      <c r="V1403" s="181"/>
      <c r="W1403" s="181"/>
      <c r="X1403" s="181"/>
      <c r="Y1403" s="181">
        <f t="shared" si="259"/>
        <v>40000</v>
      </c>
      <c r="Z1403" s="181">
        <f t="shared" si="260"/>
        <v>0</v>
      </c>
      <c r="AA1403" s="181"/>
      <c r="AB1403" s="181"/>
      <c r="AC1403" s="181"/>
      <c r="AD1403" s="181"/>
      <c r="AF1403" s="195"/>
      <c r="AG1403" s="195"/>
      <c r="AH1403" s="195"/>
      <c r="AI1403" s="195"/>
      <c r="AJ1403" s="195"/>
      <c r="AK1403" s="195"/>
      <c r="AL1403" s="195"/>
      <c r="AM1403" s="195"/>
      <c r="AN1403" s="195"/>
      <c r="AO1403" s="195"/>
      <c r="AP1403" s="195"/>
      <c r="AQ1403" s="195"/>
      <c r="AR1403" s="195"/>
      <c r="AS1403" s="195"/>
    </row>
    <row r="1404" spans="1:45" x14ac:dyDescent="0.2">
      <c r="A1404" s="180"/>
      <c r="B1404" s="168"/>
      <c r="C1404" s="168" t="s">
        <v>476</v>
      </c>
      <c r="D1404" s="181">
        <f>284360.2/1000</f>
        <v>284.36020000000002</v>
      </c>
      <c r="E1404" s="181"/>
      <c r="F1404" s="181"/>
      <c r="G1404" s="181"/>
      <c r="H1404" s="181">
        <v>0</v>
      </c>
      <c r="I1404" s="181"/>
      <c r="J1404" s="181"/>
      <c r="K1404" s="181"/>
      <c r="L1404" s="181"/>
      <c r="M1404" s="181"/>
      <c r="N1404" s="181"/>
      <c r="O1404" s="181"/>
      <c r="P1404" s="181"/>
      <c r="Q1404" s="181"/>
      <c r="R1404" s="181">
        <f>284360.2/1000</f>
        <v>284.36020000000002</v>
      </c>
      <c r="S1404" s="181"/>
      <c r="T1404" s="181"/>
      <c r="U1404" s="181"/>
      <c r="V1404" s="181"/>
      <c r="W1404" s="181"/>
      <c r="X1404" s="181"/>
      <c r="Y1404" s="181">
        <f t="shared" si="259"/>
        <v>284.36020000000002</v>
      </c>
      <c r="Z1404" s="181">
        <f t="shared" si="260"/>
        <v>0</v>
      </c>
      <c r="AA1404" s="181"/>
      <c r="AB1404" s="181"/>
      <c r="AC1404" s="181"/>
      <c r="AD1404" s="181"/>
      <c r="AF1404" s="195"/>
      <c r="AG1404" s="195"/>
      <c r="AH1404" s="195"/>
      <c r="AI1404" s="195"/>
      <c r="AJ1404" s="195"/>
      <c r="AK1404" s="195"/>
      <c r="AL1404" s="195"/>
      <c r="AM1404" s="195"/>
      <c r="AN1404" s="195"/>
      <c r="AO1404" s="195"/>
      <c r="AP1404" s="195"/>
      <c r="AQ1404" s="195"/>
      <c r="AR1404" s="195"/>
      <c r="AS1404" s="195"/>
    </row>
    <row r="1405" spans="1:45" x14ac:dyDescent="0.2">
      <c r="A1405" s="180"/>
      <c r="B1405" s="168"/>
      <c r="C1405" s="168" t="s">
        <v>477</v>
      </c>
      <c r="D1405" s="181">
        <f>972000/1000</f>
        <v>972</v>
      </c>
      <c r="E1405" s="181"/>
      <c r="F1405" s="181"/>
      <c r="G1405" s="181"/>
      <c r="H1405" s="181">
        <f>972000/1000</f>
        <v>972</v>
      </c>
      <c r="I1405" s="181"/>
      <c r="J1405" s="181"/>
      <c r="K1405" s="181"/>
      <c r="L1405" s="181"/>
      <c r="M1405" s="181"/>
      <c r="N1405" s="181"/>
      <c r="O1405" s="181"/>
      <c r="P1405" s="181"/>
      <c r="Q1405" s="181"/>
      <c r="R1405" s="181">
        <v>0</v>
      </c>
      <c r="S1405" s="181"/>
      <c r="T1405" s="181"/>
      <c r="U1405" s="181"/>
      <c r="V1405" s="181"/>
      <c r="W1405" s="181"/>
      <c r="X1405" s="181"/>
      <c r="Y1405" s="181">
        <f t="shared" si="259"/>
        <v>972</v>
      </c>
      <c r="Z1405" s="181">
        <f t="shared" si="260"/>
        <v>0</v>
      </c>
      <c r="AA1405" s="181"/>
      <c r="AB1405" s="181"/>
      <c r="AC1405" s="181"/>
      <c r="AD1405" s="181"/>
      <c r="AF1405" s="195"/>
      <c r="AG1405" s="195"/>
      <c r="AH1405" s="195"/>
      <c r="AI1405" s="195"/>
      <c r="AJ1405" s="195"/>
      <c r="AK1405" s="195"/>
      <c r="AL1405" s="195"/>
      <c r="AM1405" s="195"/>
      <c r="AN1405" s="195"/>
      <c r="AO1405" s="195"/>
      <c r="AP1405" s="195"/>
      <c r="AQ1405" s="195"/>
      <c r="AR1405" s="195"/>
      <c r="AS1405" s="195"/>
    </row>
    <row r="1406" spans="1:45" x14ac:dyDescent="0.2">
      <c r="A1406" s="180"/>
      <c r="B1406" s="168"/>
      <c r="C1406" s="168" t="s">
        <v>479</v>
      </c>
      <c r="D1406" s="181">
        <f>28962000/1000</f>
        <v>28962</v>
      </c>
      <c r="E1406" s="181"/>
      <c r="F1406" s="181"/>
      <c r="G1406" s="181"/>
      <c r="H1406" s="181">
        <f>28961676.51/1000</f>
        <v>28961.676510000001</v>
      </c>
      <c r="I1406" s="181"/>
      <c r="J1406" s="181"/>
      <c r="K1406" s="181"/>
      <c r="L1406" s="181"/>
      <c r="M1406" s="181"/>
      <c r="N1406" s="181"/>
      <c r="O1406" s="181"/>
      <c r="P1406" s="181"/>
      <c r="Q1406" s="181"/>
      <c r="R1406" s="181">
        <v>0</v>
      </c>
      <c r="S1406" s="181"/>
      <c r="T1406" s="181"/>
      <c r="U1406" s="181"/>
      <c r="V1406" s="181"/>
      <c r="W1406" s="181"/>
      <c r="X1406" s="181"/>
      <c r="Y1406" s="181">
        <f>+H1406+R1406</f>
        <v>28961.676510000001</v>
      </c>
      <c r="Z1406" s="181">
        <f t="shared" si="260"/>
        <v>0.32348999999885564</v>
      </c>
      <c r="AA1406" s="181"/>
      <c r="AB1406" s="181"/>
      <c r="AC1406" s="181"/>
      <c r="AD1406" s="181"/>
      <c r="AF1406" s="195"/>
      <c r="AG1406" s="195"/>
      <c r="AH1406" s="195"/>
      <c r="AI1406" s="195"/>
      <c r="AJ1406" s="195"/>
      <c r="AK1406" s="195"/>
      <c r="AL1406" s="195"/>
      <c r="AM1406" s="195"/>
      <c r="AN1406" s="195"/>
      <c r="AO1406" s="195"/>
      <c r="AP1406" s="195"/>
      <c r="AQ1406" s="195"/>
      <c r="AR1406" s="195"/>
      <c r="AS1406" s="195"/>
    </row>
    <row r="1407" spans="1:45" x14ac:dyDescent="0.2">
      <c r="A1407" s="180"/>
      <c r="C1407" s="168" t="s">
        <v>36</v>
      </c>
      <c r="D1407" s="181">
        <f>2297834/1000</f>
        <v>2297.8339999999998</v>
      </c>
      <c r="E1407" s="181">
        <f>TOBEPAID!E1061/1000</f>
        <v>2297.8340800000001</v>
      </c>
      <c r="F1407" s="181">
        <f>TOBEPAID!F1061/1000</f>
        <v>0</v>
      </c>
      <c r="G1407" s="181">
        <f>TOBEPAID!G1061/1000</f>
        <v>0</v>
      </c>
      <c r="H1407" s="181">
        <f>2297834/1000</f>
        <v>2297.8339999999998</v>
      </c>
      <c r="I1407" s="181">
        <f>TOBEPAID!I1061/1000</f>
        <v>0</v>
      </c>
      <c r="J1407" s="181">
        <f>TOBEPAID!J1061/1000</f>
        <v>0</v>
      </c>
      <c r="K1407" s="181">
        <f>TOBEPAID!K1061/1000</f>
        <v>0</v>
      </c>
      <c r="L1407" s="181">
        <f>TOBEPAID!L1061/1000</f>
        <v>0</v>
      </c>
      <c r="M1407" s="181">
        <f>TOBEPAID!M1061/1000</f>
        <v>0</v>
      </c>
      <c r="N1407" s="181">
        <f>TOBEPAID!N1061/1000</f>
        <v>2297.8340800000001</v>
      </c>
      <c r="O1407" s="181">
        <f>TOBEPAID!O1061/1000</f>
        <v>0</v>
      </c>
      <c r="P1407" s="181">
        <f>TOBEPAID!P1061/1000</f>
        <v>0</v>
      </c>
      <c r="Q1407" s="181">
        <f>TOBEPAID!Q1061/1000</f>
        <v>0</v>
      </c>
      <c r="R1407" s="181">
        <v>0</v>
      </c>
      <c r="S1407" s="181">
        <f>TOBEPAID!S1061/1000</f>
        <v>0</v>
      </c>
      <c r="T1407" s="181">
        <f>TOBEPAID!T1061/1000</f>
        <v>0</v>
      </c>
      <c r="U1407" s="181">
        <f>TOBEPAID!U1061/1000</f>
        <v>0</v>
      </c>
      <c r="V1407" s="181">
        <f>TOBEPAID!V1061/1000</f>
        <v>0</v>
      </c>
      <c r="W1407" s="181">
        <f>TOBEPAID!W1061/1000</f>
        <v>0</v>
      </c>
      <c r="X1407" s="181">
        <f>TOBEPAID!X1061/1000</f>
        <v>0</v>
      </c>
      <c r="Y1407" s="181">
        <f t="shared" si="259"/>
        <v>2297.8339999999998</v>
      </c>
      <c r="Z1407" s="181">
        <f t="shared" si="260"/>
        <v>0</v>
      </c>
      <c r="AA1407" s="181">
        <f>TOBEPAID!AA1061/1000</f>
        <v>2297.8340800000001</v>
      </c>
      <c r="AB1407" s="181">
        <f>TOBEPAID!AB1061/1000</f>
        <v>0</v>
      </c>
      <c r="AC1407" s="181"/>
      <c r="AD1407" s="181"/>
      <c r="AF1407" s="195"/>
      <c r="AG1407" s="195"/>
      <c r="AH1407" s="195"/>
      <c r="AI1407" s="195"/>
      <c r="AJ1407" s="195"/>
      <c r="AK1407" s="195"/>
      <c r="AL1407" s="195"/>
      <c r="AM1407" s="195"/>
      <c r="AN1407" s="195"/>
      <c r="AO1407" s="195"/>
      <c r="AP1407" s="195"/>
      <c r="AQ1407" s="195"/>
      <c r="AR1407" s="195"/>
      <c r="AS1407" s="195"/>
    </row>
    <row r="1408" spans="1:45" x14ac:dyDescent="0.2">
      <c r="A1408" s="180"/>
      <c r="C1408" s="168" t="s">
        <v>44</v>
      </c>
      <c r="D1408" s="181">
        <f>17250000/1000</f>
        <v>17250</v>
      </c>
      <c r="E1408" s="181">
        <f>TOBEPAID!E1062/1000</f>
        <v>17250</v>
      </c>
      <c r="F1408" s="181">
        <f>TOBEPAID!F1062/1000</f>
        <v>0</v>
      </c>
      <c r="G1408" s="181">
        <f>TOBEPAID!G1062/1000</f>
        <v>0</v>
      </c>
      <c r="H1408" s="181">
        <f>17250000/1000</f>
        <v>17250</v>
      </c>
      <c r="I1408" s="181">
        <f>TOBEPAID!I1062/1000</f>
        <v>0</v>
      </c>
      <c r="J1408" s="181">
        <f>TOBEPAID!J1062/1000</f>
        <v>0</v>
      </c>
      <c r="K1408" s="181">
        <f>TOBEPAID!K1062/1000</f>
        <v>0</v>
      </c>
      <c r="L1408" s="181">
        <f>TOBEPAID!L1062/1000</f>
        <v>0</v>
      </c>
      <c r="M1408" s="181">
        <f>TOBEPAID!M1062/1000</f>
        <v>0</v>
      </c>
      <c r="N1408" s="181">
        <f>TOBEPAID!N1062/1000</f>
        <v>17250</v>
      </c>
      <c r="O1408" s="181">
        <f>TOBEPAID!O1062/1000</f>
        <v>0</v>
      </c>
      <c r="P1408" s="181">
        <f>TOBEPAID!P1062/1000</f>
        <v>0</v>
      </c>
      <c r="Q1408" s="181">
        <f>TOBEPAID!Q1062/1000</f>
        <v>0</v>
      </c>
      <c r="R1408" s="181">
        <v>0</v>
      </c>
      <c r="S1408" s="181">
        <f>TOBEPAID!S1062/1000</f>
        <v>0</v>
      </c>
      <c r="T1408" s="181">
        <f>TOBEPAID!T1062/1000</f>
        <v>0</v>
      </c>
      <c r="U1408" s="181">
        <f>TOBEPAID!U1062/1000</f>
        <v>0</v>
      </c>
      <c r="V1408" s="181">
        <f>TOBEPAID!V1062/1000</f>
        <v>0</v>
      </c>
      <c r="W1408" s="181">
        <f>TOBEPAID!W1062/1000</f>
        <v>0</v>
      </c>
      <c r="X1408" s="181">
        <f>TOBEPAID!X1062/1000</f>
        <v>0</v>
      </c>
      <c r="Y1408" s="181">
        <f t="shared" si="259"/>
        <v>17250</v>
      </c>
      <c r="Z1408" s="181">
        <f t="shared" si="260"/>
        <v>0</v>
      </c>
      <c r="AA1408" s="181">
        <f>TOBEPAID!AA1062/1000</f>
        <v>17250</v>
      </c>
      <c r="AB1408" s="181">
        <f>TOBEPAID!AB1062/1000</f>
        <v>0</v>
      </c>
      <c r="AC1408" s="181"/>
      <c r="AD1408" s="181"/>
      <c r="AF1408" s="195"/>
      <c r="AG1408" s="195"/>
      <c r="AH1408" s="195"/>
      <c r="AI1408" s="195"/>
      <c r="AJ1408" s="195"/>
      <c r="AK1408" s="195"/>
      <c r="AL1408" s="195"/>
      <c r="AM1408" s="195"/>
      <c r="AN1408" s="195"/>
      <c r="AO1408" s="195"/>
      <c r="AP1408" s="195"/>
      <c r="AQ1408" s="195"/>
      <c r="AR1408" s="195"/>
      <c r="AS1408" s="195"/>
    </row>
    <row r="1409" spans="1:45" ht="16.5" customHeight="1" x14ac:dyDescent="0.2">
      <c r="A1409" s="180"/>
      <c r="D1409" s="182" t="s">
        <v>40</v>
      </c>
      <c r="E1409" s="182" t="s">
        <v>40</v>
      </c>
      <c r="F1409" s="182" t="s">
        <v>40</v>
      </c>
      <c r="G1409" s="182"/>
      <c r="H1409" s="182" t="s">
        <v>40</v>
      </c>
      <c r="I1409" s="182" t="s">
        <v>40</v>
      </c>
      <c r="J1409" s="182" t="s">
        <v>40</v>
      </c>
      <c r="K1409" s="182" t="s">
        <v>40</v>
      </c>
      <c r="L1409" s="182" t="s">
        <v>40</v>
      </c>
      <c r="M1409" s="182"/>
      <c r="N1409" s="182" t="s">
        <v>40</v>
      </c>
      <c r="O1409" s="182" t="s">
        <v>40</v>
      </c>
      <c r="P1409" s="182" t="s">
        <v>40</v>
      </c>
      <c r="Q1409" s="182"/>
      <c r="R1409" s="182" t="s">
        <v>40</v>
      </c>
      <c r="S1409" s="182" t="s">
        <v>40</v>
      </c>
      <c r="T1409" s="182" t="s">
        <v>40</v>
      </c>
      <c r="U1409" s="182" t="s">
        <v>40</v>
      </c>
      <c r="V1409" s="182" t="s">
        <v>40</v>
      </c>
      <c r="W1409" s="182"/>
      <c r="X1409" s="182" t="s">
        <v>40</v>
      </c>
      <c r="Y1409" s="182" t="s">
        <v>40</v>
      </c>
      <c r="Z1409" s="182" t="s">
        <v>40</v>
      </c>
      <c r="AA1409" s="182" t="s">
        <v>40</v>
      </c>
      <c r="AB1409" s="182" t="s">
        <v>40</v>
      </c>
      <c r="AC1409" s="182"/>
      <c r="AD1409" s="182"/>
      <c r="AF1409" s="195"/>
      <c r="AG1409" s="195"/>
      <c r="AH1409" s="195"/>
      <c r="AI1409" s="195"/>
      <c r="AJ1409" s="195"/>
      <c r="AK1409" s="195"/>
      <c r="AL1409" s="195"/>
      <c r="AM1409" s="195"/>
      <c r="AN1409" s="195"/>
      <c r="AO1409" s="195"/>
      <c r="AP1409" s="195"/>
      <c r="AQ1409" s="195"/>
      <c r="AR1409" s="195"/>
      <c r="AS1409" s="195">
        <f t="shared" ref="AS1409:AS1421" si="261">+AF1410-AK1410-AP1410</f>
        <v>-5590.00731</v>
      </c>
    </row>
    <row r="1410" spans="1:45" x14ac:dyDescent="0.2">
      <c r="A1410" s="180"/>
      <c r="D1410" s="181">
        <f>SUM(D1402:D1408)</f>
        <v>89766.194199999998</v>
      </c>
      <c r="E1410" s="181">
        <f>SUM(E1402:E1408)</f>
        <v>19547.834080000001</v>
      </c>
      <c r="F1410" s="181">
        <f>SUM(F1402:F1408)</f>
        <v>0</v>
      </c>
      <c r="G1410" s="181"/>
      <c r="H1410" s="181">
        <f>SUM(H1402:H1408)</f>
        <v>89481.510510000007</v>
      </c>
      <c r="I1410" s="181">
        <f>SUM(I1402:I1408)</f>
        <v>0</v>
      </c>
      <c r="J1410" s="181">
        <f>SUM(J1402:J1408)</f>
        <v>0</v>
      </c>
      <c r="K1410" s="181">
        <f>SUM(K1402:K1408)</f>
        <v>0</v>
      </c>
      <c r="L1410" s="181">
        <f>SUM(L1402:L1408)</f>
        <v>0</v>
      </c>
      <c r="M1410" s="181"/>
      <c r="N1410" s="181">
        <f>SUM(N1402:N1408)</f>
        <v>19547.834080000001</v>
      </c>
      <c r="O1410" s="181">
        <f>SUM(O1402:O1408)</f>
        <v>2564.3158800000001</v>
      </c>
      <c r="P1410" s="181">
        <f>SUM(P1402:P1408)</f>
        <v>0</v>
      </c>
      <c r="Q1410" s="181"/>
      <c r="R1410" s="181">
        <f>SUM(R1402:R1408)</f>
        <v>2813.2987600000001</v>
      </c>
      <c r="S1410" s="181">
        <f>SUM(S1402:S1408)</f>
        <v>0</v>
      </c>
      <c r="T1410" s="181">
        <f>SUM(T1402:T1408)</f>
        <v>0</v>
      </c>
      <c r="U1410" s="181">
        <f>SUM(U1402:U1408)</f>
        <v>0</v>
      </c>
      <c r="V1410" s="181">
        <f>SUM(V1402:V1408)</f>
        <v>0</v>
      </c>
      <c r="W1410" s="181"/>
      <c r="X1410" s="181">
        <f>SUM(X1402:X1408)</f>
        <v>2564.3158800000001</v>
      </c>
      <c r="Y1410" s="181">
        <f>SUM(Y1402:Y1408)</f>
        <v>92294.809270000012</v>
      </c>
      <c r="Z1410" s="181">
        <f>SUM(Z1402:Z1408)</f>
        <v>-2528.6150700000012</v>
      </c>
      <c r="AA1410" s="181">
        <f>SUM(AA1402:AA1408)</f>
        <v>22112.149960000002</v>
      </c>
      <c r="AB1410" s="181">
        <f>SUM(AB1402:AB1408)</f>
        <v>-2564.3158800000001</v>
      </c>
      <c r="AC1410" s="181"/>
      <c r="AD1410" s="181"/>
      <c r="AF1410" s="195">
        <f>+D1397</f>
        <v>0</v>
      </c>
      <c r="AG1410" s="195">
        <f>+E1397</f>
        <v>5590.00731</v>
      </c>
      <c r="AH1410" s="195">
        <f>+F1397</f>
        <v>0</v>
      </c>
      <c r="AI1410" s="195">
        <f>+AG1410+AH1410</f>
        <v>5590.00731</v>
      </c>
      <c r="AJ1410" s="195">
        <f>+L1397</f>
        <v>0</v>
      </c>
      <c r="AK1410" s="195">
        <f>+AI1410+AJ1410</f>
        <v>5590.00731</v>
      </c>
      <c r="AL1410" s="195">
        <f>+O1397</f>
        <v>0</v>
      </c>
      <c r="AM1410" s="195">
        <f>+P1397</f>
        <v>0</v>
      </c>
      <c r="AN1410" s="195">
        <f>+AL1410+AM1410</f>
        <v>0</v>
      </c>
      <c r="AO1410" s="195">
        <f>+V1397</f>
        <v>0</v>
      </c>
      <c r="AP1410" s="195">
        <f>+AN1396+AO1396</f>
        <v>0</v>
      </c>
      <c r="AQ1410" s="195">
        <f>+AI1410+AN1410</f>
        <v>5590.00731</v>
      </c>
      <c r="AR1410" s="195">
        <f>+Z1397</f>
        <v>0</v>
      </c>
      <c r="AS1410" s="195">
        <f t="shared" si="261"/>
        <v>0</v>
      </c>
    </row>
    <row r="1411" spans="1:45" hidden="1" x14ac:dyDescent="0.2">
      <c r="A1411" s="180"/>
      <c r="D1411" s="182" t="s">
        <v>40</v>
      </c>
      <c r="E1411" s="182" t="s">
        <v>40</v>
      </c>
      <c r="F1411" s="182" t="s">
        <v>40</v>
      </c>
      <c r="G1411" s="182"/>
      <c r="H1411" s="182" t="s">
        <v>40</v>
      </c>
      <c r="I1411" s="182" t="s">
        <v>40</v>
      </c>
      <c r="J1411" s="182" t="s">
        <v>40</v>
      </c>
      <c r="K1411" s="182" t="s">
        <v>40</v>
      </c>
      <c r="L1411" s="182" t="s">
        <v>40</v>
      </c>
      <c r="M1411" s="182"/>
      <c r="N1411" s="182" t="s">
        <v>40</v>
      </c>
      <c r="O1411" s="182" t="s">
        <v>40</v>
      </c>
      <c r="P1411" s="182" t="s">
        <v>40</v>
      </c>
      <c r="Q1411" s="182"/>
      <c r="R1411" s="182" t="s">
        <v>40</v>
      </c>
      <c r="S1411" s="182" t="s">
        <v>40</v>
      </c>
      <c r="T1411" s="182" t="s">
        <v>40</v>
      </c>
      <c r="U1411" s="182" t="s">
        <v>40</v>
      </c>
      <c r="V1411" s="182" t="s">
        <v>40</v>
      </c>
      <c r="W1411" s="182"/>
      <c r="X1411" s="182" t="s">
        <v>40</v>
      </c>
      <c r="Y1411" s="182" t="s">
        <v>40</v>
      </c>
      <c r="Z1411" s="182" t="s">
        <v>40</v>
      </c>
      <c r="AA1411" s="182" t="s">
        <v>40</v>
      </c>
      <c r="AB1411" s="182" t="s">
        <v>40</v>
      </c>
      <c r="AC1411" s="182"/>
      <c r="AD1411" s="182"/>
      <c r="AE1411" s="194" t="s">
        <v>305</v>
      </c>
      <c r="AF1411" s="195">
        <f>+D1373</f>
        <v>2000</v>
      </c>
      <c r="AG1411" s="195">
        <f>E1373</f>
        <v>0</v>
      </c>
      <c r="AH1411" s="195">
        <f>F1373</f>
        <v>0</v>
      </c>
      <c r="AI1411" s="195">
        <f>+AG1411+AH1411</f>
        <v>0</v>
      </c>
      <c r="AJ1411" s="195">
        <f>L1373</f>
        <v>0</v>
      </c>
      <c r="AK1411" s="195">
        <f>+AI1370</f>
        <v>0</v>
      </c>
      <c r="AL1411" s="195">
        <f>O1373</f>
        <v>2000</v>
      </c>
      <c r="AM1411" s="195">
        <f>P1373</f>
        <v>0</v>
      </c>
      <c r="AN1411" s="195">
        <f>+AL1411+AM1411</f>
        <v>2000</v>
      </c>
      <c r="AO1411" s="195">
        <f>V1373</f>
        <v>0</v>
      </c>
      <c r="AP1411" s="195">
        <f>+AN1411+AO1411</f>
        <v>2000</v>
      </c>
      <c r="AQ1411" s="195">
        <f t="shared" ref="AQ1411:AQ1422" si="262">+AI1411+AN1411</f>
        <v>2000</v>
      </c>
      <c r="AR1411" s="195">
        <f>+AF1370-AQ1370</f>
        <v>0</v>
      </c>
      <c r="AS1411" s="195" t="e">
        <f t="shared" si="261"/>
        <v>#VALUE!</v>
      </c>
    </row>
    <row r="1412" spans="1:45" ht="15.75" hidden="1" thickBot="1" x14ac:dyDescent="0.25">
      <c r="A1412" s="180"/>
      <c r="D1412" s="182"/>
      <c r="E1412" s="182"/>
      <c r="F1412" s="182"/>
      <c r="G1412" s="182"/>
      <c r="H1412" s="182"/>
      <c r="I1412" s="182"/>
      <c r="J1412" s="182"/>
      <c r="K1412" s="182"/>
      <c r="L1412" s="182"/>
      <c r="M1412" s="182"/>
      <c r="N1412" s="182"/>
      <c r="O1412" s="182"/>
      <c r="P1412" s="185">
        <f>532796.43+55960+1222692.05+589852.4</f>
        <v>2401300.88</v>
      </c>
      <c r="Q1412" s="214" t="s">
        <v>321</v>
      </c>
      <c r="R1412" s="214" t="s">
        <v>352</v>
      </c>
      <c r="S1412" s="182"/>
      <c r="T1412" s="182"/>
      <c r="U1412" s="182"/>
      <c r="V1412" s="231"/>
      <c r="W1412" s="182"/>
      <c r="X1412" s="182"/>
      <c r="Y1412" s="182"/>
      <c r="Z1412" s="182"/>
      <c r="AA1412" s="182"/>
      <c r="AB1412" s="182"/>
      <c r="AC1412" s="182"/>
      <c r="AD1412" s="182"/>
      <c r="AE1412" s="186" t="s">
        <v>289</v>
      </c>
      <c r="AF1412" s="195" t="e">
        <f>D1369+D1379+D1390+D1396+D1402+D1413</f>
        <v>#VALUE!</v>
      </c>
      <c r="AG1412" s="195" t="e">
        <f>E1369+E1379+E1390+E1396+E1402+E1413</f>
        <v>#VALUE!</v>
      </c>
      <c r="AH1412" s="195" t="e">
        <f>F1369+F1379+F1390+F1396+F1402+F1413</f>
        <v>#VALUE!</v>
      </c>
      <c r="AI1412" s="195" t="e">
        <f>+AG1412+AH1412</f>
        <v>#VALUE!</v>
      </c>
      <c r="AJ1412" s="195" t="e">
        <f>L1369+L1379+L1390+L1396+L1402+L1413</f>
        <v>#VALUE!</v>
      </c>
      <c r="AK1412" s="195" t="e">
        <f>+AI1412+AJ1412</f>
        <v>#VALUE!</v>
      </c>
      <c r="AL1412" s="195" t="e">
        <f>O1369+O1379+O1390+O1396+O1402+O1413</f>
        <v>#VALUE!</v>
      </c>
      <c r="AM1412" s="195" t="e">
        <f>P1369+P1379+P1390+P1396+P1402+P1413</f>
        <v>#VALUE!</v>
      </c>
      <c r="AN1412" s="195" t="e">
        <f>+AL1412+AM1412</f>
        <v>#VALUE!</v>
      </c>
      <c r="AO1412" s="195" t="e">
        <f>V1369+V1379+V1390+V1396+V1402+V1413</f>
        <v>#VALUE!</v>
      </c>
      <c r="AP1412" s="195" t="e">
        <f>+AN1412+AO1412</f>
        <v>#VALUE!</v>
      </c>
      <c r="AQ1412" s="195" t="e">
        <f t="shared" si="262"/>
        <v>#VALUE!</v>
      </c>
      <c r="AR1412" s="195" t="e">
        <f>+AF1412-AQ1412</f>
        <v>#VALUE!</v>
      </c>
      <c r="AS1412" s="195">
        <f t="shared" si="261"/>
        <v>0</v>
      </c>
    </row>
    <row r="1413" spans="1:45" x14ac:dyDescent="0.2">
      <c r="A1413" s="180"/>
      <c r="B1413" s="168"/>
      <c r="C1413" s="168"/>
      <c r="D1413" s="182" t="s">
        <v>40</v>
      </c>
      <c r="E1413" s="182" t="s">
        <v>40</v>
      </c>
      <c r="F1413" s="182" t="s">
        <v>40</v>
      </c>
      <c r="G1413" s="182"/>
      <c r="H1413" s="182" t="s">
        <v>40</v>
      </c>
      <c r="I1413" s="182" t="s">
        <v>40</v>
      </c>
      <c r="J1413" s="182" t="s">
        <v>40</v>
      </c>
      <c r="K1413" s="182" t="s">
        <v>40</v>
      </c>
      <c r="L1413" s="182" t="s">
        <v>40</v>
      </c>
      <c r="M1413" s="182"/>
      <c r="N1413" s="182" t="s">
        <v>40</v>
      </c>
      <c r="O1413" s="182" t="s">
        <v>40</v>
      </c>
      <c r="P1413" s="182" t="s">
        <v>40</v>
      </c>
      <c r="Q1413" s="182"/>
      <c r="R1413" s="182" t="s">
        <v>40</v>
      </c>
      <c r="S1413" s="182" t="s">
        <v>40</v>
      </c>
      <c r="T1413" s="182" t="s">
        <v>40</v>
      </c>
      <c r="U1413" s="182" t="s">
        <v>40</v>
      </c>
      <c r="V1413" s="182" t="s">
        <v>40</v>
      </c>
      <c r="W1413" s="182"/>
      <c r="X1413" s="182" t="s">
        <v>40</v>
      </c>
      <c r="Y1413" s="182" t="s">
        <v>40</v>
      </c>
      <c r="Z1413" s="182" t="s">
        <v>40</v>
      </c>
      <c r="AA1413" s="182" t="s">
        <v>40</v>
      </c>
      <c r="AB1413" s="182" t="s">
        <v>40</v>
      </c>
      <c r="AC1413" s="182"/>
      <c r="AD1413" s="181"/>
      <c r="AE1413" s="186"/>
      <c r="AF1413" s="195"/>
      <c r="AG1413" s="195"/>
      <c r="AH1413" s="195"/>
      <c r="AI1413" s="195"/>
      <c r="AJ1413" s="195"/>
      <c r="AK1413" s="195"/>
      <c r="AL1413" s="195"/>
      <c r="AM1413" s="195"/>
      <c r="AN1413" s="195"/>
      <c r="AO1413" s="195"/>
      <c r="AP1413" s="195"/>
      <c r="AQ1413" s="195"/>
      <c r="AR1413" s="195"/>
      <c r="AS1413" s="195"/>
    </row>
    <row r="1414" spans="1:45" x14ac:dyDescent="0.2">
      <c r="A1414" s="180"/>
      <c r="B1414" s="168"/>
      <c r="C1414" s="168"/>
      <c r="D1414" s="181"/>
      <c r="E1414" s="181"/>
      <c r="F1414" s="181"/>
      <c r="G1414" s="181"/>
      <c r="H1414" s="181"/>
      <c r="I1414" s="181"/>
      <c r="J1414" s="181"/>
      <c r="K1414" s="181"/>
      <c r="L1414" s="181"/>
      <c r="M1414" s="181"/>
      <c r="N1414" s="181"/>
      <c r="O1414" s="181"/>
      <c r="P1414" s="181"/>
      <c r="Q1414" s="181"/>
      <c r="R1414" s="181"/>
      <c r="S1414" s="181"/>
      <c r="T1414" s="181"/>
      <c r="U1414" s="181"/>
      <c r="V1414" s="181"/>
      <c r="W1414" s="181"/>
      <c r="X1414" s="181"/>
      <c r="Y1414" s="181"/>
      <c r="Z1414" s="181"/>
      <c r="AA1414" s="181"/>
      <c r="AB1414" s="181"/>
      <c r="AC1414" s="181"/>
      <c r="AD1414" s="181"/>
      <c r="AE1414" s="186"/>
      <c r="AF1414" s="195"/>
      <c r="AG1414" s="195"/>
      <c r="AH1414" s="195"/>
      <c r="AI1414" s="195"/>
      <c r="AJ1414" s="195"/>
      <c r="AK1414" s="195"/>
      <c r="AL1414" s="195"/>
      <c r="AM1414" s="195"/>
      <c r="AN1414" s="195"/>
      <c r="AO1414" s="195"/>
      <c r="AP1414" s="195"/>
      <c r="AQ1414" s="195"/>
      <c r="AR1414" s="195"/>
      <c r="AS1414" s="195"/>
    </row>
    <row r="1415" spans="1:45" x14ac:dyDescent="0.2">
      <c r="A1415" s="180"/>
      <c r="B1415" s="168"/>
      <c r="C1415" s="168"/>
      <c r="D1415" s="181"/>
      <c r="E1415" s="181"/>
      <c r="F1415" s="181"/>
      <c r="G1415" s="181"/>
      <c r="H1415" s="181"/>
      <c r="I1415" s="181"/>
      <c r="J1415" s="181"/>
      <c r="K1415" s="181"/>
      <c r="L1415" s="181"/>
      <c r="M1415" s="181"/>
      <c r="N1415" s="181"/>
      <c r="O1415" s="181"/>
      <c r="P1415" s="181"/>
      <c r="Q1415" s="181"/>
      <c r="R1415" s="181"/>
      <c r="S1415" s="181"/>
      <c r="T1415" s="181"/>
      <c r="U1415" s="181"/>
      <c r="V1415" s="181"/>
      <c r="W1415" s="181"/>
      <c r="X1415" s="181"/>
      <c r="Y1415" s="181"/>
      <c r="Z1415" s="181"/>
      <c r="AA1415" s="181"/>
      <c r="AB1415" s="181"/>
      <c r="AC1415" s="181"/>
      <c r="AD1415" s="181"/>
      <c r="AE1415" s="186"/>
      <c r="AF1415" s="195"/>
      <c r="AG1415" s="195"/>
      <c r="AH1415" s="195"/>
      <c r="AI1415" s="195"/>
      <c r="AJ1415" s="195"/>
      <c r="AK1415" s="195"/>
      <c r="AL1415" s="195"/>
      <c r="AM1415" s="195"/>
      <c r="AN1415" s="195"/>
      <c r="AO1415" s="195"/>
      <c r="AP1415" s="195"/>
      <c r="AQ1415" s="195"/>
      <c r="AR1415" s="195"/>
      <c r="AS1415" s="195"/>
    </row>
    <row r="1416" spans="1:45" x14ac:dyDescent="0.2">
      <c r="A1416" s="180"/>
      <c r="B1416" s="168"/>
      <c r="C1416" s="168"/>
      <c r="D1416" s="181"/>
      <c r="E1416" s="181"/>
      <c r="F1416" s="181"/>
      <c r="G1416" s="181"/>
      <c r="H1416" s="181"/>
      <c r="I1416" s="181"/>
      <c r="J1416" s="181"/>
      <c r="K1416" s="181"/>
      <c r="L1416" s="181"/>
      <c r="M1416" s="181"/>
      <c r="N1416" s="181"/>
      <c r="O1416" s="181"/>
      <c r="P1416" s="181"/>
      <c r="Q1416" s="181"/>
      <c r="R1416" s="181"/>
      <c r="S1416" s="181"/>
      <c r="T1416" s="181"/>
      <c r="U1416" s="181"/>
      <c r="V1416" s="181"/>
      <c r="W1416" s="181"/>
      <c r="X1416" s="181"/>
      <c r="Y1416" s="181"/>
      <c r="Z1416" s="181"/>
      <c r="AA1416" s="181"/>
      <c r="AB1416" s="181"/>
      <c r="AC1416" s="181"/>
      <c r="AD1416" s="181"/>
      <c r="AE1416" s="186"/>
      <c r="AF1416" s="195"/>
      <c r="AG1416" s="195"/>
      <c r="AH1416" s="195"/>
      <c r="AI1416" s="195"/>
      <c r="AJ1416" s="195"/>
      <c r="AK1416" s="195"/>
      <c r="AL1416" s="195"/>
      <c r="AM1416" s="195"/>
      <c r="AN1416" s="195"/>
      <c r="AO1416" s="195"/>
      <c r="AP1416" s="195"/>
      <c r="AQ1416" s="195"/>
      <c r="AR1416" s="195"/>
      <c r="AS1416" s="195"/>
    </row>
    <row r="1417" spans="1:45" x14ac:dyDescent="0.2">
      <c r="A1417" s="180">
        <v>112</v>
      </c>
      <c r="B1417" s="165" t="s">
        <v>117</v>
      </c>
      <c r="C1417" s="168" t="s">
        <v>47</v>
      </c>
      <c r="D1417" s="181">
        <f>16125463/1000</f>
        <v>16125.463</v>
      </c>
      <c r="E1417" s="181"/>
      <c r="F1417" s="181"/>
      <c r="G1417" s="181"/>
      <c r="H1417" s="181">
        <f>13395000/1000</f>
        <v>13395</v>
      </c>
      <c r="I1417" s="181"/>
      <c r="J1417" s="181"/>
      <c r="K1417" s="181"/>
      <c r="L1417" s="181"/>
      <c r="M1417" s="181"/>
      <c r="N1417" s="181"/>
      <c r="O1417" s="181"/>
      <c r="P1417" s="181"/>
      <c r="Q1417" s="181"/>
      <c r="R1417" s="181">
        <f>482000/1000</f>
        <v>482</v>
      </c>
      <c r="S1417" s="181"/>
      <c r="T1417" s="181"/>
      <c r="U1417" s="181"/>
      <c r="V1417" s="181"/>
      <c r="W1417" s="181"/>
      <c r="X1417" s="181"/>
      <c r="Y1417" s="181">
        <f>+H1417+R1417</f>
        <v>13877</v>
      </c>
      <c r="Z1417" s="181">
        <f>+D1417-Y1417</f>
        <v>2248.4629999999997</v>
      </c>
      <c r="AA1417" s="181"/>
      <c r="AB1417" s="181"/>
      <c r="AC1417" s="181"/>
      <c r="AD1417" s="181"/>
      <c r="AE1417" s="186"/>
      <c r="AF1417" s="195"/>
      <c r="AG1417" s="195"/>
      <c r="AH1417" s="195"/>
      <c r="AI1417" s="195"/>
      <c r="AJ1417" s="195"/>
      <c r="AK1417" s="195"/>
      <c r="AL1417" s="195"/>
      <c r="AM1417" s="195"/>
      <c r="AN1417" s="195"/>
      <c r="AO1417" s="195"/>
      <c r="AP1417" s="195"/>
      <c r="AQ1417" s="195"/>
      <c r="AR1417" s="195"/>
      <c r="AS1417" s="195"/>
    </row>
    <row r="1418" spans="1:45" ht="15" customHeight="1" x14ac:dyDescent="0.2">
      <c r="C1418" s="168" t="s">
        <v>36</v>
      </c>
      <c r="D1418" s="181">
        <f>2236989/1000</f>
        <v>2236.989</v>
      </c>
      <c r="E1418" s="181">
        <f>TOBEPAID!E1068/1000</f>
        <v>2236.9895999999999</v>
      </c>
      <c r="F1418" s="181">
        <f>TOBEPAID!F1068/1000</f>
        <v>0</v>
      </c>
      <c r="G1418" s="181">
        <f>TOBEPAID!G1068/1000</f>
        <v>0</v>
      </c>
      <c r="H1418" s="181">
        <f>2236989/1000</f>
        <v>2236.989</v>
      </c>
      <c r="I1418" s="181">
        <f>TOBEPAID!I1068/1000</f>
        <v>0</v>
      </c>
      <c r="J1418" s="181">
        <f>TOBEPAID!J1068/1000</f>
        <v>0</v>
      </c>
      <c r="K1418" s="181">
        <f>TOBEPAID!K1068/1000</f>
        <v>0</v>
      </c>
      <c r="L1418" s="181">
        <f>TOBEPAID!L1068/1000</f>
        <v>0</v>
      </c>
      <c r="M1418" s="181">
        <f>TOBEPAID!M1068/1000</f>
        <v>0</v>
      </c>
      <c r="N1418" s="181">
        <f>TOBEPAID!N1068/1000</f>
        <v>2236.9895999999999</v>
      </c>
      <c r="O1418" s="181">
        <f>TOBEPAID!O1068/1000</f>
        <v>0</v>
      </c>
      <c r="P1418" s="181">
        <f>TOBEPAID!P1068/1000</f>
        <v>0</v>
      </c>
      <c r="Q1418" s="181">
        <f>TOBEPAID!Q1068/1000</f>
        <v>0</v>
      </c>
      <c r="R1418" s="181">
        <v>0</v>
      </c>
      <c r="S1418" s="181">
        <f>TOBEPAID!S1068/1000</f>
        <v>0</v>
      </c>
      <c r="T1418" s="181">
        <f>TOBEPAID!T1068/1000</f>
        <v>0</v>
      </c>
      <c r="U1418" s="181">
        <f>TOBEPAID!U1068/1000</f>
        <v>0</v>
      </c>
      <c r="V1418" s="181">
        <f>TOBEPAID!V1068/1000</f>
        <v>0</v>
      </c>
      <c r="W1418" s="181">
        <f>TOBEPAID!W1068/1000</f>
        <v>0</v>
      </c>
      <c r="X1418" s="181">
        <f>TOBEPAID!X1068/1000</f>
        <v>0</v>
      </c>
      <c r="Y1418" s="181">
        <f>+H1418+R1418</f>
        <v>2236.989</v>
      </c>
      <c r="Z1418" s="181">
        <f>+D1418-Y1418</f>
        <v>0</v>
      </c>
      <c r="AA1418" s="181">
        <f>TOBEPAID!AA1068/1000</f>
        <v>2236.9895999999999</v>
      </c>
      <c r="AB1418" s="181">
        <f>TOBEPAID!AB1068/1000</f>
        <v>0</v>
      </c>
      <c r="AC1418" s="181"/>
      <c r="AD1418" s="181"/>
      <c r="AE1418" s="186" t="s">
        <v>36</v>
      </c>
      <c r="AF1418" s="195">
        <f>D1374+D1384+D1420</f>
        <v>8169.512999999999</v>
      </c>
      <c r="AG1418" s="195">
        <f>E1374+E1384+E1420</f>
        <v>0</v>
      </c>
      <c r="AH1418" s="195">
        <f>F1374+F1384+F1420</f>
        <v>0</v>
      </c>
      <c r="AI1418" s="195">
        <f>+AG1418+AH1418</f>
        <v>0</v>
      </c>
      <c r="AJ1418" s="195">
        <f>L1374+L1384+L1420</f>
        <v>0</v>
      </c>
      <c r="AK1418" s="195">
        <f>+AI1418+AJ1418</f>
        <v>0</v>
      </c>
      <c r="AL1418" s="195">
        <f>O1374+O1384+O1420</f>
        <v>0</v>
      </c>
      <c r="AM1418" s="195">
        <f>P1374+P1384+P1420</f>
        <v>0</v>
      </c>
      <c r="AN1418" s="195">
        <f>+AL1418+AM1418</f>
        <v>0</v>
      </c>
      <c r="AO1418" s="195">
        <f>V1374+V1384+V1420</f>
        <v>0</v>
      </c>
      <c r="AP1418" s="195">
        <f>+AN1418+AO1418</f>
        <v>0</v>
      </c>
      <c r="AQ1418" s="195">
        <f t="shared" si="262"/>
        <v>0</v>
      </c>
      <c r="AR1418" s="195">
        <f>+AF1418-AQ1418</f>
        <v>8169.512999999999</v>
      </c>
      <c r="AS1418" s="195">
        <f t="shared" si="261"/>
        <v>6472.6518999999998</v>
      </c>
    </row>
    <row r="1419" spans="1:45" x14ac:dyDescent="0.2">
      <c r="A1419" s="180"/>
      <c r="C1419" s="168" t="s">
        <v>37</v>
      </c>
      <c r="D1419" s="181">
        <v>0</v>
      </c>
      <c r="E1419" s="181">
        <f>TOBEPAID!E1069/1000</f>
        <v>0</v>
      </c>
      <c r="F1419" s="181">
        <f>TOBEPAID!F1069/1000</f>
        <v>0</v>
      </c>
      <c r="G1419" s="181">
        <f>TOBEPAID!G1069/1000</f>
        <v>0</v>
      </c>
      <c r="H1419" s="181">
        <v>0</v>
      </c>
      <c r="I1419" s="181">
        <f>TOBEPAID!I1069/1000</f>
        <v>0</v>
      </c>
      <c r="J1419" s="181">
        <f>TOBEPAID!J1069/1000</f>
        <v>0</v>
      </c>
      <c r="K1419" s="181">
        <f>TOBEPAID!K1069/1000</f>
        <v>0</v>
      </c>
      <c r="L1419" s="181">
        <f>TOBEPAID!L1069/1000</f>
        <v>0</v>
      </c>
      <c r="M1419" s="181">
        <f>TOBEPAID!M1069/1000</f>
        <v>0</v>
      </c>
      <c r="N1419" s="181">
        <f>TOBEPAID!N1069/1000</f>
        <v>0</v>
      </c>
      <c r="O1419" s="181">
        <f>TOBEPAID!O1069/1000</f>
        <v>0</v>
      </c>
      <c r="P1419" s="181">
        <f>TOBEPAID!P1069/1000</f>
        <v>0</v>
      </c>
      <c r="Q1419" s="181">
        <f>TOBEPAID!Q1069/1000</f>
        <v>0</v>
      </c>
      <c r="R1419" s="181">
        <v>0</v>
      </c>
      <c r="S1419" s="181">
        <f>TOBEPAID!S1069/1000</f>
        <v>0</v>
      </c>
      <c r="T1419" s="181">
        <f>TOBEPAID!T1069/1000</f>
        <v>0</v>
      </c>
      <c r="U1419" s="181">
        <f>TOBEPAID!U1069/1000</f>
        <v>0</v>
      </c>
      <c r="V1419" s="181">
        <f>TOBEPAID!V1069/1000</f>
        <v>0</v>
      </c>
      <c r="W1419" s="181">
        <f>TOBEPAID!W1069/1000</f>
        <v>0</v>
      </c>
      <c r="X1419" s="181">
        <f>TOBEPAID!X1069/1000</f>
        <v>0</v>
      </c>
      <c r="Y1419" s="181">
        <f>+H1419+R1419</f>
        <v>0</v>
      </c>
      <c r="Z1419" s="181">
        <f>+D1419-Y1419</f>
        <v>0</v>
      </c>
      <c r="AA1419" s="181">
        <f>TOBEPAID!AA1069/1000</f>
        <v>0</v>
      </c>
      <c r="AB1419" s="181">
        <f>TOBEPAID!AB1069/1000</f>
        <v>616.94712000000004</v>
      </c>
      <c r="AC1419" s="181"/>
      <c r="AD1419" s="181"/>
      <c r="AE1419" s="186" t="s">
        <v>38</v>
      </c>
      <c r="AF1419" s="195">
        <f>+D1381</f>
        <v>6966.5069999999996</v>
      </c>
      <c r="AG1419" s="195">
        <f>+E1381</f>
        <v>0</v>
      </c>
      <c r="AH1419" s="195">
        <f>+F1381</f>
        <v>0</v>
      </c>
      <c r="AI1419" s="195">
        <f>+AG1419+AH1419</f>
        <v>0</v>
      </c>
      <c r="AJ1419" s="195">
        <f>+L1381</f>
        <v>0</v>
      </c>
      <c r="AK1419" s="195">
        <f>+AI1419+AJ1419</f>
        <v>0</v>
      </c>
      <c r="AL1419" s="195">
        <f>+O1381</f>
        <v>493.85509999999999</v>
      </c>
      <c r="AM1419" s="195">
        <f>+P1381</f>
        <v>0</v>
      </c>
      <c r="AN1419" s="195">
        <f>+AL1419+AM1419</f>
        <v>493.85509999999999</v>
      </c>
      <c r="AO1419" s="195">
        <f>+V1381</f>
        <v>0</v>
      </c>
      <c r="AP1419" s="195">
        <f>+AN1419+AO1419</f>
        <v>493.85509999999999</v>
      </c>
      <c r="AQ1419" s="195">
        <f t="shared" si="262"/>
        <v>493.85509999999999</v>
      </c>
      <c r="AR1419" s="195">
        <f>+AF1419-AQ1419</f>
        <v>6472.6518999999998</v>
      </c>
      <c r="AS1419" s="195">
        <f t="shared" si="261"/>
        <v>-7.6999999964755261E-4</v>
      </c>
    </row>
    <row r="1420" spans="1:45" x14ac:dyDescent="0.2">
      <c r="A1420" s="180"/>
      <c r="C1420" s="168" t="s">
        <v>38</v>
      </c>
      <c r="D1420" s="181">
        <v>0</v>
      </c>
      <c r="E1420" s="181">
        <f>TOBEPAID!E1070/1000</f>
        <v>0</v>
      </c>
      <c r="F1420" s="181">
        <f>TOBEPAID!F1070/1000</f>
        <v>0</v>
      </c>
      <c r="G1420" s="181">
        <f>TOBEPAID!G1070/1000</f>
        <v>0</v>
      </c>
      <c r="H1420" s="181">
        <v>0</v>
      </c>
      <c r="I1420" s="181">
        <f>TOBEPAID!I1070/1000</f>
        <v>0</v>
      </c>
      <c r="J1420" s="181">
        <f>TOBEPAID!J1070/1000</f>
        <v>0</v>
      </c>
      <c r="K1420" s="181">
        <f>TOBEPAID!K1070/1000</f>
        <v>0</v>
      </c>
      <c r="L1420" s="181">
        <f>TOBEPAID!L1070/1000</f>
        <v>0</v>
      </c>
      <c r="M1420" s="181">
        <f>TOBEPAID!M1070/1000</f>
        <v>0</v>
      </c>
      <c r="N1420" s="181">
        <f>TOBEPAID!N1070/1000</f>
        <v>0</v>
      </c>
      <c r="O1420" s="181">
        <f>TOBEPAID!O1070/1000</f>
        <v>0</v>
      </c>
      <c r="P1420" s="181">
        <f>TOBEPAID!P1070/1000</f>
        <v>0</v>
      </c>
      <c r="Q1420" s="181">
        <f>TOBEPAID!Q1070/1000</f>
        <v>0</v>
      </c>
      <c r="R1420" s="181">
        <f>TOBEPAID!R1070/1000</f>
        <v>0</v>
      </c>
      <c r="S1420" s="181">
        <f>TOBEPAID!S1070/1000</f>
        <v>0</v>
      </c>
      <c r="T1420" s="181">
        <f>TOBEPAID!T1070/1000</f>
        <v>0</v>
      </c>
      <c r="U1420" s="181">
        <f>TOBEPAID!U1070/1000</f>
        <v>0</v>
      </c>
      <c r="V1420" s="181">
        <f>TOBEPAID!V1070/1000</f>
        <v>0</v>
      </c>
      <c r="W1420" s="181">
        <f>TOBEPAID!W1070/1000</f>
        <v>0</v>
      </c>
      <c r="X1420" s="181">
        <f>TOBEPAID!X1070/1000</f>
        <v>0</v>
      </c>
      <c r="Y1420" s="181">
        <f>+H1420+R1420</f>
        <v>0</v>
      </c>
      <c r="Z1420" s="181">
        <f>+D1420-Y1420</f>
        <v>0</v>
      </c>
      <c r="AA1420" s="181">
        <f>TOBEPAID!AA1070/1000</f>
        <v>0</v>
      </c>
      <c r="AB1420" s="181">
        <f>TOBEPAID!AB1070/1000</f>
        <v>89.03797999999999</v>
      </c>
      <c r="AC1420" s="181"/>
      <c r="AD1420" s="181"/>
      <c r="AE1420" s="186" t="s">
        <v>53</v>
      </c>
      <c r="AF1420" s="195">
        <f>+D1385</f>
        <v>5096.366</v>
      </c>
      <c r="AG1420" s="195">
        <f>+E1385</f>
        <v>0</v>
      </c>
      <c r="AH1420" s="195">
        <f>+F1385</f>
        <v>0</v>
      </c>
      <c r="AI1420" s="195">
        <f>+AG1420+AH1420</f>
        <v>0</v>
      </c>
      <c r="AJ1420" s="195">
        <f>+L1385</f>
        <v>0</v>
      </c>
      <c r="AK1420" s="195">
        <f>+AI1420+AJ1420</f>
        <v>0</v>
      </c>
      <c r="AL1420" s="195">
        <f>+O1385</f>
        <v>5096.3667699999996</v>
      </c>
      <c r="AM1420" s="195">
        <f>+P1385</f>
        <v>0</v>
      </c>
      <c r="AN1420" s="195">
        <f>+AL1420+AM1420</f>
        <v>5096.3667699999996</v>
      </c>
      <c r="AO1420" s="195">
        <f>+V1385</f>
        <v>0</v>
      </c>
      <c r="AP1420" s="195">
        <f>+AN1420+AO1420</f>
        <v>5096.3667699999996</v>
      </c>
      <c r="AQ1420" s="195">
        <f t="shared" si="262"/>
        <v>5096.3667699999996</v>
      </c>
      <c r="AR1420" s="195">
        <f>+AF1420-AQ1420</f>
        <v>-7.6999999964755261E-4</v>
      </c>
      <c r="AS1420" s="195">
        <f t="shared" si="261"/>
        <v>0</v>
      </c>
    </row>
    <row r="1421" spans="1:45" x14ac:dyDescent="0.2">
      <c r="A1421" s="180"/>
      <c r="D1421" s="182" t="s">
        <v>40</v>
      </c>
      <c r="E1421" s="182" t="s">
        <v>40</v>
      </c>
      <c r="F1421" s="182" t="s">
        <v>40</v>
      </c>
      <c r="G1421" s="182"/>
      <c r="H1421" s="182" t="s">
        <v>40</v>
      </c>
      <c r="I1421" s="182" t="s">
        <v>40</v>
      </c>
      <c r="J1421" s="182" t="s">
        <v>40</v>
      </c>
      <c r="K1421" s="182" t="s">
        <v>40</v>
      </c>
      <c r="L1421" s="182" t="s">
        <v>40</v>
      </c>
      <c r="M1421" s="182"/>
      <c r="N1421" s="182" t="s">
        <v>40</v>
      </c>
      <c r="O1421" s="182" t="s">
        <v>40</v>
      </c>
      <c r="P1421" s="182" t="s">
        <v>40</v>
      </c>
      <c r="Q1421" s="182"/>
      <c r="R1421" s="182" t="s">
        <v>40</v>
      </c>
      <c r="S1421" s="182" t="s">
        <v>40</v>
      </c>
      <c r="T1421" s="182" t="s">
        <v>40</v>
      </c>
      <c r="U1421" s="182" t="s">
        <v>40</v>
      </c>
      <c r="V1421" s="182" t="s">
        <v>40</v>
      </c>
      <c r="W1421" s="182"/>
      <c r="X1421" s="182" t="s">
        <v>40</v>
      </c>
      <c r="Y1421" s="182" t="s">
        <v>40</v>
      </c>
      <c r="Z1421" s="182" t="s">
        <v>40</v>
      </c>
      <c r="AA1421" s="182" t="s">
        <v>40</v>
      </c>
      <c r="AB1421" s="182" t="s">
        <v>40</v>
      </c>
      <c r="AC1421" s="182"/>
      <c r="AD1421" s="182"/>
      <c r="AE1421" s="186" t="s">
        <v>54</v>
      </c>
      <c r="AF1421" s="195">
        <f>+D1408</f>
        <v>17250</v>
      </c>
      <c r="AG1421" s="195">
        <f>+E1408</f>
        <v>17250</v>
      </c>
      <c r="AH1421" s="195">
        <f>+F1408</f>
        <v>0</v>
      </c>
      <c r="AI1421" s="195">
        <f>+AG1421+AH1421</f>
        <v>17250</v>
      </c>
      <c r="AJ1421" s="195">
        <f>+L1408</f>
        <v>0</v>
      </c>
      <c r="AK1421" s="195">
        <f>+AI1421+AJ1421</f>
        <v>17250</v>
      </c>
      <c r="AL1421" s="195">
        <f>+O1408</f>
        <v>0</v>
      </c>
      <c r="AM1421" s="195">
        <f>+P1408</f>
        <v>0</v>
      </c>
      <c r="AN1421" s="195">
        <f>+AL1421+AM1421</f>
        <v>0</v>
      </c>
      <c r="AO1421" s="195">
        <f>+V1408</f>
        <v>0</v>
      </c>
      <c r="AP1421" s="195">
        <f>+AN1421+AO1421</f>
        <v>0</v>
      </c>
      <c r="AQ1421" s="195">
        <f t="shared" si="262"/>
        <v>17250</v>
      </c>
      <c r="AR1421" s="195">
        <f>+AF1421-AQ1421</f>
        <v>0</v>
      </c>
      <c r="AS1421" s="195">
        <f t="shared" si="261"/>
        <v>0</v>
      </c>
    </row>
    <row r="1422" spans="1:45" x14ac:dyDescent="0.2">
      <c r="A1422" s="180"/>
      <c r="D1422" s="181">
        <f>SUM(D1417:D1420)</f>
        <v>18362.452000000001</v>
      </c>
      <c r="E1422" s="181">
        <f>SUM(E1413:E1420)</f>
        <v>2236.9895999999999</v>
      </c>
      <c r="F1422" s="181">
        <f>SUM(F1413:F1420)</f>
        <v>0</v>
      </c>
      <c r="G1422" s="181"/>
      <c r="H1422" s="181">
        <f t="shared" ref="H1422:Z1422" si="263">SUM(H1417:H1420)</f>
        <v>15631.989</v>
      </c>
      <c r="I1422" s="181">
        <f t="shared" si="263"/>
        <v>0</v>
      </c>
      <c r="J1422" s="181">
        <f t="shared" si="263"/>
        <v>0</v>
      </c>
      <c r="K1422" s="181">
        <f t="shared" si="263"/>
        <v>0</v>
      </c>
      <c r="L1422" s="181">
        <f t="shared" si="263"/>
        <v>0</v>
      </c>
      <c r="M1422" s="181">
        <f t="shared" si="263"/>
        <v>0</v>
      </c>
      <c r="N1422" s="181">
        <f t="shared" si="263"/>
        <v>2236.9895999999999</v>
      </c>
      <c r="O1422" s="181">
        <f t="shared" si="263"/>
        <v>0</v>
      </c>
      <c r="P1422" s="181">
        <f t="shared" si="263"/>
        <v>0</v>
      </c>
      <c r="Q1422" s="181">
        <f t="shared" si="263"/>
        <v>0</v>
      </c>
      <c r="R1422" s="181">
        <f t="shared" si="263"/>
        <v>482</v>
      </c>
      <c r="S1422" s="181">
        <f t="shared" si="263"/>
        <v>0</v>
      </c>
      <c r="T1422" s="181">
        <f t="shared" si="263"/>
        <v>0</v>
      </c>
      <c r="U1422" s="181">
        <f t="shared" si="263"/>
        <v>0</v>
      </c>
      <c r="V1422" s="181">
        <f t="shared" si="263"/>
        <v>0</v>
      </c>
      <c r="W1422" s="181">
        <f t="shared" si="263"/>
        <v>0</v>
      </c>
      <c r="X1422" s="181">
        <f t="shared" si="263"/>
        <v>0</v>
      </c>
      <c r="Y1422" s="181">
        <f t="shared" si="263"/>
        <v>16113.989</v>
      </c>
      <c r="Z1422" s="181">
        <f t="shared" si="263"/>
        <v>2248.4629999999997</v>
      </c>
      <c r="AA1422" s="181">
        <f>SUM(AA1413:AA1420)</f>
        <v>2236.9895999999999</v>
      </c>
      <c r="AB1422" s="181">
        <f>SUM(AB1413:AB1420)</f>
        <v>705.98509999999999</v>
      </c>
      <c r="AC1422" s="181"/>
      <c r="AD1422" s="181"/>
      <c r="AE1422" s="186" t="s">
        <v>44</v>
      </c>
      <c r="AF1422" s="195">
        <f>+D1419</f>
        <v>0</v>
      </c>
      <c r="AG1422" s="195">
        <f>+E1419</f>
        <v>0</v>
      </c>
      <c r="AH1422" s="195">
        <f>+F1419</f>
        <v>0</v>
      </c>
      <c r="AI1422" s="195">
        <f>+AG1422+AH1422</f>
        <v>0</v>
      </c>
      <c r="AJ1422" s="195">
        <f>+H1419</f>
        <v>0</v>
      </c>
      <c r="AK1422" s="195">
        <f>+AI1422+AJ1422</f>
        <v>0</v>
      </c>
      <c r="AL1422" s="195">
        <f>+O1419</f>
        <v>0</v>
      </c>
      <c r="AM1422" s="195">
        <f>+P1419</f>
        <v>0</v>
      </c>
      <c r="AN1422" s="195">
        <f>+AL1422+AM1422</f>
        <v>0</v>
      </c>
      <c r="AO1422" s="195">
        <f>+V1419</f>
        <v>0</v>
      </c>
      <c r="AP1422" s="195">
        <f>+AN1422+AO1422</f>
        <v>0</v>
      </c>
      <c r="AQ1422" s="195">
        <f t="shared" si="262"/>
        <v>0</v>
      </c>
      <c r="AR1422" s="195">
        <f>+AF1422-AQ1422</f>
        <v>0</v>
      </c>
      <c r="AS1422" s="195" t="e">
        <f>SUM(AS1409:AS1421)</f>
        <v>#VALUE!</v>
      </c>
    </row>
    <row r="1423" spans="1:45" x14ac:dyDescent="0.2">
      <c r="A1423" s="180"/>
      <c r="D1423" s="182" t="s">
        <v>40</v>
      </c>
      <c r="E1423" s="182" t="s">
        <v>40</v>
      </c>
      <c r="F1423" s="182" t="s">
        <v>40</v>
      </c>
      <c r="G1423" s="182"/>
      <c r="H1423" s="182" t="s">
        <v>40</v>
      </c>
      <c r="I1423" s="182" t="s">
        <v>40</v>
      </c>
      <c r="J1423" s="182" t="s">
        <v>40</v>
      </c>
      <c r="K1423" s="182" t="s">
        <v>40</v>
      </c>
      <c r="L1423" s="182" t="s">
        <v>40</v>
      </c>
      <c r="M1423" s="182"/>
      <c r="N1423" s="182" t="s">
        <v>40</v>
      </c>
      <c r="O1423" s="182" t="s">
        <v>40</v>
      </c>
      <c r="P1423" s="182" t="s">
        <v>40</v>
      </c>
      <c r="Q1423" s="182"/>
      <c r="R1423" s="182" t="s">
        <v>40</v>
      </c>
      <c r="S1423" s="182" t="s">
        <v>40</v>
      </c>
      <c r="T1423" s="182" t="s">
        <v>40</v>
      </c>
      <c r="U1423" s="182" t="s">
        <v>40</v>
      </c>
      <c r="V1423" s="182" t="s">
        <v>40</v>
      </c>
      <c r="W1423" s="182"/>
      <c r="X1423" s="182" t="s">
        <v>40</v>
      </c>
      <c r="Y1423" s="182" t="s">
        <v>40</v>
      </c>
      <c r="Z1423" s="182" t="s">
        <v>40</v>
      </c>
      <c r="AA1423" s="182" t="s">
        <v>40</v>
      </c>
      <c r="AB1423" s="182" t="s">
        <v>40</v>
      </c>
      <c r="AC1423" s="182"/>
      <c r="AD1423" s="182"/>
      <c r="AE1423" s="186" t="s">
        <v>183</v>
      </c>
      <c r="AF1423" s="195" t="e">
        <f t="shared" ref="AF1423:AR1423" si="264">SUM(AF1410:AF1422)</f>
        <v>#VALUE!</v>
      </c>
      <c r="AG1423" s="195" t="e">
        <f t="shared" si="264"/>
        <v>#VALUE!</v>
      </c>
      <c r="AH1423" s="195" t="e">
        <f t="shared" si="264"/>
        <v>#VALUE!</v>
      </c>
      <c r="AI1423" s="195" t="e">
        <f t="shared" si="264"/>
        <v>#VALUE!</v>
      </c>
      <c r="AJ1423" s="195" t="e">
        <f t="shared" si="264"/>
        <v>#VALUE!</v>
      </c>
      <c r="AK1423" s="195" t="e">
        <f t="shared" si="264"/>
        <v>#VALUE!</v>
      </c>
      <c r="AL1423" s="195" t="e">
        <f t="shared" si="264"/>
        <v>#VALUE!</v>
      </c>
      <c r="AM1423" s="195" t="e">
        <f t="shared" si="264"/>
        <v>#VALUE!</v>
      </c>
      <c r="AN1423" s="195" t="e">
        <f t="shared" si="264"/>
        <v>#VALUE!</v>
      </c>
      <c r="AO1423" s="195" t="e">
        <f t="shared" si="264"/>
        <v>#VALUE!</v>
      </c>
      <c r="AP1423" s="195" t="e">
        <f t="shared" si="264"/>
        <v>#VALUE!</v>
      </c>
      <c r="AQ1423" s="195" t="e">
        <f t="shared" si="264"/>
        <v>#VALUE!</v>
      </c>
      <c r="AR1423" s="195" t="e">
        <f t="shared" si="264"/>
        <v>#VALUE!</v>
      </c>
      <c r="AS1423" s="195"/>
    </row>
    <row r="1424" spans="1:45" x14ac:dyDescent="0.2">
      <c r="A1424" s="180"/>
      <c r="D1424" s="182"/>
      <c r="E1424" s="182"/>
      <c r="F1424" s="182"/>
      <c r="G1424" s="182"/>
      <c r="H1424" s="182"/>
      <c r="I1424" s="182"/>
      <c r="J1424" s="182"/>
      <c r="K1424" s="182"/>
      <c r="L1424" s="182"/>
      <c r="M1424" s="182"/>
      <c r="N1424" s="182"/>
      <c r="O1424" s="182"/>
      <c r="P1424" s="182"/>
      <c r="Q1424" s="182"/>
      <c r="R1424" s="182"/>
      <c r="S1424" s="182"/>
      <c r="T1424" s="182"/>
      <c r="U1424" s="182"/>
      <c r="V1424" s="182"/>
      <c r="W1424" s="182"/>
      <c r="X1424" s="182"/>
      <c r="Y1424" s="182"/>
      <c r="Z1424" s="182"/>
      <c r="AA1424" s="182"/>
      <c r="AB1424" s="182"/>
      <c r="AC1424" s="182"/>
      <c r="AD1424" s="182"/>
      <c r="AF1424" s="195"/>
      <c r="AG1424" s="195"/>
      <c r="AH1424" s="195"/>
      <c r="AI1424" s="195"/>
      <c r="AJ1424" s="195"/>
      <c r="AK1424" s="195"/>
      <c r="AL1424" s="195"/>
      <c r="AM1424" s="195"/>
      <c r="AN1424" s="195"/>
      <c r="AO1424" s="195"/>
      <c r="AP1424" s="195"/>
      <c r="AQ1424" s="195"/>
      <c r="AR1424" s="195"/>
      <c r="AS1424" s="195"/>
    </row>
    <row r="1425" spans="1:45" x14ac:dyDescent="0.2">
      <c r="A1425" s="180"/>
      <c r="B1425" s="166" t="s">
        <v>26</v>
      </c>
      <c r="C1425" s="166" t="s">
        <v>118</v>
      </c>
      <c r="D1425" s="181">
        <f>D1376+D1387+D1393+D1399+D1410+D1422</f>
        <v>233831.35897</v>
      </c>
      <c r="E1425" s="181">
        <f>E1376+E1387+E1393+E1399+E1410+E1422</f>
        <v>31036.731469999999</v>
      </c>
      <c r="F1425" s="181">
        <f>+F1422+F1410+F1399+F1393+F1387+F1376</f>
        <v>0</v>
      </c>
      <c r="G1425" s="181"/>
      <c r="H1425" s="181">
        <f>H1376+H1387+H1393+H1396+H1410+H1422+H1399</f>
        <v>136344.03427999999</v>
      </c>
      <c r="I1425" s="181">
        <f>I1376+I1387+I1393+I1396+I1410+I1422</f>
        <v>0</v>
      </c>
      <c r="J1425" s="181">
        <f>J1376+J1387+J1393+J1396+J1410+J1422</f>
        <v>0</v>
      </c>
      <c r="K1425" s="181">
        <f>K1376+K1387+K1393+K1396+K1410+K1422</f>
        <v>0</v>
      </c>
      <c r="L1425" s="181">
        <f>L1376+L1387+L1393+L1396+L1410+L1422</f>
        <v>0</v>
      </c>
      <c r="M1425" s="181"/>
      <c r="N1425" s="181">
        <f>N1376+N1387+N1393+N1396+N1410+N1422+N1399</f>
        <v>31036.731470000002</v>
      </c>
      <c r="O1425" s="181" t="e">
        <f>O1376+O1387+O1393+O1396+O1410+O1422+O1278</f>
        <v>#VALUE!</v>
      </c>
      <c r="P1425" s="181" t="e">
        <f>P1376+P1387+P1393+P1396+P1410+P1422+P1278</f>
        <v>#VALUE!</v>
      </c>
      <c r="Q1425" s="181"/>
      <c r="R1425" s="181">
        <f>R1376+R1387+R1393+R1396+R1410+R1422+R1399</f>
        <v>11289.13617</v>
      </c>
      <c r="S1425" s="181">
        <f>S1376+S1387+S1393+S1396+S1410+S1422</f>
        <v>108.12775000000001</v>
      </c>
      <c r="T1425" s="181">
        <f>T1376+T1387+T1393+T1396+T1410+T1422</f>
        <v>0</v>
      </c>
      <c r="U1425" s="181">
        <f>U1376+U1387+U1393+U1396+U1410+U1422</f>
        <v>0</v>
      </c>
      <c r="V1425" s="181" t="e">
        <f>V1376+V1387+V1393+V1396+V1410+V1422+V1278</f>
        <v>#VALUE!</v>
      </c>
      <c r="W1425" s="181"/>
      <c r="X1425" s="181" t="e">
        <f>X1376+X1387+X1393+X1396+X1410+X1422+X1278</f>
        <v>#VALUE!</v>
      </c>
      <c r="Y1425" s="181">
        <f>Y1376+Y1387+Y1393+Y1396+Y1410+Y1422+Y1399</f>
        <v>147633.17045000001</v>
      </c>
      <c r="Z1425" s="181">
        <f>Z1376+Z1387+Z1393+Z1399+Z1410+Z1422</f>
        <v>86198.188519999996</v>
      </c>
      <c r="AA1425" s="181">
        <f>AA1376+AA1387+AA1393+AA1396+AA1410+AA1422</f>
        <v>35601.261910000001</v>
      </c>
      <c r="AB1425" s="181">
        <f>AB1376+AB1387+AB1393+AB1399+AB1410+AB1422</f>
        <v>85942.467370000013</v>
      </c>
      <c r="AC1425" s="181"/>
      <c r="AD1425" s="181"/>
      <c r="AF1425" s="195"/>
      <c r="AG1425" s="195"/>
      <c r="AH1425" s="195"/>
      <c r="AI1425" s="195"/>
      <c r="AJ1425" s="195"/>
      <c r="AK1425" s="195"/>
      <c r="AL1425" s="195"/>
      <c r="AM1425" s="195"/>
      <c r="AN1425" s="195"/>
      <c r="AO1425" s="195"/>
      <c r="AP1425" s="195"/>
      <c r="AQ1425" s="195"/>
      <c r="AR1425" s="195"/>
      <c r="AS1425" s="195"/>
    </row>
    <row r="1426" spans="1:45" x14ac:dyDescent="0.2">
      <c r="A1426" s="180"/>
      <c r="D1426" s="182" t="s">
        <v>50</v>
      </c>
      <c r="E1426" s="182" t="s">
        <v>50</v>
      </c>
      <c r="F1426" s="182" t="s">
        <v>50</v>
      </c>
      <c r="G1426" s="182"/>
      <c r="H1426" s="182" t="s">
        <v>50</v>
      </c>
      <c r="I1426" s="182" t="s">
        <v>50</v>
      </c>
      <c r="J1426" s="182" t="s">
        <v>50</v>
      </c>
      <c r="K1426" s="182" t="s">
        <v>50</v>
      </c>
      <c r="L1426" s="182" t="s">
        <v>50</v>
      </c>
      <c r="M1426" s="182"/>
      <c r="N1426" s="182" t="s">
        <v>50</v>
      </c>
      <c r="O1426" s="182" t="s">
        <v>50</v>
      </c>
      <c r="P1426" s="182" t="s">
        <v>50</v>
      </c>
      <c r="Q1426" s="182"/>
      <c r="R1426" s="182" t="s">
        <v>50</v>
      </c>
      <c r="S1426" s="182" t="s">
        <v>50</v>
      </c>
      <c r="T1426" s="182" t="s">
        <v>50</v>
      </c>
      <c r="U1426" s="182" t="s">
        <v>50</v>
      </c>
      <c r="V1426" s="182" t="s">
        <v>50</v>
      </c>
      <c r="W1426" s="182"/>
      <c r="X1426" s="182" t="s">
        <v>50</v>
      </c>
      <c r="Y1426" s="182" t="s">
        <v>50</v>
      </c>
      <c r="Z1426" s="182" t="s">
        <v>50</v>
      </c>
      <c r="AA1426" s="182" t="s">
        <v>50</v>
      </c>
      <c r="AB1426" s="182" t="s">
        <v>50</v>
      </c>
      <c r="AC1426" s="182"/>
      <c r="AD1426" s="182"/>
      <c r="AF1426" s="195"/>
      <c r="AG1426" s="195"/>
      <c r="AH1426" s="195"/>
      <c r="AI1426" s="195"/>
      <c r="AJ1426" s="195"/>
      <c r="AK1426" s="195"/>
      <c r="AL1426" s="195"/>
      <c r="AM1426" s="195"/>
      <c r="AN1426" s="195"/>
      <c r="AO1426" s="195"/>
      <c r="AP1426" s="195"/>
      <c r="AQ1426" s="195"/>
      <c r="AR1426" s="195"/>
      <c r="AS1426" s="195"/>
    </row>
    <row r="1427" spans="1:45" x14ac:dyDescent="0.2">
      <c r="A1427" s="180"/>
      <c r="D1427" s="191"/>
      <c r="E1427" s="191"/>
      <c r="F1427" s="191"/>
      <c r="G1427" s="191"/>
      <c r="H1427" s="191"/>
      <c r="I1427" s="191"/>
      <c r="J1427" s="191"/>
      <c r="K1427" s="191"/>
      <c r="L1427" s="191"/>
      <c r="M1427" s="191"/>
      <c r="N1427" s="191"/>
      <c r="O1427" s="191"/>
      <c r="P1427" s="191"/>
      <c r="Q1427" s="191"/>
      <c r="R1427" s="191"/>
      <c r="S1427" s="191"/>
      <c r="T1427" s="191"/>
      <c r="U1427" s="191"/>
      <c r="V1427" s="191"/>
      <c r="W1427" s="191"/>
      <c r="X1427" s="191"/>
      <c r="Y1427" s="191"/>
      <c r="Z1427" s="191"/>
      <c r="AA1427" s="191"/>
      <c r="AB1427" s="191"/>
      <c r="AC1427" s="191"/>
      <c r="AD1427" s="191"/>
      <c r="AF1427" s="195"/>
      <c r="AG1427" s="195"/>
      <c r="AH1427" s="195"/>
      <c r="AI1427" s="195"/>
      <c r="AJ1427" s="195"/>
      <c r="AK1427" s="195"/>
      <c r="AL1427" s="195"/>
      <c r="AM1427" s="195"/>
      <c r="AN1427" s="195"/>
      <c r="AO1427" s="195"/>
      <c r="AP1427" s="195"/>
      <c r="AQ1427" s="195"/>
      <c r="AR1427" s="195"/>
      <c r="AS1427" s="195"/>
    </row>
    <row r="1428" spans="1:45" x14ac:dyDescent="0.2">
      <c r="A1428" s="180"/>
      <c r="B1428" s="166" t="s">
        <v>119</v>
      </c>
      <c r="D1428" s="191"/>
      <c r="E1428" s="191"/>
      <c r="F1428" s="191"/>
      <c r="G1428" s="191"/>
      <c r="H1428" s="191"/>
      <c r="I1428" s="191"/>
      <c r="J1428" s="191"/>
      <c r="K1428" s="191"/>
      <c r="L1428" s="191"/>
      <c r="M1428" s="191"/>
      <c r="N1428" s="191"/>
      <c r="O1428" s="191"/>
      <c r="P1428" s="191"/>
      <c r="Q1428" s="191"/>
      <c r="R1428" s="191"/>
      <c r="S1428" s="191"/>
      <c r="T1428" s="191"/>
      <c r="U1428" s="191"/>
      <c r="V1428" s="191"/>
      <c r="W1428" s="191"/>
      <c r="X1428" s="191"/>
      <c r="Y1428" s="191"/>
      <c r="Z1428" s="191"/>
      <c r="AA1428" s="191"/>
      <c r="AB1428" s="191"/>
      <c r="AC1428" s="191"/>
      <c r="AD1428" s="191"/>
      <c r="AF1428" s="195"/>
      <c r="AG1428" s="195"/>
      <c r="AH1428" s="195"/>
      <c r="AI1428" s="195"/>
      <c r="AJ1428" s="195"/>
      <c r="AK1428" s="195"/>
      <c r="AL1428" s="195"/>
      <c r="AM1428" s="195"/>
      <c r="AN1428" s="195"/>
      <c r="AO1428" s="195"/>
      <c r="AP1428" s="195"/>
      <c r="AQ1428" s="195"/>
      <c r="AR1428" s="195"/>
      <c r="AS1428" s="195"/>
    </row>
    <row r="1429" spans="1:45" x14ac:dyDescent="0.2">
      <c r="A1429" s="180"/>
      <c r="D1429" s="191"/>
      <c r="E1429" s="191"/>
      <c r="F1429" s="191"/>
      <c r="G1429" s="191"/>
      <c r="H1429" s="191"/>
      <c r="I1429" s="191"/>
      <c r="J1429" s="191"/>
      <c r="K1429" s="191"/>
      <c r="L1429" s="191"/>
      <c r="M1429" s="191"/>
      <c r="N1429" s="191"/>
      <c r="O1429" s="191"/>
      <c r="P1429" s="191"/>
      <c r="Q1429" s="191"/>
      <c r="R1429" s="191"/>
      <c r="S1429" s="191"/>
      <c r="T1429" s="191"/>
      <c r="U1429" s="191"/>
      <c r="V1429" s="191"/>
      <c r="W1429" s="191"/>
      <c r="X1429" s="191"/>
      <c r="Y1429" s="191"/>
      <c r="Z1429" s="191"/>
      <c r="AA1429" s="191"/>
      <c r="AB1429" s="191"/>
      <c r="AC1429" s="191"/>
      <c r="AD1429" s="191"/>
      <c r="AF1429" s="195"/>
      <c r="AG1429" s="195"/>
      <c r="AH1429" s="195"/>
      <c r="AI1429" s="195"/>
      <c r="AJ1429" s="195"/>
      <c r="AK1429" s="195"/>
      <c r="AL1429" s="195"/>
      <c r="AM1429" s="195"/>
      <c r="AN1429" s="195"/>
      <c r="AO1429" s="195"/>
      <c r="AP1429" s="195"/>
      <c r="AQ1429" s="195"/>
      <c r="AR1429" s="195"/>
      <c r="AS1429" s="195"/>
    </row>
    <row r="1430" spans="1:45" x14ac:dyDescent="0.2">
      <c r="A1430" s="180">
        <v>113</v>
      </c>
      <c r="B1430" s="166" t="s">
        <v>120</v>
      </c>
      <c r="C1430" s="166" t="s">
        <v>35</v>
      </c>
      <c r="D1430" s="181">
        <f>35367028/1000</f>
        <v>35367.027999999998</v>
      </c>
      <c r="E1430" s="181">
        <f>TOBEPAID!E1082/1000</f>
        <v>12292.58029</v>
      </c>
      <c r="F1430" s="181">
        <f>TOBEPAID!F1082/1000</f>
        <v>0</v>
      </c>
      <c r="G1430" s="181">
        <f>TOBEPAID!G1082/1000</f>
        <v>0</v>
      </c>
      <c r="H1430" s="181">
        <f>19092580/1000</f>
        <v>19092.580000000002</v>
      </c>
      <c r="I1430" s="181">
        <f>TOBEPAID!I1082/1000</f>
        <v>0</v>
      </c>
      <c r="J1430" s="181">
        <f>TOBEPAID!J1082/1000</f>
        <v>0</v>
      </c>
      <c r="K1430" s="181">
        <f>TOBEPAID!K1082/1000</f>
        <v>0</v>
      </c>
      <c r="L1430" s="181">
        <f>TOBEPAID!L1082/1000</f>
        <v>0</v>
      </c>
      <c r="M1430" s="181">
        <f>TOBEPAID!M1082/1000</f>
        <v>0</v>
      </c>
      <c r="N1430" s="181">
        <f>TOBEPAID!N1082/1000</f>
        <v>12292.58029</v>
      </c>
      <c r="O1430" s="181">
        <f>TOBEPAID!O1082/1000</f>
        <v>15027.393610000001</v>
      </c>
      <c r="P1430" s="181">
        <f>TOBEPAID!P1082/1000</f>
        <v>0</v>
      </c>
      <c r="Q1430" s="181">
        <f>TOBEPAID!Q1082/1000</f>
        <v>0</v>
      </c>
      <c r="R1430" s="181">
        <f>17816164/1000</f>
        <v>17816.164000000001</v>
      </c>
      <c r="S1430" s="181">
        <f>TOBEPAID!S1082/1000</f>
        <v>984.54727999999955</v>
      </c>
      <c r="T1430" s="181">
        <f>TOBEPAID!T1082/1000</f>
        <v>0</v>
      </c>
      <c r="U1430" s="181">
        <f>TOBEPAID!U1082/1000</f>
        <v>2045.1663699999999</v>
      </c>
      <c r="V1430" s="181">
        <f>TOBEPAID!V1082/1000</f>
        <v>0</v>
      </c>
      <c r="W1430" s="181">
        <f>TOBEPAID!W1082/1000</f>
        <v>0</v>
      </c>
      <c r="X1430" s="181">
        <f>TOBEPAID!X1082/1000</f>
        <v>15027.393610000001</v>
      </c>
      <c r="Y1430" s="181">
        <f>+H1430+R1430</f>
        <v>36908.744000000006</v>
      </c>
      <c r="Z1430" s="181">
        <f t="shared" ref="Z1430:Z1436" si="265">+D1430-Y1430</f>
        <v>-1541.7160000000076</v>
      </c>
      <c r="AA1430" s="181">
        <f>TOBEPAID!AA1082/1000</f>
        <v>27319.973899999997</v>
      </c>
      <c r="AB1430" s="181">
        <f>TOBEPAID!AB1082/1000</f>
        <v>1853.3200000000056</v>
      </c>
      <c r="AC1430" s="181"/>
      <c r="AD1430" s="181"/>
      <c r="AF1430" s="195"/>
      <c r="AG1430" s="195"/>
      <c r="AH1430" s="195"/>
      <c r="AI1430" s="195"/>
      <c r="AJ1430" s="195"/>
      <c r="AK1430" s="195"/>
      <c r="AL1430" s="195"/>
      <c r="AM1430" s="195"/>
      <c r="AN1430" s="195"/>
      <c r="AO1430" s="195"/>
      <c r="AP1430" s="195"/>
      <c r="AQ1430" s="195"/>
      <c r="AR1430" s="195"/>
    </row>
    <row r="1431" spans="1:45" x14ac:dyDescent="0.2">
      <c r="A1431" s="180"/>
      <c r="C1431" s="168" t="s">
        <v>36</v>
      </c>
      <c r="D1431" s="181">
        <f>7128475/1000</f>
        <v>7128.4750000000004</v>
      </c>
      <c r="E1431" s="181">
        <f>TOBEPAID!E1083/1000</f>
        <v>7128.4754699999994</v>
      </c>
      <c r="F1431" s="181">
        <f>TOBEPAID!F1083/1000</f>
        <v>0</v>
      </c>
      <c r="G1431" s="181">
        <f>TOBEPAID!G1083/1000</f>
        <v>0</v>
      </c>
      <c r="H1431" s="181">
        <f>7128475/1000</f>
        <v>7128.4750000000004</v>
      </c>
      <c r="I1431" s="181">
        <f>TOBEPAID!I1083/1000</f>
        <v>0</v>
      </c>
      <c r="J1431" s="181">
        <f>TOBEPAID!J1083/1000</f>
        <v>0</v>
      </c>
      <c r="K1431" s="181">
        <f>TOBEPAID!K1083/1000</f>
        <v>0</v>
      </c>
      <c r="L1431" s="181">
        <f>TOBEPAID!L1083/1000</f>
        <v>0</v>
      </c>
      <c r="M1431" s="181">
        <f>TOBEPAID!M1083/1000</f>
        <v>0</v>
      </c>
      <c r="N1431" s="181">
        <f>TOBEPAID!N1083/1000</f>
        <v>7128.4754699999994</v>
      </c>
      <c r="O1431" s="181">
        <f>TOBEPAID!O1083/1000</f>
        <v>0</v>
      </c>
      <c r="P1431" s="181">
        <f>TOBEPAID!P1083/1000</f>
        <v>0</v>
      </c>
      <c r="Q1431" s="181">
        <f>TOBEPAID!Q1083/1000</f>
        <v>0</v>
      </c>
      <c r="R1431" s="181">
        <v>0</v>
      </c>
      <c r="S1431" s="181">
        <f>TOBEPAID!S1083/1000</f>
        <v>0</v>
      </c>
      <c r="T1431" s="181">
        <f>TOBEPAID!T1083/1000</f>
        <v>0</v>
      </c>
      <c r="U1431" s="181">
        <f>TOBEPAID!U1083/1000</f>
        <v>0</v>
      </c>
      <c r="V1431" s="181">
        <f>TOBEPAID!V1083/1000</f>
        <v>0</v>
      </c>
      <c r="W1431" s="181">
        <f>TOBEPAID!W1083/1000</f>
        <v>0</v>
      </c>
      <c r="X1431" s="181">
        <f>TOBEPAID!X1083/1000</f>
        <v>0</v>
      </c>
      <c r="Y1431" s="181">
        <f t="shared" ref="Y1431:Y1440" si="266">+H1431+R1431</f>
        <v>7128.4750000000004</v>
      </c>
      <c r="Z1431" s="181">
        <f t="shared" si="265"/>
        <v>0</v>
      </c>
      <c r="AA1431" s="181">
        <f>TOBEPAID!AA1083/1000</f>
        <v>7128.4754699999994</v>
      </c>
      <c r="AB1431" s="181">
        <f>TOBEPAID!AB1083/1000</f>
        <v>0</v>
      </c>
      <c r="AC1431" s="181"/>
      <c r="AD1431" s="181"/>
    </row>
    <row r="1432" spans="1:45" x14ac:dyDescent="0.2">
      <c r="C1432" s="165" t="s">
        <v>290</v>
      </c>
      <c r="D1432" s="181">
        <f>1834000000/1000</f>
        <v>1834000</v>
      </c>
      <c r="E1432" s="181">
        <f>TOBEPAID!E1084/1000</f>
        <v>255000</v>
      </c>
      <c r="F1432" s="181">
        <f>TOBEPAID!F1084/1000</f>
        <v>29000</v>
      </c>
      <c r="G1432" s="181">
        <f>TOBEPAID!G1084/1000</f>
        <v>0</v>
      </c>
      <c r="H1432" s="181">
        <f>1834000000/1000</f>
        <v>1834000</v>
      </c>
      <c r="I1432" s="181">
        <f>TOBEPAID!I1084/1000</f>
        <v>0</v>
      </c>
      <c r="J1432" s="181">
        <f>TOBEPAID!J1084/1000</f>
        <v>0</v>
      </c>
      <c r="K1432" s="181">
        <f>TOBEPAID!K1084/1000</f>
        <v>0</v>
      </c>
      <c r="L1432" s="181">
        <f>TOBEPAID!L1084/1000</f>
        <v>0</v>
      </c>
      <c r="M1432" s="181">
        <f>TOBEPAID!M1084/1000</f>
        <v>0</v>
      </c>
      <c r="N1432" s="181">
        <f>TOBEPAID!N1084/1000</f>
        <v>284000</v>
      </c>
      <c r="O1432" s="181">
        <f>TOBEPAID!O1084/1000</f>
        <v>0</v>
      </c>
      <c r="P1432" s="181">
        <f>TOBEPAID!P1084/1000</f>
        <v>0</v>
      </c>
      <c r="Q1432" s="181">
        <f>TOBEPAID!Q1084/1000</f>
        <v>0</v>
      </c>
      <c r="R1432" s="181">
        <v>0</v>
      </c>
      <c r="S1432" s="181">
        <f>TOBEPAID!S1084/1000</f>
        <v>0</v>
      </c>
      <c r="T1432" s="181">
        <f>TOBEPAID!T1084/1000</f>
        <v>0</v>
      </c>
      <c r="U1432" s="181">
        <f>TOBEPAID!U1084/1000</f>
        <v>0</v>
      </c>
      <c r="V1432" s="181">
        <f>TOBEPAID!V1084/1000</f>
        <v>0</v>
      </c>
      <c r="W1432" s="181">
        <f>TOBEPAID!W1084/1000</f>
        <v>0</v>
      </c>
      <c r="X1432" s="181">
        <f>TOBEPAID!X1084/1000</f>
        <v>0</v>
      </c>
      <c r="Y1432" s="181">
        <f t="shared" si="266"/>
        <v>1834000</v>
      </c>
      <c r="Z1432" s="181">
        <f t="shared" si="265"/>
        <v>0</v>
      </c>
      <c r="AA1432" s="181">
        <f>TOBEPAID!AA1084/1000</f>
        <v>284000</v>
      </c>
      <c r="AB1432" s="181">
        <f>TOBEPAID!AB1084/1000</f>
        <v>0</v>
      </c>
      <c r="AC1432" s="181"/>
      <c r="AD1432" s="181"/>
    </row>
    <row r="1433" spans="1:45" x14ac:dyDescent="0.2">
      <c r="C1433" s="165" t="s">
        <v>383</v>
      </c>
      <c r="D1433" s="181">
        <f>5677928/1000</f>
        <v>5677.9279999999999</v>
      </c>
      <c r="E1433" s="181">
        <f>TOBEPAID!E1085/1000</f>
        <v>5677.9281700000001</v>
      </c>
      <c r="F1433" s="181">
        <f>TOBEPAID!F1085/1000</f>
        <v>0</v>
      </c>
      <c r="G1433" s="181">
        <f>TOBEPAID!G1085/1000</f>
        <v>0</v>
      </c>
      <c r="H1433" s="181">
        <f>5677928/1000</f>
        <v>5677.9279999999999</v>
      </c>
      <c r="I1433" s="181">
        <f>TOBEPAID!I1085/1000</f>
        <v>0</v>
      </c>
      <c r="J1433" s="181">
        <f>TOBEPAID!J1085/1000</f>
        <v>0</v>
      </c>
      <c r="K1433" s="181">
        <f>TOBEPAID!K1085/1000</f>
        <v>0</v>
      </c>
      <c r="L1433" s="181">
        <f>TOBEPAID!L1085/1000</f>
        <v>0</v>
      </c>
      <c r="M1433" s="181">
        <f>TOBEPAID!M1085/1000</f>
        <v>0</v>
      </c>
      <c r="N1433" s="181">
        <f>TOBEPAID!N1085/1000</f>
        <v>5677.9281700000001</v>
      </c>
      <c r="O1433" s="181">
        <f>TOBEPAID!O1085/1000</f>
        <v>0</v>
      </c>
      <c r="P1433" s="181">
        <f>TOBEPAID!P1085/1000</f>
        <v>0</v>
      </c>
      <c r="Q1433" s="181">
        <f>TOBEPAID!Q1085/1000</f>
        <v>0</v>
      </c>
      <c r="R1433" s="181">
        <v>0</v>
      </c>
      <c r="S1433" s="181">
        <f>TOBEPAID!S1085/1000</f>
        <v>0</v>
      </c>
      <c r="T1433" s="181">
        <f>TOBEPAID!T1085/1000</f>
        <v>0</v>
      </c>
      <c r="U1433" s="181">
        <f>TOBEPAID!U1085/1000</f>
        <v>0</v>
      </c>
      <c r="V1433" s="181">
        <f>TOBEPAID!V1085/1000</f>
        <v>0</v>
      </c>
      <c r="W1433" s="181">
        <f>TOBEPAID!W1085/1000</f>
        <v>0</v>
      </c>
      <c r="X1433" s="181">
        <f>TOBEPAID!X1085/1000</f>
        <v>0</v>
      </c>
      <c r="Y1433" s="181">
        <f t="shared" si="266"/>
        <v>5677.9279999999999</v>
      </c>
      <c r="Z1433" s="181">
        <f t="shared" si="265"/>
        <v>0</v>
      </c>
      <c r="AA1433" s="181">
        <f>TOBEPAID!AA1085/1000</f>
        <v>5677.9281700000001</v>
      </c>
      <c r="AB1433" s="181">
        <f>TOBEPAID!AB1085/1000</f>
        <v>0</v>
      </c>
      <c r="AC1433" s="181"/>
      <c r="AD1433" s="181"/>
      <c r="AS1433" s="195"/>
    </row>
    <row r="1434" spans="1:45" x14ac:dyDescent="0.2">
      <c r="C1434" s="165" t="s">
        <v>382</v>
      </c>
      <c r="D1434" s="181">
        <f>12000000/1000</f>
        <v>12000</v>
      </c>
      <c r="E1434" s="181"/>
      <c r="F1434" s="181"/>
      <c r="G1434" s="181"/>
      <c r="H1434" s="181">
        <f>12000000/1000</f>
        <v>12000</v>
      </c>
      <c r="I1434" s="181"/>
      <c r="J1434" s="181"/>
      <c r="K1434" s="181"/>
      <c r="L1434" s="181"/>
      <c r="M1434" s="181"/>
      <c r="N1434" s="181"/>
      <c r="O1434" s="181"/>
      <c r="P1434" s="181"/>
      <c r="Q1434" s="181"/>
      <c r="R1434" s="181">
        <v>0</v>
      </c>
      <c r="S1434" s="181"/>
      <c r="T1434" s="181"/>
      <c r="U1434" s="181"/>
      <c r="V1434" s="181"/>
      <c r="W1434" s="181"/>
      <c r="X1434" s="181"/>
      <c r="Y1434" s="181">
        <f t="shared" si="266"/>
        <v>12000</v>
      </c>
      <c r="Z1434" s="181">
        <f t="shared" si="265"/>
        <v>0</v>
      </c>
      <c r="AA1434" s="181"/>
      <c r="AB1434" s="181"/>
      <c r="AC1434" s="181"/>
      <c r="AD1434" s="181"/>
      <c r="AS1434" s="195"/>
    </row>
    <row r="1435" spans="1:45" x14ac:dyDescent="0.2">
      <c r="C1435" s="165" t="s">
        <v>448</v>
      </c>
      <c r="D1435" s="181">
        <f>10718000/1000</f>
        <v>10718</v>
      </c>
      <c r="E1435" s="181"/>
      <c r="F1435" s="181"/>
      <c r="G1435" s="181"/>
      <c r="H1435" s="181">
        <f>10718000/1000</f>
        <v>10718</v>
      </c>
      <c r="I1435" s="181"/>
      <c r="J1435" s="181"/>
      <c r="K1435" s="181"/>
      <c r="L1435" s="181"/>
      <c r="M1435" s="181"/>
      <c r="N1435" s="181"/>
      <c r="O1435" s="181"/>
      <c r="P1435" s="181"/>
      <c r="Q1435" s="181"/>
      <c r="R1435" s="181">
        <v>0</v>
      </c>
      <c r="S1435" s="181"/>
      <c r="T1435" s="181"/>
      <c r="U1435" s="181"/>
      <c r="V1435" s="181"/>
      <c r="W1435" s="181"/>
      <c r="X1435" s="181"/>
      <c r="Y1435" s="181">
        <f t="shared" si="266"/>
        <v>10718</v>
      </c>
      <c r="Z1435" s="181">
        <f t="shared" si="265"/>
        <v>0</v>
      </c>
      <c r="AA1435" s="181"/>
      <c r="AB1435" s="181"/>
      <c r="AC1435" s="181"/>
      <c r="AD1435" s="181"/>
      <c r="AS1435" s="195"/>
    </row>
    <row r="1436" spans="1:45" x14ac:dyDescent="0.2">
      <c r="C1436" s="165" t="s">
        <v>486</v>
      </c>
      <c r="D1436" s="181">
        <f>125465000/1000</f>
        <v>125465</v>
      </c>
      <c r="E1436" s="181"/>
      <c r="F1436" s="181"/>
      <c r="G1436" s="181"/>
      <c r="H1436" s="181">
        <f>67432500/1000</f>
        <v>67432.5</v>
      </c>
      <c r="I1436" s="181"/>
      <c r="J1436" s="181"/>
      <c r="K1436" s="181"/>
      <c r="L1436" s="181"/>
      <c r="M1436" s="181"/>
      <c r="N1436" s="181"/>
      <c r="O1436" s="181"/>
      <c r="P1436" s="181"/>
      <c r="Q1436" s="181"/>
      <c r="R1436" s="181">
        <v>0</v>
      </c>
      <c r="S1436" s="181"/>
      <c r="T1436" s="181"/>
      <c r="U1436" s="181"/>
      <c r="V1436" s="181"/>
      <c r="W1436" s="181"/>
      <c r="X1436" s="181"/>
      <c r="Y1436" s="181">
        <f t="shared" si="266"/>
        <v>67432.5</v>
      </c>
      <c r="Z1436" s="181">
        <f t="shared" si="265"/>
        <v>58032.5</v>
      </c>
      <c r="AA1436" s="181"/>
      <c r="AB1436" s="181"/>
      <c r="AC1436" s="181"/>
      <c r="AD1436" s="181"/>
      <c r="AS1436" s="195"/>
    </row>
    <row r="1437" spans="1:45" x14ac:dyDescent="0.2">
      <c r="C1437" s="165" t="s">
        <v>298</v>
      </c>
      <c r="D1437" s="165">
        <f>6377777/1000</f>
        <v>6377.777</v>
      </c>
      <c r="H1437" s="165">
        <f>6377777.6/1000</f>
        <v>6377.7775999999994</v>
      </c>
      <c r="R1437" s="181">
        <v>0</v>
      </c>
      <c r="Y1437" s="181">
        <f t="shared" si="266"/>
        <v>6377.7775999999994</v>
      </c>
      <c r="Z1437" s="181">
        <f>+Y1437-D1437</f>
        <v>5.9999999939464033E-4</v>
      </c>
      <c r="AF1437" s="195"/>
      <c r="AG1437" s="195"/>
      <c r="AH1437" s="195"/>
      <c r="AI1437" s="195"/>
      <c r="AJ1437" s="195"/>
      <c r="AK1437" s="195"/>
      <c r="AL1437" s="195"/>
      <c r="AM1437" s="195"/>
      <c r="AN1437" s="195"/>
      <c r="AO1437" s="195"/>
      <c r="AP1437" s="195"/>
      <c r="AQ1437" s="195"/>
      <c r="AR1437" s="195"/>
      <c r="AS1437" s="195"/>
    </row>
    <row r="1438" spans="1:45" x14ac:dyDescent="0.2">
      <c r="A1438" s="180"/>
      <c r="C1438" s="166" t="s">
        <v>37</v>
      </c>
      <c r="D1438" s="181">
        <f>8844608/1000</f>
        <v>8844.6080000000002</v>
      </c>
      <c r="E1438" s="181">
        <f>TOBEPAID!E1086/1000</f>
        <v>0</v>
      </c>
      <c r="F1438" s="181">
        <f>TOBEPAID!F1086/1000</f>
        <v>0</v>
      </c>
      <c r="G1438" s="181">
        <f>TOBEPAID!G1086/1000</f>
        <v>0</v>
      </c>
      <c r="H1438" s="181">
        <v>0</v>
      </c>
      <c r="I1438" s="181">
        <f>TOBEPAID!I1086/1000</f>
        <v>0</v>
      </c>
      <c r="J1438" s="181">
        <f>TOBEPAID!J1086/1000</f>
        <v>0</v>
      </c>
      <c r="K1438" s="181">
        <f>TOBEPAID!K1086/1000</f>
        <v>0</v>
      </c>
      <c r="L1438" s="181">
        <f>TOBEPAID!L1086/1000</f>
        <v>0</v>
      </c>
      <c r="M1438" s="181">
        <f>TOBEPAID!M1086/1000</f>
        <v>0</v>
      </c>
      <c r="N1438" s="181">
        <f>TOBEPAID!N1086/1000</f>
        <v>0</v>
      </c>
      <c r="O1438" s="181">
        <f>TOBEPAID!O1086/1000</f>
        <v>8844.6087100000004</v>
      </c>
      <c r="P1438" s="181">
        <f>TOBEPAID!P1086/1000</f>
        <v>0</v>
      </c>
      <c r="Q1438" s="181">
        <f>TOBEPAID!Q1086/1000</f>
        <v>0</v>
      </c>
      <c r="R1438" s="181">
        <f>8844608/1000</f>
        <v>8844.6080000000002</v>
      </c>
      <c r="S1438" s="181">
        <f>TOBEPAID!S1086/1000</f>
        <v>644.97874999999999</v>
      </c>
      <c r="T1438" s="181">
        <f>TOBEPAID!T1086/1000</f>
        <v>0</v>
      </c>
      <c r="U1438" s="181">
        <f>TOBEPAID!U1086/1000</f>
        <v>80.48044999999999</v>
      </c>
      <c r="V1438" s="181">
        <f>TOBEPAID!V1086/1000</f>
        <v>0</v>
      </c>
      <c r="W1438" s="181">
        <f>TOBEPAID!W1086/1000</f>
        <v>0</v>
      </c>
      <c r="X1438" s="181">
        <f>TOBEPAID!X1086/1000</f>
        <v>8844.6087100000004</v>
      </c>
      <c r="Y1438" s="181">
        <f t="shared" si="266"/>
        <v>8844.6080000000002</v>
      </c>
      <c r="Z1438" s="181">
        <f>+D1438-Y1438</f>
        <v>0</v>
      </c>
      <c r="AA1438" s="181">
        <f>TOBEPAID!AA1086/1000</f>
        <v>8844.6087100000004</v>
      </c>
      <c r="AB1438" s="181">
        <f>TOBEPAID!AB1086/1000</f>
        <v>0</v>
      </c>
      <c r="AC1438" s="181"/>
      <c r="AD1438" s="181"/>
      <c r="AF1438" s="195"/>
      <c r="AG1438" s="195"/>
      <c r="AH1438" s="195"/>
      <c r="AI1438" s="195"/>
      <c r="AJ1438" s="195"/>
      <c r="AK1438" s="195"/>
      <c r="AL1438" s="195"/>
      <c r="AM1438" s="195"/>
      <c r="AN1438" s="195"/>
      <c r="AO1438" s="195"/>
      <c r="AP1438" s="195"/>
      <c r="AQ1438" s="195"/>
      <c r="AR1438" s="195"/>
      <c r="AS1438" s="195"/>
    </row>
    <row r="1439" spans="1:45" x14ac:dyDescent="0.2">
      <c r="A1439" s="180"/>
      <c r="C1439" s="192" t="s">
        <v>39</v>
      </c>
      <c r="D1439" s="181">
        <f>641909/1000</f>
        <v>641.90899999999999</v>
      </c>
      <c r="E1439" s="181">
        <f>TOBEPAID!E1087/1000</f>
        <v>0</v>
      </c>
      <c r="F1439" s="181">
        <f>TOBEPAID!F1087/1000</f>
        <v>0</v>
      </c>
      <c r="G1439" s="181">
        <f>TOBEPAID!G1087/1000</f>
        <v>0</v>
      </c>
      <c r="H1439" s="181">
        <v>0</v>
      </c>
      <c r="I1439" s="181">
        <f>TOBEPAID!I1087/1000</f>
        <v>0</v>
      </c>
      <c r="J1439" s="181">
        <f>TOBEPAID!J1087/1000</f>
        <v>0</v>
      </c>
      <c r="K1439" s="181">
        <f>TOBEPAID!K1087/1000</f>
        <v>0</v>
      </c>
      <c r="L1439" s="181">
        <f>TOBEPAID!L1087/1000</f>
        <v>0</v>
      </c>
      <c r="M1439" s="181">
        <f>TOBEPAID!M1087/1000</f>
        <v>0</v>
      </c>
      <c r="N1439" s="181">
        <f>TOBEPAID!N1087/1000</f>
        <v>0</v>
      </c>
      <c r="O1439" s="181">
        <f>TOBEPAID!O1087/1000</f>
        <v>494.78201000000001</v>
      </c>
      <c r="P1439" s="181">
        <f>TOBEPAID!P1087/1000</f>
        <v>0</v>
      </c>
      <c r="Q1439" s="181">
        <f>TOBEPAID!Q1087/1000</f>
        <v>0</v>
      </c>
      <c r="R1439" s="181">
        <f>641909/1000</f>
        <v>641.90899999999999</v>
      </c>
      <c r="S1439" s="181">
        <f>TOBEPAID!S1087/1000</f>
        <v>0</v>
      </c>
      <c r="T1439" s="181">
        <f>TOBEPAID!T1087/1000</f>
        <v>0</v>
      </c>
      <c r="U1439" s="181">
        <f>TOBEPAID!U1087/1000</f>
        <v>0</v>
      </c>
      <c r="V1439" s="181">
        <f>TOBEPAID!V1087/1000</f>
        <v>0</v>
      </c>
      <c r="W1439" s="181">
        <f>TOBEPAID!W1087/1000</f>
        <v>0</v>
      </c>
      <c r="X1439" s="181">
        <f>TOBEPAID!X1087/1000</f>
        <v>494.78201000000001</v>
      </c>
      <c r="Y1439" s="181">
        <f t="shared" si="266"/>
        <v>641.90899999999999</v>
      </c>
      <c r="Z1439" s="181">
        <f>+D1439-Y1439</f>
        <v>0</v>
      </c>
      <c r="AA1439" s="181">
        <f>TOBEPAID!AA1087/1000</f>
        <v>494.78201000000001</v>
      </c>
      <c r="AB1439" s="181">
        <f>TOBEPAID!AB1087/1000</f>
        <v>1665.18488</v>
      </c>
      <c r="AC1439" s="181"/>
      <c r="AD1439" s="181"/>
      <c r="AF1439" s="195"/>
      <c r="AG1439" s="195"/>
      <c r="AH1439" s="195"/>
      <c r="AI1439" s="195"/>
      <c r="AJ1439" s="195"/>
      <c r="AK1439" s="195"/>
      <c r="AL1439" s="195"/>
      <c r="AM1439" s="195"/>
      <c r="AN1439" s="195"/>
      <c r="AO1439" s="195"/>
      <c r="AP1439" s="195"/>
      <c r="AQ1439" s="195"/>
      <c r="AR1439" s="195"/>
      <c r="AS1439" s="195"/>
    </row>
    <row r="1440" spans="1:45" x14ac:dyDescent="0.2">
      <c r="A1440" s="180"/>
      <c r="C1440" s="166" t="str">
        <f>+C1228</f>
        <v>WB-RERP-STGNG AREA</v>
      </c>
      <c r="D1440" s="181">
        <f>5324323/1000</f>
        <v>5324.3230000000003</v>
      </c>
      <c r="E1440" s="181">
        <f>TOBEPAID!E1088/1000</f>
        <v>5324.3231900000001</v>
      </c>
      <c r="F1440" s="181">
        <f>TOBEPAID!F1088/1000</f>
        <v>0</v>
      </c>
      <c r="G1440" s="181">
        <f>TOBEPAID!G1088/1000</f>
        <v>0</v>
      </c>
      <c r="H1440" s="181">
        <f>5324000/1000</f>
        <v>5324</v>
      </c>
      <c r="I1440" s="181">
        <f>TOBEPAID!I1088/1000</f>
        <v>0</v>
      </c>
      <c r="J1440" s="181">
        <f>TOBEPAID!J1088/1000</f>
        <v>0</v>
      </c>
      <c r="K1440" s="181">
        <f>TOBEPAID!K1088/1000</f>
        <v>0</v>
      </c>
      <c r="L1440" s="181">
        <f>TOBEPAID!L1088/1000</f>
        <v>0</v>
      </c>
      <c r="M1440" s="181">
        <f>TOBEPAID!M1088/1000</f>
        <v>0</v>
      </c>
      <c r="N1440" s="181">
        <f>TOBEPAID!N1088/1000</f>
        <v>5324.3231900000001</v>
      </c>
      <c r="O1440" s="181">
        <f>TOBEPAID!O1088/1000</f>
        <v>0</v>
      </c>
      <c r="P1440" s="181">
        <f>TOBEPAID!P1088/1000</f>
        <v>0</v>
      </c>
      <c r="Q1440" s="181">
        <f>TOBEPAID!Q1088/1000</f>
        <v>0</v>
      </c>
      <c r="R1440" s="181">
        <v>0</v>
      </c>
      <c r="S1440" s="181">
        <f>TOBEPAID!S1088/1000</f>
        <v>0</v>
      </c>
      <c r="T1440" s="181">
        <f>TOBEPAID!T1088/1000</f>
        <v>0</v>
      </c>
      <c r="U1440" s="181">
        <f>TOBEPAID!U1088/1000</f>
        <v>0</v>
      </c>
      <c r="V1440" s="181">
        <f>TOBEPAID!V1088/1000</f>
        <v>0</v>
      </c>
      <c r="W1440" s="181">
        <f>TOBEPAID!W1088/1000</f>
        <v>0</v>
      </c>
      <c r="X1440" s="181">
        <f>TOBEPAID!X1088/1000</f>
        <v>0</v>
      </c>
      <c r="Y1440" s="181">
        <f t="shared" si="266"/>
        <v>5324</v>
      </c>
      <c r="Z1440" s="181">
        <f>+D1440-Y1440</f>
        <v>0.32300000000032014</v>
      </c>
      <c r="AA1440" s="181">
        <f>TOBEPAID!AA1088/1000</f>
        <v>5324.3231900000001</v>
      </c>
      <c r="AB1440" s="181">
        <f>TOBEPAID!AB1088/1000</f>
        <v>4675.6768099999999</v>
      </c>
      <c r="AC1440" s="181"/>
      <c r="AD1440" s="181"/>
      <c r="AF1440" s="195"/>
      <c r="AG1440" s="195"/>
      <c r="AH1440" s="195"/>
      <c r="AI1440" s="195"/>
      <c r="AJ1440" s="195"/>
      <c r="AK1440" s="195"/>
      <c r="AL1440" s="195"/>
      <c r="AM1440" s="195"/>
      <c r="AN1440" s="195"/>
      <c r="AO1440" s="195"/>
      <c r="AP1440" s="195"/>
      <c r="AQ1440" s="195"/>
      <c r="AR1440" s="195"/>
      <c r="AS1440" s="195"/>
    </row>
    <row r="1441" spans="1:45" x14ac:dyDescent="0.2">
      <c r="A1441" s="180"/>
      <c r="D1441" s="182" t="s">
        <v>40</v>
      </c>
      <c r="E1441" s="182" t="s">
        <v>40</v>
      </c>
      <c r="F1441" s="182" t="s">
        <v>40</v>
      </c>
      <c r="G1441" s="182"/>
      <c r="H1441" s="182" t="s">
        <v>40</v>
      </c>
      <c r="I1441" s="182" t="s">
        <v>40</v>
      </c>
      <c r="J1441" s="182" t="s">
        <v>40</v>
      </c>
      <c r="K1441" s="182" t="s">
        <v>40</v>
      </c>
      <c r="L1441" s="182" t="s">
        <v>40</v>
      </c>
      <c r="M1441" s="182"/>
      <c r="N1441" s="182" t="s">
        <v>40</v>
      </c>
      <c r="O1441" s="182" t="s">
        <v>40</v>
      </c>
      <c r="P1441" s="182" t="s">
        <v>40</v>
      </c>
      <c r="Q1441" s="182"/>
      <c r="R1441" s="182" t="s">
        <v>40</v>
      </c>
      <c r="S1441" s="182" t="s">
        <v>40</v>
      </c>
      <c r="T1441" s="182" t="s">
        <v>40</v>
      </c>
      <c r="U1441" s="182" t="s">
        <v>40</v>
      </c>
      <c r="V1441" s="182" t="s">
        <v>40</v>
      </c>
      <c r="W1441" s="182"/>
      <c r="X1441" s="182" t="s">
        <v>40</v>
      </c>
      <c r="Y1441" s="182" t="s">
        <v>40</v>
      </c>
      <c r="Z1441" s="182" t="s">
        <v>40</v>
      </c>
      <c r="AA1441" s="182" t="s">
        <v>40</v>
      </c>
      <c r="AB1441" s="182" t="s">
        <v>40</v>
      </c>
      <c r="AC1441" s="182"/>
      <c r="AD1441" s="182"/>
      <c r="AF1441" s="195"/>
      <c r="AG1441" s="195"/>
      <c r="AH1441" s="195"/>
      <c r="AI1441" s="195"/>
      <c r="AJ1441" s="195"/>
      <c r="AK1441" s="195"/>
      <c r="AL1441" s="195"/>
      <c r="AM1441" s="195"/>
      <c r="AN1441" s="195"/>
      <c r="AO1441" s="195"/>
      <c r="AP1441" s="195"/>
      <c r="AQ1441" s="195"/>
      <c r="AR1441" s="195"/>
      <c r="AS1441" s="195"/>
    </row>
    <row r="1442" spans="1:45" x14ac:dyDescent="0.2">
      <c r="A1442" s="180"/>
      <c r="D1442" s="181">
        <f>SUM(D1430:D1440)</f>
        <v>2051545.0480000002</v>
      </c>
      <c r="E1442" s="181">
        <f>SUM(E1430:E1440)</f>
        <v>285423.30712000007</v>
      </c>
      <c r="F1442" s="181">
        <f>SUM(F1430:F1440)</f>
        <v>29000</v>
      </c>
      <c r="G1442" s="181"/>
      <c r="H1442" s="181">
        <f>SUM(H1430:H1440)</f>
        <v>1967751.2605999999</v>
      </c>
      <c r="I1442" s="181">
        <f>SUM(I1430:I1440)</f>
        <v>0</v>
      </c>
      <c r="J1442" s="181">
        <f>SUM(J1430:J1440)</f>
        <v>0</v>
      </c>
      <c r="K1442" s="181">
        <f>SUM(K1430:K1440)</f>
        <v>0</v>
      </c>
      <c r="L1442" s="181">
        <f>SUM(L1430:L1440)</f>
        <v>0</v>
      </c>
      <c r="M1442" s="181"/>
      <c r="N1442" s="181">
        <f>SUM(N1430:N1440)</f>
        <v>314423.30712000007</v>
      </c>
      <c r="O1442" s="181">
        <f>SUM(O1430:O1440)</f>
        <v>24366.784329999999</v>
      </c>
      <c r="P1442" s="181">
        <f>SUM(P1430:P1440)</f>
        <v>0</v>
      </c>
      <c r="Q1442" s="181"/>
      <c r="R1442" s="181">
        <f>SUM(R1430:R1440)</f>
        <v>27302.681</v>
      </c>
      <c r="S1442" s="181">
        <f>SUM(S1430:S1440)</f>
        <v>1629.5260299999995</v>
      </c>
      <c r="T1442" s="181">
        <f>SUM(T1430:T1440)</f>
        <v>0</v>
      </c>
      <c r="U1442" s="181">
        <f>SUM(U1430:U1440)</f>
        <v>2125.6468199999999</v>
      </c>
      <c r="V1442" s="181">
        <f>SUM(V1430:V1440)</f>
        <v>0</v>
      </c>
      <c r="W1442" s="181"/>
      <c r="X1442" s="181">
        <f>SUM(X1430:X1440)</f>
        <v>24366.784329999999</v>
      </c>
      <c r="Y1442" s="181">
        <f>SUM(Y1430:Y1440)</f>
        <v>1995053.9416</v>
      </c>
      <c r="Z1442" s="181">
        <f>SUM(Z1430:Z1440)</f>
        <v>56491.107599999988</v>
      </c>
      <c r="AA1442" s="181">
        <f>SUM(AA1430:AA1440)</f>
        <v>338790.09145000007</v>
      </c>
      <c r="AB1442" s="181">
        <f>SUM(AB1430:AB1440)</f>
        <v>8194.1816900000049</v>
      </c>
      <c r="AC1442" s="181"/>
      <c r="AD1442" s="181"/>
      <c r="AF1442" s="195"/>
      <c r="AG1442" s="195"/>
      <c r="AH1442" s="195"/>
      <c r="AI1442" s="195"/>
      <c r="AJ1442" s="195"/>
      <c r="AK1442" s="195"/>
      <c r="AL1442" s="195"/>
      <c r="AM1442" s="195"/>
      <c r="AN1442" s="195"/>
      <c r="AO1442" s="195"/>
      <c r="AP1442" s="195"/>
      <c r="AQ1442" s="195"/>
      <c r="AR1442" s="195"/>
      <c r="AS1442" s="195"/>
    </row>
    <row r="1443" spans="1:45" x14ac:dyDescent="0.2">
      <c r="A1443" s="180"/>
      <c r="B1443" s="172"/>
      <c r="D1443" s="182" t="s">
        <v>40</v>
      </c>
      <c r="E1443" s="182" t="s">
        <v>40</v>
      </c>
      <c r="F1443" s="182" t="s">
        <v>40</v>
      </c>
      <c r="G1443" s="182"/>
      <c r="H1443" s="182" t="s">
        <v>40</v>
      </c>
      <c r="I1443" s="182" t="s">
        <v>40</v>
      </c>
      <c r="J1443" s="182" t="s">
        <v>40</v>
      </c>
      <c r="K1443" s="182" t="s">
        <v>40</v>
      </c>
      <c r="L1443" s="182" t="s">
        <v>40</v>
      </c>
      <c r="M1443" s="182"/>
      <c r="N1443" s="182" t="s">
        <v>40</v>
      </c>
      <c r="O1443" s="182" t="s">
        <v>40</v>
      </c>
      <c r="P1443" s="182" t="s">
        <v>40</v>
      </c>
      <c r="Q1443" s="182"/>
      <c r="R1443" s="182" t="s">
        <v>40</v>
      </c>
      <c r="S1443" s="182" t="s">
        <v>40</v>
      </c>
      <c r="T1443" s="182" t="s">
        <v>40</v>
      </c>
      <c r="U1443" s="182" t="s">
        <v>40</v>
      </c>
      <c r="V1443" s="182" t="s">
        <v>40</v>
      </c>
      <c r="W1443" s="182"/>
      <c r="X1443" s="182" t="s">
        <v>40</v>
      </c>
      <c r="Y1443" s="182" t="s">
        <v>40</v>
      </c>
      <c r="Z1443" s="182" t="s">
        <v>40</v>
      </c>
      <c r="AA1443" s="182" t="s">
        <v>40</v>
      </c>
      <c r="AB1443" s="182" t="s">
        <v>40</v>
      </c>
      <c r="AC1443" s="182"/>
      <c r="AD1443" s="182"/>
      <c r="AF1443" s="195"/>
      <c r="AG1443" s="195"/>
      <c r="AH1443" s="195"/>
      <c r="AI1443" s="195"/>
      <c r="AJ1443" s="195"/>
      <c r="AK1443" s="195"/>
      <c r="AL1443" s="195"/>
      <c r="AM1443" s="195"/>
      <c r="AN1443" s="195"/>
      <c r="AO1443" s="195"/>
      <c r="AP1443" s="195"/>
      <c r="AQ1443" s="195"/>
      <c r="AR1443" s="195"/>
      <c r="AS1443" s="195"/>
    </row>
    <row r="1444" spans="1:45" x14ac:dyDescent="0.2">
      <c r="A1444" s="180"/>
      <c r="B1444" s="172"/>
      <c r="D1444" s="182"/>
      <c r="E1444" s="182"/>
      <c r="F1444" s="182"/>
      <c r="G1444" s="182"/>
      <c r="H1444" s="182"/>
      <c r="I1444" s="182"/>
      <c r="J1444" s="182"/>
      <c r="K1444" s="182"/>
      <c r="L1444" s="182"/>
      <c r="M1444" s="182"/>
      <c r="N1444" s="182"/>
      <c r="O1444" s="221"/>
      <c r="P1444" s="189"/>
      <c r="Q1444" s="189"/>
      <c r="R1444" s="182"/>
      <c r="S1444" s="182"/>
      <c r="T1444" s="182"/>
      <c r="U1444" s="182"/>
      <c r="V1444" s="182"/>
      <c r="W1444" s="182"/>
      <c r="X1444" s="182"/>
      <c r="Y1444" s="182"/>
      <c r="Z1444" s="182"/>
      <c r="AA1444" s="182"/>
      <c r="AB1444" s="182"/>
      <c r="AC1444" s="182"/>
      <c r="AD1444" s="182"/>
      <c r="AF1444" s="195"/>
      <c r="AG1444" s="195"/>
      <c r="AH1444" s="195"/>
      <c r="AI1444" s="195"/>
      <c r="AJ1444" s="195"/>
      <c r="AK1444" s="195"/>
      <c r="AL1444" s="195"/>
      <c r="AM1444" s="195"/>
      <c r="AN1444" s="195"/>
      <c r="AO1444" s="195"/>
      <c r="AP1444" s="195"/>
      <c r="AQ1444" s="195"/>
      <c r="AR1444" s="195"/>
      <c r="AS1444" s="195"/>
    </row>
    <row r="1445" spans="1:45" ht="16.5" customHeight="1" x14ac:dyDescent="0.2">
      <c r="A1445" s="180">
        <v>114</v>
      </c>
      <c r="B1445" s="166" t="s">
        <v>121</v>
      </c>
      <c r="C1445" s="166" t="s">
        <v>35</v>
      </c>
      <c r="D1445" s="181">
        <f>96801698/1000</f>
        <v>96801.698000000004</v>
      </c>
      <c r="E1445" s="181">
        <f>TOBEPAID!E1093/1000</f>
        <v>0</v>
      </c>
      <c r="F1445" s="181">
        <f>TOBEPAID!F1093/1000</f>
        <v>0</v>
      </c>
      <c r="G1445" s="181">
        <f>TOBEPAID!G1093/1000</f>
        <v>0</v>
      </c>
      <c r="H1445" s="181">
        <f>96801000/1000</f>
        <v>96801</v>
      </c>
      <c r="I1445" s="181">
        <f>TOBEPAID!I1093/1000</f>
        <v>0</v>
      </c>
      <c r="J1445" s="181">
        <f>TOBEPAID!J1093/1000</f>
        <v>0</v>
      </c>
      <c r="K1445" s="181">
        <f>TOBEPAID!K1093/1000</f>
        <v>0</v>
      </c>
      <c r="L1445" s="181">
        <f>TOBEPAID!L1093/1000</f>
        <v>0</v>
      </c>
      <c r="M1445" s="181">
        <f>TOBEPAID!M1093/1000</f>
        <v>0</v>
      </c>
      <c r="N1445" s="181">
        <f>TOBEPAID!N1093/1000</f>
        <v>0</v>
      </c>
      <c r="O1445" s="181">
        <f>TOBEPAID!O1093/1000</f>
        <v>0</v>
      </c>
      <c r="P1445" s="181">
        <f>TOBEPAID!P1093/1000</f>
        <v>0</v>
      </c>
      <c r="Q1445" s="181">
        <f>TOBEPAID!Q1093/1000</f>
        <v>0</v>
      </c>
      <c r="R1445" s="181">
        <v>0</v>
      </c>
      <c r="S1445" s="181">
        <f>TOBEPAID!S1093/1000</f>
        <v>0</v>
      </c>
      <c r="T1445" s="181">
        <f>TOBEPAID!T1093/1000</f>
        <v>0</v>
      </c>
      <c r="U1445" s="181">
        <f>TOBEPAID!U1093/1000</f>
        <v>0</v>
      </c>
      <c r="V1445" s="181">
        <f>TOBEPAID!V1093/1000</f>
        <v>0</v>
      </c>
      <c r="W1445" s="181">
        <f>TOBEPAID!W1093/1000</f>
        <v>0</v>
      </c>
      <c r="X1445" s="181">
        <f>TOBEPAID!X1093/1000</f>
        <v>0</v>
      </c>
      <c r="Y1445" s="181">
        <f t="shared" ref="Y1445:Y1450" si="267">+H1445+R1445</f>
        <v>96801</v>
      </c>
      <c r="Z1445" s="181">
        <f t="shared" ref="Z1445:Z1450" si="268">+D1445-Y1445</f>
        <v>0.69800000000395812</v>
      </c>
      <c r="AA1445" s="181">
        <f>TOBEPAID!AA1093/1000</f>
        <v>0</v>
      </c>
      <c r="AB1445" s="181">
        <f>TOBEPAID!AB1093/1000</f>
        <v>86825.555999999997</v>
      </c>
      <c r="AC1445" s="181"/>
      <c r="AD1445" s="181"/>
      <c r="AF1445" s="195"/>
      <c r="AG1445" s="195"/>
      <c r="AH1445" s="195"/>
      <c r="AI1445" s="195"/>
      <c r="AJ1445" s="195"/>
      <c r="AK1445" s="195"/>
      <c r="AL1445" s="195"/>
      <c r="AM1445" s="195"/>
      <c r="AN1445" s="195"/>
      <c r="AO1445" s="195"/>
      <c r="AP1445" s="195"/>
      <c r="AQ1445" s="195"/>
      <c r="AR1445" s="195"/>
    </row>
    <row r="1446" spans="1:45" ht="16.5" customHeight="1" x14ac:dyDescent="0.2">
      <c r="A1446" s="180"/>
      <c r="C1446" s="168" t="s">
        <v>36</v>
      </c>
      <c r="D1446" s="181">
        <f>1250400/1000</f>
        <v>1250.4000000000001</v>
      </c>
      <c r="E1446" s="181">
        <f>TOBEPAID!E1094/1000</f>
        <v>1250.40057</v>
      </c>
      <c r="F1446" s="181">
        <f>TOBEPAID!F1094/1000</f>
        <v>0</v>
      </c>
      <c r="G1446" s="181">
        <f>TOBEPAID!G1094/1000</f>
        <v>0</v>
      </c>
      <c r="H1446" s="181">
        <f>1250400/1000</f>
        <v>1250.4000000000001</v>
      </c>
      <c r="I1446" s="181">
        <f>TOBEPAID!I1094/1000</f>
        <v>0</v>
      </c>
      <c r="J1446" s="181">
        <f>TOBEPAID!J1094/1000</f>
        <v>0</v>
      </c>
      <c r="K1446" s="181">
        <f>TOBEPAID!K1094/1000</f>
        <v>0</v>
      </c>
      <c r="L1446" s="181">
        <f>TOBEPAID!L1094/1000</f>
        <v>0</v>
      </c>
      <c r="M1446" s="181">
        <f>TOBEPAID!M1094/1000</f>
        <v>0</v>
      </c>
      <c r="N1446" s="181">
        <f>TOBEPAID!N1094/1000</f>
        <v>1250.40057</v>
      </c>
      <c r="O1446" s="181">
        <f>TOBEPAID!O1094/1000</f>
        <v>0</v>
      </c>
      <c r="P1446" s="181">
        <f>TOBEPAID!P1094/1000</f>
        <v>0</v>
      </c>
      <c r="Q1446" s="181">
        <f>TOBEPAID!Q1094/1000</f>
        <v>0</v>
      </c>
      <c r="R1446" s="181">
        <v>0</v>
      </c>
      <c r="S1446" s="181">
        <f>TOBEPAID!S1094/1000</f>
        <v>0</v>
      </c>
      <c r="T1446" s="181">
        <f>TOBEPAID!T1094/1000</f>
        <v>0</v>
      </c>
      <c r="U1446" s="181">
        <f>TOBEPAID!U1094/1000</f>
        <v>0</v>
      </c>
      <c r="V1446" s="181">
        <f>TOBEPAID!V1094/1000</f>
        <v>0</v>
      </c>
      <c r="W1446" s="181">
        <f>TOBEPAID!W1094/1000</f>
        <v>0</v>
      </c>
      <c r="X1446" s="181">
        <f>TOBEPAID!X1094/1000</f>
        <v>0</v>
      </c>
      <c r="Y1446" s="181">
        <f t="shared" si="267"/>
        <v>1250.4000000000001</v>
      </c>
      <c r="Z1446" s="181">
        <f t="shared" si="268"/>
        <v>0</v>
      </c>
      <c r="AA1446" s="181">
        <f>TOBEPAID!AA1094/1000</f>
        <v>1250.40057</v>
      </c>
      <c r="AB1446" s="181">
        <f>TOBEPAID!AB1094/1000</f>
        <v>0</v>
      </c>
      <c r="AC1446" s="181"/>
      <c r="AD1446" s="181"/>
      <c r="AS1446" s="195"/>
    </row>
    <row r="1447" spans="1:45" x14ac:dyDescent="0.2">
      <c r="C1447" s="165" t="s">
        <v>375</v>
      </c>
      <c r="D1447" s="181">
        <f>3000000/1000</f>
        <v>3000</v>
      </c>
      <c r="E1447" s="181">
        <f>TOBEPAID!E1095/1000</f>
        <v>3000</v>
      </c>
      <c r="F1447" s="181">
        <f>TOBEPAID!F1095/1000</f>
        <v>0</v>
      </c>
      <c r="G1447" s="181">
        <f>TOBEPAID!G1095/1000</f>
        <v>0</v>
      </c>
      <c r="H1447" s="181">
        <f>3000000/1000</f>
        <v>3000</v>
      </c>
      <c r="I1447" s="181">
        <f>TOBEPAID!I1095/1000</f>
        <v>0</v>
      </c>
      <c r="J1447" s="181">
        <f>TOBEPAID!J1095/1000</f>
        <v>0</v>
      </c>
      <c r="K1447" s="181">
        <f>TOBEPAID!K1095/1000</f>
        <v>0</v>
      </c>
      <c r="L1447" s="181">
        <f>TOBEPAID!L1095/1000</f>
        <v>0</v>
      </c>
      <c r="M1447" s="181">
        <f>TOBEPAID!M1095/1000</f>
        <v>0</v>
      </c>
      <c r="N1447" s="181">
        <f>TOBEPAID!N1095/1000</f>
        <v>3000</v>
      </c>
      <c r="O1447" s="181">
        <f>TOBEPAID!O1095/1000</f>
        <v>0</v>
      </c>
      <c r="P1447" s="181">
        <f>TOBEPAID!P1095/1000</f>
        <v>0</v>
      </c>
      <c r="Q1447" s="181">
        <f>TOBEPAID!Q1095/1000</f>
        <v>0</v>
      </c>
      <c r="R1447" s="181">
        <v>0</v>
      </c>
      <c r="S1447" s="181">
        <f>TOBEPAID!S1095/1000</f>
        <v>0</v>
      </c>
      <c r="T1447" s="181">
        <f>TOBEPAID!T1095/1000</f>
        <v>0</v>
      </c>
      <c r="U1447" s="181">
        <f>TOBEPAID!U1095/1000</f>
        <v>0</v>
      </c>
      <c r="V1447" s="181">
        <f>TOBEPAID!V1095/1000</f>
        <v>0</v>
      </c>
      <c r="W1447" s="181">
        <f>TOBEPAID!W1095/1000</f>
        <v>0</v>
      </c>
      <c r="X1447" s="181">
        <f>TOBEPAID!X1095/1000</f>
        <v>0</v>
      </c>
      <c r="Y1447" s="181">
        <f t="shared" si="267"/>
        <v>3000</v>
      </c>
      <c r="Z1447" s="181">
        <f t="shared" si="268"/>
        <v>0</v>
      </c>
      <c r="AA1447" s="181">
        <f>TOBEPAID!AA1095/1000</f>
        <v>3000</v>
      </c>
      <c r="AB1447" s="181">
        <f>TOBEPAID!AB1095/1000</f>
        <v>0</v>
      </c>
      <c r="AC1447" s="181"/>
      <c r="AD1447" s="181"/>
      <c r="AF1447" s="195"/>
      <c r="AG1447" s="195"/>
      <c r="AH1447" s="195"/>
      <c r="AI1447" s="195"/>
      <c r="AJ1447" s="195"/>
      <c r="AK1447" s="195"/>
      <c r="AL1447" s="195"/>
      <c r="AM1447" s="195"/>
      <c r="AN1447" s="195"/>
      <c r="AO1447" s="195"/>
      <c r="AP1447" s="195"/>
      <c r="AQ1447" s="195"/>
      <c r="AR1447" s="195"/>
      <c r="AS1447" s="195"/>
    </row>
    <row r="1448" spans="1:45" x14ac:dyDescent="0.2">
      <c r="A1448" s="180"/>
      <c r="C1448" s="168" t="s">
        <v>54</v>
      </c>
      <c r="D1448" s="181">
        <v>0</v>
      </c>
      <c r="E1448" s="181">
        <f>TOBEPAID!E1096/1000</f>
        <v>0</v>
      </c>
      <c r="F1448" s="181">
        <f>TOBEPAID!F1096/1000</f>
        <v>0</v>
      </c>
      <c r="G1448" s="181">
        <f>TOBEPAID!G1096/1000</f>
        <v>0</v>
      </c>
      <c r="H1448" s="181">
        <v>0</v>
      </c>
      <c r="I1448" s="181">
        <f>TOBEPAID!I1096/1000</f>
        <v>0</v>
      </c>
      <c r="J1448" s="181">
        <f>TOBEPAID!J1096/1000</f>
        <v>0</v>
      </c>
      <c r="K1448" s="181">
        <f>TOBEPAID!K1096/1000</f>
        <v>0</v>
      </c>
      <c r="L1448" s="181">
        <f>TOBEPAID!L1096/1000</f>
        <v>0</v>
      </c>
      <c r="M1448" s="181">
        <f>TOBEPAID!M1096/1000</f>
        <v>0</v>
      </c>
      <c r="N1448" s="181">
        <f>TOBEPAID!N1096/1000</f>
        <v>0</v>
      </c>
      <c r="O1448" s="181">
        <f>TOBEPAID!O1096/1000</f>
        <v>0</v>
      </c>
      <c r="P1448" s="181">
        <f>TOBEPAID!P1096/1000</f>
        <v>0</v>
      </c>
      <c r="Q1448" s="181">
        <f>TOBEPAID!Q1096/1000</f>
        <v>0</v>
      </c>
      <c r="R1448" s="181">
        <v>0</v>
      </c>
      <c r="S1448" s="181">
        <f>TOBEPAID!S1096/1000</f>
        <v>0</v>
      </c>
      <c r="T1448" s="181">
        <f>TOBEPAID!T1096/1000</f>
        <v>0</v>
      </c>
      <c r="U1448" s="181">
        <f>TOBEPAID!U1096/1000</f>
        <v>0</v>
      </c>
      <c r="V1448" s="181">
        <f>TOBEPAID!V1096/1000</f>
        <v>0</v>
      </c>
      <c r="W1448" s="181">
        <f>TOBEPAID!W1096/1000</f>
        <v>0</v>
      </c>
      <c r="X1448" s="181">
        <f>TOBEPAID!X1096/1000</f>
        <v>0</v>
      </c>
      <c r="Y1448" s="181">
        <f t="shared" si="267"/>
        <v>0</v>
      </c>
      <c r="Z1448" s="181">
        <f t="shared" si="268"/>
        <v>0</v>
      </c>
      <c r="AA1448" s="181">
        <f>TOBEPAID!AA1096/1000</f>
        <v>0</v>
      </c>
      <c r="AB1448" s="181">
        <f>TOBEPAID!AB1096/1000</f>
        <v>0</v>
      </c>
      <c r="AC1448" s="181"/>
      <c r="AD1448" s="181"/>
      <c r="AF1448" s="195"/>
      <c r="AG1448" s="195"/>
      <c r="AH1448" s="195"/>
      <c r="AI1448" s="195"/>
      <c r="AJ1448" s="195"/>
      <c r="AK1448" s="195"/>
      <c r="AL1448" s="195"/>
      <c r="AM1448" s="195"/>
      <c r="AN1448" s="195"/>
      <c r="AO1448" s="195"/>
      <c r="AP1448" s="195"/>
      <c r="AQ1448" s="195"/>
      <c r="AR1448" s="195"/>
      <c r="AS1448" s="195"/>
    </row>
    <row r="1449" spans="1:45" ht="14.25" customHeight="1" x14ac:dyDescent="0.2">
      <c r="A1449" s="180"/>
      <c r="C1449" s="166" t="s">
        <v>37</v>
      </c>
      <c r="D1449" s="181">
        <v>0</v>
      </c>
      <c r="E1449" s="181">
        <f>TOBEPAID!E1097/1000</f>
        <v>0</v>
      </c>
      <c r="F1449" s="181">
        <f>TOBEPAID!F1097/1000</f>
        <v>0</v>
      </c>
      <c r="G1449" s="181">
        <f>TOBEPAID!G1097/1000</f>
        <v>0</v>
      </c>
      <c r="H1449" s="181">
        <v>0</v>
      </c>
      <c r="I1449" s="181">
        <f>TOBEPAID!I1097/1000</f>
        <v>0</v>
      </c>
      <c r="J1449" s="181">
        <f>TOBEPAID!J1097/1000</f>
        <v>0</v>
      </c>
      <c r="K1449" s="181">
        <f>TOBEPAID!K1097/1000</f>
        <v>0</v>
      </c>
      <c r="L1449" s="181">
        <f>TOBEPAID!L1097/1000</f>
        <v>0</v>
      </c>
      <c r="M1449" s="181">
        <f>TOBEPAID!M1097/1000</f>
        <v>0</v>
      </c>
      <c r="N1449" s="181">
        <f>TOBEPAID!N1097/1000</f>
        <v>0</v>
      </c>
      <c r="O1449" s="181">
        <f>TOBEPAID!O1097/1000</f>
        <v>0</v>
      </c>
      <c r="P1449" s="181">
        <f>TOBEPAID!P1097/1000</f>
        <v>0</v>
      </c>
      <c r="Q1449" s="181">
        <f>TOBEPAID!Q1097/1000</f>
        <v>0</v>
      </c>
      <c r="R1449" s="181">
        <v>0</v>
      </c>
      <c r="S1449" s="181">
        <f>TOBEPAID!S1097/1000</f>
        <v>0</v>
      </c>
      <c r="T1449" s="181">
        <f>TOBEPAID!T1097/1000</f>
        <v>0</v>
      </c>
      <c r="U1449" s="181">
        <f>TOBEPAID!U1097/1000</f>
        <v>0</v>
      </c>
      <c r="V1449" s="181">
        <f>TOBEPAID!V1097/1000</f>
        <v>0</v>
      </c>
      <c r="W1449" s="181">
        <f>TOBEPAID!W1097/1000</f>
        <v>0</v>
      </c>
      <c r="X1449" s="181">
        <f>TOBEPAID!X1097/1000</f>
        <v>0</v>
      </c>
      <c r="Y1449" s="181">
        <f t="shared" si="267"/>
        <v>0</v>
      </c>
      <c r="Z1449" s="181">
        <f t="shared" si="268"/>
        <v>0</v>
      </c>
      <c r="AA1449" s="181">
        <f>TOBEPAID!AA1097/1000</f>
        <v>0</v>
      </c>
      <c r="AB1449" s="181">
        <f>TOBEPAID!AB1097/1000</f>
        <v>7827.2352899999996</v>
      </c>
      <c r="AC1449" s="181"/>
      <c r="AD1449" s="181"/>
      <c r="AF1449" s="195"/>
      <c r="AG1449" s="195"/>
      <c r="AH1449" s="195"/>
      <c r="AI1449" s="195"/>
      <c r="AJ1449" s="195"/>
      <c r="AK1449" s="195"/>
      <c r="AL1449" s="195"/>
      <c r="AM1449" s="195"/>
      <c r="AN1449" s="195"/>
      <c r="AO1449" s="195"/>
      <c r="AP1449" s="195"/>
      <c r="AQ1449" s="195"/>
      <c r="AR1449" s="195"/>
      <c r="AS1449" s="195"/>
    </row>
    <row r="1450" spans="1:45" x14ac:dyDescent="0.2">
      <c r="A1450" s="180"/>
      <c r="C1450" s="192" t="s">
        <v>39</v>
      </c>
      <c r="D1450" s="181">
        <v>0</v>
      </c>
      <c r="E1450" s="181">
        <f>TOBEPAID!E1098/1000</f>
        <v>0</v>
      </c>
      <c r="F1450" s="181">
        <f>TOBEPAID!F1098/1000</f>
        <v>0</v>
      </c>
      <c r="G1450" s="181">
        <f>TOBEPAID!G1098/1000</f>
        <v>0</v>
      </c>
      <c r="H1450" s="181">
        <v>0</v>
      </c>
      <c r="I1450" s="181">
        <f>TOBEPAID!I1098/1000</f>
        <v>0</v>
      </c>
      <c r="J1450" s="181">
        <f>TOBEPAID!J1098/1000</f>
        <v>0</v>
      </c>
      <c r="K1450" s="181">
        <f>TOBEPAID!K1098/1000</f>
        <v>0</v>
      </c>
      <c r="L1450" s="181">
        <f>TOBEPAID!L1098/1000</f>
        <v>0</v>
      </c>
      <c r="M1450" s="181">
        <f>TOBEPAID!M1098/1000</f>
        <v>0</v>
      </c>
      <c r="N1450" s="181">
        <f>TOBEPAID!N1098/1000</f>
        <v>0</v>
      </c>
      <c r="O1450" s="181">
        <f>TOBEPAID!O1098/1000</f>
        <v>0</v>
      </c>
      <c r="P1450" s="181">
        <f>TOBEPAID!P1098/1000</f>
        <v>0</v>
      </c>
      <c r="Q1450" s="181">
        <f>TOBEPAID!Q1098/1000</f>
        <v>0</v>
      </c>
      <c r="R1450" s="181">
        <v>0</v>
      </c>
      <c r="S1450" s="181">
        <f>TOBEPAID!S1098/1000</f>
        <v>0</v>
      </c>
      <c r="T1450" s="181">
        <f>TOBEPAID!T1098/1000</f>
        <v>0</v>
      </c>
      <c r="U1450" s="181">
        <f>TOBEPAID!U1098/1000</f>
        <v>0</v>
      </c>
      <c r="V1450" s="181">
        <f>TOBEPAID!V1098/1000</f>
        <v>0</v>
      </c>
      <c r="W1450" s="181">
        <f>TOBEPAID!W1098/1000</f>
        <v>0</v>
      </c>
      <c r="X1450" s="181">
        <f>TOBEPAID!X1098/1000</f>
        <v>0</v>
      </c>
      <c r="Y1450" s="181">
        <f t="shared" si="267"/>
        <v>0</v>
      </c>
      <c r="Z1450" s="181">
        <f t="shared" si="268"/>
        <v>0</v>
      </c>
      <c r="AA1450" s="181">
        <f>TOBEPAID!AA1098/1000</f>
        <v>0</v>
      </c>
      <c r="AB1450" s="181">
        <f>TOBEPAID!AB1098/1000</f>
        <v>2148.90744</v>
      </c>
      <c r="AC1450" s="181"/>
      <c r="AD1450" s="181"/>
      <c r="AF1450" s="195"/>
      <c r="AG1450" s="195"/>
      <c r="AH1450" s="195"/>
      <c r="AI1450" s="195"/>
      <c r="AJ1450" s="195"/>
      <c r="AK1450" s="195"/>
      <c r="AL1450" s="195"/>
      <c r="AM1450" s="195"/>
      <c r="AN1450" s="195"/>
      <c r="AO1450" s="195"/>
      <c r="AP1450" s="195"/>
      <c r="AQ1450" s="195"/>
      <c r="AR1450" s="195"/>
      <c r="AS1450" s="195"/>
    </row>
    <row r="1451" spans="1:45" ht="16.5" customHeight="1" x14ac:dyDescent="0.2">
      <c r="A1451" s="180"/>
      <c r="D1451" s="182" t="s">
        <v>40</v>
      </c>
      <c r="E1451" s="182" t="s">
        <v>40</v>
      </c>
      <c r="F1451" s="182" t="s">
        <v>40</v>
      </c>
      <c r="G1451" s="182"/>
      <c r="H1451" s="182" t="s">
        <v>40</v>
      </c>
      <c r="I1451" s="182" t="s">
        <v>40</v>
      </c>
      <c r="J1451" s="182" t="s">
        <v>40</v>
      </c>
      <c r="K1451" s="182" t="s">
        <v>40</v>
      </c>
      <c r="L1451" s="182" t="s">
        <v>40</v>
      </c>
      <c r="M1451" s="182"/>
      <c r="N1451" s="182" t="s">
        <v>40</v>
      </c>
      <c r="O1451" s="182" t="s">
        <v>40</v>
      </c>
      <c r="P1451" s="182" t="s">
        <v>40</v>
      </c>
      <c r="Q1451" s="182"/>
      <c r="R1451" s="182" t="s">
        <v>40</v>
      </c>
      <c r="S1451" s="182" t="s">
        <v>40</v>
      </c>
      <c r="T1451" s="182" t="s">
        <v>40</v>
      </c>
      <c r="U1451" s="182" t="s">
        <v>40</v>
      </c>
      <c r="V1451" s="182" t="s">
        <v>40</v>
      </c>
      <c r="W1451" s="182"/>
      <c r="X1451" s="182" t="s">
        <v>40</v>
      </c>
      <c r="Y1451" s="182" t="s">
        <v>40</v>
      </c>
      <c r="Z1451" s="182" t="s">
        <v>40</v>
      </c>
      <c r="AA1451" s="182" t="s">
        <v>40</v>
      </c>
      <c r="AB1451" s="182" t="s">
        <v>40</v>
      </c>
      <c r="AC1451" s="182"/>
      <c r="AD1451" s="182"/>
      <c r="AF1451" s="195"/>
      <c r="AG1451" s="195"/>
      <c r="AH1451" s="195"/>
      <c r="AI1451" s="195"/>
      <c r="AJ1451" s="195"/>
      <c r="AK1451" s="195"/>
      <c r="AL1451" s="195"/>
      <c r="AM1451" s="195"/>
      <c r="AN1451" s="195"/>
      <c r="AO1451" s="195"/>
      <c r="AP1451" s="195"/>
      <c r="AQ1451" s="195"/>
      <c r="AR1451" s="195"/>
      <c r="AS1451" s="195"/>
    </row>
    <row r="1452" spans="1:45" ht="16.5" customHeight="1" x14ac:dyDescent="0.2">
      <c r="A1452" s="180"/>
      <c r="D1452" s="181">
        <f>SUM(D1445:D1450)</f>
        <v>101052.098</v>
      </c>
      <c r="E1452" s="181">
        <f>SUM(E1445:E1450)</f>
        <v>4250.4005699999998</v>
      </c>
      <c r="F1452" s="181">
        <f>SUM(F1445:F1450)</f>
        <v>0</v>
      </c>
      <c r="G1452" s="181"/>
      <c r="H1452" s="181">
        <f>SUM(H1445:H1450)</f>
        <v>101051.4</v>
      </c>
      <c r="I1452" s="181">
        <f>SUM(I1445:I1450)</f>
        <v>0</v>
      </c>
      <c r="J1452" s="181">
        <f>SUM(J1445:J1450)</f>
        <v>0</v>
      </c>
      <c r="K1452" s="181">
        <f>SUM(K1445:K1450)</f>
        <v>0</v>
      </c>
      <c r="L1452" s="181">
        <f>SUM(L1445:L1450)</f>
        <v>0</v>
      </c>
      <c r="M1452" s="181"/>
      <c r="N1452" s="181">
        <f>SUM(N1445:N1450)</f>
        <v>4250.4005699999998</v>
      </c>
      <c r="O1452" s="181">
        <f>SUM(O1445:O1450)</f>
        <v>0</v>
      </c>
      <c r="P1452" s="181">
        <f>SUM(P1445:P1450)</f>
        <v>0</v>
      </c>
      <c r="Q1452" s="181"/>
      <c r="R1452" s="181">
        <f>SUM(R1445:R1450)</f>
        <v>0</v>
      </c>
      <c r="S1452" s="181">
        <f>SUM(S1445:S1450)</f>
        <v>0</v>
      </c>
      <c r="T1452" s="181">
        <f>SUM(T1445:T1450)</f>
        <v>0</v>
      </c>
      <c r="U1452" s="181">
        <f>SUM(U1445:U1450)</f>
        <v>0</v>
      </c>
      <c r="V1452" s="181">
        <f>SUM(V1445:V1450)</f>
        <v>0</v>
      </c>
      <c r="W1452" s="181"/>
      <c r="X1452" s="181">
        <f>SUM(X1445:X1450)</f>
        <v>0</v>
      </c>
      <c r="Y1452" s="181">
        <f>SUM(Y1445:Y1450)</f>
        <v>101051.4</v>
      </c>
      <c r="Z1452" s="181">
        <f>SUM(Z1445:Z1450)</f>
        <v>0.69800000000395812</v>
      </c>
      <c r="AA1452" s="181">
        <f>SUM(AA1445:AA1450)</f>
        <v>4250.4005699999998</v>
      </c>
      <c r="AB1452" s="181">
        <f>SUM(AB1445:AB1450)</f>
        <v>96801.698729999989</v>
      </c>
      <c r="AC1452" s="181"/>
      <c r="AD1452" s="181"/>
      <c r="AF1452" s="195"/>
      <c r="AG1452" s="195"/>
      <c r="AH1452" s="195"/>
      <c r="AI1452" s="195"/>
      <c r="AJ1452" s="195"/>
      <c r="AK1452" s="195"/>
      <c r="AL1452" s="195"/>
      <c r="AM1452" s="195"/>
      <c r="AN1452" s="195"/>
      <c r="AO1452" s="195"/>
      <c r="AP1452" s="195"/>
      <c r="AQ1452" s="195"/>
      <c r="AR1452" s="195"/>
      <c r="AS1452" s="195">
        <f t="shared" ref="AS1452:AS1463" si="269">+AF1453-AP1453-AK1453</f>
        <v>-1.6999999934341758E-4</v>
      </c>
    </row>
    <row r="1453" spans="1:45" x14ac:dyDescent="0.2">
      <c r="A1453" s="180"/>
      <c r="D1453" s="182" t="s">
        <v>40</v>
      </c>
      <c r="E1453" s="182" t="s">
        <v>40</v>
      </c>
      <c r="F1453" s="182" t="s">
        <v>40</v>
      </c>
      <c r="G1453" s="182"/>
      <c r="H1453" s="182" t="s">
        <v>40</v>
      </c>
      <c r="I1453" s="182" t="s">
        <v>40</v>
      </c>
      <c r="J1453" s="182" t="s">
        <v>40</v>
      </c>
      <c r="K1453" s="182" t="s">
        <v>40</v>
      </c>
      <c r="L1453" s="182" t="s">
        <v>40</v>
      </c>
      <c r="M1453" s="182"/>
      <c r="N1453" s="182" t="s">
        <v>40</v>
      </c>
      <c r="O1453" s="182" t="s">
        <v>40</v>
      </c>
      <c r="P1453" s="182" t="s">
        <v>40</v>
      </c>
      <c r="Q1453" s="182"/>
      <c r="R1453" s="182" t="s">
        <v>40</v>
      </c>
      <c r="S1453" s="182" t="s">
        <v>40</v>
      </c>
      <c r="T1453" s="182" t="s">
        <v>40</v>
      </c>
      <c r="U1453" s="182" t="s">
        <v>40</v>
      </c>
      <c r="V1453" s="182" t="s">
        <v>40</v>
      </c>
      <c r="W1453" s="182"/>
      <c r="X1453" s="182" t="s">
        <v>40</v>
      </c>
      <c r="Y1453" s="182" t="s">
        <v>40</v>
      </c>
      <c r="Z1453" s="182" t="s">
        <v>40</v>
      </c>
      <c r="AA1453" s="182" t="s">
        <v>40</v>
      </c>
      <c r="AB1453" s="182" t="s">
        <v>40</v>
      </c>
      <c r="AC1453" s="182"/>
      <c r="AD1453" s="182"/>
      <c r="AF1453" s="195">
        <f>+D1433+D1447</f>
        <v>8677.9279999999999</v>
      </c>
      <c r="AG1453" s="195">
        <f>+E1433+E1447</f>
        <v>8677.9281699999992</v>
      </c>
      <c r="AH1453" s="195">
        <f>+F1433+F1447</f>
        <v>0</v>
      </c>
      <c r="AI1453" s="195">
        <f t="shared" ref="AI1453:AI1464" si="270">+AG1453+AH1453</f>
        <v>8677.9281699999992</v>
      </c>
      <c r="AJ1453" s="195">
        <f>+L1433+L1447</f>
        <v>0</v>
      </c>
      <c r="AK1453" s="195">
        <f t="shared" ref="AK1453:AK1464" si="271">+AI1453+AJ1453</f>
        <v>8677.9281699999992</v>
      </c>
      <c r="AL1453" s="195">
        <f>+O1433+O1447</f>
        <v>0</v>
      </c>
      <c r="AM1453" s="195">
        <f>+P1433+P1447</f>
        <v>0</v>
      </c>
      <c r="AN1453" s="195">
        <f>+AL1453+AM1453</f>
        <v>0</v>
      </c>
      <c r="AO1453" s="195">
        <f>+V1433+V1447</f>
        <v>0</v>
      </c>
      <c r="AP1453" s="195">
        <f>+AN1453+AO1453</f>
        <v>0</v>
      </c>
      <c r="AQ1453" s="195">
        <f>+AI1453+AN1453</f>
        <v>8677.9281699999992</v>
      </c>
      <c r="AR1453" s="195">
        <f>+AF1453-AQ1453</f>
        <v>-1.6999999934341758E-4</v>
      </c>
      <c r="AS1453" s="195">
        <f t="shared" si="269"/>
        <v>1550000</v>
      </c>
    </row>
    <row r="1454" spans="1:45" x14ac:dyDescent="0.2">
      <c r="A1454" s="180"/>
      <c r="B1454" s="183"/>
      <c r="C1454" s="174"/>
      <c r="D1454" s="203"/>
      <c r="E1454" s="189"/>
      <c r="F1454" s="189"/>
      <c r="G1454" s="189"/>
      <c r="H1454" s="189"/>
      <c r="I1454" s="189"/>
      <c r="J1454" s="189"/>
      <c r="K1454" s="189"/>
      <c r="L1454" s="189"/>
      <c r="M1454" s="189"/>
      <c r="N1454" s="189"/>
      <c r="O1454" s="203"/>
      <c r="P1454" s="203"/>
      <c r="Q1454" s="189"/>
      <c r="R1454" s="203"/>
      <c r="S1454" s="189"/>
      <c r="T1454" s="189"/>
      <c r="U1454" s="189"/>
      <c r="V1454" s="189"/>
      <c r="W1454" s="182"/>
      <c r="X1454" s="182"/>
      <c r="Y1454" s="203"/>
      <c r="Z1454" s="182"/>
      <c r="AA1454" s="182"/>
      <c r="AB1454" s="182"/>
      <c r="AC1454" s="182"/>
      <c r="AD1454" s="182"/>
      <c r="AE1454" s="186" t="s">
        <v>317</v>
      </c>
      <c r="AF1454" s="195">
        <f>+D1432</f>
        <v>1834000</v>
      </c>
      <c r="AG1454" s="195">
        <f>+E1432</f>
        <v>255000</v>
      </c>
      <c r="AH1454" s="195">
        <f>+F1432</f>
        <v>29000</v>
      </c>
      <c r="AI1454" s="195">
        <f t="shared" si="270"/>
        <v>284000</v>
      </c>
      <c r="AJ1454" s="195">
        <f>+L1432</f>
        <v>0</v>
      </c>
      <c r="AK1454" s="195">
        <f t="shared" si="271"/>
        <v>284000</v>
      </c>
      <c r="AL1454" s="195">
        <f>+O1432</f>
        <v>0</v>
      </c>
      <c r="AM1454" s="195">
        <f>+P1432</f>
        <v>0</v>
      </c>
      <c r="AN1454" s="195">
        <f>+AL1454+AM1454</f>
        <v>0</v>
      </c>
      <c r="AO1454" s="195">
        <f>+V1432</f>
        <v>0</v>
      </c>
      <c r="AP1454" s="195">
        <f>+AN1454+AO1454</f>
        <v>0</v>
      </c>
      <c r="AQ1454" s="195">
        <f>+AI1454+AN1454</f>
        <v>284000</v>
      </c>
      <c r="AR1454" s="195">
        <f>+AF1454-AQ1454</f>
        <v>1550000</v>
      </c>
      <c r="AS1454" s="195">
        <f t="shared" si="269"/>
        <v>143967.14034999997</v>
      </c>
    </row>
    <row r="1455" spans="1:45" x14ac:dyDescent="0.2">
      <c r="A1455" s="180">
        <v>115</v>
      </c>
      <c r="B1455" s="166" t="s">
        <v>122</v>
      </c>
      <c r="C1455" s="166" t="s">
        <v>35</v>
      </c>
      <c r="D1455" s="181">
        <f>40835941/1000</f>
        <v>40835.940999999999</v>
      </c>
      <c r="E1455" s="181">
        <f>TOBEPAID!E1103/1000</f>
        <v>0</v>
      </c>
      <c r="F1455" s="181">
        <f>TOBEPAID!F1103/1000</f>
        <v>0</v>
      </c>
      <c r="G1455" s="181">
        <f>TOBEPAID!G1103/1000</f>
        <v>0</v>
      </c>
      <c r="H1455" s="181">
        <f>37649120/1000</f>
        <v>37649.120000000003</v>
      </c>
      <c r="I1455" s="181">
        <f>TOBEPAID!I1103/1000</f>
        <v>0</v>
      </c>
      <c r="J1455" s="181">
        <f>TOBEPAID!J1103/1000</f>
        <v>0</v>
      </c>
      <c r="K1455" s="181">
        <f>TOBEPAID!K1103/1000</f>
        <v>0</v>
      </c>
      <c r="L1455" s="181">
        <f>TOBEPAID!L1103/1000</f>
        <v>0</v>
      </c>
      <c r="M1455" s="181">
        <f>TOBEPAID!M1103/1000</f>
        <v>0</v>
      </c>
      <c r="N1455" s="181">
        <f>TOBEPAID!N1103/1000</f>
        <v>0</v>
      </c>
      <c r="O1455" s="181">
        <f>TOBEPAID!O1103/1000</f>
        <v>1717.5527500000001</v>
      </c>
      <c r="P1455" s="181">
        <f>TOBEPAID!P1103/1000</f>
        <v>0</v>
      </c>
      <c r="Q1455" s="181">
        <f>TOBEPAID!Q1103/1000</f>
        <v>0</v>
      </c>
      <c r="R1455" s="181">
        <f>1725302/1000</f>
        <v>1725.3019999999999</v>
      </c>
      <c r="S1455" s="181">
        <f>TOBEPAID!S1103/1000</f>
        <v>958.28593999999998</v>
      </c>
      <c r="T1455" s="181">
        <f>TOBEPAID!T1103/1000</f>
        <v>0</v>
      </c>
      <c r="U1455" s="181">
        <f>TOBEPAID!U1103/1000</f>
        <v>0</v>
      </c>
      <c r="V1455" s="181">
        <f>TOBEPAID!V1103/1000</f>
        <v>0</v>
      </c>
      <c r="W1455" s="181">
        <f>TOBEPAID!W1103/1000</f>
        <v>0</v>
      </c>
      <c r="X1455" s="181">
        <f>TOBEPAID!X1103/1000</f>
        <v>1717.5527500000001</v>
      </c>
      <c r="Y1455" s="181">
        <f t="shared" ref="Y1455:Y1461" si="272">+H1455+R1455</f>
        <v>39374.422000000006</v>
      </c>
      <c r="Z1455" s="181">
        <f t="shared" ref="Z1455:Z1461" si="273">+D1455-Y1455</f>
        <v>1461.518999999993</v>
      </c>
      <c r="AA1455" s="181">
        <f>TOBEPAID!AA1103/1000</f>
        <v>1717.5527500000001</v>
      </c>
      <c r="AB1455" s="181">
        <f>TOBEPAID!AB1103/1000</f>
        <v>34965.57286</v>
      </c>
      <c r="AC1455" s="181"/>
      <c r="AD1455" s="181"/>
      <c r="AE1455" s="186" t="s">
        <v>303</v>
      </c>
      <c r="AF1455" s="195">
        <f>D1430+D1445+D1455</f>
        <v>173004.66699999999</v>
      </c>
      <c r="AG1455" s="195">
        <f>E1430+E1445+E1455</f>
        <v>12292.58029</v>
      </c>
      <c r="AH1455" s="195">
        <f>F1430+F1445+F1455</f>
        <v>0</v>
      </c>
      <c r="AI1455" s="195">
        <f t="shared" si="270"/>
        <v>12292.58029</v>
      </c>
      <c r="AJ1455" s="195">
        <f>L1430+L1445+L1455</f>
        <v>0</v>
      </c>
      <c r="AK1455" s="195">
        <f t="shared" si="271"/>
        <v>12292.58029</v>
      </c>
      <c r="AL1455" s="195">
        <f>O1430+O1445+O1455</f>
        <v>16744.946360000002</v>
      </c>
      <c r="AM1455" s="195">
        <f>P1430+P1445+P1455</f>
        <v>0</v>
      </c>
      <c r="AN1455" s="195">
        <f>+AL1455+AM1455</f>
        <v>16744.946360000002</v>
      </c>
      <c r="AO1455" s="195">
        <f>V1430+V1445+V1455</f>
        <v>0</v>
      </c>
      <c r="AP1455" s="195">
        <f>+AN1455+AO1455</f>
        <v>16744.946360000002</v>
      </c>
      <c r="AQ1455" s="195">
        <f>+AI1455+AN1455</f>
        <v>29037.52665</v>
      </c>
      <c r="AR1455" s="195">
        <f>+AF1455-AQ1455</f>
        <v>143967.14035</v>
      </c>
      <c r="AS1455" s="195">
        <f t="shared" si="269"/>
        <v>-1.9999999994979589E-4</v>
      </c>
    </row>
    <row r="1456" spans="1:45" ht="16.5" customHeight="1" x14ac:dyDescent="0.2">
      <c r="A1456" s="180"/>
      <c r="C1456" s="168" t="s">
        <v>36</v>
      </c>
      <c r="D1456" s="181">
        <f>825740/1000</f>
        <v>825.74</v>
      </c>
      <c r="E1456" s="181">
        <f>TOBEPAID!E1104/1000</f>
        <v>825.74</v>
      </c>
      <c r="F1456" s="181">
        <f>TOBEPAID!F1104/1000</f>
        <v>0</v>
      </c>
      <c r="G1456" s="181">
        <f>TOBEPAID!G1104/1000</f>
        <v>0</v>
      </c>
      <c r="H1456" s="181">
        <f>825740/1000</f>
        <v>825.74</v>
      </c>
      <c r="I1456" s="181">
        <f>TOBEPAID!I1104/1000</f>
        <v>0</v>
      </c>
      <c r="J1456" s="181">
        <f>TOBEPAID!J1104/1000</f>
        <v>0</v>
      </c>
      <c r="K1456" s="181">
        <f>TOBEPAID!K1104/1000</f>
        <v>0</v>
      </c>
      <c r="L1456" s="181">
        <f>TOBEPAID!L1104/1000</f>
        <v>0</v>
      </c>
      <c r="M1456" s="181">
        <f>TOBEPAID!M1104/1000</f>
        <v>0</v>
      </c>
      <c r="N1456" s="181">
        <f>TOBEPAID!N1104/1000</f>
        <v>825.74</v>
      </c>
      <c r="O1456" s="181">
        <f>TOBEPAID!O1104/1000</f>
        <v>0</v>
      </c>
      <c r="P1456" s="181">
        <f>TOBEPAID!P1104/1000</f>
        <v>0</v>
      </c>
      <c r="Q1456" s="181">
        <f>TOBEPAID!Q1104/1000</f>
        <v>0</v>
      </c>
      <c r="R1456" s="181">
        <v>0</v>
      </c>
      <c r="S1456" s="181">
        <f>TOBEPAID!S1104/1000</f>
        <v>0</v>
      </c>
      <c r="T1456" s="181">
        <f>TOBEPAID!T1104/1000</f>
        <v>0</v>
      </c>
      <c r="U1456" s="181">
        <f>TOBEPAID!U1104/1000</f>
        <v>0</v>
      </c>
      <c r="V1456" s="181">
        <f>TOBEPAID!V1104/1000</f>
        <v>0</v>
      </c>
      <c r="W1456" s="181">
        <f>TOBEPAID!W1104/1000</f>
        <v>0</v>
      </c>
      <c r="X1456" s="181">
        <f>TOBEPAID!X1104/1000</f>
        <v>0</v>
      </c>
      <c r="Y1456" s="181">
        <f t="shared" si="272"/>
        <v>825.74</v>
      </c>
      <c r="Z1456" s="181">
        <f t="shared" si="273"/>
        <v>0</v>
      </c>
      <c r="AA1456" s="181">
        <f>TOBEPAID!AA1104/1000</f>
        <v>825.74</v>
      </c>
      <c r="AB1456" s="181">
        <f>TOBEPAID!AB1104/1000</f>
        <v>0</v>
      </c>
      <c r="AC1456" s="181"/>
      <c r="AD1456" s="181"/>
      <c r="AE1456" s="186" t="s">
        <v>47</v>
      </c>
      <c r="AF1456" s="195">
        <f>+D1458</f>
        <v>3883.3330000000001</v>
      </c>
      <c r="AG1456" s="195">
        <f>+E1458</f>
        <v>3883.3332</v>
      </c>
      <c r="AH1456" s="195">
        <f>+F1458</f>
        <v>0</v>
      </c>
      <c r="AI1456" s="195">
        <f t="shared" si="270"/>
        <v>3883.3332</v>
      </c>
      <c r="AJ1456" s="195">
        <f>+L1458</f>
        <v>0</v>
      </c>
      <c r="AK1456" s="195">
        <f t="shared" si="271"/>
        <v>3883.3332</v>
      </c>
      <c r="AL1456" s="195">
        <f>+O1458</f>
        <v>0</v>
      </c>
      <c r="AM1456" s="195">
        <f>+P1458</f>
        <v>0</v>
      </c>
      <c r="AN1456" s="195">
        <f>+AL1456+AM1456</f>
        <v>0</v>
      </c>
      <c r="AO1456" s="195">
        <f>+V1458</f>
        <v>0</v>
      </c>
      <c r="AP1456" s="195">
        <f>+AN1456+AO1456</f>
        <v>0</v>
      </c>
      <c r="AQ1456" s="195">
        <f>+AI1456+AN1456</f>
        <v>3883.3332</v>
      </c>
      <c r="AR1456" s="195">
        <f>+AF1456-AQ1456</f>
        <v>-1.9999999994979589E-4</v>
      </c>
      <c r="AS1456" s="195">
        <f>+AF1458-AP1458-AK1458</f>
        <v>-1.0399999991932418E-3</v>
      </c>
    </row>
    <row r="1457" spans="1:45" ht="16.5" customHeight="1" x14ac:dyDescent="0.2">
      <c r="A1457" s="180"/>
      <c r="C1457" s="168" t="s">
        <v>487</v>
      </c>
      <c r="D1457" s="181">
        <f>140616000/1000</f>
        <v>140616</v>
      </c>
      <c r="E1457" s="181"/>
      <c r="F1457" s="181"/>
      <c r="G1457" s="181"/>
      <c r="H1457" s="181">
        <v>0</v>
      </c>
      <c r="I1457" s="181"/>
      <c r="J1457" s="181"/>
      <c r="K1457" s="181"/>
      <c r="L1457" s="181"/>
      <c r="M1457" s="181"/>
      <c r="N1457" s="181"/>
      <c r="O1457" s="181"/>
      <c r="P1457" s="181"/>
      <c r="Q1457" s="181"/>
      <c r="R1457" s="181">
        <v>0</v>
      </c>
      <c r="S1457" s="181"/>
      <c r="T1457" s="181"/>
      <c r="U1457" s="181"/>
      <c r="V1457" s="181"/>
      <c r="W1457" s="181"/>
      <c r="X1457" s="181"/>
      <c r="Y1457" s="181">
        <f>+H1457+R1457</f>
        <v>0</v>
      </c>
      <c r="Z1457" s="181">
        <f>+D1457-Y1457</f>
        <v>140616</v>
      </c>
      <c r="AA1457" s="181"/>
      <c r="AB1457" s="181"/>
      <c r="AC1457" s="181"/>
      <c r="AD1457" s="181"/>
      <c r="AE1457" s="186"/>
      <c r="AF1457" s="195"/>
      <c r="AG1457" s="195"/>
      <c r="AH1457" s="195"/>
      <c r="AI1457" s="195"/>
      <c r="AJ1457" s="195"/>
      <c r="AK1457" s="195"/>
      <c r="AL1457" s="195"/>
      <c r="AM1457" s="195"/>
      <c r="AN1457" s="195"/>
      <c r="AO1457" s="195"/>
      <c r="AP1457" s="195"/>
      <c r="AQ1457" s="195"/>
      <c r="AR1457" s="195"/>
      <c r="AS1457" s="195"/>
    </row>
    <row r="1458" spans="1:45" x14ac:dyDescent="0.2">
      <c r="C1458" s="165" t="s">
        <v>298</v>
      </c>
      <c r="D1458" s="181">
        <f>3883333/1000</f>
        <v>3883.3330000000001</v>
      </c>
      <c r="E1458" s="181">
        <f>TOBEPAID!E1105/1000</f>
        <v>3883.3332</v>
      </c>
      <c r="F1458" s="181">
        <f>TOBEPAID!F1105/1000</f>
        <v>0</v>
      </c>
      <c r="G1458" s="181">
        <f>TOBEPAID!G1105/1000</f>
        <v>0</v>
      </c>
      <c r="H1458" s="181">
        <f>3883333/1000</f>
        <v>3883.3330000000001</v>
      </c>
      <c r="I1458" s="181">
        <f>TOBEPAID!I1105/1000</f>
        <v>0</v>
      </c>
      <c r="J1458" s="181">
        <f>TOBEPAID!J1105/1000</f>
        <v>0</v>
      </c>
      <c r="K1458" s="181">
        <f>TOBEPAID!K1105/1000</f>
        <v>0</v>
      </c>
      <c r="L1458" s="181">
        <f>TOBEPAID!L1105/1000</f>
        <v>0</v>
      </c>
      <c r="M1458" s="181">
        <f>TOBEPAID!M1105/1000</f>
        <v>0</v>
      </c>
      <c r="N1458" s="181">
        <f>TOBEPAID!N1105/1000</f>
        <v>3883.3332</v>
      </c>
      <c r="O1458" s="181">
        <f>TOBEPAID!O1105/1000</f>
        <v>0</v>
      </c>
      <c r="P1458" s="181">
        <f>TOBEPAID!P1105/1000</f>
        <v>0</v>
      </c>
      <c r="Q1458" s="181">
        <f>TOBEPAID!Q1105/1000</f>
        <v>0</v>
      </c>
      <c r="R1458" s="181">
        <v>0</v>
      </c>
      <c r="S1458" s="181">
        <f>TOBEPAID!S1105/1000</f>
        <v>0</v>
      </c>
      <c r="T1458" s="181">
        <f>TOBEPAID!T1105/1000</f>
        <v>0</v>
      </c>
      <c r="U1458" s="181">
        <f>TOBEPAID!U1105/1000</f>
        <v>0</v>
      </c>
      <c r="V1458" s="181">
        <f>TOBEPAID!V1105/1000</f>
        <v>0</v>
      </c>
      <c r="W1458" s="181">
        <f>TOBEPAID!W1105/1000</f>
        <v>0</v>
      </c>
      <c r="X1458" s="181">
        <f>TOBEPAID!X1105/1000</f>
        <v>0</v>
      </c>
      <c r="Y1458" s="181">
        <f t="shared" si="272"/>
        <v>3883.3330000000001</v>
      </c>
      <c r="Z1458" s="181">
        <f t="shared" si="273"/>
        <v>0</v>
      </c>
      <c r="AA1458" s="181">
        <f>TOBEPAID!AA1105/1000</f>
        <v>3883.3332</v>
      </c>
      <c r="AB1458" s="181">
        <f>TOBEPAID!AB1105/1000</f>
        <v>0</v>
      </c>
      <c r="AC1458" s="181"/>
      <c r="AD1458" s="181"/>
      <c r="AE1458" s="186" t="s">
        <v>298</v>
      </c>
      <c r="AF1458" s="195">
        <f>D1431+D1446+D1456</f>
        <v>9204.6149999999998</v>
      </c>
      <c r="AG1458" s="195">
        <f>E1431+E1446+E1456</f>
        <v>9204.616039999999</v>
      </c>
      <c r="AH1458" s="195">
        <f>F1431+F1446+F1456</f>
        <v>0</v>
      </c>
      <c r="AI1458" s="195">
        <f t="shared" si="270"/>
        <v>9204.616039999999</v>
      </c>
      <c r="AJ1458" s="195">
        <f>L1431+L1446+L1456</f>
        <v>0</v>
      </c>
      <c r="AK1458" s="195">
        <f t="shared" si="271"/>
        <v>9204.616039999999</v>
      </c>
      <c r="AL1458" s="195">
        <f>O1431+O1446+O1456</f>
        <v>0</v>
      </c>
      <c r="AM1458" s="195">
        <f>P1431+P1446+P1456</f>
        <v>0</v>
      </c>
      <c r="AN1458" s="195">
        <f t="shared" ref="AN1458:AN1464" si="274">+AL1458+AM1458</f>
        <v>0</v>
      </c>
      <c r="AO1458" s="195">
        <f>V1431+V1446+V1456</f>
        <v>0</v>
      </c>
      <c r="AP1458" s="195">
        <f t="shared" ref="AP1458:AP1464" si="275">+AN1458+AO1458</f>
        <v>0</v>
      </c>
      <c r="AQ1458" s="195">
        <f t="shared" ref="AQ1458:AQ1464" si="276">+AI1458+AN1458</f>
        <v>9204.616039999999</v>
      </c>
      <c r="AR1458" s="195">
        <f t="shared" ref="AR1458:AR1464" si="277">+AF1458-AQ1458</f>
        <v>-1.0399999991932418E-3</v>
      </c>
      <c r="AS1458" s="195">
        <f>+AF1460-AP1460-AK1460</f>
        <v>-1.3600000002043089E-3</v>
      </c>
    </row>
    <row r="1459" spans="1:45" x14ac:dyDescent="0.2">
      <c r="C1459" s="165" t="s">
        <v>486</v>
      </c>
      <c r="D1459" s="181">
        <f>41091000/1000</f>
        <v>41091</v>
      </c>
      <c r="E1459" s="181"/>
      <c r="F1459" s="181"/>
      <c r="G1459" s="181"/>
      <c r="H1459" s="181">
        <f>41091000/1000</f>
        <v>41091</v>
      </c>
      <c r="I1459" s="181"/>
      <c r="J1459" s="181"/>
      <c r="K1459" s="181"/>
      <c r="L1459" s="181"/>
      <c r="M1459" s="181"/>
      <c r="N1459" s="181"/>
      <c r="O1459" s="181"/>
      <c r="P1459" s="181"/>
      <c r="Q1459" s="181"/>
      <c r="R1459" s="181">
        <v>0</v>
      </c>
      <c r="S1459" s="181"/>
      <c r="T1459" s="181"/>
      <c r="U1459" s="181"/>
      <c r="V1459" s="181"/>
      <c r="W1459" s="181"/>
      <c r="X1459" s="181"/>
      <c r="Y1459" s="181">
        <f t="shared" si="272"/>
        <v>41091</v>
      </c>
      <c r="Z1459" s="181">
        <f t="shared" si="273"/>
        <v>0</v>
      </c>
      <c r="AA1459" s="181"/>
      <c r="AB1459" s="181"/>
      <c r="AC1459" s="181"/>
      <c r="AD1459" s="181"/>
      <c r="AE1459" s="186"/>
      <c r="AF1459" s="195"/>
      <c r="AG1459" s="195"/>
      <c r="AH1459" s="195"/>
      <c r="AI1459" s="195"/>
      <c r="AJ1459" s="195"/>
      <c r="AK1459" s="195"/>
      <c r="AL1459" s="195"/>
      <c r="AM1459" s="195"/>
      <c r="AN1459" s="195"/>
      <c r="AO1459" s="195"/>
      <c r="AP1459" s="195"/>
      <c r="AQ1459" s="195"/>
      <c r="AR1459" s="195"/>
      <c r="AS1459" s="195"/>
    </row>
    <row r="1460" spans="1:45" x14ac:dyDescent="0.2">
      <c r="A1460" s="180"/>
      <c r="C1460" s="168" t="s">
        <v>44</v>
      </c>
      <c r="D1460" s="181">
        <f>1200000/1000</f>
        <v>1200</v>
      </c>
      <c r="E1460" s="181">
        <f>TOBEPAID!E1106/1000</f>
        <v>1200</v>
      </c>
      <c r="F1460" s="181">
        <f>TOBEPAID!F1106/1000</f>
        <v>0</v>
      </c>
      <c r="G1460" s="181">
        <f>TOBEPAID!G1106/1000</f>
        <v>0</v>
      </c>
      <c r="H1460" s="181">
        <f>1200000/1000</f>
        <v>1200</v>
      </c>
      <c r="I1460" s="181">
        <f>TOBEPAID!I1106/1000</f>
        <v>0</v>
      </c>
      <c r="J1460" s="181">
        <f>TOBEPAID!J1106/1000</f>
        <v>0</v>
      </c>
      <c r="K1460" s="181">
        <f>TOBEPAID!K1106/1000</f>
        <v>0</v>
      </c>
      <c r="L1460" s="181">
        <f>TOBEPAID!L1106/1000</f>
        <v>0</v>
      </c>
      <c r="M1460" s="181">
        <f>TOBEPAID!M1106/1000</f>
        <v>0</v>
      </c>
      <c r="N1460" s="181">
        <f>TOBEPAID!N1106/1000</f>
        <v>1200</v>
      </c>
      <c r="O1460" s="181">
        <f>TOBEPAID!O1106/1000</f>
        <v>0</v>
      </c>
      <c r="P1460" s="181">
        <f>TOBEPAID!P1106/1000</f>
        <v>0</v>
      </c>
      <c r="Q1460" s="181">
        <f>TOBEPAID!Q1106/1000</f>
        <v>0</v>
      </c>
      <c r="R1460" s="181">
        <v>0</v>
      </c>
      <c r="S1460" s="181">
        <f>TOBEPAID!S1106/1000</f>
        <v>0</v>
      </c>
      <c r="T1460" s="181">
        <f>TOBEPAID!T1106/1000</f>
        <v>0</v>
      </c>
      <c r="U1460" s="181">
        <f>TOBEPAID!U1106/1000</f>
        <v>0</v>
      </c>
      <c r="V1460" s="181">
        <f>TOBEPAID!V1106/1000</f>
        <v>0</v>
      </c>
      <c r="W1460" s="181">
        <f>TOBEPAID!W1106/1000</f>
        <v>0</v>
      </c>
      <c r="X1460" s="181">
        <f>TOBEPAID!X1106/1000</f>
        <v>0</v>
      </c>
      <c r="Y1460" s="181">
        <f t="shared" si="272"/>
        <v>1200</v>
      </c>
      <c r="Z1460" s="181">
        <f t="shared" si="273"/>
        <v>0</v>
      </c>
      <c r="AA1460" s="181">
        <f>TOBEPAID!AA1106/1000</f>
        <v>1200</v>
      </c>
      <c r="AB1460" s="181">
        <f>TOBEPAID!AB1106/1000</f>
        <v>0</v>
      </c>
      <c r="AC1460" s="181"/>
      <c r="AD1460" s="181"/>
      <c r="AE1460" s="186" t="s">
        <v>36</v>
      </c>
      <c r="AF1460" s="195">
        <f>D1438+D1449+D1461</f>
        <v>8883.0670000000009</v>
      </c>
      <c r="AG1460" s="195">
        <f>E1438+E1449+E1461</f>
        <v>0</v>
      </c>
      <c r="AH1460" s="195">
        <f>F1438+F1449+F1461</f>
        <v>0</v>
      </c>
      <c r="AI1460" s="195">
        <f t="shared" si="270"/>
        <v>0</v>
      </c>
      <c r="AJ1460" s="195">
        <f>L1438+L1449+L1461</f>
        <v>0</v>
      </c>
      <c r="AK1460" s="195">
        <f t="shared" si="271"/>
        <v>0</v>
      </c>
      <c r="AL1460" s="195">
        <f>O1438+O1449+O1461</f>
        <v>8883.0683600000011</v>
      </c>
      <c r="AM1460" s="195">
        <f>P1438+P1449+P1461</f>
        <v>0</v>
      </c>
      <c r="AN1460" s="195">
        <f t="shared" si="274"/>
        <v>8883.0683600000011</v>
      </c>
      <c r="AO1460" s="195">
        <f>V1438+V1449+V1461</f>
        <v>0</v>
      </c>
      <c r="AP1460" s="195">
        <f t="shared" si="275"/>
        <v>8883.0683600000011</v>
      </c>
      <c r="AQ1460" s="195">
        <f t="shared" si="276"/>
        <v>8883.0683600000011</v>
      </c>
      <c r="AR1460" s="195">
        <f t="shared" si="277"/>
        <v>-1.3600000002043089E-3</v>
      </c>
      <c r="AS1460" s="195">
        <f t="shared" si="269"/>
        <v>147.12698999999998</v>
      </c>
    </row>
    <row r="1461" spans="1:45" x14ac:dyDescent="0.2">
      <c r="A1461" s="180"/>
      <c r="C1461" s="166" t="s">
        <v>37</v>
      </c>
      <c r="D1461" s="181">
        <f>38459/1000</f>
        <v>38.459000000000003</v>
      </c>
      <c r="E1461" s="181">
        <f>TOBEPAID!E1107/1000</f>
        <v>0</v>
      </c>
      <c r="F1461" s="181">
        <f>TOBEPAID!F1107/1000</f>
        <v>0</v>
      </c>
      <c r="G1461" s="181">
        <f>TOBEPAID!G1107/1000</f>
        <v>0</v>
      </c>
      <c r="H1461" s="181">
        <v>0</v>
      </c>
      <c r="I1461" s="181">
        <f>TOBEPAID!I1107/1000</f>
        <v>0</v>
      </c>
      <c r="J1461" s="181">
        <f>TOBEPAID!J1107/1000</f>
        <v>0</v>
      </c>
      <c r="K1461" s="181">
        <f>TOBEPAID!K1107/1000</f>
        <v>0</v>
      </c>
      <c r="L1461" s="181">
        <f>TOBEPAID!L1107/1000</f>
        <v>0</v>
      </c>
      <c r="M1461" s="181">
        <f>TOBEPAID!M1107/1000</f>
        <v>0</v>
      </c>
      <c r="N1461" s="181">
        <f>TOBEPAID!N1107/1000</f>
        <v>0</v>
      </c>
      <c r="O1461" s="181">
        <f>TOBEPAID!O1107/1000</f>
        <v>38.459650000000003</v>
      </c>
      <c r="P1461" s="181">
        <f>TOBEPAID!P1107/1000</f>
        <v>0</v>
      </c>
      <c r="Q1461" s="181">
        <f>TOBEPAID!Q1107/1000</f>
        <v>0</v>
      </c>
      <c r="R1461" s="181">
        <f>38459/1000</f>
        <v>38.459000000000003</v>
      </c>
      <c r="S1461" s="181">
        <f>TOBEPAID!S1107/1000</f>
        <v>7.0046999999999997</v>
      </c>
      <c r="T1461" s="181">
        <f>TOBEPAID!T1107/1000</f>
        <v>0</v>
      </c>
      <c r="U1461" s="181">
        <f>TOBEPAID!U1107/1000</f>
        <v>0</v>
      </c>
      <c r="V1461" s="181">
        <f>TOBEPAID!V1107/1000</f>
        <v>0</v>
      </c>
      <c r="W1461" s="181">
        <f>TOBEPAID!W1107/1000</f>
        <v>0</v>
      </c>
      <c r="X1461" s="181">
        <f>TOBEPAID!X1107/1000</f>
        <v>38.459650000000003</v>
      </c>
      <c r="Y1461" s="181">
        <f t="shared" si="272"/>
        <v>38.459000000000003</v>
      </c>
      <c r="Z1461" s="181">
        <f t="shared" si="273"/>
        <v>0</v>
      </c>
      <c r="AA1461" s="181">
        <f>TOBEPAID!AA1107/1000</f>
        <v>38.459650000000003</v>
      </c>
      <c r="AB1461" s="181">
        <f>TOBEPAID!AB1107/1000</f>
        <v>4152.8163700000005</v>
      </c>
      <c r="AC1461" s="181"/>
      <c r="AD1461" s="181"/>
      <c r="AE1461" s="186" t="s">
        <v>183</v>
      </c>
      <c r="AF1461" s="195">
        <f>D1439+D1450</f>
        <v>641.90899999999999</v>
      </c>
      <c r="AG1461" s="195">
        <f>E1439+E1450</f>
        <v>0</v>
      </c>
      <c r="AH1461" s="195">
        <f>F1439+F1450</f>
        <v>0</v>
      </c>
      <c r="AI1461" s="195">
        <f t="shared" si="270"/>
        <v>0</v>
      </c>
      <c r="AJ1461" s="195">
        <f>L1439+L1450</f>
        <v>0</v>
      </c>
      <c r="AK1461" s="195">
        <f t="shared" si="271"/>
        <v>0</v>
      </c>
      <c r="AL1461" s="195">
        <f>O1439+O1450</f>
        <v>494.78201000000001</v>
      </c>
      <c r="AM1461" s="195">
        <f>P1439+P1450</f>
        <v>0</v>
      </c>
      <c r="AN1461" s="195">
        <f t="shared" si="274"/>
        <v>494.78201000000001</v>
      </c>
      <c r="AO1461" s="195">
        <f>V1439+V1450</f>
        <v>0</v>
      </c>
      <c r="AP1461" s="195">
        <f t="shared" si="275"/>
        <v>494.78201000000001</v>
      </c>
      <c r="AQ1461" s="195">
        <f t="shared" si="276"/>
        <v>494.78201000000001</v>
      </c>
      <c r="AR1461" s="195">
        <f t="shared" si="277"/>
        <v>147.12698999999998</v>
      </c>
      <c r="AS1461" s="195">
        <f t="shared" si="269"/>
        <v>-1.8999999974766979E-4</v>
      </c>
    </row>
    <row r="1462" spans="1:45" ht="16.5" customHeight="1" x14ac:dyDescent="0.2">
      <c r="A1462" s="180"/>
      <c r="D1462" s="182" t="s">
        <v>40</v>
      </c>
      <c r="E1462" s="182" t="s">
        <v>40</v>
      </c>
      <c r="F1462" s="182" t="s">
        <v>40</v>
      </c>
      <c r="G1462" s="182"/>
      <c r="H1462" s="182" t="s">
        <v>40</v>
      </c>
      <c r="I1462" s="182" t="s">
        <v>40</v>
      </c>
      <c r="J1462" s="182" t="s">
        <v>40</v>
      </c>
      <c r="K1462" s="182" t="s">
        <v>40</v>
      </c>
      <c r="L1462" s="182" t="s">
        <v>40</v>
      </c>
      <c r="M1462" s="182"/>
      <c r="N1462" s="182" t="s">
        <v>40</v>
      </c>
      <c r="O1462" s="182" t="s">
        <v>40</v>
      </c>
      <c r="P1462" s="182" t="s">
        <v>40</v>
      </c>
      <c r="Q1462" s="182"/>
      <c r="R1462" s="182" t="s">
        <v>40</v>
      </c>
      <c r="S1462" s="182" t="s">
        <v>40</v>
      </c>
      <c r="T1462" s="182" t="s">
        <v>40</v>
      </c>
      <c r="U1462" s="182" t="s">
        <v>40</v>
      </c>
      <c r="V1462" s="182" t="s">
        <v>40</v>
      </c>
      <c r="W1462" s="182"/>
      <c r="X1462" s="182" t="s">
        <v>40</v>
      </c>
      <c r="Y1462" s="182" t="s">
        <v>40</v>
      </c>
      <c r="Z1462" s="182" t="s">
        <v>40</v>
      </c>
      <c r="AA1462" s="182" t="s">
        <v>40</v>
      </c>
      <c r="AB1462" s="182" t="s">
        <v>40</v>
      </c>
      <c r="AC1462" s="182"/>
      <c r="AD1462" s="182"/>
      <c r="AE1462" s="186" t="s">
        <v>184</v>
      </c>
      <c r="AF1462" s="195">
        <f>+D1440</f>
        <v>5324.3230000000003</v>
      </c>
      <c r="AG1462" s="195">
        <f>+E1440</f>
        <v>5324.3231900000001</v>
      </c>
      <c r="AH1462" s="195">
        <f>+F1440</f>
        <v>0</v>
      </c>
      <c r="AI1462" s="195">
        <f t="shared" si="270"/>
        <v>5324.3231900000001</v>
      </c>
      <c r="AJ1462" s="195">
        <f>+L1440</f>
        <v>0</v>
      </c>
      <c r="AK1462" s="195">
        <f t="shared" si="271"/>
        <v>5324.3231900000001</v>
      </c>
      <c r="AL1462" s="195">
        <f>+O1440</f>
        <v>0</v>
      </c>
      <c r="AM1462" s="195">
        <f>+P1440</f>
        <v>0</v>
      </c>
      <c r="AN1462" s="195">
        <f t="shared" si="274"/>
        <v>0</v>
      </c>
      <c r="AO1462" s="195">
        <f>+V1440</f>
        <v>0</v>
      </c>
      <c r="AP1462" s="195">
        <f t="shared" si="275"/>
        <v>0</v>
      </c>
      <c r="AQ1462" s="195">
        <f t="shared" si="276"/>
        <v>5324.3231900000001</v>
      </c>
      <c r="AR1462" s="195">
        <f t="shared" si="277"/>
        <v>-1.8999999974766979E-4</v>
      </c>
      <c r="AS1462" s="195">
        <f t="shared" si="269"/>
        <v>0</v>
      </c>
    </row>
    <row r="1463" spans="1:45" x14ac:dyDescent="0.2">
      <c r="A1463" s="180"/>
      <c r="D1463" s="181">
        <f>SUM(D1455:D1461)</f>
        <v>228490.473</v>
      </c>
      <c r="E1463" s="181">
        <f>SUM(E1455:E1461)</f>
        <v>5909.0731999999998</v>
      </c>
      <c r="F1463" s="181">
        <f>SUM(F1455:F1461)</f>
        <v>0</v>
      </c>
      <c r="G1463" s="181"/>
      <c r="H1463" s="181">
        <f>SUM(H1455:H1461)</f>
        <v>84649.192999999999</v>
      </c>
      <c r="I1463" s="181">
        <f>SUM(I1455:I1461)</f>
        <v>0</v>
      </c>
      <c r="J1463" s="181">
        <f>SUM(J1455:J1461)</f>
        <v>0</v>
      </c>
      <c r="K1463" s="181">
        <f>SUM(K1455:K1461)</f>
        <v>0</v>
      </c>
      <c r="L1463" s="181">
        <f>SUM(L1455:L1461)</f>
        <v>0</v>
      </c>
      <c r="M1463" s="181"/>
      <c r="N1463" s="181">
        <f>SUM(N1455:N1461)</f>
        <v>5909.0731999999998</v>
      </c>
      <c r="O1463" s="181">
        <f>SUM(O1455:O1461)</f>
        <v>1756.0124000000001</v>
      </c>
      <c r="P1463" s="181">
        <f>SUM(P1455:P1461)</f>
        <v>0</v>
      </c>
      <c r="Q1463" s="181"/>
      <c r="R1463" s="181">
        <f>SUM(R1455:R1461)</f>
        <v>1763.761</v>
      </c>
      <c r="S1463" s="181">
        <f>SUM(S1455:S1461)</f>
        <v>965.29063999999994</v>
      </c>
      <c r="T1463" s="181">
        <f>SUM(T1455:T1461)</f>
        <v>0</v>
      </c>
      <c r="U1463" s="181">
        <f>SUM(U1455:U1461)</f>
        <v>0</v>
      </c>
      <c r="V1463" s="181">
        <f>SUM(V1455:V1461)</f>
        <v>0</v>
      </c>
      <c r="W1463" s="181"/>
      <c r="X1463" s="181">
        <f>SUM(X1455:X1461)</f>
        <v>1756.0124000000001</v>
      </c>
      <c r="Y1463" s="181">
        <f>SUM(Y1455:Y1461)</f>
        <v>86412.953999999998</v>
      </c>
      <c r="Z1463" s="181">
        <f>SUM(Z1455:Z1461)</f>
        <v>142077.519</v>
      </c>
      <c r="AA1463" s="181">
        <f>SUM(AA1455:AA1461)</f>
        <v>7665.0855999999994</v>
      </c>
      <c r="AB1463" s="181">
        <f>SUM(AB1455:AB1461)</f>
        <v>39118.389230000001</v>
      </c>
      <c r="AC1463" s="181"/>
      <c r="AD1463" s="181"/>
      <c r="AE1463" s="186" t="s">
        <v>267</v>
      </c>
      <c r="AF1463" s="195">
        <f>+D1460</f>
        <v>1200</v>
      </c>
      <c r="AG1463" s="195">
        <f>+E1460</f>
        <v>1200</v>
      </c>
      <c r="AH1463" s="195">
        <f>+F1460</f>
        <v>0</v>
      </c>
      <c r="AI1463" s="195">
        <f t="shared" si="270"/>
        <v>1200</v>
      </c>
      <c r="AJ1463" s="195">
        <f>+L1460</f>
        <v>0</v>
      </c>
      <c r="AK1463" s="195">
        <f t="shared" si="271"/>
        <v>1200</v>
      </c>
      <c r="AL1463" s="195">
        <f>+O1460</f>
        <v>0</v>
      </c>
      <c r="AM1463" s="195">
        <f>+P1460</f>
        <v>0</v>
      </c>
      <c r="AN1463" s="195">
        <f t="shared" si="274"/>
        <v>0</v>
      </c>
      <c r="AO1463" s="195">
        <f>+V1460</f>
        <v>0</v>
      </c>
      <c r="AP1463" s="195">
        <f t="shared" si="275"/>
        <v>0</v>
      </c>
      <c r="AQ1463" s="195">
        <f t="shared" si="276"/>
        <v>1200</v>
      </c>
      <c r="AR1463" s="195">
        <f t="shared" si="277"/>
        <v>0</v>
      </c>
      <c r="AS1463" s="195">
        <f t="shared" si="269"/>
        <v>0</v>
      </c>
    </row>
    <row r="1464" spans="1:45" x14ac:dyDescent="0.2">
      <c r="A1464" s="180"/>
      <c r="B1464" s="172" t="str">
        <f>+B1455</f>
        <v>DAVAO OR.</v>
      </c>
      <c r="D1464" s="182" t="s">
        <v>40</v>
      </c>
      <c r="E1464" s="182" t="s">
        <v>40</v>
      </c>
      <c r="F1464" s="182" t="s">
        <v>40</v>
      </c>
      <c r="G1464" s="182"/>
      <c r="H1464" s="182" t="s">
        <v>40</v>
      </c>
      <c r="I1464" s="182" t="s">
        <v>40</v>
      </c>
      <c r="J1464" s="182" t="s">
        <v>40</v>
      </c>
      <c r="K1464" s="182" t="s">
        <v>40</v>
      </c>
      <c r="L1464" s="182" t="s">
        <v>40</v>
      </c>
      <c r="M1464" s="182"/>
      <c r="N1464" s="182" t="s">
        <v>40</v>
      </c>
      <c r="O1464" s="182" t="s">
        <v>40</v>
      </c>
      <c r="P1464" s="182" t="s">
        <v>40</v>
      </c>
      <c r="Q1464" s="182"/>
      <c r="R1464" s="182" t="s">
        <v>40</v>
      </c>
      <c r="S1464" s="182" t="s">
        <v>40</v>
      </c>
      <c r="T1464" s="182" t="s">
        <v>40</v>
      </c>
      <c r="U1464" s="182" t="s">
        <v>40</v>
      </c>
      <c r="V1464" s="182" t="s">
        <v>40</v>
      </c>
      <c r="W1464" s="182"/>
      <c r="X1464" s="182" t="s">
        <v>40</v>
      </c>
      <c r="Y1464" s="182" t="s">
        <v>40</v>
      </c>
      <c r="Z1464" s="182" t="s">
        <v>40</v>
      </c>
      <c r="AA1464" s="182" t="s">
        <v>40</v>
      </c>
      <c r="AB1464" s="182" t="s">
        <v>40</v>
      </c>
      <c r="AC1464" s="182"/>
      <c r="AD1464" s="182"/>
      <c r="AE1464" s="186" t="s">
        <v>44</v>
      </c>
      <c r="AF1464" s="232">
        <f>+D1448</f>
        <v>0</v>
      </c>
      <c r="AG1464" s="195">
        <f>+E1448</f>
        <v>0</v>
      </c>
      <c r="AH1464" s="195">
        <f>+F1448</f>
        <v>0</v>
      </c>
      <c r="AI1464" s="195">
        <f t="shared" si="270"/>
        <v>0</v>
      </c>
      <c r="AJ1464" s="195">
        <f>+L1448</f>
        <v>0</v>
      </c>
      <c r="AK1464" s="195">
        <f t="shared" si="271"/>
        <v>0</v>
      </c>
      <c r="AL1464" s="195">
        <f>+O1448</f>
        <v>0</v>
      </c>
      <c r="AM1464" s="195">
        <f>+P1448</f>
        <v>0</v>
      </c>
      <c r="AN1464" s="195">
        <f t="shared" si="274"/>
        <v>0</v>
      </c>
      <c r="AO1464" s="195">
        <f>+V1448</f>
        <v>0</v>
      </c>
      <c r="AP1464" s="195">
        <f t="shared" si="275"/>
        <v>0</v>
      </c>
      <c r="AQ1464" s="195">
        <f t="shared" si="276"/>
        <v>0</v>
      </c>
      <c r="AR1464" s="195">
        <f t="shared" si="277"/>
        <v>0</v>
      </c>
      <c r="AS1464" s="195">
        <f>SUM(AS1452:AS1463)</f>
        <v>1694114.2643800001</v>
      </c>
    </row>
    <row r="1465" spans="1:45" ht="15.75" customHeight="1" thickBot="1" x14ac:dyDescent="0.25">
      <c r="A1465" s="180"/>
      <c r="B1465" s="172" t="s">
        <v>292</v>
      </c>
      <c r="D1465" s="184">
        <f>TOBEPAID!D1111/1000</f>
        <v>373.46977999999996</v>
      </c>
      <c r="E1465" s="181">
        <f>TOBEPAID!E1111/1000</f>
        <v>0</v>
      </c>
      <c r="F1465" s="181">
        <f>TOBEPAID!F1111/1000</f>
        <v>0</v>
      </c>
      <c r="G1465" s="181">
        <f>TOBEPAID!G1111/1000</f>
        <v>0</v>
      </c>
      <c r="H1465" s="181"/>
      <c r="I1465" s="181">
        <f>TOBEPAID!I1111/1000</f>
        <v>0</v>
      </c>
      <c r="J1465" s="181">
        <f>TOBEPAID!J1111/1000</f>
        <v>0</v>
      </c>
      <c r="K1465" s="181">
        <f>TOBEPAID!K1111/1000</f>
        <v>0</v>
      </c>
      <c r="L1465" s="181">
        <f>TOBEPAID!L1111/1000</f>
        <v>0</v>
      </c>
      <c r="M1465" s="181">
        <f>TOBEPAID!M1111/1000</f>
        <v>0</v>
      </c>
      <c r="N1465" s="181">
        <f>TOBEPAID!N1111/1000</f>
        <v>0</v>
      </c>
      <c r="O1465" s="181">
        <f>TOBEPAID!O1111/1000</f>
        <v>373.46977999999996</v>
      </c>
      <c r="P1465" s="181">
        <f>TOBEPAID!P1111/1000</f>
        <v>0</v>
      </c>
      <c r="Q1465" s="181">
        <f>TOBEPAID!Q1111/1000</f>
        <v>0</v>
      </c>
      <c r="R1465" s="184">
        <f>TOBEPAID!R1111/1000</f>
        <v>373.46977999999996</v>
      </c>
      <c r="S1465" s="184">
        <f>TOBEPAID!S1111/1000</f>
        <v>0</v>
      </c>
      <c r="T1465" s="184">
        <f>TOBEPAID!T1111/1000</f>
        <v>0</v>
      </c>
      <c r="U1465" s="184">
        <f>TOBEPAID!U1111/1000</f>
        <v>0</v>
      </c>
      <c r="V1465" s="184">
        <f>TOBEPAID!V1111/1000</f>
        <v>0</v>
      </c>
      <c r="W1465" s="184">
        <f>TOBEPAID!W1111/1000</f>
        <v>0</v>
      </c>
      <c r="X1465" s="184">
        <f>TOBEPAID!X1111/1000</f>
        <v>0</v>
      </c>
      <c r="Y1465" s="184">
        <f>+H1465+R1465</f>
        <v>373.46977999999996</v>
      </c>
      <c r="Z1465" s="184">
        <f>TOBEPAID!Z1111/1000</f>
        <v>0</v>
      </c>
      <c r="AA1465" s="181">
        <f>TOBEPAID!AA1111/1000</f>
        <v>0</v>
      </c>
      <c r="AB1465" s="181">
        <f>TOBEPAID!AB1111/1000</f>
        <v>0</v>
      </c>
      <c r="AC1465" s="181"/>
      <c r="AD1465" s="181"/>
      <c r="AE1465" s="186" t="s">
        <v>54</v>
      </c>
      <c r="AF1465" s="195">
        <f t="shared" ref="AF1465:AR1465" si="278">SUM(AF1453:AF1464)</f>
        <v>2044819.8420000002</v>
      </c>
      <c r="AG1465" s="195">
        <f t="shared" si="278"/>
        <v>295582.78088999999</v>
      </c>
      <c r="AH1465" s="195">
        <f t="shared" si="278"/>
        <v>29000</v>
      </c>
      <c r="AI1465" s="195">
        <f t="shared" si="278"/>
        <v>324582.78088999999</v>
      </c>
      <c r="AJ1465" s="195">
        <f t="shared" si="278"/>
        <v>0</v>
      </c>
      <c r="AK1465" s="195">
        <f t="shared" si="278"/>
        <v>324582.78088999999</v>
      </c>
      <c r="AL1465" s="195">
        <f t="shared" si="278"/>
        <v>26122.796730000002</v>
      </c>
      <c r="AM1465" s="195">
        <f t="shared" si="278"/>
        <v>0</v>
      </c>
      <c r="AN1465" s="195">
        <f t="shared" si="278"/>
        <v>26122.796730000002</v>
      </c>
      <c r="AO1465" s="195">
        <f t="shared" si="278"/>
        <v>0</v>
      </c>
      <c r="AP1465" s="195">
        <f t="shared" si="278"/>
        <v>26122.796730000002</v>
      </c>
      <c r="AQ1465" s="195">
        <f t="shared" si="278"/>
        <v>350705.57762</v>
      </c>
      <c r="AR1465" s="195">
        <f t="shared" si="278"/>
        <v>1694114.2643800001</v>
      </c>
      <c r="AS1465" s="195"/>
    </row>
    <row r="1466" spans="1:45" ht="24" customHeight="1" thickTop="1" x14ac:dyDescent="0.2">
      <c r="A1466" s="180"/>
      <c r="B1466" s="166" t="s">
        <v>26</v>
      </c>
      <c r="C1466" s="166" t="s">
        <v>119</v>
      </c>
      <c r="D1466" s="181">
        <f>D1463+D1452+D1442</f>
        <v>2381087.6189999999</v>
      </c>
      <c r="E1466" s="181">
        <f>E1463+E1452+E1442</f>
        <v>295582.78089000005</v>
      </c>
      <c r="F1466" s="181">
        <f>F1463+F1452+F1442</f>
        <v>29000</v>
      </c>
      <c r="G1466" s="181"/>
      <c r="H1466" s="181">
        <f>H1463+H1452+H1442+1</f>
        <v>2153452.8536</v>
      </c>
      <c r="I1466" s="181">
        <f>I1463+I1452+I1442</f>
        <v>0</v>
      </c>
      <c r="J1466" s="181">
        <f>J1463+J1452+J1442</f>
        <v>0</v>
      </c>
      <c r="K1466" s="181">
        <f>K1463+K1452+K1442</f>
        <v>0</v>
      </c>
      <c r="L1466" s="181">
        <f>L1463+L1452+L1442</f>
        <v>0</v>
      </c>
      <c r="M1466" s="181"/>
      <c r="N1466" s="181">
        <f>N1463+N1452+N1442</f>
        <v>324582.78089000005</v>
      </c>
      <c r="O1466" s="181">
        <f>O1463+O1452+O1442</f>
        <v>26122.796729999998</v>
      </c>
      <c r="P1466" s="181">
        <f>P1463+P1452+P1442</f>
        <v>0</v>
      </c>
      <c r="Q1466" s="181"/>
      <c r="R1466" s="181">
        <f>R1463+R1452+R1442</f>
        <v>29066.441999999999</v>
      </c>
      <c r="S1466" s="181">
        <f>S1463+S1452+S1442</f>
        <v>2594.8166699999992</v>
      </c>
      <c r="T1466" s="181">
        <f>T1463+T1452+T1442</f>
        <v>0</v>
      </c>
      <c r="U1466" s="181">
        <f>U1463+U1452+U1442</f>
        <v>2125.6468199999999</v>
      </c>
      <c r="V1466" s="181">
        <f>V1463+V1452+V1442</f>
        <v>0</v>
      </c>
      <c r="W1466" s="181"/>
      <c r="X1466" s="181">
        <f>X1463+X1452+X1442</f>
        <v>26122.796729999998</v>
      </c>
      <c r="Y1466" s="181">
        <f>Y1463+Y1452+Y1442</f>
        <v>2182518.2955999998</v>
      </c>
      <c r="Z1466" s="181">
        <f>Z1463+Z1452+Z1442</f>
        <v>198569.32459999999</v>
      </c>
      <c r="AA1466" s="181">
        <f>AA1463+AA1452+AA1442</f>
        <v>350705.57762000005</v>
      </c>
      <c r="AB1466" s="181">
        <f>AB1463+AB1452+AB1442</f>
        <v>144114.26964999997</v>
      </c>
      <c r="AC1466" s="181"/>
      <c r="AD1466" s="181"/>
      <c r="AL1466" s="195"/>
      <c r="AP1466" s="195"/>
      <c r="AQ1466" s="195"/>
      <c r="AR1466" s="195"/>
      <c r="AS1466" s="195"/>
    </row>
    <row r="1467" spans="1:45" x14ac:dyDescent="0.2">
      <c r="A1467" s="180"/>
      <c r="D1467" s="182" t="s">
        <v>50</v>
      </c>
      <c r="E1467" s="182" t="s">
        <v>50</v>
      </c>
      <c r="F1467" s="182" t="s">
        <v>50</v>
      </c>
      <c r="G1467" s="182"/>
      <c r="H1467" s="182" t="s">
        <v>50</v>
      </c>
      <c r="I1467" s="182" t="s">
        <v>50</v>
      </c>
      <c r="J1467" s="182" t="s">
        <v>50</v>
      </c>
      <c r="K1467" s="182" t="s">
        <v>50</v>
      </c>
      <c r="L1467" s="182" t="s">
        <v>50</v>
      </c>
      <c r="M1467" s="182"/>
      <c r="N1467" s="182" t="s">
        <v>50</v>
      </c>
      <c r="O1467" s="182" t="s">
        <v>50</v>
      </c>
      <c r="P1467" s="182" t="s">
        <v>50</v>
      </c>
      <c r="Q1467" s="182"/>
      <c r="R1467" s="182" t="s">
        <v>50</v>
      </c>
      <c r="S1467" s="182" t="s">
        <v>50</v>
      </c>
      <c r="T1467" s="182" t="s">
        <v>50</v>
      </c>
      <c r="U1467" s="182" t="s">
        <v>50</v>
      </c>
      <c r="V1467" s="182" t="s">
        <v>50</v>
      </c>
      <c r="W1467" s="182"/>
      <c r="X1467" s="182" t="s">
        <v>50</v>
      </c>
      <c r="Y1467" s="182" t="s">
        <v>50</v>
      </c>
      <c r="Z1467" s="182" t="s">
        <v>50</v>
      </c>
      <c r="AA1467" s="182" t="s">
        <v>50</v>
      </c>
      <c r="AB1467" s="182" t="s">
        <v>50</v>
      </c>
      <c r="AC1467" s="182"/>
      <c r="AD1467" s="182"/>
      <c r="AF1467" s="195"/>
      <c r="AG1467" s="195"/>
      <c r="AH1467" s="195"/>
      <c r="AI1467" s="195"/>
      <c r="AJ1467" s="195"/>
      <c r="AK1467" s="195"/>
      <c r="AL1467" s="195"/>
      <c r="AM1467" s="195"/>
      <c r="AN1467" s="195"/>
      <c r="AO1467" s="195"/>
      <c r="AP1467" s="195"/>
      <c r="AQ1467" s="195"/>
      <c r="AR1467" s="195"/>
      <c r="AS1467" s="195"/>
    </row>
    <row r="1468" spans="1:45" x14ac:dyDescent="0.2">
      <c r="A1468" s="180"/>
      <c r="C1468" s="186"/>
      <c r="D1468" s="191"/>
      <c r="E1468" s="191"/>
      <c r="F1468" s="191"/>
      <c r="G1468" s="191"/>
      <c r="H1468" s="191"/>
      <c r="I1468" s="191"/>
      <c r="J1468" s="191"/>
      <c r="K1468" s="191"/>
      <c r="L1468" s="191"/>
      <c r="M1468" s="191"/>
      <c r="N1468" s="191"/>
      <c r="O1468" s="191"/>
      <c r="P1468" s="191"/>
      <c r="Q1468" s="191"/>
      <c r="R1468" s="191"/>
      <c r="S1468" s="191"/>
      <c r="T1468" s="191"/>
      <c r="U1468" s="191"/>
      <c r="V1468" s="191"/>
      <c r="W1468" s="191"/>
      <c r="X1468" s="191"/>
      <c r="Y1468" s="191"/>
      <c r="Z1468" s="191"/>
      <c r="AA1468" s="191"/>
      <c r="AB1468" s="191"/>
      <c r="AC1468" s="191"/>
      <c r="AD1468" s="191"/>
      <c r="AF1468" s="195"/>
      <c r="AG1468" s="195"/>
      <c r="AH1468" s="195"/>
      <c r="AI1468" s="195"/>
      <c r="AJ1468" s="195"/>
      <c r="AK1468" s="195"/>
      <c r="AL1468" s="195"/>
      <c r="AM1468" s="195"/>
      <c r="AN1468" s="195"/>
      <c r="AO1468" s="195"/>
      <c r="AP1468" s="195"/>
      <c r="AQ1468" s="195"/>
      <c r="AR1468" s="195"/>
      <c r="AS1468" s="195"/>
    </row>
    <row r="1469" spans="1:45" x14ac:dyDescent="0.2">
      <c r="A1469" s="180"/>
      <c r="B1469" s="166" t="s">
        <v>123</v>
      </c>
      <c r="D1469" s="191"/>
      <c r="E1469" s="191"/>
      <c r="F1469" s="191"/>
      <c r="G1469" s="191"/>
      <c r="H1469" s="191"/>
      <c r="I1469" s="191"/>
      <c r="J1469" s="191"/>
      <c r="K1469" s="191"/>
      <c r="L1469" s="191"/>
      <c r="M1469" s="191"/>
      <c r="N1469" s="191"/>
      <c r="O1469" s="191"/>
      <c r="P1469" s="191"/>
      <c r="Q1469" s="191"/>
      <c r="R1469" s="191"/>
      <c r="S1469" s="191"/>
      <c r="T1469" s="191"/>
      <c r="U1469" s="191"/>
      <c r="V1469" s="191"/>
      <c r="W1469" s="191"/>
      <c r="X1469" s="191"/>
      <c r="Y1469" s="191"/>
      <c r="Z1469" s="191"/>
      <c r="AA1469" s="191"/>
      <c r="AB1469" s="191"/>
      <c r="AC1469" s="191"/>
      <c r="AD1469" s="191"/>
      <c r="AF1469" s="195"/>
      <c r="AG1469" s="195"/>
      <c r="AH1469" s="195"/>
      <c r="AI1469" s="195"/>
      <c r="AJ1469" s="195"/>
      <c r="AK1469" s="195"/>
      <c r="AL1469" s="195"/>
      <c r="AM1469" s="195"/>
      <c r="AN1469" s="195"/>
      <c r="AO1469" s="195"/>
      <c r="AP1469" s="195"/>
      <c r="AQ1469" s="195"/>
      <c r="AR1469" s="195"/>
      <c r="AS1469" s="195"/>
    </row>
    <row r="1470" spans="1:45" x14ac:dyDescent="0.2">
      <c r="A1470" s="180"/>
      <c r="D1470" s="191"/>
      <c r="E1470" s="191"/>
      <c r="F1470" s="191"/>
      <c r="G1470" s="191"/>
      <c r="H1470" s="191"/>
      <c r="I1470" s="191"/>
      <c r="J1470" s="191"/>
      <c r="K1470" s="191"/>
      <c r="L1470" s="191"/>
      <c r="M1470" s="191"/>
      <c r="N1470" s="191"/>
      <c r="O1470" s="191"/>
      <c r="P1470" s="191"/>
      <c r="Q1470" s="191"/>
      <c r="R1470" s="191"/>
      <c r="S1470" s="191"/>
      <c r="T1470" s="191"/>
      <c r="U1470" s="191"/>
      <c r="V1470" s="191"/>
      <c r="W1470" s="191"/>
      <c r="X1470" s="191"/>
      <c r="Y1470" s="191"/>
      <c r="Z1470" s="191"/>
      <c r="AA1470" s="191"/>
      <c r="AB1470" s="191"/>
      <c r="AC1470" s="191"/>
      <c r="AD1470" s="191"/>
      <c r="AF1470" s="195"/>
      <c r="AG1470" s="195"/>
      <c r="AH1470" s="195"/>
      <c r="AI1470" s="195"/>
      <c r="AJ1470" s="195"/>
      <c r="AK1470" s="195"/>
      <c r="AL1470" s="195"/>
      <c r="AM1470" s="195"/>
      <c r="AN1470" s="195"/>
      <c r="AO1470" s="195"/>
      <c r="AP1470" s="195"/>
      <c r="AQ1470" s="195"/>
      <c r="AR1470" s="195"/>
      <c r="AS1470" s="195"/>
    </row>
    <row r="1471" spans="1:45" x14ac:dyDescent="0.2">
      <c r="A1471" s="180">
        <v>116</v>
      </c>
      <c r="B1471" s="166" t="s">
        <v>124</v>
      </c>
      <c r="C1471" s="166" t="s">
        <v>35</v>
      </c>
      <c r="D1471" s="181">
        <f>37747563/1000</f>
        <v>37747.563000000002</v>
      </c>
      <c r="E1471" s="181">
        <f>TOBEPAID!E1117/1000</f>
        <v>15000</v>
      </c>
      <c r="F1471" s="181">
        <f>TOBEPAID!F1117/1000</f>
        <v>0</v>
      </c>
      <c r="G1471" s="181">
        <f>TOBEPAID!G1117/1000</f>
        <v>0</v>
      </c>
      <c r="H1471" s="181">
        <f>31370756/1000</f>
        <v>31370.756000000001</v>
      </c>
      <c r="I1471" s="181">
        <f>TOBEPAID!I1117/1000</f>
        <v>0</v>
      </c>
      <c r="J1471" s="181">
        <f>TOBEPAID!J1117/1000</f>
        <v>0</v>
      </c>
      <c r="K1471" s="181">
        <f>TOBEPAID!K1117/1000</f>
        <v>0</v>
      </c>
      <c r="L1471" s="181">
        <f>TOBEPAID!L1117/1000</f>
        <v>0</v>
      </c>
      <c r="M1471" s="181">
        <f>TOBEPAID!M1117/1000</f>
        <v>0</v>
      </c>
      <c r="N1471" s="181">
        <f>TOBEPAID!N1117/1000</f>
        <v>15000</v>
      </c>
      <c r="O1471" s="181">
        <f>TOBEPAID!O1117/1000</f>
        <v>5603.8962599999995</v>
      </c>
      <c r="P1471" s="181">
        <f>TOBEPAID!P1117/1000</f>
        <v>772.91016000000002</v>
      </c>
      <c r="Q1471" s="181">
        <f>TOBEPAID!Q1117/1000</f>
        <v>0</v>
      </c>
      <c r="R1471" s="181">
        <f>6376806/1000</f>
        <v>6376.8059999999996</v>
      </c>
      <c r="S1471" s="181">
        <f>TOBEPAID!S1117/1000</f>
        <v>0</v>
      </c>
      <c r="T1471" s="181">
        <f>TOBEPAID!T1117/1000</f>
        <v>0</v>
      </c>
      <c r="U1471" s="181">
        <f>TOBEPAID!U1117/1000</f>
        <v>0</v>
      </c>
      <c r="V1471" s="181">
        <f>TOBEPAID!V1117/1000</f>
        <v>0</v>
      </c>
      <c r="W1471" s="181">
        <f>TOBEPAID!W1117/1000</f>
        <v>0</v>
      </c>
      <c r="X1471" s="181">
        <f>TOBEPAID!X1117/1000</f>
        <v>6376.8064199999999</v>
      </c>
      <c r="Y1471" s="181">
        <f>+H1471+R1471</f>
        <v>37747.561999999998</v>
      </c>
      <c r="Z1471" s="181">
        <f t="shared" ref="Z1471:Z1476" si="279">+D1471-Y1471</f>
        <v>1.0000000038417056E-3</v>
      </c>
      <c r="AA1471" s="181">
        <f>TOBEPAID!AA1117/1000</f>
        <v>21376.806420000001</v>
      </c>
      <c r="AB1471" s="181">
        <f>TOBEPAID!AB1117/1000</f>
        <v>12027.826790000001</v>
      </c>
      <c r="AC1471" s="181"/>
      <c r="AD1471" s="181"/>
      <c r="AF1471" s="195"/>
      <c r="AG1471" s="195"/>
      <c r="AH1471" s="195"/>
      <c r="AI1471" s="195"/>
      <c r="AJ1471" s="195"/>
      <c r="AK1471" s="195"/>
      <c r="AL1471" s="195"/>
      <c r="AM1471" s="195"/>
      <c r="AN1471" s="195"/>
      <c r="AO1471" s="195"/>
      <c r="AP1471" s="195"/>
      <c r="AQ1471" s="195"/>
      <c r="AR1471" s="195"/>
    </row>
    <row r="1472" spans="1:45" x14ac:dyDescent="0.2">
      <c r="A1472" s="180"/>
      <c r="B1472" s="166"/>
      <c r="C1472" s="166" t="s">
        <v>458</v>
      </c>
      <c r="D1472" s="181">
        <f>201223000/1000</f>
        <v>201223</v>
      </c>
      <c r="E1472" s="181"/>
      <c r="F1472" s="181"/>
      <c r="G1472" s="181"/>
      <c r="H1472" s="181">
        <f>46146126.66/1000</f>
        <v>46146.126659999994</v>
      </c>
      <c r="I1472" s="181"/>
      <c r="J1472" s="181"/>
      <c r="K1472" s="181"/>
      <c r="L1472" s="181"/>
      <c r="M1472" s="181"/>
      <c r="N1472" s="181"/>
      <c r="O1472" s="181"/>
      <c r="P1472" s="181"/>
      <c r="Q1472" s="181"/>
      <c r="R1472" s="181">
        <v>0</v>
      </c>
      <c r="S1472" s="181"/>
      <c r="T1472" s="181"/>
      <c r="U1472" s="181"/>
      <c r="V1472" s="181"/>
      <c r="W1472" s="181"/>
      <c r="X1472" s="181"/>
      <c r="Y1472" s="181">
        <f>+H1472+R1472</f>
        <v>46146.126659999994</v>
      </c>
      <c r="Z1472" s="181">
        <f t="shared" si="279"/>
        <v>155076.87333999999</v>
      </c>
      <c r="AA1472" s="181"/>
      <c r="AB1472" s="181"/>
      <c r="AC1472" s="181"/>
      <c r="AD1472" s="181"/>
      <c r="AF1472" s="195"/>
      <c r="AG1472" s="195"/>
      <c r="AH1472" s="195"/>
      <c r="AI1472" s="195"/>
      <c r="AJ1472" s="195"/>
      <c r="AK1472" s="195"/>
      <c r="AL1472" s="195"/>
      <c r="AM1472" s="195"/>
      <c r="AN1472" s="195"/>
      <c r="AO1472" s="195"/>
      <c r="AP1472" s="195"/>
      <c r="AQ1472" s="195"/>
      <c r="AR1472" s="195"/>
    </row>
    <row r="1473" spans="1:45" x14ac:dyDescent="0.2">
      <c r="A1473" s="180"/>
      <c r="B1473" s="166"/>
      <c r="C1473" s="166" t="s">
        <v>254</v>
      </c>
      <c r="D1473" s="181">
        <f>1000000/1000</f>
        <v>1000</v>
      </c>
      <c r="E1473" s="181">
        <f>TOBEPAID!E1118/1000</f>
        <v>1000</v>
      </c>
      <c r="F1473" s="181">
        <f>TOBEPAID!F1118/1000</f>
        <v>0</v>
      </c>
      <c r="G1473" s="181">
        <f>TOBEPAID!G1118/1000</f>
        <v>0</v>
      </c>
      <c r="H1473" s="181">
        <f>1000000/1000</f>
        <v>1000</v>
      </c>
      <c r="I1473" s="181">
        <f>TOBEPAID!I1118/1000</f>
        <v>0</v>
      </c>
      <c r="J1473" s="181">
        <f>TOBEPAID!J1118/1000</f>
        <v>0</v>
      </c>
      <c r="K1473" s="181">
        <f>TOBEPAID!K1118/1000</f>
        <v>0</v>
      </c>
      <c r="L1473" s="181">
        <f>TOBEPAID!L1118/1000</f>
        <v>0</v>
      </c>
      <c r="M1473" s="181">
        <f>TOBEPAID!M1118/1000</f>
        <v>0</v>
      </c>
      <c r="N1473" s="181">
        <f>TOBEPAID!N1118/1000</f>
        <v>1000</v>
      </c>
      <c r="O1473" s="181">
        <f>TOBEPAID!O1118/1000</f>
        <v>0</v>
      </c>
      <c r="P1473" s="181">
        <f>TOBEPAID!P1118/1000</f>
        <v>0</v>
      </c>
      <c r="Q1473" s="181">
        <f>TOBEPAID!Q1118/1000</f>
        <v>0</v>
      </c>
      <c r="R1473" s="181">
        <v>0</v>
      </c>
      <c r="S1473" s="181">
        <f>TOBEPAID!S1118/1000</f>
        <v>0</v>
      </c>
      <c r="T1473" s="181">
        <f>TOBEPAID!T1118/1000</f>
        <v>0</v>
      </c>
      <c r="U1473" s="181">
        <f>TOBEPAID!U1118/1000</f>
        <v>0</v>
      </c>
      <c r="V1473" s="181">
        <f>TOBEPAID!V1118/1000</f>
        <v>0</v>
      </c>
      <c r="W1473" s="181">
        <f>TOBEPAID!W1118/1000</f>
        <v>0</v>
      </c>
      <c r="X1473" s="181">
        <f>TOBEPAID!X1118/1000</f>
        <v>0</v>
      </c>
      <c r="Y1473" s="181">
        <f t="shared" ref="Y1473:Y1479" si="280">+H1473+R1473</f>
        <v>1000</v>
      </c>
      <c r="Z1473" s="181">
        <f t="shared" si="279"/>
        <v>0</v>
      </c>
      <c r="AA1473" s="181">
        <f>TOBEPAID!AA1118/1000</f>
        <v>1000</v>
      </c>
      <c r="AB1473" s="181">
        <f>TOBEPAID!AB1118/1000</f>
        <v>0</v>
      </c>
      <c r="AC1473" s="181"/>
      <c r="AD1473" s="181"/>
    </row>
    <row r="1474" spans="1:45" x14ac:dyDescent="0.2">
      <c r="C1474" s="165" t="s">
        <v>298</v>
      </c>
      <c r="D1474" s="181">
        <f>2500000/1000</f>
        <v>2500</v>
      </c>
      <c r="E1474" s="181">
        <f>TOBEPAID!E1119/1000</f>
        <v>2500</v>
      </c>
      <c r="F1474" s="181">
        <f>TOBEPAID!F1119/1000</f>
        <v>0</v>
      </c>
      <c r="G1474" s="181">
        <f>TOBEPAID!G1119/1000</f>
        <v>0</v>
      </c>
      <c r="H1474" s="181">
        <f>2500000/1000</f>
        <v>2500</v>
      </c>
      <c r="I1474" s="181">
        <f>TOBEPAID!I1119/1000</f>
        <v>0</v>
      </c>
      <c r="J1474" s="181">
        <f>TOBEPAID!J1119/1000</f>
        <v>0</v>
      </c>
      <c r="K1474" s="181">
        <f>TOBEPAID!K1119/1000</f>
        <v>0</v>
      </c>
      <c r="L1474" s="181">
        <f>TOBEPAID!L1119/1000</f>
        <v>0</v>
      </c>
      <c r="M1474" s="181">
        <f>TOBEPAID!M1119/1000</f>
        <v>0</v>
      </c>
      <c r="N1474" s="181">
        <f>TOBEPAID!N1119/1000</f>
        <v>2500</v>
      </c>
      <c r="O1474" s="181">
        <f>TOBEPAID!O1119/1000</f>
        <v>0</v>
      </c>
      <c r="P1474" s="181">
        <f>TOBEPAID!P1119/1000</f>
        <v>0</v>
      </c>
      <c r="Q1474" s="181">
        <f>TOBEPAID!Q1119/1000</f>
        <v>0</v>
      </c>
      <c r="R1474" s="181">
        <v>0</v>
      </c>
      <c r="S1474" s="181">
        <f>TOBEPAID!S1119/1000</f>
        <v>0</v>
      </c>
      <c r="T1474" s="181">
        <f>TOBEPAID!T1119/1000</f>
        <v>0</v>
      </c>
      <c r="U1474" s="181">
        <f>TOBEPAID!U1119/1000</f>
        <v>0</v>
      </c>
      <c r="V1474" s="181">
        <f>TOBEPAID!V1119/1000</f>
        <v>0</v>
      </c>
      <c r="W1474" s="181">
        <f>TOBEPAID!W1119/1000</f>
        <v>0</v>
      </c>
      <c r="X1474" s="181">
        <f>TOBEPAID!X1119/1000</f>
        <v>0</v>
      </c>
      <c r="Y1474" s="181">
        <f t="shared" si="280"/>
        <v>2500</v>
      </c>
      <c r="Z1474" s="181">
        <f t="shared" si="279"/>
        <v>0</v>
      </c>
      <c r="AA1474" s="181">
        <f>TOBEPAID!AA1119/1000</f>
        <v>2500</v>
      </c>
      <c r="AB1474" s="181">
        <f>TOBEPAID!AB1119/1000</f>
        <v>0</v>
      </c>
      <c r="AC1474" s="181"/>
      <c r="AD1474" s="181"/>
      <c r="AS1474" s="195"/>
    </row>
    <row r="1475" spans="1:45" x14ac:dyDescent="0.2">
      <c r="C1475" s="165" t="s">
        <v>382</v>
      </c>
      <c r="D1475" s="181">
        <f>6000000/1000</f>
        <v>6000</v>
      </c>
      <c r="E1475" s="181">
        <f>TOBEPAID!E1120/1000</f>
        <v>0</v>
      </c>
      <c r="F1475" s="181">
        <f>TOBEPAID!F1120/1000</f>
        <v>0</v>
      </c>
      <c r="G1475" s="181">
        <f>TOBEPAID!G1120/1000</f>
        <v>0</v>
      </c>
      <c r="H1475" s="181">
        <f>6000000/1000</f>
        <v>6000</v>
      </c>
      <c r="I1475" s="181">
        <f>TOBEPAID!I1120/1000</f>
        <v>0</v>
      </c>
      <c r="J1475" s="181">
        <f>TOBEPAID!J1120/1000</f>
        <v>0</v>
      </c>
      <c r="K1475" s="181">
        <f>TOBEPAID!K1120/1000</f>
        <v>0</v>
      </c>
      <c r="L1475" s="181">
        <f>TOBEPAID!L1120/1000</f>
        <v>0</v>
      </c>
      <c r="M1475" s="181">
        <f>TOBEPAID!M1120/1000</f>
        <v>0</v>
      </c>
      <c r="N1475" s="181">
        <f>TOBEPAID!N1120/1000</f>
        <v>0</v>
      </c>
      <c r="O1475" s="181">
        <f>TOBEPAID!O1120/1000</f>
        <v>0</v>
      </c>
      <c r="P1475" s="181">
        <f>TOBEPAID!P1120/1000</f>
        <v>0</v>
      </c>
      <c r="Q1475" s="181">
        <f>TOBEPAID!Q1120/1000</f>
        <v>0</v>
      </c>
      <c r="R1475" s="181">
        <v>0</v>
      </c>
      <c r="S1475" s="181">
        <f>TOBEPAID!S1120/1000</f>
        <v>0</v>
      </c>
      <c r="T1475" s="181">
        <f>TOBEPAID!T1120/1000</f>
        <v>0</v>
      </c>
      <c r="U1475" s="181">
        <f>TOBEPAID!U1120/1000</f>
        <v>0</v>
      </c>
      <c r="V1475" s="181">
        <f>TOBEPAID!V1120/1000</f>
        <v>0</v>
      </c>
      <c r="W1475" s="181">
        <f>TOBEPAID!W1120/1000</f>
        <v>0</v>
      </c>
      <c r="X1475" s="181">
        <f>TOBEPAID!X1120/1000</f>
        <v>0</v>
      </c>
      <c r="Y1475" s="181">
        <f t="shared" si="280"/>
        <v>6000</v>
      </c>
      <c r="Z1475" s="181">
        <f t="shared" si="279"/>
        <v>0</v>
      </c>
      <c r="AA1475" s="181">
        <f>TOBEPAID!AA1120/1000</f>
        <v>0</v>
      </c>
      <c r="AB1475" s="181">
        <f>TOBEPAID!AB1120/1000</f>
        <v>0</v>
      </c>
      <c r="AC1475" s="181"/>
      <c r="AD1475" s="181"/>
      <c r="AF1475" s="195"/>
      <c r="AG1475" s="195"/>
      <c r="AH1475" s="195"/>
      <c r="AI1475" s="195"/>
      <c r="AJ1475" s="195"/>
      <c r="AK1475" s="195"/>
      <c r="AL1475" s="195"/>
      <c r="AM1475" s="195"/>
      <c r="AN1475" s="195"/>
      <c r="AO1475" s="195"/>
      <c r="AP1475" s="195"/>
      <c r="AQ1475" s="195"/>
      <c r="AR1475" s="195"/>
      <c r="AS1475" s="195"/>
    </row>
    <row r="1476" spans="1:45" x14ac:dyDescent="0.2">
      <c r="C1476" s="165" t="s">
        <v>427</v>
      </c>
      <c r="D1476" s="181">
        <f>12000000/1000</f>
        <v>12000</v>
      </c>
      <c r="E1476" s="181"/>
      <c r="F1476" s="181"/>
      <c r="G1476" s="181"/>
      <c r="H1476" s="181">
        <f>12000000/1000</f>
        <v>12000</v>
      </c>
      <c r="I1476" s="181"/>
      <c r="J1476" s="181"/>
      <c r="K1476" s="181"/>
      <c r="L1476" s="181"/>
      <c r="M1476" s="181"/>
      <c r="N1476" s="181"/>
      <c r="O1476" s="181"/>
      <c r="P1476" s="181"/>
      <c r="Q1476" s="181"/>
      <c r="R1476" s="181">
        <v>0</v>
      </c>
      <c r="S1476" s="181"/>
      <c r="T1476" s="181"/>
      <c r="U1476" s="181"/>
      <c r="V1476" s="181"/>
      <c r="W1476" s="181"/>
      <c r="X1476" s="181"/>
      <c r="Y1476" s="181">
        <f t="shared" si="280"/>
        <v>12000</v>
      </c>
      <c r="Z1476" s="181">
        <f t="shared" si="279"/>
        <v>0</v>
      </c>
      <c r="AA1476" s="181"/>
      <c r="AB1476" s="181"/>
      <c r="AC1476" s="181"/>
      <c r="AD1476" s="181"/>
      <c r="AF1476" s="195"/>
      <c r="AG1476" s="195"/>
      <c r="AH1476" s="195"/>
      <c r="AI1476" s="195"/>
      <c r="AJ1476" s="195"/>
      <c r="AK1476" s="195"/>
      <c r="AL1476" s="195"/>
      <c r="AM1476" s="195"/>
      <c r="AN1476" s="195"/>
      <c r="AO1476" s="195"/>
      <c r="AP1476" s="195"/>
      <c r="AQ1476" s="195"/>
      <c r="AR1476" s="195"/>
      <c r="AS1476" s="195"/>
    </row>
    <row r="1477" spans="1:45" x14ac:dyDescent="0.2">
      <c r="C1477" s="165" t="s">
        <v>388</v>
      </c>
      <c r="D1477" s="181">
        <f>7148652/1000</f>
        <v>7148.652</v>
      </c>
      <c r="E1477" s="181"/>
      <c r="F1477" s="181"/>
      <c r="G1477" s="181"/>
      <c r="H1477" s="181">
        <f>7148952/1000</f>
        <v>7148.9520000000002</v>
      </c>
      <c r="I1477" s="181"/>
      <c r="J1477" s="181"/>
      <c r="K1477" s="181"/>
      <c r="L1477" s="181"/>
      <c r="M1477" s="181"/>
      <c r="N1477" s="181"/>
      <c r="O1477" s="181"/>
      <c r="P1477" s="181"/>
      <c r="Q1477" s="181"/>
      <c r="R1477" s="181">
        <v>0</v>
      </c>
      <c r="S1477" s="181"/>
      <c r="T1477" s="181"/>
      <c r="U1477" s="181"/>
      <c r="V1477" s="181"/>
      <c r="W1477" s="181"/>
      <c r="X1477" s="181"/>
      <c r="Y1477" s="181">
        <f t="shared" si="280"/>
        <v>7148.9520000000002</v>
      </c>
      <c r="Z1477" s="181">
        <f>+Y1477-D1477</f>
        <v>0.3000000000001819</v>
      </c>
      <c r="AA1477" s="181"/>
      <c r="AB1477" s="181"/>
      <c r="AC1477" s="181"/>
      <c r="AD1477" s="181"/>
      <c r="AF1477" s="195"/>
      <c r="AG1477" s="195"/>
      <c r="AH1477" s="195"/>
      <c r="AI1477" s="195"/>
      <c r="AJ1477" s="195"/>
      <c r="AK1477" s="195"/>
      <c r="AL1477" s="195"/>
      <c r="AM1477" s="195"/>
      <c r="AN1477" s="195"/>
      <c r="AO1477" s="195"/>
      <c r="AP1477" s="195"/>
      <c r="AQ1477" s="195"/>
      <c r="AR1477" s="195"/>
      <c r="AS1477" s="195"/>
    </row>
    <row r="1478" spans="1:45" x14ac:dyDescent="0.2">
      <c r="A1478" s="180"/>
      <c r="C1478" s="168" t="s">
        <v>36</v>
      </c>
      <c r="D1478" s="181">
        <f>1783299/1000</f>
        <v>1783.299</v>
      </c>
      <c r="E1478" s="181">
        <f>TOBEPAID!E1121/1000</f>
        <v>1783.2998600000001</v>
      </c>
      <c r="F1478" s="181">
        <f>TOBEPAID!F1121/1000</f>
        <v>0</v>
      </c>
      <c r="G1478" s="181">
        <f>TOBEPAID!G1121/1000</f>
        <v>0</v>
      </c>
      <c r="H1478" s="181">
        <f>1783299/1000</f>
        <v>1783.299</v>
      </c>
      <c r="I1478" s="181">
        <f>TOBEPAID!I1121/1000</f>
        <v>0</v>
      </c>
      <c r="J1478" s="181">
        <f>TOBEPAID!J1121/1000</f>
        <v>0</v>
      </c>
      <c r="K1478" s="181">
        <f>TOBEPAID!K1121/1000</f>
        <v>0</v>
      </c>
      <c r="L1478" s="181">
        <f>TOBEPAID!L1121/1000</f>
        <v>0</v>
      </c>
      <c r="M1478" s="181">
        <f>TOBEPAID!M1121/1000</f>
        <v>0</v>
      </c>
      <c r="N1478" s="181">
        <f>TOBEPAID!N1121/1000</f>
        <v>1783.2998600000001</v>
      </c>
      <c r="O1478" s="181">
        <f>TOBEPAID!O1121/1000</f>
        <v>0</v>
      </c>
      <c r="P1478" s="181">
        <f>TOBEPAID!P1121/1000</f>
        <v>0</v>
      </c>
      <c r="Q1478" s="181">
        <f>TOBEPAID!Q1121/1000</f>
        <v>0</v>
      </c>
      <c r="R1478" s="181">
        <v>0</v>
      </c>
      <c r="S1478" s="181">
        <f>TOBEPAID!S1121/1000</f>
        <v>0</v>
      </c>
      <c r="T1478" s="181">
        <f>TOBEPAID!T1121/1000</f>
        <v>0</v>
      </c>
      <c r="U1478" s="181">
        <f>TOBEPAID!U1121/1000</f>
        <v>0</v>
      </c>
      <c r="V1478" s="181">
        <f>TOBEPAID!V1121/1000</f>
        <v>0</v>
      </c>
      <c r="W1478" s="181">
        <f>TOBEPAID!W1121/1000</f>
        <v>0</v>
      </c>
      <c r="X1478" s="181">
        <f>TOBEPAID!X1121/1000</f>
        <v>0</v>
      </c>
      <c r="Y1478" s="181">
        <f t="shared" si="280"/>
        <v>1783.299</v>
      </c>
      <c r="Z1478" s="181">
        <f>+D1478-Y1478</f>
        <v>0</v>
      </c>
      <c r="AA1478" s="181">
        <f>TOBEPAID!AA1121/1000</f>
        <v>1783.2998600000001</v>
      </c>
      <c r="AB1478" s="181">
        <f>TOBEPAID!AB1121/1000</f>
        <v>0</v>
      </c>
      <c r="AC1478" s="181"/>
      <c r="AD1478" s="181"/>
      <c r="AF1478" s="195"/>
      <c r="AG1478" s="195"/>
      <c r="AH1478" s="195"/>
      <c r="AI1478" s="195"/>
      <c r="AJ1478" s="195"/>
      <c r="AK1478" s="195"/>
      <c r="AL1478" s="195"/>
      <c r="AM1478" s="195"/>
      <c r="AN1478" s="195"/>
      <c r="AO1478" s="195"/>
      <c r="AP1478" s="195"/>
      <c r="AQ1478" s="195"/>
      <c r="AR1478" s="195"/>
      <c r="AS1478" s="195"/>
    </row>
    <row r="1479" spans="1:45" x14ac:dyDescent="0.2">
      <c r="A1479" s="180"/>
      <c r="C1479" s="166" t="s">
        <v>37</v>
      </c>
      <c r="D1479" s="181">
        <v>0</v>
      </c>
      <c r="E1479" s="181">
        <f>TOBEPAID!E1122/1000</f>
        <v>0</v>
      </c>
      <c r="F1479" s="181">
        <f>TOBEPAID!F1122/1000</f>
        <v>0</v>
      </c>
      <c r="G1479" s="181">
        <f>TOBEPAID!G1122/1000</f>
        <v>0</v>
      </c>
      <c r="H1479" s="181">
        <v>0</v>
      </c>
      <c r="I1479" s="181">
        <f>TOBEPAID!I1122/1000</f>
        <v>0</v>
      </c>
      <c r="J1479" s="181">
        <f>TOBEPAID!J1122/1000</f>
        <v>0</v>
      </c>
      <c r="K1479" s="181">
        <f>TOBEPAID!K1122/1000</f>
        <v>0</v>
      </c>
      <c r="L1479" s="181">
        <f>TOBEPAID!L1122/1000</f>
        <v>0</v>
      </c>
      <c r="M1479" s="181">
        <f>TOBEPAID!M1122/1000</f>
        <v>0</v>
      </c>
      <c r="N1479" s="181">
        <f>TOBEPAID!N1122/1000</f>
        <v>0</v>
      </c>
      <c r="O1479" s="181">
        <f>TOBEPAID!O1122/1000</f>
        <v>0</v>
      </c>
      <c r="P1479" s="181">
        <f>TOBEPAID!P1122/1000</f>
        <v>0</v>
      </c>
      <c r="Q1479" s="181">
        <f>TOBEPAID!Q1122/1000</f>
        <v>0</v>
      </c>
      <c r="R1479" s="181">
        <v>0</v>
      </c>
      <c r="S1479" s="181">
        <f>TOBEPAID!S1122/1000</f>
        <v>0</v>
      </c>
      <c r="T1479" s="181">
        <f>TOBEPAID!T1122/1000</f>
        <v>0</v>
      </c>
      <c r="U1479" s="181">
        <f>TOBEPAID!U1122/1000</f>
        <v>0</v>
      </c>
      <c r="V1479" s="181">
        <f>TOBEPAID!V1122/1000</f>
        <v>0</v>
      </c>
      <c r="W1479" s="181">
        <f>TOBEPAID!W1122/1000</f>
        <v>0</v>
      </c>
      <c r="X1479" s="181">
        <f>TOBEPAID!X1122/1000</f>
        <v>0</v>
      </c>
      <c r="Y1479" s="181">
        <f t="shared" si="280"/>
        <v>0</v>
      </c>
      <c r="Z1479" s="181">
        <f>+D1479-Y1479</f>
        <v>0</v>
      </c>
      <c r="AA1479" s="181">
        <f>TOBEPAID!AA1122/1000</f>
        <v>0</v>
      </c>
      <c r="AB1479" s="181">
        <f>TOBEPAID!AB1122/1000</f>
        <v>4342.92983</v>
      </c>
      <c r="AC1479" s="181"/>
      <c r="AD1479" s="181"/>
      <c r="AF1479" s="195"/>
      <c r="AG1479" s="195"/>
      <c r="AH1479" s="195"/>
      <c r="AI1479" s="195"/>
      <c r="AJ1479" s="195"/>
      <c r="AK1479" s="195"/>
      <c r="AL1479" s="195"/>
      <c r="AM1479" s="195"/>
      <c r="AN1479" s="195"/>
      <c r="AO1479" s="195"/>
      <c r="AP1479" s="195"/>
      <c r="AQ1479" s="195"/>
      <c r="AR1479" s="195"/>
      <c r="AS1479" s="195"/>
    </row>
    <row r="1480" spans="1:45" x14ac:dyDescent="0.2">
      <c r="A1480" s="180"/>
      <c r="B1480" s="172"/>
      <c r="D1480" s="182" t="s">
        <v>40</v>
      </c>
      <c r="E1480" s="182" t="s">
        <v>40</v>
      </c>
      <c r="F1480" s="182" t="s">
        <v>40</v>
      </c>
      <c r="G1480" s="182"/>
      <c r="H1480" s="182" t="s">
        <v>40</v>
      </c>
      <c r="I1480" s="182" t="s">
        <v>40</v>
      </c>
      <c r="J1480" s="182" t="s">
        <v>40</v>
      </c>
      <c r="K1480" s="182" t="s">
        <v>40</v>
      </c>
      <c r="L1480" s="182" t="s">
        <v>40</v>
      </c>
      <c r="M1480" s="182"/>
      <c r="N1480" s="182" t="s">
        <v>40</v>
      </c>
      <c r="O1480" s="182" t="s">
        <v>40</v>
      </c>
      <c r="P1480" s="182" t="s">
        <v>40</v>
      </c>
      <c r="Q1480" s="182"/>
      <c r="R1480" s="182" t="s">
        <v>40</v>
      </c>
      <c r="S1480" s="182" t="s">
        <v>40</v>
      </c>
      <c r="T1480" s="182" t="s">
        <v>40</v>
      </c>
      <c r="U1480" s="182" t="s">
        <v>40</v>
      </c>
      <c r="V1480" s="182" t="s">
        <v>40</v>
      </c>
      <c r="W1480" s="182"/>
      <c r="X1480" s="182" t="s">
        <v>40</v>
      </c>
      <c r="Y1480" s="182" t="s">
        <v>40</v>
      </c>
      <c r="Z1480" s="182" t="s">
        <v>40</v>
      </c>
      <c r="AA1480" s="182" t="s">
        <v>40</v>
      </c>
      <c r="AB1480" s="182" t="s">
        <v>40</v>
      </c>
      <c r="AC1480" s="182"/>
      <c r="AD1480" s="182"/>
      <c r="AF1480" s="195"/>
      <c r="AG1480" s="195"/>
      <c r="AH1480" s="195"/>
      <c r="AI1480" s="195"/>
      <c r="AJ1480" s="195"/>
      <c r="AK1480" s="195"/>
      <c r="AL1480" s="195"/>
      <c r="AM1480" s="195"/>
      <c r="AN1480" s="195"/>
      <c r="AO1480" s="195"/>
      <c r="AP1480" s="195"/>
      <c r="AQ1480" s="195"/>
      <c r="AR1480" s="195"/>
      <c r="AS1480" s="195"/>
    </row>
    <row r="1481" spans="1:45" x14ac:dyDescent="0.2">
      <c r="A1481" s="180"/>
      <c r="D1481" s="181">
        <f>SUM(D1471:D1479)</f>
        <v>269402.51399999997</v>
      </c>
      <c r="E1481" s="181">
        <f>SUM(E1471:E1479)</f>
        <v>20283.299859999999</v>
      </c>
      <c r="F1481" s="181">
        <f>SUM(F1471:F1479)</f>
        <v>0</v>
      </c>
      <c r="G1481" s="181"/>
      <c r="H1481" s="181">
        <f>SUM(H1471:H1479)</f>
        <v>107949.13366000001</v>
      </c>
      <c r="I1481" s="181">
        <f>SUM(I1471:I1479)</f>
        <v>0</v>
      </c>
      <c r="J1481" s="181">
        <f>SUM(J1471:J1479)</f>
        <v>0</v>
      </c>
      <c r="K1481" s="181">
        <f>SUM(K1471:K1479)</f>
        <v>0</v>
      </c>
      <c r="L1481" s="181">
        <f>SUM(L1471:L1479)</f>
        <v>0</v>
      </c>
      <c r="M1481" s="181"/>
      <c r="N1481" s="181">
        <f>SUM(N1471:N1479)</f>
        <v>20283.299859999999</v>
      </c>
      <c r="O1481" s="181">
        <f>SUM(O1471:O1479)</f>
        <v>5603.8962599999995</v>
      </c>
      <c r="P1481" s="181">
        <f>SUM(P1471:P1479)</f>
        <v>772.91016000000002</v>
      </c>
      <c r="Q1481" s="181"/>
      <c r="R1481" s="181">
        <f>SUM(R1471:R1479)</f>
        <v>6376.8059999999996</v>
      </c>
      <c r="S1481" s="181">
        <f>SUM(S1471:S1479)</f>
        <v>0</v>
      </c>
      <c r="T1481" s="181">
        <f>SUM(T1471:T1479)</f>
        <v>0</v>
      </c>
      <c r="U1481" s="181">
        <f>SUM(U1471:U1479)</f>
        <v>0</v>
      </c>
      <c r="V1481" s="181">
        <f>SUM(V1471:V1479)</f>
        <v>0</v>
      </c>
      <c r="W1481" s="181"/>
      <c r="X1481" s="181">
        <f>SUM(X1471:X1479)</f>
        <v>6376.8064199999999</v>
      </c>
      <c r="Y1481" s="181">
        <f>SUM(Y1471:Y1479)</f>
        <v>114325.93965999999</v>
      </c>
      <c r="Z1481" s="181">
        <f>SUM(Z1471:Z1479)</f>
        <v>155077.17433999997</v>
      </c>
      <c r="AA1481" s="181">
        <f>SUM(AA1471:AA1479)</f>
        <v>26660.10628</v>
      </c>
      <c r="AB1481" s="181">
        <f>SUM(AB1471:AB1479)</f>
        <v>16370.75662</v>
      </c>
      <c r="AC1481" s="181"/>
      <c r="AD1481" s="181"/>
      <c r="AF1481" s="195"/>
      <c r="AG1481" s="195"/>
      <c r="AH1481" s="195"/>
      <c r="AI1481" s="195"/>
      <c r="AJ1481" s="195"/>
      <c r="AK1481" s="195"/>
      <c r="AL1481" s="195"/>
      <c r="AM1481" s="195"/>
      <c r="AN1481" s="195"/>
      <c r="AO1481" s="195"/>
      <c r="AP1481" s="195"/>
      <c r="AQ1481" s="195"/>
      <c r="AR1481" s="195"/>
      <c r="AS1481" s="195"/>
    </row>
    <row r="1482" spans="1:45" x14ac:dyDescent="0.2">
      <c r="A1482" s="180"/>
      <c r="D1482" s="182" t="s">
        <v>40</v>
      </c>
      <c r="E1482" s="182" t="s">
        <v>40</v>
      </c>
      <c r="F1482" s="182" t="s">
        <v>40</v>
      </c>
      <c r="G1482" s="182"/>
      <c r="H1482" s="182" t="s">
        <v>40</v>
      </c>
      <c r="I1482" s="182" t="s">
        <v>40</v>
      </c>
      <c r="J1482" s="182" t="s">
        <v>40</v>
      </c>
      <c r="K1482" s="182" t="s">
        <v>40</v>
      </c>
      <c r="L1482" s="182" t="s">
        <v>40</v>
      </c>
      <c r="M1482" s="182"/>
      <c r="N1482" s="182" t="s">
        <v>40</v>
      </c>
      <c r="O1482" s="182" t="s">
        <v>40</v>
      </c>
      <c r="P1482" s="182" t="s">
        <v>40</v>
      </c>
      <c r="Q1482" s="182"/>
      <c r="R1482" s="182" t="s">
        <v>40</v>
      </c>
      <c r="S1482" s="182" t="s">
        <v>40</v>
      </c>
      <c r="T1482" s="182" t="s">
        <v>40</v>
      </c>
      <c r="U1482" s="182" t="s">
        <v>40</v>
      </c>
      <c r="V1482" s="182" t="s">
        <v>40</v>
      </c>
      <c r="W1482" s="182"/>
      <c r="X1482" s="182" t="s">
        <v>40</v>
      </c>
      <c r="Y1482" s="182" t="s">
        <v>40</v>
      </c>
      <c r="Z1482" s="182" t="s">
        <v>40</v>
      </c>
      <c r="AA1482" s="182" t="s">
        <v>40</v>
      </c>
      <c r="AB1482" s="182" t="s">
        <v>40</v>
      </c>
      <c r="AC1482" s="182"/>
      <c r="AD1482" s="182"/>
      <c r="AF1482" s="195"/>
      <c r="AG1482" s="195"/>
      <c r="AH1482" s="195"/>
      <c r="AI1482" s="195"/>
      <c r="AJ1482" s="195"/>
      <c r="AK1482" s="195"/>
      <c r="AL1482" s="195"/>
      <c r="AM1482" s="195"/>
      <c r="AN1482" s="195"/>
      <c r="AO1482" s="195"/>
      <c r="AP1482" s="195"/>
      <c r="AQ1482" s="195"/>
      <c r="AR1482" s="195"/>
      <c r="AS1482" s="195"/>
    </row>
    <row r="1483" spans="1:45" x14ac:dyDescent="0.2">
      <c r="A1483" s="180"/>
      <c r="D1483" s="182"/>
      <c r="E1483" s="182"/>
      <c r="F1483" s="220"/>
      <c r="G1483" s="182"/>
      <c r="H1483" s="182"/>
      <c r="I1483" s="182"/>
      <c r="J1483" s="182"/>
      <c r="K1483" s="182"/>
      <c r="L1483" s="182"/>
      <c r="M1483" s="182"/>
      <c r="N1483" s="182"/>
      <c r="O1483" s="182"/>
      <c r="P1483" s="182"/>
      <c r="Q1483" s="182"/>
      <c r="R1483" s="182"/>
      <c r="S1483" s="182"/>
      <c r="T1483" s="182"/>
      <c r="U1483" s="182"/>
      <c r="V1483" s="182"/>
      <c r="W1483" s="182"/>
      <c r="X1483" s="182"/>
      <c r="Y1483" s="182"/>
      <c r="Z1483" s="182"/>
      <c r="AA1483" s="182"/>
      <c r="AB1483" s="182"/>
      <c r="AC1483" s="182"/>
      <c r="AD1483" s="182"/>
      <c r="AF1483" s="195"/>
      <c r="AG1483" s="195"/>
      <c r="AH1483" s="195"/>
      <c r="AI1483" s="195"/>
      <c r="AJ1483" s="195"/>
      <c r="AK1483" s="195"/>
      <c r="AL1483" s="195"/>
      <c r="AM1483" s="195"/>
      <c r="AN1483" s="195"/>
      <c r="AO1483" s="195"/>
      <c r="AP1483" s="195"/>
      <c r="AQ1483" s="195"/>
      <c r="AR1483" s="195"/>
      <c r="AS1483" s="195"/>
    </row>
    <row r="1484" spans="1:45" x14ac:dyDescent="0.2">
      <c r="A1484" s="180">
        <v>117</v>
      </c>
      <c r="B1484" s="166" t="s">
        <v>125</v>
      </c>
      <c r="C1484" s="166" t="s">
        <v>35</v>
      </c>
      <c r="D1484" s="181">
        <f>128570831.49/1000</f>
        <v>128570.83149</v>
      </c>
      <c r="E1484" s="181">
        <f>TOBEPAID!E1127/1000</f>
        <v>0</v>
      </c>
      <c r="F1484" s="181">
        <f>TOBEPAID!F1127/1000</f>
        <v>0</v>
      </c>
      <c r="G1484" s="181">
        <f>TOBEPAID!G1127/1000</f>
        <v>0</v>
      </c>
      <c r="H1484" s="181">
        <f>42000000/1000</f>
        <v>42000</v>
      </c>
      <c r="I1484" s="181">
        <f>TOBEPAID!I1127/1000</f>
        <v>0</v>
      </c>
      <c r="J1484" s="181">
        <f>TOBEPAID!J1127/1000</f>
        <v>0</v>
      </c>
      <c r="K1484" s="181">
        <f>TOBEPAID!K1127/1000</f>
        <v>0</v>
      </c>
      <c r="L1484" s="181">
        <f>TOBEPAID!L1127/1000</f>
        <v>0</v>
      </c>
      <c r="M1484" s="181">
        <f>TOBEPAID!M1127/1000</f>
        <v>0</v>
      </c>
      <c r="N1484" s="181">
        <f>TOBEPAID!N1127/1000</f>
        <v>0</v>
      </c>
      <c r="O1484" s="181">
        <f>TOBEPAID!O1127/1000</f>
        <v>4980.4935500000001</v>
      </c>
      <c r="P1484" s="181">
        <f>TOBEPAID!P1127/1000</f>
        <v>0</v>
      </c>
      <c r="Q1484" s="181">
        <f>TOBEPAID!Q1127/1000</f>
        <v>0</v>
      </c>
      <c r="R1484" s="181">
        <f>5500973/1000</f>
        <v>5500.973</v>
      </c>
      <c r="S1484" s="181">
        <f>TOBEPAID!S1127/1000</f>
        <v>5932.2815499999997</v>
      </c>
      <c r="T1484" s="181">
        <f>TOBEPAID!T1127/1000</f>
        <v>4554.1438399999997</v>
      </c>
      <c r="U1484" s="181">
        <f>TOBEPAID!U1127/1000</f>
        <v>0</v>
      </c>
      <c r="V1484" s="181">
        <f>TOBEPAID!V1127/1000</f>
        <v>0</v>
      </c>
      <c r="W1484" s="181">
        <f>TOBEPAID!W1127/1000</f>
        <v>0</v>
      </c>
      <c r="X1484" s="181">
        <f>TOBEPAID!X1127/1000</f>
        <v>4980.4935500000001</v>
      </c>
      <c r="Y1484" s="181">
        <f t="shared" ref="Y1484:Y1489" si="281">+H1484+R1484</f>
        <v>47500.972999999998</v>
      </c>
      <c r="Z1484" s="181">
        <f t="shared" ref="Z1484:Z1489" si="282">+D1484-Y1484</f>
        <v>81069.858489999999</v>
      </c>
      <c r="AA1484" s="181">
        <f>TOBEPAID!AA1127/1000</f>
        <v>4980.4935500000001</v>
      </c>
      <c r="AB1484" s="181">
        <f>TOBEPAID!AB1127/1000</f>
        <v>125307.53793999999</v>
      </c>
      <c r="AC1484" s="181"/>
      <c r="AD1484" s="181"/>
      <c r="AF1484" s="195"/>
      <c r="AG1484" s="195"/>
      <c r="AH1484" s="195"/>
      <c r="AI1484" s="195"/>
      <c r="AJ1484" s="195"/>
      <c r="AK1484" s="195"/>
      <c r="AL1484" s="195"/>
      <c r="AM1484" s="195"/>
      <c r="AN1484" s="195"/>
      <c r="AO1484" s="195"/>
      <c r="AP1484" s="195"/>
      <c r="AQ1484" s="195"/>
      <c r="AR1484" s="195"/>
      <c r="AS1484" s="195"/>
    </row>
    <row r="1485" spans="1:45" x14ac:dyDescent="0.2">
      <c r="A1485" s="180"/>
      <c r="C1485" s="168" t="s">
        <v>36</v>
      </c>
      <c r="D1485" s="181">
        <f>253000/1000</f>
        <v>253</v>
      </c>
      <c r="E1485" s="181">
        <f>TOBEPAID!E1128/1000</f>
        <v>253</v>
      </c>
      <c r="F1485" s="181">
        <f>TOBEPAID!F1128/1000</f>
        <v>0</v>
      </c>
      <c r="G1485" s="181">
        <f>TOBEPAID!G1128/1000</f>
        <v>0</v>
      </c>
      <c r="H1485" s="181">
        <f>253000/1000</f>
        <v>253</v>
      </c>
      <c r="I1485" s="181">
        <f>TOBEPAID!I1128/1000</f>
        <v>0</v>
      </c>
      <c r="J1485" s="181">
        <f>TOBEPAID!J1128/1000</f>
        <v>0</v>
      </c>
      <c r="K1485" s="181">
        <f>TOBEPAID!K1128/1000</f>
        <v>0</v>
      </c>
      <c r="L1485" s="181">
        <f>TOBEPAID!L1128/1000</f>
        <v>0</v>
      </c>
      <c r="M1485" s="181">
        <f>TOBEPAID!M1128/1000</f>
        <v>0</v>
      </c>
      <c r="N1485" s="181">
        <f>TOBEPAID!N1128/1000</f>
        <v>253</v>
      </c>
      <c r="O1485" s="181">
        <f>TOBEPAID!O1128/1000</f>
        <v>0</v>
      </c>
      <c r="P1485" s="181">
        <f>TOBEPAID!P1128/1000</f>
        <v>0</v>
      </c>
      <c r="Q1485" s="181">
        <f>TOBEPAID!Q1128/1000</f>
        <v>0</v>
      </c>
      <c r="R1485" s="181">
        <v>0</v>
      </c>
      <c r="S1485" s="181">
        <f>TOBEPAID!S1128/1000</f>
        <v>0</v>
      </c>
      <c r="T1485" s="181">
        <f>TOBEPAID!T1128/1000</f>
        <v>0</v>
      </c>
      <c r="U1485" s="181">
        <f>TOBEPAID!U1128/1000</f>
        <v>0</v>
      </c>
      <c r="V1485" s="181">
        <f>TOBEPAID!V1128/1000</f>
        <v>0</v>
      </c>
      <c r="W1485" s="181">
        <f>TOBEPAID!W1128/1000</f>
        <v>0</v>
      </c>
      <c r="X1485" s="181">
        <f>TOBEPAID!X1128/1000</f>
        <v>0</v>
      </c>
      <c r="Y1485" s="181">
        <f t="shared" si="281"/>
        <v>253</v>
      </c>
      <c r="Z1485" s="181">
        <f t="shared" si="282"/>
        <v>0</v>
      </c>
      <c r="AA1485" s="181">
        <f>TOBEPAID!AA1128/1000</f>
        <v>253</v>
      </c>
      <c r="AB1485" s="181">
        <f>TOBEPAID!AB1128/1000</f>
        <v>0</v>
      </c>
      <c r="AC1485" s="181"/>
      <c r="AD1485" s="181"/>
      <c r="AF1485" s="195"/>
      <c r="AG1485" s="195"/>
      <c r="AH1485" s="195"/>
      <c r="AI1485" s="195"/>
      <c r="AJ1485" s="195"/>
      <c r="AK1485" s="195"/>
      <c r="AL1485" s="195"/>
      <c r="AM1485" s="195"/>
      <c r="AN1485" s="195"/>
      <c r="AO1485" s="195"/>
      <c r="AP1485" s="195"/>
      <c r="AQ1485" s="195"/>
      <c r="AR1485" s="195"/>
      <c r="AS1485" s="195"/>
    </row>
    <row r="1486" spans="1:45" x14ac:dyDescent="0.2">
      <c r="C1486" s="165" t="s">
        <v>366</v>
      </c>
      <c r="D1486" s="165">
        <f>1717200/1000</f>
        <v>1717.2</v>
      </c>
      <c r="H1486" s="165">
        <f>1717200/1000</f>
        <v>1717.2</v>
      </c>
      <c r="R1486" s="181">
        <v>0</v>
      </c>
      <c r="Y1486" s="181">
        <f t="shared" si="281"/>
        <v>1717.2</v>
      </c>
      <c r="Z1486" s="181">
        <f t="shared" si="282"/>
        <v>0</v>
      </c>
    </row>
    <row r="1487" spans="1:45" x14ac:dyDescent="0.2">
      <c r="C1487" s="165" t="s">
        <v>456</v>
      </c>
      <c r="D1487" s="165">
        <f>95989000/1000</f>
        <v>95989</v>
      </c>
      <c r="H1487" s="165">
        <v>0</v>
      </c>
      <c r="R1487" s="181">
        <v>0</v>
      </c>
      <c r="Y1487" s="181">
        <f t="shared" si="281"/>
        <v>0</v>
      </c>
      <c r="Z1487" s="181">
        <f t="shared" si="282"/>
        <v>95989</v>
      </c>
    </row>
    <row r="1488" spans="1:45" x14ac:dyDescent="0.2">
      <c r="A1488" s="180"/>
      <c r="C1488" s="166" t="s">
        <v>37</v>
      </c>
      <c r="D1488" s="181">
        <f>9059000/1000</f>
        <v>9059</v>
      </c>
      <c r="E1488" s="181">
        <f>TOBEPAID!E1129/1000</f>
        <v>0</v>
      </c>
      <c r="F1488" s="181">
        <f>TOBEPAID!F1129/1000</f>
        <v>0</v>
      </c>
      <c r="G1488" s="181">
        <f>TOBEPAID!G1129/1000</f>
        <v>0</v>
      </c>
      <c r="H1488" s="181">
        <v>0</v>
      </c>
      <c r="I1488" s="181">
        <f>TOBEPAID!I1129/1000</f>
        <v>0</v>
      </c>
      <c r="J1488" s="181">
        <f>TOBEPAID!J1129/1000</f>
        <v>0</v>
      </c>
      <c r="K1488" s="181">
        <f>TOBEPAID!K1129/1000</f>
        <v>0</v>
      </c>
      <c r="L1488" s="181">
        <f>TOBEPAID!L1129/1000</f>
        <v>0</v>
      </c>
      <c r="M1488" s="181">
        <f>TOBEPAID!M1129/1000</f>
        <v>0</v>
      </c>
      <c r="N1488" s="181">
        <f>TOBEPAID!N1129/1000</f>
        <v>0</v>
      </c>
      <c r="O1488" s="181">
        <f>TOBEPAID!O1129/1000</f>
        <v>0</v>
      </c>
      <c r="P1488" s="181">
        <f>TOBEPAID!P1129/1000</f>
        <v>0</v>
      </c>
      <c r="Q1488" s="181">
        <f>TOBEPAID!Q1129/1000</f>
        <v>0</v>
      </c>
      <c r="R1488" s="181">
        <v>0</v>
      </c>
      <c r="S1488" s="181">
        <f>TOBEPAID!S1129/1000</f>
        <v>0</v>
      </c>
      <c r="T1488" s="181">
        <f>TOBEPAID!T1129/1000</f>
        <v>0</v>
      </c>
      <c r="U1488" s="181">
        <f>TOBEPAID!U1129/1000</f>
        <v>0</v>
      </c>
      <c r="V1488" s="181">
        <f>TOBEPAID!V1129/1000</f>
        <v>0</v>
      </c>
      <c r="W1488" s="181">
        <f>TOBEPAID!W1129/1000</f>
        <v>0</v>
      </c>
      <c r="X1488" s="181">
        <f>TOBEPAID!X1129/1000</f>
        <v>0</v>
      </c>
      <c r="Y1488" s="181">
        <f t="shared" si="281"/>
        <v>0</v>
      </c>
      <c r="Z1488" s="181">
        <f t="shared" si="282"/>
        <v>9059</v>
      </c>
      <c r="AA1488" s="181">
        <f>TOBEPAID!AA1129/1000</f>
        <v>0</v>
      </c>
      <c r="AB1488" s="181">
        <f>TOBEPAID!AB1129/1000</f>
        <v>9059.1124999999993</v>
      </c>
      <c r="AC1488" s="181"/>
      <c r="AD1488" s="181"/>
      <c r="AF1488" s="195"/>
      <c r="AG1488" s="195"/>
      <c r="AH1488" s="195"/>
      <c r="AI1488" s="195"/>
      <c r="AJ1488" s="195"/>
      <c r="AK1488" s="195"/>
      <c r="AL1488" s="195"/>
      <c r="AM1488" s="195"/>
      <c r="AN1488" s="195"/>
      <c r="AO1488" s="195"/>
      <c r="AP1488" s="195"/>
      <c r="AQ1488" s="195"/>
      <c r="AR1488" s="195"/>
      <c r="AS1488" s="195"/>
    </row>
    <row r="1489" spans="1:45" x14ac:dyDescent="0.2">
      <c r="A1489" s="180"/>
      <c r="C1489" s="192" t="s">
        <v>39</v>
      </c>
      <c r="D1489" s="181">
        <f>15158000/1000</f>
        <v>15158</v>
      </c>
      <c r="E1489" s="181">
        <f>TOBEPAID!E1130/1000</f>
        <v>0</v>
      </c>
      <c r="F1489" s="181">
        <f>TOBEPAID!F1130/1000</f>
        <v>0</v>
      </c>
      <c r="G1489" s="181">
        <f>TOBEPAID!G1130/1000</f>
        <v>0</v>
      </c>
      <c r="H1489" s="181">
        <v>0</v>
      </c>
      <c r="I1489" s="181">
        <f>TOBEPAID!I1130/1000</f>
        <v>0</v>
      </c>
      <c r="J1489" s="181">
        <f>TOBEPAID!J1130/1000</f>
        <v>0</v>
      </c>
      <c r="K1489" s="181">
        <f>TOBEPAID!K1130/1000</f>
        <v>0</v>
      </c>
      <c r="L1489" s="181">
        <f>TOBEPAID!L1130/1000</f>
        <v>0</v>
      </c>
      <c r="M1489" s="181">
        <f>TOBEPAID!M1130/1000</f>
        <v>0</v>
      </c>
      <c r="N1489" s="181">
        <f>TOBEPAID!N1130/1000</f>
        <v>0</v>
      </c>
      <c r="O1489" s="181">
        <f>TOBEPAID!O1130/1000</f>
        <v>12.387780000000001</v>
      </c>
      <c r="P1489" s="181">
        <f>TOBEPAID!P1130/1000</f>
        <v>0</v>
      </c>
      <c r="Q1489" s="181">
        <f>TOBEPAID!Q1130/1000</f>
        <v>0</v>
      </c>
      <c r="R1489" s="181">
        <v>12.387</v>
      </c>
      <c r="S1489" s="181">
        <f>TOBEPAID!S1130/1000</f>
        <v>0</v>
      </c>
      <c r="T1489" s="181">
        <f>TOBEPAID!T1130/1000</f>
        <v>0</v>
      </c>
      <c r="U1489" s="181">
        <f>TOBEPAID!U1130/1000</f>
        <v>0</v>
      </c>
      <c r="V1489" s="181">
        <f>TOBEPAID!V1130/1000</f>
        <v>0</v>
      </c>
      <c r="W1489" s="181">
        <f>TOBEPAID!W1130/1000</f>
        <v>0</v>
      </c>
      <c r="X1489" s="181">
        <f>TOBEPAID!X1130/1000</f>
        <v>12.387780000000001</v>
      </c>
      <c r="Y1489" s="181">
        <f t="shared" si="281"/>
        <v>12.387</v>
      </c>
      <c r="Z1489" s="181">
        <f t="shared" si="282"/>
        <v>15145.612999999999</v>
      </c>
      <c r="AA1489" s="181">
        <f>TOBEPAID!AA1130/1000</f>
        <v>12.387780000000001</v>
      </c>
      <c r="AB1489" s="181">
        <f>TOBEPAID!AB1130/1000</f>
        <v>15145.652960000001</v>
      </c>
      <c r="AC1489" s="181"/>
      <c r="AD1489" s="181"/>
      <c r="AF1489" s="195"/>
      <c r="AG1489" s="195"/>
      <c r="AH1489" s="195"/>
      <c r="AI1489" s="195"/>
      <c r="AJ1489" s="195"/>
      <c r="AK1489" s="195"/>
      <c r="AL1489" s="195"/>
      <c r="AM1489" s="195"/>
      <c r="AN1489" s="195"/>
      <c r="AO1489" s="195"/>
      <c r="AP1489" s="195"/>
      <c r="AQ1489" s="195"/>
      <c r="AR1489" s="195"/>
      <c r="AS1489" s="195"/>
    </row>
    <row r="1490" spans="1:45" x14ac:dyDescent="0.2">
      <c r="A1490" s="180"/>
      <c r="D1490" s="182" t="s">
        <v>40</v>
      </c>
      <c r="E1490" s="182" t="s">
        <v>40</v>
      </c>
      <c r="F1490" s="182" t="s">
        <v>40</v>
      </c>
      <c r="G1490" s="182"/>
      <c r="H1490" s="182" t="s">
        <v>40</v>
      </c>
      <c r="I1490" s="182" t="s">
        <v>40</v>
      </c>
      <c r="J1490" s="182" t="s">
        <v>40</v>
      </c>
      <c r="K1490" s="182" t="s">
        <v>40</v>
      </c>
      <c r="L1490" s="182" t="s">
        <v>40</v>
      </c>
      <c r="M1490" s="182"/>
      <c r="N1490" s="182" t="s">
        <v>40</v>
      </c>
      <c r="O1490" s="182" t="s">
        <v>40</v>
      </c>
      <c r="P1490" s="182" t="s">
        <v>40</v>
      </c>
      <c r="Q1490" s="182"/>
      <c r="R1490" s="182" t="s">
        <v>40</v>
      </c>
      <c r="S1490" s="182" t="s">
        <v>40</v>
      </c>
      <c r="T1490" s="182" t="s">
        <v>40</v>
      </c>
      <c r="U1490" s="182" t="s">
        <v>40</v>
      </c>
      <c r="V1490" s="182" t="s">
        <v>40</v>
      </c>
      <c r="W1490" s="182"/>
      <c r="X1490" s="182" t="s">
        <v>40</v>
      </c>
      <c r="Y1490" s="182" t="s">
        <v>40</v>
      </c>
      <c r="Z1490" s="182" t="s">
        <v>40</v>
      </c>
      <c r="AA1490" s="182" t="s">
        <v>40</v>
      </c>
      <c r="AB1490" s="182" t="s">
        <v>40</v>
      </c>
      <c r="AC1490" s="182"/>
      <c r="AD1490" s="182"/>
      <c r="AF1490" s="195"/>
      <c r="AG1490" s="195"/>
      <c r="AH1490" s="195"/>
      <c r="AI1490" s="195"/>
      <c r="AJ1490" s="195"/>
      <c r="AK1490" s="195"/>
      <c r="AL1490" s="195"/>
      <c r="AM1490" s="195"/>
      <c r="AN1490" s="195"/>
      <c r="AO1490" s="195"/>
      <c r="AP1490" s="195"/>
      <c r="AQ1490" s="195"/>
      <c r="AR1490" s="195"/>
      <c r="AS1490" s="195"/>
    </row>
    <row r="1491" spans="1:45" x14ac:dyDescent="0.2">
      <c r="A1491" s="180"/>
      <c r="D1491" s="181">
        <f>SUM(D1484:D1489)</f>
        <v>250747.03148999999</v>
      </c>
      <c r="E1491" s="181">
        <f>SUM(E1484:E1489)</f>
        <v>253</v>
      </c>
      <c r="F1491" s="181">
        <f>SUM(F1484:F1489)</f>
        <v>0</v>
      </c>
      <c r="G1491" s="181"/>
      <c r="H1491" s="181">
        <f>SUM(H1484:H1489)</f>
        <v>43970.2</v>
      </c>
      <c r="I1491" s="181">
        <f>SUM(I1484:I1489)</f>
        <v>0</v>
      </c>
      <c r="J1491" s="181">
        <f>SUM(J1484:J1489)</f>
        <v>0</v>
      </c>
      <c r="K1491" s="181">
        <f>SUM(K1484:K1489)</f>
        <v>0</v>
      </c>
      <c r="L1491" s="181">
        <f>SUM(L1484:L1489)</f>
        <v>0</v>
      </c>
      <c r="M1491" s="181"/>
      <c r="N1491" s="181">
        <f>SUM(N1484:N1489)</f>
        <v>253</v>
      </c>
      <c r="O1491" s="181">
        <f>SUM(O1484:O1489)</f>
        <v>4992.8813300000002</v>
      </c>
      <c r="P1491" s="181">
        <f>SUM(P1484:P1489)</f>
        <v>0</v>
      </c>
      <c r="Q1491" s="181"/>
      <c r="R1491" s="181">
        <f>SUM(R1484:R1489)</f>
        <v>5513.36</v>
      </c>
      <c r="S1491" s="181">
        <f>SUM(S1484:S1489)</f>
        <v>5932.2815499999997</v>
      </c>
      <c r="T1491" s="181">
        <f>SUM(T1484:T1489)</f>
        <v>4554.1438399999997</v>
      </c>
      <c r="U1491" s="181">
        <f>SUM(U1484:U1489)</f>
        <v>0</v>
      </c>
      <c r="V1491" s="181">
        <f>SUM(V1484:V1489)</f>
        <v>0</v>
      </c>
      <c r="W1491" s="181"/>
      <c r="X1491" s="181">
        <f>SUM(X1484:X1489)</f>
        <v>4992.8813300000002</v>
      </c>
      <c r="Y1491" s="181">
        <f>SUM(Y1484:Y1489)</f>
        <v>49483.56</v>
      </c>
      <c r="Z1491" s="181">
        <f>SUM(Z1484:Z1489)</f>
        <v>201263.47149000003</v>
      </c>
      <c r="AA1491" s="181">
        <f>SUM(AA1484:AA1489)</f>
        <v>5245.8813300000002</v>
      </c>
      <c r="AB1491" s="181">
        <f>SUM(AB1484:AB1489)</f>
        <v>149512.3034</v>
      </c>
      <c r="AC1491" s="181"/>
      <c r="AD1491" s="181"/>
      <c r="AF1491" s="195"/>
      <c r="AG1491" s="195"/>
      <c r="AH1491" s="195"/>
      <c r="AI1491" s="195"/>
      <c r="AJ1491" s="195"/>
      <c r="AK1491" s="195"/>
      <c r="AL1491" s="195"/>
      <c r="AM1491" s="195"/>
      <c r="AN1491" s="195"/>
      <c r="AO1491" s="195"/>
      <c r="AP1491" s="195"/>
      <c r="AQ1491" s="195"/>
      <c r="AR1491" s="195"/>
      <c r="AS1491" s="195"/>
    </row>
    <row r="1492" spans="1:45" x14ac:dyDescent="0.2">
      <c r="A1492" s="180"/>
      <c r="B1492" s="166"/>
      <c r="D1492" s="182" t="s">
        <v>40</v>
      </c>
      <c r="E1492" s="182" t="s">
        <v>40</v>
      </c>
      <c r="F1492" s="182" t="s">
        <v>40</v>
      </c>
      <c r="G1492" s="182"/>
      <c r="H1492" s="182" t="s">
        <v>40</v>
      </c>
      <c r="I1492" s="182" t="s">
        <v>40</v>
      </c>
      <c r="J1492" s="182" t="s">
        <v>40</v>
      </c>
      <c r="K1492" s="182" t="s">
        <v>40</v>
      </c>
      <c r="L1492" s="182" t="s">
        <v>40</v>
      </c>
      <c r="M1492" s="182"/>
      <c r="N1492" s="182" t="s">
        <v>40</v>
      </c>
      <c r="O1492" s="182" t="s">
        <v>40</v>
      </c>
      <c r="P1492" s="182" t="s">
        <v>40</v>
      </c>
      <c r="Q1492" s="182"/>
      <c r="R1492" s="182" t="s">
        <v>40</v>
      </c>
      <c r="S1492" s="182" t="s">
        <v>40</v>
      </c>
      <c r="T1492" s="182" t="s">
        <v>40</v>
      </c>
      <c r="U1492" s="182" t="s">
        <v>40</v>
      </c>
      <c r="V1492" s="182" t="s">
        <v>40</v>
      </c>
      <c r="W1492" s="182"/>
      <c r="X1492" s="182" t="s">
        <v>40</v>
      </c>
      <c r="Y1492" s="182" t="s">
        <v>40</v>
      </c>
      <c r="Z1492" s="182" t="s">
        <v>40</v>
      </c>
      <c r="AA1492" s="182" t="s">
        <v>40</v>
      </c>
      <c r="AB1492" s="182" t="s">
        <v>40</v>
      </c>
      <c r="AC1492" s="182"/>
      <c r="AD1492" s="182"/>
      <c r="AF1492" s="195"/>
      <c r="AG1492" s="195"/>
      <c r="AH1492" s="195"/>
      <c r="AI1492" s="195"/>
      <c r="AJ1492" s="195"/>
      <c r="AK1492" s="195"/>
      <c r="AL1492" s="195"/>
      <c r="AM1492" s="195"/>
      <c r="AN1492" s="195"/>
      <c r="AO1492" s="195"/>
      <c r="AP1492" s="195"/>
      <c r="AQ1492" s="195"/>
      <c r="AR1492" s="195"/>
      <c r="AS1492" s="195"/>
    </row>
    <row r="1493" spans="1:45" x14ac:dyDescent="0.2">
      <c r="A1493" s="180"/>
      <c r="D1493" s="182"/>
      <c r="E1493" s="182"/>
      <c r="F1493" s="182"/>
      <c r="G1493" s="182"/>
      <c r="H1493" s="182"/>
      <c r="I1493" s="182"/>
      <c r="J1493" s="182"/>
      <c r="K1493" s="182"/>
      <c r="L1493" s="182"/>
      <c r="M1493" s="182"/>
      <c r="N1493" s="182"/>
      <c r="O1493" s="182"/>
      <c r="P1493" s="182"/>
      <c r="Q1493" s="182"/>
      <c r="R1493" s="182"/>
      <c r="S1493" s="182"/>
      <c r="T1493" s="182"/>
      <c r="U1493" s="182"/>
      <c r="V1493" s="203"/>
      <c r="W1493" s="182"/>
      <c r="X1493" s="182"/>
      <c r="Y1493" s="182"/>
      <c r="Z1493" s="182"/>
      <c r="AA1493" s="182"/>
      <c r="AB1493" s="182"/>
      <c r="AC1493" s="182"/>
      <c r="AD1493" s="182"/>
      <c r="AF1493" s="195"/>
      <c r="AG1493" s="195"/>
      <c r="AH1493" s="195"/>
      <c r="AI1493" s="195"/>
      <c r="AJ1493" s="195"/>
      <c r="AK1493" s="195"/>
      <c r="AL1493" s="195"/>
      <c r="AM1493" s="195"/>
      <c r="AN1493" s="195"/>
      <c r="AO1493" s="195"/>
      <c r="AP1493" s="195"/>
      <c r="AQ1493" s="195"/>
      <c r="AR1493" s="195"/>
    </row>
    <row r="1494" spans="1:45" x14ac:dyDescent="0.2">
      <c r="A1494" s="180">
        <v>118</v>
      </c>
      <c r="B1494" s="213" t="s">
        <v>126</v>
      </c>
      <c r="C1494" s="168" t="s">
        <v>35</v>
      </c>
      <c r="D1494" s="181">
        <f>111179440/1000</f>
        <v>111179.44</v>
      </c>
      <c r="E1494" s="181">
        <f>TOBEPAID!E1135/1000</f>
        <v>0</v>
      </c>
      <c r="F1494" s="181">
        <f>TOBEPAID!F1135/1000</f>
        <v>0</v>
      </c>
      <c r="G1494" s="181">
        <f>TOBEPAID!G1135/1000</f>
        <v>0</v>
      </c>
      <c r="H1494" s="181">
        <f>97436223/1000</f>
        <v>97436.222999999998</v>
      </c>
      <c r="I1494" s="181">
        <f>TOBEPAID!I1135/1000</f>
        <v>0</v>
      </c>
      <c r="J1494" s="181">
        <f>TOBEPAID!J1135/1000</f>
        <v>0</v>
      </c>
      <c r="K1494" s="181">
        <f>TOBEPAID!K1135/1000</f>
        <v>0</v>
      </c>
      <c r="L1494" s="181">
        <f>TOBEPAID!L1135/1000</f>
        <v>0</v>
      </c>
      <c r="M1494" s="181">
        <f>TOBEPAID!M1135/1000</f>
        <v>0</v>
      </c>
      <c r="N1494" s="181">
        <f>TOBEPAID!N1135/1000</f>
        <v>0</v>
      </c>
      <c r="O1494" s="181">
        <f>TOBEPAID!O1135/1000</f>
        <v>271.34172999999998</v>
      </c>
      <c r="P1494" s="181">
        <f>TOBEPAID!P1135/1000</f>
        <v>0</v>
      </c>
      <c r="Q1494" s="181">
        <f>TOBEPAID!Q1135/1000</f>
        <v>0</v>
      </c>
      <c r="R1494" s="181">
        <f>298696/1000</f>
        <v>298.69600000000003</v>
      </c>
      <c r="S1494" s="181">
        <f>TOBEPAID!S1135/1000</f>
        <v>248.02149</v>
      </c>
      <c r="T1494" s="181">
        <f>TOBEPAID!T1135/1000</f>
        <v>0</v>
      </c>
      <c r="U1494" s="181">
        <f>TOBEPAID!U1135/1000</f>
        <v>0</v>
      </c>
      <c r="V1494" s="181">
        <f>TOBEPAID!V1135/1000</f>
        <v>0</v>
      </c>
      <c r="W1494" s="181">
        <f>TOBEPAID!W1135/1000</f>
        <v>0</v>
      </c>
      <c r="X1494" s="181">
        <f>TOBEPAID!X1135/1000</f>
        <v>271.34172999999998</v>
      </c>
      <c r="Y1494" s="181">
        <f>+H1494+R1494</f>
        <v>97734.918999999994</v>
      </c>
      <c r="Z1494" s="181">
        <f t="shared" ref="Z1494:Z1501" si="283">+D1494-Y1494</f>
        <v>13444.521000000008</v>
      </c>
      <c r="AA1494" s="181">
        <f>TOBEPAID!AA1135/1000</f>
        <v>271.34172999999998</v>
      </c>
      <c r="AB1494" s="181">
        <f>TOBEPAID!AB1135/1000</f>
        <v>66182.205399999992</v>
      </c>
      <c r="AC1494" s="181"/>
      <c r="AD1494" s="181"/>
      <c r="AS1494" s="195"/>
    </row>
    <row r="1495" spans="1:45" x14ac:dyDescent="0.2">
      <c r="C1495" s="165" t="s">
        <v>365</v>
      </c>
      <c r="D1495" s="181">
        <f>6771866/1000</f>
        <v>6771.866</v>
      </c>
      <c r="E1495" s="181">
        <f>TOBEPAID!E1136/1000</f>
        <v>6771.866</v>
      </c>
      <c r="F1495" s="181">
        <f>TOBEPAID!F1136/1000</f>
        <v>0</v>
      </c>
      <c r="G1495" s="181">
        <f>TOBEPAID!G1136/1000</f>
        <v>0</v>
      </c>
      <c r="H1495" s="181">
        <f>6771866/1000</f>
        <v>6771.866</v>
      </c>
      <c r="I1495" s="181">
        <f>TOBEPAID!I1136/1000</f>
        <v>0</v>
      </c>
      <c r="J1495" s="181">
        <f>TOBEPAID!J1136/1000</f>
        <v>0</v>
      </c>
      <c r="K1495" s="181">
        <f>TOBEPAID!K1136/1000</f>
        <v>0</v>
      </c>
      <c r="L1495" s="181">
        <f>TOBEPAID!L1136/1000</f>
        <v>0</v>
      </c>
      <c r="M1495" s="181">
        <f>TOBEPAID!M1136/1000</f>
        <v>0</v>
      </c>
      <c r="N1495" s="181">
        <f>TOBEPAID!N1136/1000</f>
        <v>6771.866</v>
      </c>
      <c r="O1495" s="181">
        <f>TOBEPAID!O1136/1000</f>
        <v>0</v>
      </c>
      <c r="P1495" s="181">
        <f>TOBEPAID!P1136/1000</f>
        <v>0</v>
      </c>
      <c r="Q1495" s="181">
        <f>TOBEPAID!Q1136/1000</f>
        <v>0</v>
      </c>
      <c r="R1495" s="181">
        <v>0</v>
      </c>
      <c r="S1495" s="181">
        <f>TOBEPAID!S1136/1000</f>
        <v>0</v>
      </c>
      <c r="T1495" s="181">
        <f>TOBEPAID!T1136/1000</f>
        <v>0</v>
      </c>
      <c r="U1495" s="181">
        <f>TOBEPAID!U1136/1000</f>
        <v>0</v>
      </c>
      <c r="V1495" s="181">
        <f>TOBEPAID!V1136/1000</f>
        <v>0</v>
      </c>
      <c r="W1495" s="181">
        <f>TOBEPAID!W1136/1000</f>
        <v>0</v>
      </c>
      <c r="X1495" s="181">
        <f>TOBEPAID!X1136/1000</f>
        <v>0</v>
      </c>
      <c r="Y1495" s="181">
        <f t="shared" ref="Y1495:Y1501" si="284">+H1495+R1495</f>
        <v>6771.866</v>
      </c>
      <c r="Z1495" s="181">
        <f t="shared" si="283"/>
        <v>0</v>
      </c>
      <c r="AA1495" s="181">
        <f>TOBEPAID!AA1136/1000</f>
        <v>6771.866</v>
      </c>
      <c r="AB1495" s="181">
        <f>TOBEPAID!AB1136/1000</f>
        <v>0</v>
      </c>
      <c r="AC1495" s="181"/>
      <c r="AD1495" s="181"/>
      <c r="AF1495" s="195"/>
      <c r="AG1495" s="195"/>
      <c r="AH1495" s="195"/>
      <c r="AI1495" s="195"/>
      <c r="AJ1495" s="195"/>
      <c r="AK1495" s="195"/>
      <c r="AL1495" s="195"/>
      <c r="AM1495" s="195"/>
      <c r="AN1495" s="195"/>
      <c r="AO1495" s="195"/>
      <c r="AP1495" s="195"/>
      <c r="AQ1495" s="195"/>
      <c r="AR1495" s="195"/>
    </row>
    <row r="1496" spans="1:45" x14ac:dyDescent="0.2">
      <c r="C1496" s="165" t="s">
        <v>389</v>
      </c>
      <c r="D1496" s="181">
        <f>15000000/1000</f>
        <v>15000</v>
      </c>
      <c r="E1496" s="181"/>
      <c r="F1496" s="181"/>
      <c r="G1496" s="181"/>
      <c r="H1496" s="181">
        <f>15000000/1000</f>
        <v>15000</v>
      </c>
      <c r="I1496" s="181"/>
      <c r="J1496" s="181"/>
      <c r="K1496" s="181"/>
      <c r="L1496" s="181"/>
      <c r="M1496" s="181"/>
      <c r="N1496" s="181"/>
      <c r="O1496" s="181"/>
      <c r="P1496" s="181"/>
      <c r="Q1496" s="181"/>
      <c r="R1496" s="181">
        <v>0</v>
      </c>
      <c r="S1496" s="181"/>
      <c r="T1496" s="181"/>
      <c r="U1496" s="181"/>
      <c r="V1496" s="181"/>
      <c r="W1496" s="181"/>
      <c r="X1496" s="181"/>
      <c r="Y1496" s="181">
        <f t="shared" si="284"/>
        <v>15000</v>
      </c>
      <c r="Z1496" s="181">
        <f t="shared" si="283"/>
        <v>0</v>
      </c>
      <c r="AA1496" s="181"/>
      <c r="AB1496" s="181"/>
      <c r="AC1496" s="181"/>
      <c r="AD1496" s="181"/>
      <c r="AF1496" s="195"/>
      <c r="AG1496" s="195"/>
      <c r="AH1496" s="195"/>
      <c r="AI1496" s="195"/>
      <c r="AJ1496" s="195"/>
      <c r="AK1496" s="195"/>
      <c r="AL1496" s="195"/>
      <c r="AM1496" s="195"/>
      <c r="AN1496" s="195"/>
      <c r="AO1496" s="195"/>
      <c r="AP1496" s="195"/>
      <c r="AQ1496" s="195"/>
      <c r="AR1496" s="195"/>
    </row>
    <row r="1497" spans="1:45" x14ac:dyDescent="0.2">
      <c r="C1497" s="165" t="s">
        <v>290</v>
      </c>
      <c r="D1497" s="181">
        <f>9000000/1000</f>
        <v>9000</v>
      </c>
      <c r="E1497" s="181"/>
      <c r="F1497" s="181"/>
      <c r="G1497" s="181"/>
      <c r="H1497" s="181">
        <f>9000000/1000</f>
        <v>9000</v>
      </c>
      <c r="I1497" s="181"/>
      <c r="J1497" s="181"/>
      <c r="K1497" s="181"/>
      <c r="L1497" s="181"/>
      <c r="M1497" s="181"/>
      <c r="N1497" s="181"/>
      <c r="O1497" s="181"/>
      <c r="P1497" s="181"/>
      <c r="Q1497" s="181"/>
      <c r="R1497" s="181">
        <v>0</v>
      </c>
      <c r="S1497" s="181"/>
      <c r="T1497" s="181"/>
      <c r="U1497" s="181"/>
      <c r="V1497" s="181"/>
      <c r="W1497" s="181"/>
      <c r="X1497" s="181"/>
      <c r="Y1497" s="181">
        <f>+H1497+R1497</f>
        <v>9000</v>
      </c>
      <c r="Z1497" s="181">
        <f t="shared" si="283"/>
        <v>0</v>
      </c>
      <c r="AA1497" s="181"/>
      <c r="AB1497" s="181"/>
      <c r="AC1497" s="181"/>
      <c r="AD1497" s="181"/>
      <c r="AF1497" s="195"/>
      <c r="AG1497" s="195"/>
      <c r="AH1497" s="195"/>
      <c r="AI1497" s="195"/>
      <c r="AJ1497" s="195"/>
      <c r="AK1497" s="195"/>
      <c r="AL1497" s="195"/>
      <c r="AM1497" s="195"/>
      <c r="AN1497" s="195"/>
      <c r="AO1497" s="195"/>
      <c r="AP1497" s="195"/>
      <c r="AQ1497" s="195"/>
      <c r="AR1497" s="195"/>
    </row>
    <row r="1498" spans="1:45" x14ac:dyDescent="0.2">
      <c r="A1498" s="180"/>
      <c r="C1498" s="168" t="s">
        <v>36</v>
      </c>
      <c r="D1498" s="181">
        <f>5403040/1000</f>
        <v>5403.04</v>
      </c>
      <c r="E1498" s="181">
        <f>TOBEPAID!E1137/1000</f>
        <v>5403.0408499999994</v>
      </c>
      <c r="F1498" s="181">
        <f>TOBEPAID!F1137/1000</f>
        <v>0</v>
      </c>
      <c r="G1498" s="181">
        <f>TOBEPAID!G1137/1000</f>
        <v>0</v>
      </c>
      <c r="H1498" s="181">
        <f>5403040/1000</f>
        <v>5403.04</v>
      </c>
      <c r="I1498" s="181">
        <f>TOBEPAID!I1137/1000</f>
        <v>0</v>
      </c>
      <c r="J1498" s="181">
        <f>TOBEPAID!J1137/1000</f>
        <v>0</v>
      </c>
      <c r="K1498" s="181">
        <f>TOBEPAID!K1137/1000</f>
        <v>0</v>
      </c>
      <c r="L1498" s="181">
        <f>TOBEPAID!L1137/1000</f>
        <v>0</v>
      </c>
      <c r="M1498" s="181">
        <f>TOBEPAID!M1137/1000</f>
        <v>0</v>
      </c>
      <c r="N1498" s="181">
        <f>TOBEPAID!N1137/1000</f>
        <v>5403.0408499999994</v>
      </c>
      <c r="O1498" s="181">
        <f>TOBEPAID!O1137/1000</f>
        <v>0</v>
      </c>
      <c r="P1498" s="181">
        <f>TOBEPAID!P1137/1000</f>
        <v>0</v>
      </c>
      <c r="Q1498" s="181">
        <f>TOBEPAID!Q1137/1000</f>
        <v>0</v>
      </c>
      <c r="R1498" s="181">
        <v>0</v>
      </c>
      <c r="S1498" s="181">
        <f>TOBEPAID!S1137/1000</f>
        <v>0</v>
      </c>
      <c r="T1498" s="181">
        <f>TOBEPAID!T1137/1000</f>
        <v>0</v>
      </c>
      <c r="U1498" s="181">
        <f>TOBEPAID!U1137/1000</f>
        <v>0</v>
      </c>
      <c r="V1498" s="181">
        <f>TOBEPAID!V1137/1000</f>
        <v>0</v>
      </c>
      <c r="W1498" s="181">
        <f>TOBEPAID!W1137/1000</f>
        <v>0</v>
      </c>
      <c r="X1498" s="181">
        <f>TOBEPAID!X1137/1000</f>
        <v>0</v>
      </c>
      <c r="Y1498" s="181">
        <f t="shared" si="284"/>
        <v>5403.04</v>
      </c>
      <c r="Z1498" s="181">
        <f t="shared" si="283"/>
        <v>0</v>
      </c>
      <c r="AA1498" s="181">
        <f>TOBEPAID!AA1137/1000</f>
        <v>5403.0408499999994</v>
      </c>
      <c r="AB1498" s="181">
        <f>TOBEPAID!AB1137/1000</f>
        <v>0</v>
      </c>
      <c r="AC1498" s="181"/>
      <c r="AD1498" s="181"/>
      <c r="AS1498" s="195"/>
    </row>
    <row r="1499" spans="1:45" x14ac:dyDescent="0.2">
      <c r="C1499" s="165" t="s">
        <v>298</v>
      </c>
      <c r="D1499" s="181">
        <f>4600000/1000</f>
        <v>4600</v>
      </c>
      <c r="E1499" s="181">
        <f>TOBEPAID!E1138/1000</f>
        <v>4600</v>
      </c>
      <c r="F1499" s="181">
        <f>TOBEPAID!F1138/1000</f>
        <v>0</v>
      </c>
      <c r="G1499" s="181">
        <f>TOBEPAID!G1138/1000</f>
        <v>0</v>
      </c>
      <c r="H1499" s="181">
        <f>4600000/1000</f>
        <v>4600</v>
      </c>
      <c r="I1499" s="181">
        <f>TOBEPAID!I1138/1000</f>
        <v>0</v>
      </c>
      <c r="J1499" s="181">
        <f>TOBEPAID!J1138/1000</f>
        <v>0</v>
      </c>
      <c r="K1499" s="181">
        <f>TOBEPAID!K1138/1000</f>
        <v>0</v>
      </c>
      <c r="L1499" s="181">
        <f>TOBEPAID!L1138/1000</f>
        <v>0</v>
      </c>
      <c r="M1499" s="181">
        <f>TOBEPAID!M1138/1000</f>
        <v>0</v>
      </c>
      <c r="N1499" s="181">
        <f>TOBEPAID!N1138/1000</f>
        <v>4600</v>
      </c>
      <c r="O1499" s="181">
        <f>TOBEPAID!O1138/1000</f>
        <v>0</v>
      </c>
      <c r="P1499" s="181">
        <f>TOBEPAID!P1138/1000</f>
        <v>0</v>
      </c>
      <c r="Q1499" s="181">
        <f>TOBEPAID!Q1138/1000</f>
        <v>0</v>
      </c>
      <c r="R1499" s="181">
        <v>0</v>
      </c>
      <c r="S1499" s="181">
        <f>TOBEPAID!S1138/1000</f>
        <v>0</v>
      </c>
      <c r="T1499" s="181">
        <f>TOBEPAID!T1138/1000</f>
        <v>0</v>
      </c>
      <c r="U1499" s="181">
        <f>TOBEPAID!U1138/1000</f>
        <v>0</v>
      </c>
      <c r="V1499" s="181">
        <f>TOBEPAID!V1138/1000</f>
        <v>0</v>
      </c>
      <c r="W1499" s="181">
        <f>TOBEPAID!W1138/1000</f>
        <v>0</v>
      </c>
      <c r="X1499" s="181">
        <f>TOBEPAID!X1138/1000</f>
        <v>0</v>
      </c>
      <c r="Y1499" s="181">
        <f t="shared" si="284"/>
        <v>4600</v>
      </c>
      <c r="Z1499" s="181">
        <f t="shared" si="283"/>
        <v>0</v>
      </c>
      <c r="AA1499" s="181">
        <f>TOBEPAID!AA1138/1000</f>
        <v>4600</v>
      </c>
      <c r="AB1499" s="181">
        <f>TOBEPAID!AB1138/1000</f>
        <v>0</v>
      </c>
      <c r="AC1499" s="181"/>
      <c r="AD1499" s="181"/>
      <c r="AF1499" s="195"/>
      <c r="AG1499" s="195"/>
      <c r="AH1499" s="195"/>
      <c r="AI1499" s="195"/>
      <c r="AJ1499" s="195"/>
      <c r="AK1499" s="195"/>
      <c r="AL1499" s="195"/>
      <c r="AM1499" s="195"/>
      <c r="AN1499" s="195"/>
      <c r="AO1499" s="195"/>
      <c r="AP1499" s="195"/>
      <c r="AQ1499" s="195"/>
      <c r="AR1499" s="195"/>
      <c r="AS1499" s="195"/>
    </row>
    <row r="1500" spans="1:45" x14ac:dyDescent="0.2">
      <c r="A1500" s="180"/>
      <c r="C1500" s="166" t="s">
        <v>37</v>
      </c>
      <c r="D1500" s="181">
        <f>61747716/1000</f>
        <v>61747.716</v>
      </c>
      <c r="E1500" s="181">
        <f>TOBEPAID!E1139/1000</f>
        <v>0</v>
      </c>
      <c r="F1500" s="181">
        <f>TOBEPAID!F1139/1000</f>
        <v>0</v>
      </c>
      <c r="G1500" s="181">
        <f>TOBEPAID!G1139/1000</f>
        <v>0</v>
      </c>
      <c r="H1500" s="181">
        <v>0</v>
      </c>
      <c r="I1500" s="181">
        <f>TOBEPAID!I1139/1000</f>
        <v>0</v>
      </c>
      <c r="J1500" s="181">
        <f>TOBEPAID!J1139/1000</f>
        <v>0</v>
      </c>
      <c r="K1500" s="181">
        <f>TOBEPAID!K1139/1000</f>
        <v>0</v>
      </c>
      <c r="L1500" s="181">
        <f>TOBEPAID!L1139/1000</f>
        <v>0</v>
      </c>
      <c r="M1500" s="181">
        <f>TOBEPAID!M1139/1000</f>
        <v>0</v>
      </c>
      <c r="N1500" s="181">
        <f>TOBEPAID!N1139/1000</f>
        <v>0</v>
      </c>
      <c r="O1500" s="181">
        <f>TOBEPAID!O1139/1000</f>
        <v>0</v>
      </c>
      <c r="P1500" s="181">
        <f>TOBEPAID!P1139/1000</f>
        <v>0</v>
      </c>
      <c r="Q1500" s="181">
        <f>TOBEPAID!Q1139/1000</f>
        <v>0</v>
      </c>
      <c r="R1500" s="181">
        <v>0</v>
      </c>
      <c r="S1500" s="181">
        <f>TOBEPAID!S1139/1000</f>
        <v>0</v>
      </c>
      <c r="T1500" s="181">
        <f>TOBEPAID!T1139/1000</f>
        <v>0</v>
      </c>
      <c r="U1500" s="181">
        <f>TOBEPAID!U1139/1000</f>
        <v>0</v>
      </c>
      <c r="V1500" s="181">
        <f>TOBEPAID!V1139/1000</f>
        <v>0</v>
      </c>
      <c r="W1500" s="181">
        <f>TOBEPAID!W1139/1000</f>
        <v>0</v>
      </c>
      <c r="X1500" s="181">
        <f>TOBEPAID!X1139/1000</f>
        <v>0</v>
      </c>
      <c r="Y1500" s="181">
        <f t="shared" si="284"/>
        <v>0</v>
      </c>
      <c r="Z1500" s="181">
        <f t="shared" si="283"/>
        <v>61747.716</v>
      </c>
      <c r="AA1500" s="181">
        <f>TOBEPAID!AA1139/1000</f>
        <v>0</v>
      </c>
      <c r="AB1500" s="181">
        <f>TOBEPAID!AB1139/1000</f>
        <v>121199.50233</v>
      </c>
      <c r="AC1500" s="181"/>
      <c r="AD1500" s="181"/>
      <c r="AF1500" s="195"/>
      <c r="AG1500" s="195"/>
      <c r="AH1500" s="195"/>
      <c r="AI1500" s="195"/>
      <c r="AJ1500" s="195"/>
      <c r="AK1500" s="195"/>
      <c r="AL1500" s="195"/>
      <c r="AM1500" s="195"/>
      <c r="AN1500" s="195"/>
      <c r="AO1500" s="195"/>
      <c r="AP1500" s="195"/>
      <c r="AQ1500" s="195"/>
      <c r="AR1500" s="195"/>
      <c r="AS1500" s="195"/>
    </row>
    <row r="1501" spans="1:45" x14ac:dyDescent="0.2">
      <c r="A1501" s="180"/>
      <c r="C1501" s="192" t="s">
        <v>39</v>
      </c>
      <c r="D1501" s="181">
        <f>16662955/1000</f>
        <v>16662.955000000002</v>
      </c>
      <c r="E1501" s="181">
        <f>TOBEPAID!E1140/1000</f>
        <v>0</v>
      </c>
      <c r="F1501" s="181">
        <f>TOBEPAID!F1140/1000</f>
        <v>0</v>
      </c>
      <c r="G1501" s="181">
        <f>TOBEPAID!G1140/1000</f>
        <v>0</v>
      </c>
      <c r="H1501" s="181">
        <v>0</v>
      </c>
      <c r="I1501" s="181">
        <f>TOBEPAID!I1140/1000</f>
        <v>0</v>
      </c>
      <c r="J1501" s="181">
        <f>TOBEPAID!J1140/1000</f>
        <v>0</v>
      </c>
      <c r="K1501" s="181">
        <f>TOBEPAID!K1140/1000</f>
        <v>0</v>
      </c>
      <c r="L1501" s="181">
        <f>TOBEPAID!L1140/1000</f>
        <v>0</v>
      </c>
      <c r="M1501" s="181">
        <f>TOBEPAID!M1140/1000</f>
        <v>0</v>
      </c>
      <c r="N1501" s="181">
        <f>TOBEPAID!N1140/1000</f>
        <v>0</v>
      </c>
      <c r="O1501" s="181">
        <f>TOBEPAID!O1140/1000</f>
        <v>0</v>
      </c>
      <c r="P1501" s="181">
        <f>TOBEPAID!P1140/1000</f>
        <v>0</v>
      </c>
      <c r="Q1501" s="181">
        <f>TOBEPAID!Q1140/1000</f>
        <v>0</v>
      </c>
      <c r="R1501" s="181">
        <v>0</v>
      </c>
      <c r="S1501" s="181">
        <f>TOBEPAID!S1140/1000</f>
        <v>0</v>
      </c>
      <c r="T1501" s="181">
        <f>TOBEPAID!T1140/1000</f>
        <v>0</v>
      </c>
      <c r="U1501" s="181">
        <f>TOBEPAID!U1140/1000</f>
        <v>0</v>
      </c>
      <c r="V1501" s="181">
        <f>TOBEPAID!V1140/1000</f>
        <v>0</v>
      </c>
      <c r="W1501" s="181">
        <f>TOBEPAID!W1140/1000</f>
        <v>0</v>
      </c>
      <c r="X1501" s="181">
        <f>TOBEPAID!X1140/1000</f>
        <v>0</v>
      </c>
      <c r="Y1501" s="181">
        <f t="shared" si="284"/>
        <v>0</v>
      </c>
      <c r="Z1501" s="181">
        <f t="shared" si="283"/>
        <v>16662.955000000002</v>
      </c>
      <c r="AA1501" s="181">
        <f>TOBEPAID!AA1140/1000</f>
        <v>0</v>
      </c>
      <c r="AB1501" s="181">
        <f>TOBEPAID!AB1140/1000</f>
        <v>1937.06294</v>
      </c>
      <c r="AC1501" s="181"/>
      <c r="AD1501" s="181"/>
      <c r="AF1501" s="195"/>
      <c r="AG1501" s="195"/>
      <c r="AH1501" s="195"/>
      <c r="AI1501" s="195"/>
      <c r="AJ1501" s="195"/>
      <c r="AK1501" s="195"/>
      <c r="AL1501" s="195"/>
      <c r="AM1501" s="195"/>
      <c r="AN1501" s="195"/>
      <c r="AO1501" s="195"/>
      <c r="AP1501" s="195"/>
      <c r="AQ1501" s="195"/>
      <c r="AR1501" s="195"/>
      <c r="AS1501" s="195"/>
    </row>
    <row r="1502" spans="1:45" x14ac:dyDescent="0.2">
      <c r="A1502" s="180"/>
      <c r="D1502" s="182" t="s">
        <v>40</v>
      </c>
      <c r="E1502" s="182" t="s">
        <v>40</v>
      </c>
      <c r="F1502" s="182" t="s">
        <v>40</v>
      </c>
      <c r="G1502" s="182"/>
      <c r="H1502" s="182" t="s">
        <v>40</v>
      </c>
      <c r="I1502" s="182" t="s">
        <v>40</v>
      </c>
      <c r="J1502" s="182" t="s">
        <v>40</v>
      </c>
      <c r="K1502" s="182" t="s">
        <v>40</v>
      </c>
      <c r="L1502" s="182" t="s">
        <v>40</v>
      </c>
      <c r="M1502" s="182"/>
      <c r="N1502" s="182" t="s">
        <v>40</v>
      </c>
      <c r="O1502" s="182" t="s">
        <v>40</v>
      </c>
      <c r="P1502" s="182" t="s">
        <v>40</v>
      </c>
      <c r="Q1502" s="182"/>
      <c r="R1502" s="182" t="s">
        <v>40</v>
      </c>
      <c r="S1502" s="182" t="s">
        <v>40</v>
      </c>
      <c r="T1502" s="182" t="s">
        <v>40</v>
      </c>
      <c r="U1502" s="182" t="s">
        <v>40</v>
      </c>
      <c r="V1502" s="182" t="s">
        <v>40</v>
      </c>
      <c r="W1502" s="182"/>
      <c r="X1502" s="182" t="s">
        <v>40</v>
      </c>
      <c r="Y1502" s="182" t="s">
        <v>40</v>
      </c>
      <c r="Z1502" s="182" t="s">
        <v>40</v>
      </c>
      <c r="AA1502" s="182" t="s">
        <v>40</v>
      </c>
      <c r="AB1502" s="182" t="s">
        <v>40</v>
      </c>
      <c r="AC1502" s="182"/>
      <c r="AD1502" s="182"/>
      <c r="AF1502" s="195"/>
      <c r="AG1502" s="195"/>
      <c r="AH1502" s="195"/>
      <c r="AI1502" s="195"/>
      <c r="AJ1502" s="195"/>
      <c r="AK1502" s="195"/>
      <c r="AL1502" s="195"/>
      <c r="AM1502" s="195"/>
      <c r="AN1502" s="195"/>
      <c r="AO1502" s="195"/>
      <c r="AP1502" s="195"/>
      <c r="AQ1502" s="195"/>
      <c r="AR1502" s="195"/>
      <c r="AS1502" s="195"/>
    </row>
    <row r="1503" spans="1:45" x14ac:dyDescent="0.2">
      <c r="A1503" s="180"/>
      <c r="D1503" s="181">
        <f>SUM(D1494:D1501)</f>
        <v>230365.01699999999</v>
      </c>
      <c r="E1503" s="181">
        <f>SUM(E1494:E1501)</f>
        <v>16774.906849999999</v>
      </c>
      <c r="F1503" s="181">
        <f>SUM(F1494:F1501)</f>
        <v>0</v>
      </c>
      <c r="G1503" s="181"/>
      <c r="H1503" s="181">
        <f>SUM(H1494:H1501)</f>
        <v>138211.12899999999</v>
      </c>
      <c r="I1503" s="181">
        <f>SUM(I1494:I1501)</f>
        <v>0</v>
      </c>
      <c r="J1503" s="181">
        <f>SUM(J1494:J1501)</f>
        <v>0</v>
      </c>
      <c r="K1503" s="181">
        <f>SUM(K1494:K1501)</f>
        <v>0</v>
      </c>
      <c r="L1503" s="181">
        <f>SUM(L1494:L1501)</f>
        <v>0</v>
      </c>
      <c r="M1503" s="181"/>
      <c r="N1503" s="181">
        <f>SUM(N1494:N1501)</f>
        <v>16774.906849999999</v>
      </c>
      <c r="O1503" s="181">
        <f>SUM(O1494:O1501)</f>
        <v>271.34172999999998</v>
      </c>
      <c r="P1503" s="181">
        <f>SUM(P1494:P1501)</f>
        <v>0</v>
      </c>
      <c r="Q1503" s="181"/>
      <c r="R1503" s="181">
        <f>SUM(R1494:R1501)</f>
        <v>298.69600000000003</v>
      </c>
      <c r="S1503" s="181">
        <f>SUM(S1494:S1501)</f>
        <v>248.02149</v>
      </c>
      <c r="T1503" s="181">
        <f>SUM(T1494:T1501)</f>
        <v>0</v>
      </c>
      <c r="U1503" s="181">
        <f>SUM(U1494:U1501)</f>
        <v>0</v>
      </c>
      <c r="V1503" s="181">
        <f>SUM(V1494:V1501)</f>
        <v>0</v>
      </c>
      <c r="W1503" s="181"/>
      <c r="X1503" s="181">
        <f>SUM(X1494:X1501)</f>
        <v>271.34172999999998</v>
      </c>
      <c r="Y1503" s="181">
        <f>SUM(Y1494:Y1501)</f>
        <v>138509.82499999998</v>
      </c>
      <c r="Z1503" s="181">
        <f>SUM(Z1494:Z1501)</f>
        <v>91855.19200000001</v>
      </c>
      <c r="AA1503" s="181">
        <f>SUM(AA1494:AA1501)</f>
        <v>17046.248579999999</v>
      </c>
      <c r="AB1503" s="181">
        <f>SUM(AB1494:AB1501)</f>
        <v>189318.77067</v>
      </c>
      <c r="AC1503" s="181"/>
      <c r="AD1503" s="181"/>
      <c r="AF1503" s="195"/>
      <c r="AG1503" s="195"/>
      <c r="AH1503" s="195"/>
      <c r="AI1503" s="195"/>
      <c r="AJ1503" s="195"/>
      <c r="AK1503" s="195"/>
      <c r="AL1503" s="195"/>
      <c r="AM1503" s="195"/>
      <c r="AN1503" s="195"/>
      <c r="AO1503" s="195"/>
      <c r="AP1503" s="195"/>
      <c r="AQ1503" s="195"/>
      <c r="AR1503" s="195"/>
      <c r="AS1503" s="195">
        <f>+AF1504-AK1504-AP1504</f>
        <v>6000</v>
      </c>
    </row>
    <row r="1504" spans="1:45" x14ac:dyDescent="0.2">
      <c r="A1504" s="180"/>
      <c r="D1504" s="182" t="s">
        <v>40</v>
      </c>
      <c r="E1504" s="182" t="s">
        <v>40</v>
      </c>
      <c r="F1504" s="182" t="s">
        <v>40</v>
      </c>
      <c r="G1504" s="182"/>
      <c r="H1504" s="182" t="s">
        <v>40</v>
      </c>
      <c r="I1504" s="182" t="s">
        <v>40</v>
      </c>
      <c r="J1504" s="182" t="s">
        <v>40</v>
      </c>
      <c r="K1504" s="182" t="s">
        <v>40</v>
      </c>
      <c r="L1504" s="182" t="s">
        <v>40</v>
      </c>
      <c r="M1504" s="182"/>
      <c r="N1504" s="182" t="s">
        <v>40</v>
      </c>
      <c r="O1504" s="182" t="s">
        <v>40</v>
      </c>
      <c r="P1504" s="182" t="s">
        <v>40</v>
      </c>
      <c r="Q1504" s="182"/>
      <c r="R1504" s="182" t="s">
        <v>40</v>
      </c>
      <c r="S1504" s="182" t="s">
        <v>40</v>
      </c>
      <c r="T1504" s="182" t="s">
        <v>40</v>
      </c>
      <c r="U1504" s="182" t="s">
        <v>40</v>
      </c>
      <c r="V1504" s="182" t="s">
        <v>40</v>
      </c>
      <c r="W1504" s="182"/>
      <c r="X1504" s="182" t="s">
        <v>40</v>
      </c>
      <c r="Y1504" s="182" t="s">
        <v>40</v>
      </c>
      <c r="Z1504" s="182" t="s">
        <v>40</v>
      </c>
      <c r="AA1504" s="182" t="s">
        <v>40</v>
      </c>
      <c r="AB1504" s="182" t="s">
        <v>40</v>
      </c>
      <c r="AC1504" s="182"/>
      <c r="AD1504" s="182"/>
      <c r="AF1504" s="195">
        <f>+D1475+D1495</f>
        <v>12771.866</v>
      </c>
      <c r="AG1504" s="195">
        <f>+E1475+E1495</f>
        <v>6771.866</v>
      </c>
      <c r="AH1504" s="195">
        <f>+F1475+F1495</f>
        <v>0</v>
      </c>
      <c r="AI1504" s="195">
        <f>+AG1504+AH1504</f>
        <v>6771.866</v>
      </c>
      <c r="AJ1504" s="195">
        <f>+L1475+L1495</f>
        <v>0</v>
      </c>
      <c r="AK1504" s="195">
        <f>+AI1504+AJ1504</f>
        <v>6771.866</v>
      </c>
      <c r="AL1504" s="195">
        <f>+O1475+O1495</f>
        <v>0</v>
      </c>
      <c r="AM1504" s="195">
        <f>+P1475+P1495</f>
        <v>0</v>
      </c>
      <c r="AN1504" s="195">
        <f>+AL1504+AM1504</f>
        <v>0</v>
      </c>
      <c r="AO1504" s="195">
        <f>+V1475+V1495</f>
        <v>0</v>
      </c>
      <c r="AP1504" s="195">
        <f>+AN1504+AO1504</f>
        <v>0</v>
      </c>
      <c r="AQ1504" s="195">
        <f>+AI1504+AN1504</f>
        <v>6771.866</v>
      </c>
      <c r="AR1504" s="195">
        <f>+AF1504-AQ1504</f>
        <v>6000</v>
      </c>
      <c r="AS1504" s="195">
        <f>+AF1505-AK1505-AP1505</f>
        <v>0</v>
      </c>
    </row>
    <row r="1505" spans="1:45" x14ac:dyDescent="0.2">
      <c r="A1505" s="180"/>
      <c r="D1505" s="182"/>
      <c r="E1505" s="182"/>
      <c r="F1505" s="182"/>
      <c r="G1505" s="182"/>
      <c r="H1505" s="182"/>
      <c r="I1505" s="182"/>
      <c r="J1505" s="182"/>
      <c r="K1505" s="182"/>
      <c r="L1505" s="182"/>
      <c r="M1505" s="182"/>
      <c r="N1505" s="182"/>
      <c r="O1505" s="182"/>
      <c r="P1505" s="182"/>
      <c r="Q1505" s="182"/>
      <c r="R1505" s="182"/>
      <c r="S1505" s="182"/>
      <c r="T1505" s="182"/>
      <c r="U1505" s="182"/>
      <c r="V1505" s="182"/>
      <c r="W1505" s="182"/>
      <c r="X1505" s="182"/>
      <c r="Y1505" s="182"/>
      <c r="Z1505" s="182"/>
      <c r="AA1505" s="182"/>
      <c r="AB1505" s="182"/>
      <c r="AC1505" s="182"/>
      <c r="AD1505" s="182"/>
      <c r="AE1505" s="186" t="s">
        <v>317</v>
      </c>
      <c r="AF1505" s="195">
        <f>+D1499+D1474+D1508</f>
        <v>15100</v>
      </c>
      <c r="AG1505" s="195">
        <f>+E1499+E1474+E1508</f>
        <v>15100</v>
      </c>
      <c r="AH1505" s="195">
        <f>+F1499+F1474+F1508</f>
        <v>0</v>
      </c>
      <c r="AI1505" s="195">
        <f>+AG1505+AH1505</f>
        <v>15100</v>
      </c>
      <c r="AJ1505" s="195">
        <f>+L1499+L1474</f>
        <v>0</v>
      </c>
      <c r="AK1505" s="195">
        <f>+AI1505+AJ1505</f>
        <v>15100</v>
      </c>
      <c r="AL1505" s="195">
        <f>+O1499+O1474</f>
        <v>0</v>
      </c>
      <c r="AM1505" s="195">
        <f>+P1499+P1474</f>
        <v>0</v>
      </c>
      <c r="AN1505" s="195">
        <f>+AL1505+AM1505</f>
        <v>0</v>
      </c>
      <c r="AO1505" s="195">
        <f>+V1499+V1474</f>
        <v>0</v>
      </c>
      <c r="AP1505" s="195">
        <f>+AN1505+AO1505</f>
        <v>0</v>
      </c>
      <c r="AQ1505" s="195">
        <f>+AI1505+AN1505</f>
        <v>15100</v>
      </c>
      <c r="AR1505" s="195">
        <f>+AF1505-AQ1505</f>
        <v>0</v>
      </c>
    </row>
    <row r="1506" spans="1:45" x14ac:dyDescent="0.2">
      <c r="A1506" s="180">
        <v>119</v>
      </c>
      <c r="B1506" s="213" t="s">
        <v>140</v>
      </c>
      <c r="C1506" s="168" t="s">
        <v>35</v>
      </c>
      <c r="D1506" s="181">
        <f>550293/1000</f>
        <v>550.29300000000001</v>
      </c>
      <c r="E1506" s="181">
        <f>TOBEPAID!E1145/1000</f>
        <v>0</v>
      </c>
      <c r="F1506" s="181">
        <f>TOBEPAID!F1145/1000</f>
        <v>0</v>
      </c>
      <c r="G1506" s="181">
        <f>TOBEPAID!G1145/1000</f>
        <v>0</v>
      </c>
      <c r="H1506" s="181">
        <v>0</v>
      </c>
      <c r="I1506" s="181">
        <f>TOBEPAID!I1145/1000</f>
        <v>0</v>
      </c>
      <c r="J1506" s="181">
        <f>TOBEPAID!J1145/1000</f>
        <v>0</v>
      </c>
      <c r="K1506" s="181">
        <f>TOBEPAID!K1145/1000</f>
        <v>0</v>
      </c>
      <c r="L1506" s="181">
        <f>TOBEPAID!L1145/1000</f>
        <v>0</v>
      </c>
      <c r="M1506" s="181">
        <f>TOBEPAID!M1145/1000</f>
        <v>0</v>
      </c>
      <c r="N1506" s="181">
        <f>TOBEPAID!N1145/1000</f>
        <v>0</v>
      </c>
      <c r="O1506" s="181">
        <f>TOBEPAID!O1145/1000</f>
        <v>0</v>
      </c>
      <c r="P1506" s="181">
        <f>TOBEPAID!P1145/1000</f>
        <v>0</v>
      </c>
      <c r="Q1506" s="181">
        <f>TOBEPAID!Q1145/1000</f>
        <v>0</v>
      </c>
      <c r="R1506" s="181">
        <f>613474/1000</f>
        <v>613.47400000000005</v>
      </c>
      <c r="S1506" s="181">
        <f>TOBEPAID!S1145/1000</f>
        <v>0</v>
      </c>
      <c r="T1506" s="181">
        <f>TOBEPAID!T1145/1000</f>
        <v>0</v>
      </c>
      <c r="U1506" s="181">
        <f>TOBEPAID!U1145/1000</f>
        <v>0</v>
      </c>
      <c r="V1506" s="181">
        <f>TOBEPAID!V1145/1000</f>
        <v>0</v>
      </c>
      <c r="W1506" s="181">
        <f>TOBEPAID!W1145/1000</f>
        <v>0</v>
      </c>
      <c r="X1506" s="181">
        <f>TOBEPAID!X1145/1000</f>
        <v>0</v>
      </c>
      <c r="Y1506" s="181">
        <f>+H1506+R1506</f>
        <v>613.47400000000005</v>
      </c>
      <c r="Z1506" s="181">
        <f t="shared" ref="Z1506:Z1515" si="285">+D1506-Y1506</f>
        <v>-63.18100000000004</v>
      </c>
      <c r="AA1506" s="181">
        <f>TOBEPAID!AA1145/1000</f>
        <v>0</v>
      </c>
      <c r="AB1506" s="181">
        <f>TOBEPAID!AB1145/1000</f>
        <v>13050.293369999999</v>
      </c>
      <c r="AC1506" s="181" t="s">
        <v>321</v>
      </c>
      <c r="AD1506" s="181"/>
      <c r="AE1506" s="186" t="s">
        <v>298</v>
      </c>
    </row>
    <row r="1507" spans="1:45" x14ac:dyDescent="0.2">
      <c r="A1507" s="180"/>
      <c r="B1507" s="213"/>
      <c r="C1507" s="168" t="s">
        <v>478</v>
      </c>
      <c r="D1507" s="181">
        <f>199260000/1000</f>
        <v>199260</v>
      </c>
      <c r="E1507" s="181"/>
      <c r="F1507" s="181"/>
      <c r="G1507" s="181"/>
      <c r="H1507" s="181">
        <v>0</v>
      </c>
      <c r="I1507" s="181"/>
      <c r="J1507" s="181"/>
      <c r="K1507" s="181"/>
      <c r="L1507" s="181"/>
      <c r="M1507" s="181"/>
      <c r="N1507" s="181"/>
      <c r="O1507" s="181"/>
      <c r="P1507" s="181"/>
      <c r="Q1507" s="181"/>
      <c r="R1507" s="181">
        <v>0</v>
      </c>
      <c r="S1507" s="181"/>
      <c r="T1507" s="181"/>
      <c r="U1507" s="181"/>
      <c r="V1507" s="181"/>
      <c r="W1507" s="181"/>
      <c r="X1507" s="181"/>
      <c r="Y1507" s="181">
        <f>+H1507+R1507</f>
        <v>0</v>
      </c>
      <c r="Z1507" s="181">
        <f>+D1507-Y1507</f>
        <v>199260</v>
      </c>
      <c r="AA1507" s="181"/>
      <c r="AB1507" s="181"/>
      <c r="AC1507" s="181"/>
      <c r="AD1507" s="181"/>
      <c r="AE1507" s="186"/>
    </row>
    <row r="1508" spans="1:45" x14ac:dyDescent="0.2">
      <c r="C1508" s="165" t="s">
        <v>298</v>
      </c>
      <c r="D1508" s="181">
        <f>8000000/1000</f>
        <v>8000</v>
      </c>
      <c r="E1508" s="181">
        <f>TOBEPAID!E1146/1000</f>
        <v>8000</v>
      </c>
      <c r="F1508" s="181">
        <f>TOBEPAID!F1146/1000</f>
        <v>0</v>
      </c>
      <c r="G1508" s="181">
        <f>TOBEPAID!G1146/1000</f>
        <v>0</v>
      </c>
      <c r="H1508" s="181">
        <f>8000000/1000</f>
        <v>8000</v>
      </c>
      <c r="I1508" s="181">
        <f>TOBEPAID!I1146/1000</f>
        <v>0</v>
      </c>
      <c r="J1508" s="181">
        <f>TOBEPAID!J1146/1000</f>
        <v>0</v>
      </c>
      <c r="K1508" s="181">
        <f>TOBEPAID!K1146/1000</f>
        <v>0</v>
      </c>
      <c r="L1508" s="181">
        <f>TOBEPAID!L1146/1000</f>
        <v>0</v>
      </c>
      <c r="M1508" s="181">
        <f>TOBEPAID!M1146/1000</f>
        <v>0</v>
      </c>
      <c r="N1508" s="181">
        <f>TOBEPAID!N1146/1000</f>
        <v>8000</v>
      </c>
      <c r="O1508" s="181">
        <f>TOBEPAID!O1146/1000</f>
        <v>0</v>
      </c>
      <c r="P1508" s="181">
        <f>TOBEPAID!P1146/1000</f>
        <v>0</v>
      </c>
      <c r="Q1508" s="181">
        <f>TOBEPAID!Q1146/1000</f>
        <v>0</v>
      </c>
      <c r="R1508" s="181">
        <v>0</v>
      </c>
      <c r="S1508" s="181">
        <f>TOBEPAID!S1146/1000</f>
        <v>0</v>
      </c>
      <c r="T1508" s="181">
        <f>TOBEPAID!T1146/1000</f>
        <v>0</v>
      </c>
      <c r="U1508" s="181">
        <f>TOBEPAID!U1146/1000</f>
        <v>0</v>
      </c>
      <c r="V1508" s="181">
        <f>TOBEPAID!V1146/1000</f>
        <v>0</v>
      </c>
      <c r="W1508" s="181">
        <f>TOBEPAID!W1146/1000</f>
        <v>0</v>
      </c>
      <c r="X1508" s="181">
        <f>TOBEPAID!X1146/1000</f>
        <v>0</v>
      </c>
      <c r="Y1508" s="181">
        <f t="shared" ref="Y1508:Y1515" si="286">+H1508+R1508</f>
        <v>8000</v>
      </c>
      <c r="Z1508" s="181">
        <f t="shared" si="285"/>
        <v>0</v>
      </c>
      <c r="AA1508" s="181">
        <f>TOBEPAID!AA1146/1000</f>
        <v>8000</v>
      </c>
      <c r="AB1508" s="181">
        <f>TOBEPAID!AB1146/1000</f>
        <v>0</v>
      </c>
      <c r="AC1508" s="181"/>
      <c r="AD1508" s="181"/>
      <c r="AS1508" s="195">
        <f>+AF1509-AK1509-AP1509</f>
        <v>251419.48579000004</v>
      </c>
    </row>
    <row r="1509" spans="1:45" x14ac:dyDescent="0.2">
      <c r="C1509" s="165" t="s">
        <v>366</v>
      </c>
      <c r="D1509" s="165">
        <f>500000/1000</f>
        <v>500</v>
      </c>
      <c r="H1509" s="165">
        <f>500000/1000</f>
        <v>500</v>
      </c>
      <c r="R1509" s="181">
        <v>0</v>
      </c>
      <c r="Y1509" s="181">
        <f t="shared" si="286"/>
        <v>500</v>
      </c>
      <c r="Z1509" s="181">
        <f t="shared" si="285"/>
        <v>0</v>
      </c>
      <c r="AF1509" s="195">
        <f>D1471+D1484+D1494+D1506</f>
        <v>278048.12749000004</v>
      </c>
      <c r="AG1509" s="195">
        <f>E1471+E1484+E1494+E1506</f>
        <v>15000</v>
      </c>
      <c r="AH1509" s="195">
        <f>F1471+F1484+F1494+F1506</f>
        <v>0</v>
      </c>
      <c r="AI1509" s="195">
        <f>+AG1509+AH1509</f>
        <v>15000</v>
      </c>
      <c r="AJ1509" s="195">
        <f>L1471+L1484+L1494+L1506</f>
        <v>0</v>
      </c>
      <c r="AK1509" s="195">
        <f>+AI1509+AJ1509</f>
        <v>15000</v>
      </c>
      <c r="AL1509" s="195">
        <f>O1471+O1484+O1494+O1506</f>
        <v>10855.731540000001</v>
      </c>
      <c r="AM1509" s="195">
        <f>P1471+P1484+P1494+P1506</f>
        <v>772.91016000000002</v>
      </c>
      <c r="AN1509" s="195">
        <f>+AL1509+AM1509</f>
        <v>11628.6417</v>
      </c>
      <c r="AO1509" s="195">
        <f>V1471+V1484+V1494+V1506</f>
        <v>0</v>
      </c>
      <c r="AP1509" s="195">
        <f>+AN1509+AO1509</f>
        <v>11628.6417</v>
      </c>
      <c r="AQ1509" s="195">
        <f>+AI1509+AN1509</f>
        <v>26628.6417</v>
      </c>
      <c r="AR1509" s="195">
        <f>+AF1509-AQ1509-0.2</f>
        <v>251419.28579000002</v>
      </c>
      <c r="AS1509" s="195">
        <f>+AF1513-AK1513-AP1513</f>
        <v>-1.9099999990430661E-3</v>
      </c>
    </row>
    <row r="1510" spans="1:45" x14ac:dyDescent="0.2">
      <c r="C1510" s="165" t="s">
        <v>374</v>
      </c>
      <c r="D1510" s="165">
        <f>12000000/1000</f>
        <v>12000</v>
      </c>
      <c r="H1510" s="165">
        <f>12000000/1000</f>
        <v>12000</v>
      </c>
      <c r="R1510" s="181">
        <v>0</v>
      </c>
      <c r="Y1510" s="181">
        <f t="shared" si="286"/>
        <v>12000</v>
      </c>
      <c r="Z1510" s="181">
        <f t="shared" si="285"/>
        <v>0</v>
      </c>
      <c r="AF1510" s="195"/>
      <c r="AG1510" s="195"/>
      <c r="AH1510" s="195"/>
      <c r="AI1510" s="195"/>
      <c r="AJ1510" s="195"/>
      <c r="AK1510" s="195"/>
      <c r="AL1510" s="195"/>
      <c r="AM1510" s="195"/>
      <c r="AN1510" s="195"/>
      <c r="AO1510" s="195"/>
      <c r="AP1510" s="195"/>
      <c r="AQ1510" s="195"/>
      <c r="AR1510" s="195"/>
      <c r="AS1510" s="195"/>
    </row>
    <row r="1511" spans="1:45" x14ac:dyDescent="0.2">
      <c r="C1511" s="165" t="s">
        <v>426</v>
      </c>
      <c r="D1511" s="165">
        <f>12000000/1000</f>
        <v>12000</v>
      </c>
      <c r="H1511" s="165">
        <f>12000000/1000</f>
        <v>12000</v>
      </c>
      <c r="R1511" s="181">
        <v>0</v>
      </c>
      <c r="Y1511" s="181">
        <f t="shared" si="286"/>
        <v>12000</v>
      </c>
      <c r="Z1511" s="181">
        <f t="shared" si="285"/>
        <v>0</v>
      </c>
      <c r="AF1511" s="195"/>
      <c r="AG1511" s="195"/>
      <c r="AH1511" s="195"/>
      <c r="AI1511" s="195"/>
      <c r="AJ1511" s="195"/>
      <c r="AK1511" s="195"/>
      <c r="AL1511" s="195"/>
      <c r="AM1511" s="195"/>
      <c r="AN1511" s="195"/>
      <c r="AO1511" s="195"/>
      <c r="AP1511" s="195"/>
      <c r="AQ1511" s="195"/>
      <c r="AR1511" s="195"/>
      <c r="AS1511" s="195"/>
    </row>
    <row r="1512" spans="1:45" x14ac:dyDescent="0.2">
      <c r="C1512" s="165" t="s">
        <v>468</v>
      </c>
      <c r="D1512" s="165">
        <f>25000000/1000</f>
        <v>25000</v>
      </c>
      <c r="H1512" s="165">
        <f>25000000/1000</f>
        <v>25000</v>
      </c>
      <c r="R1512" s="181">
        <v>0</v>
      </c>
      <c r="Y1512" s="181">
        <f t="shared" si="286"/>
        <v>25000</v>
      </c>
      <c r="Z1512" s="181">
        <f t="shared" si="285"/>
        <v>0</v>
      </c>
      <c r="AF1512" s="195"/>
      <c r="AG1512" s="195"/>
      <c r="AH1512" s="195"/>
      <c r="AI1512" s="195"/>
      <c r="AJ1512" s="195"/>
      <c r="AK1512" s="195"/>
      <c r="AL1512" s="195"/>
      <c r="AM1512" s="195"/>
      <c r="AN1512" s="195"/>
      <c r="AO1512" s="195"/>
      <c r="AP1512" s="195"/>
      <c r="AQ1512" s="195"/>
      <c r="AR1512" s="195"/>
      <c r="AS1512" s="195"/>
    </row>
    <row r="1513" spans="1:45" x14ac:dyDescent="0.2">
      <c r="A1513" s="180"/>
      <c r="C1513" s="168" t="s">
        <v>36</v>
      </c>
      <c r="D1513" s="181">
        <f>105081/1000</f>
        <v>105.081</v>
      </c>
      <c r="E1513" s="181">
        <f>TOBEPAID!E1147/1000</f>
        <v>105.0812</v>
      </c>
      <c r="F1513" s="181">
        <f>TOBEPAID!F1147/1000</f>
        <v>0</v>
      </c>
      <c r="G1513" s="181">
        <f>TOBEPAID!G1147/1000</f>
        <v>0</v>
      </c>
      <c r="H1513" s="181">
        <f>105081/1000</f>
        <v>105.081</v>
      </c>
      <c r="I1513" s="181">
        <f>TOBEPAID!I1147/1000</f>
        <v>0</v>
      </c>
      <c r="J1513" s="181">
        <f>TOBEPAID!J1147/1000</f>
        <v>0</v>
      </c>
      <c r="K1513" s="181">
        <f>TOBEPAID!K1147/1000</f>
        <v>0</v>
      </c>
      <c r="L1513" s="181">
        <f>TOBEPAID!L1147/1000</f>
        <v>0</v>
      </c>
      <c r="M1513" s="181">
        <f>TOBEPAID!M1147/1000</f>
        <v>0</v>
      </c>
      <c r="N1513" s="181">
        <f>TOBEPAID!N1147/1000</f>
        <v>105.0812</v>
      </c>
      <c r="O1513" s="181">
        <f>TOBEPAID!O1147/1000</f>
        <v>0</v>
      </c>
      <c r="P1513" s="181">
        <f>TOBEPAID!P1147/1000</f>
        <v>0</v>
      </c>
      <c r="Q1513" s="181">
        <f>TOBEPAID!Q1147/1000</f>
        <v>0</v>
      </c>
      <c r="R1513" s="181">
        <v>0</v>
      </c>
      <c r="S1513" s="181">
        <f>TOBEPAID!S1147/1000</f>
        <v>0</v>
      </c>
      <c r="T1513" s="181">
        <f>TOBEPAID!T1147/1000</f>
        <v>0</v>
      </c>
      <c r="U1513" s="181">
        <f>TOBEPAID!U1147/1000</f>
        <v>0</v>
      </c>
      <c r="V1513" s="181">
        <f>TOBEPAID!V1147/1000</f>
        <v>0</v>
      </c>
      <c r="W1513" s="181">
        <f>TOBEPAID!W1147/1000</f>
        <v>0</v>
      </c>
      <c r="X1513" s="181">
        <f>TOBEPAID!X1147/1000</f>
        <v>0</v>
      </c>
      <c r="Y1513" s="181">
        <f t="shared" si="286"/>
        <v>105.081</v>
      </c>
      <c r="Z1513" s="181">
        <f t="shared" si="285"/>
        <v>0</v>
      </c>
      <c r="AA1513" s="181">
        <f>TOBEPAID!AA1147/1000</f>
        <v>105.0812</v>
      </c>
      <c r="AB1513" s="181">
        <f>TOBEPAID!AB1147/1000</f>
        <v>0</v>
      </c>
      <c r="AC1513" s="181"/>
      <c r="AD1513" s="181"/>
      <c r="AE1513" s="186" t="s">
        <v>47</v>
      </c>
      <c r="AF1513" s="195">
        <f>D1478+D1485+D1498+D1513</f>
        <v>7544.42</v>
      </c>
      <c r="AG1513" s="195">
        <f>E1478+E1485+E1498+E1513</f>
        <v>7544.4219099999991</v>
      </c>
      <c r="AH1513" s="195">
        <f>F1473+F1485+F1498+F1513</f>
        <v>0</v>
      </c>
      <c r="AI1513" s="195">
        <f t="shared" ref="AI1513:AI1518" si="287">+AG1513+AH1513</f>
        <v>7544.4219099999991</v>
      </c>
      <c r="AJ1513" s="195">
        <f>L1473+L1485+L1498+L1513</f>
        <v>0</v>
      </c>
      <c r="AK1513" s="195">
        <f t="shared" ref="AK1513:AK1518" si="288">+AI1513+AJ1513</f>
        <v>7544.4219099999991</v>
      </c>
      <c r="AL1513" s="195">
        <f>O1473+O1485+O1498+O1513</f>
        <v>0</v>
      </c>
      <c r="AM1513" s="195">
        <f>P1473+P1485+P1498+P1513</f>
        <v>0</v>
      </c>
      <c r="AN1513" s="195">
        <f t="shared" ref="AN1513:AN1518" si="289">+AL1513+AM1513</f>
        <v>0</v>
      </c>
      <c r="AO1513" s="195">
        <f>V1473+V1485+V1498+V1513</f>
        <v>0</v>
      </c>
      <c r="AP1513" s="195">
        <f>+AN1513+AO1513</f>
        <v>0</v>
      </c>
      <c r="AQ1513" s="195">
        <f t="shared" ref="AQ1513:AQ1518" si="290">+AI1513+AN1513</f>
        <v>7544.4219099999991</v>
      </c>
      <c r="AR1513" s="195">
        <f t="shared" ref="AR1513:AR1518" si="291">+AF1513-AQ1513</f>
        <v>-1.9099999990430661E-3</v>
      </c>
      <c r="AS1513" s="195">
        <f>+R1473</f>
        <v>0</v>
      </c>
    </row>
    <row r="1514" spans="1:45" x14ac:dyDescent="0.2">
      <c r="A1514" s="180"/>
      <c r="C1514" s="168" t="s">
        <v>53</v>
      </c>
      <c r="D1514" s="181">
        <f>4673005/1000</f>
        <v>4673.0050000000001</v>
      </c>
      <c r="E1514" s="181">
        <f>TOBEPAID!E1148/1000</f>
        <v>0</v>
      </c>
      <c r="F1514" s="181">
        <f>TOBEPAID!F1148/1000</f>
        <v>0</v>
      </c>
      <c r="G1514" s="181">
        <f>TOBEPAID!G1148/1000</f>
        <v>0</v>
      </c>
      <c r="H1514" s="181">
        <v>0</v>
      </c>
      <c r="I1514" s="181">
        <f>TOBEPAID!I1148/1000</f>
        <v>0</v>
      </c>
      <c r="J1514" s="181">
        <f>TOBEPAID!J1148/1000</f>
        <v>0</v>
      </c>
      <c r="K1514" s="181">
        <f>TOBEPAID!K1148/1000</f>
        <v>0</v>
      </c>
      <c r="L1514" s="181">
        <f>TOBEPAID!L1148/1000</f>
        <v>0</v>
      </c>
      <c r="M1514" s="181">
        <f>TOBEPAID!M1148/1000</f>
        <v>0</v>
      </c>
      <c r="N1514" s="181">
        <f>TOBEPAID!N1148/1000</f>
        <v>0</v>
      </c>
      <c r="O1514" s="181">
        <f>TOBEPAID!O1148/1000</f>
        <v>4673.00551</v>
      </c>
      <c r="P1514" s="181">
        <f>TOBEPAID!P1148/1000</f>
        <v>0</v>
      </c>
      <c r="Q1514" s="181">
        <f>TOBEPAID!Q1148/1000</f>
        <v>0</v>
      </c>
      <c r="R1514" s="181">
        <f>4673005/1000</f>
        <v>4673.0050000000001</v>
      </c>
      <c r="S1514" s="181">
        <f>TOBEPAID!S1148/1000</f>
        <v>0</v>
      </c>
      <c r="T1514" s="181">
        <f>TOBEPAID!T1148/1000</f>
        <v>0</v>
      </c>
      <c r="U1514" s="181">
        <f>TOBEPAID!U1148/1000</f>
        <v>0</v>
      </c>
      <c r="V1514" s="181">
        <f>TOBEPAID!V1148/1000</f>
        <v>0</v>
      </c>
      <c r="W1514" s="181">
        <f>TOBEPAID!W1148/1000</f>
        <v>0</v>
      </c>
      <c r="X1514" s="181">
        <f>TOBEPAID!X1148/1000</f>
        <v>4673.00551</v>
      </c>
      <c r="Y1514" s="181">
        <f t="shared" si="286"/>
        <v>4673.0050000000001</v>
      </c>
      <c r="Z1514" s="181">
        <f t="shared" si="285"/>
        <v>0</v>
      </c>
      <c r="AA1514" s="181">
        <f>TOBEPAID!AA1148/1000</f>
        <v>4673.00551</v>
      </c>
      <c r="AB1514" s="181">
        <f>TOBEPAID!AB1148/1000</f>
        <v>0</v>
      </c>
      <c r="AC1514" s="181"/>
      <c r="AD1514" s="181"/>
      <c r="AE1514" s="186" t="s">
        <v>36</v>
      </c>
      <c r="AF1514" s="195">
        <f>+D1473</f>
        <v>1000</v>
      </c>
      <c r="AG1514" s="195">
        <f>+E1473</f>
        <v>1000</v>
      </c>
      <c r="AH1514" s="195">
        <f>+F1473</f>
        <v>0</v>
      </c>
      <c r="AI1514" s="195">
        <f>+AG1514</f>
        <v>1000</v>
      </c>
      <c r="AJ1514" s="195">
        <f>+L1473</f>
        <v>0</v>
      </c>
      <c r="AK1514" s="195">
        <f>+AI1514</f>
        <v>1000</v>
      </c>
      <c r="AL1514" s="195">
        <f>+O1473</f>
        <v>0</v>
      </c>
      <c r="AM1514" s="195">
        <f>+P1473</f>
        <v>0</v>
      </c>
      <c r="AN1514" s="195">
        <f>+AL1471</f>
        <v>0</v>
      </c>
      <c r="AO1514" s="195">
        <f>+V1473</f>
        <v>0</v>
      </c>
      <c r="AP1514" s="195">
        <f>+AN1514</f>
        <v>0</v>
      </c>
      <c r="AQ1514" s="195">
        <f t="shared" si="290"/>
        <v>1000</v>
      </c>
      <c r="AR1514" s="195">
        <f t="shared" si="291"/>
        <v>0</v>
      </c>
      <c r="AS1514" s="195">
        <f>+AF1515-AK1515-AP1515</f>
        <v>70806.716</v>
      </c>
    </row>
    <row r="1515" spans="1:45" x14ac:dyDescent="0.2">
      <c r="A1515" s="180"/>
      <c r="C1515" s="168" t="s">
        <v>54</v>
      </c>
      <c r="D1515" s="181">
        <f>5603896/1000</f>
        <v>5603.8959999999997</v>
      </c>
      <c r="E1515" s="181">
        <f>TOBEPAID!E1149/1000</f>
        <v>0</v>
      </c>
      <c r="F1515" s="181">
        <f>TOBEPAID!F1149/1000</f>
        <v>0</v>
      </c>
      <c r="G1515" s="181">
        <f>TOBEPAID!G1149/1000</f>
        <v>0</v>
      </c>
      <c r="H1515" s="181">
        <v>0</v>
      </c>
      <c r="I1515" s="181">
        <f>TOBEPAID!I1149/1000</f>
        <v>0</v>
      </c>
      <c r="J1515" s="181">
        <f>TOBEPAID!J1149/1000</f>
        <v>0</v>
      </c>
      <c r="K1515" s="181">
        <f>TOBEPAID!K1149/1000</f>
        <v>0</v>
      </c>
      <c r="L1515" s="181">
        <f>TOBEPAID!L1149/1000</f>
        <v>0</v>
      </c>
      <c r="M1515" s="181">
        <f>TOBEPAID!M1149/1000</f>
        <v>0</v>
      </c>
      <c r="N1515" s="181">
        <f>TOBEPAID!N1149/1000</f>
        <v>0</v>
      </c>
      <c r="O1515" s="181">
        <f>TOBEPAID!O1149/1000</f>
        <v>5603.8962599999995</v>
      </c>
      <c r="P1515" s="181">
        <f>TOBEPAID!P1149/1000</f>
        <v>0</v>
      </c>
      <c r="Q1515" s="181">
        <f>TOBEPAID!Q1149/1000</f>
        <v>0</v>
      </c>
      <c r="R1515" s="181">
        <f>5603896/1000</f>
        <v>5603.8959999999997</v>
      </c>
      <c r="S1515" s="181">
        <f>TOBEPAID!S1149/1000</f>
        <v>0</v>
      </c>
      <c r="T1515" s="181">
        <f>TOBEPAID!T1149/1000</f>
        <v>0</v>
      </c>
      <c r="U1515" s="181">
        <f>TOBEPAID!U1149/1000</f>
        <v>0</v>
      </c>
      <c r="V1515" s="181">
        <f>TOBEPAID!V1149/1000</f>
        <v>0</v>
      </c>
      <c r="W1515" s="181">
        <f>TOBEPAID!W1149/1000</f>
        <v>0</v>
      </c>
      <c r="X1515" s="181">
        <f>TOBEPAID!X1149/1000</f>
        <v>5603.8962599999995</v>
      </c>
      <c r="Y1515" s="181">
        <f t="shared" si="286"/>
        <v>5603.8959999999997</v>
      </c>
      <c r="Z1515" s="181">
        <f t="shared" si="285"/>
        <v>0</v>
      </c>
      <c r="AA1515" s="181">
        <f>TOBEPAID!AA1149/1000</f>
        <v>5603.8962599999995</v>
      </c>
      <c r="AB1515" s="181">
        <f>TOBEPAID!AB1149/1000</f>
        <v>0</v>
      </c>
      <c r="AC1515" s="181"/>
      <c r="AD1515" s="181"/>
      <c r="AE1515" s="186" t="s">
        <v>254</v>
      </c>
      <c r="AF1515" s="195">
        <f>D1479+D1488+D1500</f>
        <v>70806.716</v>
      </c>
      <c r="AG1515" s="195">
        <f>E1479+E1488+E1500</f>
        <v>0</v>
      </c>
      <c r="AH1515" s="195">
        <f>F1479+F1488+F1500</f>
        <v>0</v>
      </c>
      <c r="AI1515" s="195">
        <f t="shared" si="287"/>
        <v>0</v>
      </c>
      <c r="AJ1515" s="195">
        <f>H1479+H1488+H1500</f>
        <v>0</v>
      </c>
      <c r="AK1515" s="195">
        <f t="shared" si="288"/>
        <v>0</v>
      </c>
      <c r="AL1515" s="195">
        <f>O1479+O1488+O1500</f>
        <v>0</v>
      </c>
      <c r="AM1515" s="195">
        <f>P1479+P1488+P1500</f>
        <v>0</v>
      </c>
      <c r="AN1515" s="195">
        <f t="shared" si="289"/>
        <v>0</v>
      </c>
      <c r="AO1515" s="195">
        <f>V1479+V1488+V1500</f>
        <v>0</v>
      </c>
      <c r="AP1515" s="195">
        <f>+AN1515+AO1515</f>
        <v>0</v>
      </c>
      <c r="AQ1515" s="195">
        <f t="shared" si="290"/>
        <v>0</v>
      </c>
      <c r="AR1515" s="195">
        <f t="shared" si="291"/>
        <v>70806.716</v>
      </c>
      <c r="AS1515" s="195">
        <f>+AF1516-AK1516-AP1516</f>
        <v>31808.567220000001</v>
      </c>
    </row>
    <row r="1516" spans="1:45" x14ac:dyDescent="0.2">
      <c r="A1516" s="180"/>
      <c r="D1516" s="182" t="s">
        <v>40</v>
      </c>
      <c r="E1516" s="182" t="s">
        <v>40</v>
      </c>
      <c r="F1516" s="182" t="s">
        <v>40</v>
      </c>
      <c r="G1516" s="182"/>
      <c r="H1516" s="182" t="s">
        <v>40</v>
      </c>
      <c r="I1516" s="182" t="s">
        <v>40</v>
      </c>
      <c r="J1516" s="182" t="s">
        <v>40</v>
      </c>
      <c r="K1516" s="182" t="s">
        <v>40</v>
      </c>
      <c r="L1516" s="182" t="s">
        <v>40</v>
      </c>
      <c r="M1516" s="182"/>
      <c r="N1516" s="182" t="s">
        <v>40</v>
      </c>
      <c r="O1516" s="182" t="s">
        <v>40</v>
      </c>
      <c r="P1516" s="182" t="s">
        <v>40</v>
      </c>
      <c r="Q1516" s="182"/>
      <c r="R1516" s="182" t="s">
        <v>40</v>
      </c>
      <c r="S1516" s="182" t="s">
        <v>40</v>
      </c>
      <c r="T1516" s="182" t="s">
        <v>40</v>
      </c>
      <c r="U1516" s="182" t="s">
        <v>40</v>
      </c>
      <c r="V1516" s="182" t="s">
        <v>40</v>
      </c>
      <c r="W1516" s="182"/>
      <c r="X1516" s="182" t="s">
        <v>40</v>
      </c>
      <c r="Y1516" s="182" t="s">
        <v>40</v>
      </c>
      <c r="Z1516" s="182" t="s">
        <v>40</v>
      </c>
      <c r="AA1516" s="182" t="s">
        <v>40</v>
      </c>
      <c r="AB1516" s="182" t="s">
        <v>40</v>
      </c>
      <c r="AC1516" s="182"/>
      <c r="AD1516" s="182"/>
      <c r="AE1516" s="186" t="s">
        <v>183</v>
      </c>
      <c r="AF1516" s="195">
        <f>D1489+D1501</f>
        <v>31820.955000000002</v>
      </c>
      <c r="AG1516" s="195">
        <f>E1489+E1501</f>
        <v>0</v>
      </c>
      <c r="AH1516" s="195">
        <f>F1489+F1501</f>
        <v>0</v>
      </c>
      <c r="AI1516" s="195">
        <f t="shared" si="287"/>
        <v>0</v>
      </c>
      <c r="AJ1516" s="195">
        <f>H1489+H1501</f>
        <v>0</v>
      </c>
      <c r="AK1516" s="195">
        <f t="shared" si="288"/>
        <v>0</v>
      </c>
      <c r="AL1516" s="195">
        <f>O1489+O1501</f>
        <v>12.387780000000001</v>
      </c>
      <c r="AM1516" s="195">
        <f>P1489+P1501</f>
        <v>0</v>
      </c>
      <c r="AN1516" s="195">
        <f t="shared" si="289"/>
        <v>12.387780000000001</v>
      </c>
      <c r="AO1516" s="195">
        <f>V1489+V1501</f>
        <v>0</v>
      </c>
      <c r="AP1516" s="195">
        <f>+AN1516+AO1516</f>
        <v>12.387780000000001</v>
      </c>
      <c r="AQ1516" s="195">
        <f t="shared" si="290"/>
        <v>12.387780000000001</v>
      </c>
      <c r="AR1516" s="195">
        <f t="shared" si="291"/>
        <v>31808.567220000001</v>
      </c>
      <c r="AS1516" s="195">
        <f>+AF1517-AK1517-AP1517</f>
        <v>-5.0999999984924216E-4</v>
      </c>
    </row>
    <row r="1517" spans="1:45" x14ac:dyDescent="0.2">
      <c r="A1517" s="180"/>
      <c r="D1517" s="181">
        <f>SUM(D1506:D1515)</f>
        <v>267692.27500000002</v>
      </c>
      <c r="E1517" s="181">
        <f>SUM(E1506:E1515)</f>
        <v>8105.0811999999996</v>
      </c>
      <c r="F1517" s="181">
        <f>SUM(F1506:F1515)</f>
        <v>0</v>
      </c>
      <c r="G1517" s="181"/>
      <c r="H1517" s="181">
        <f>SUM(H1506:H1515)</f>
        <v>57605.080999999998</v>
      </c>
      <c r="I1517" s="181">
        <f>SUM(I1506:I1515)</f>
        <v>0</v>
      </c>
      <c r="J1517" s="181">
        <f>SUM(J1506:J1515)</f>
        <v>0</v>
      </c>
      <c r="K1517" s="181">
        <f>SUM(K1506:K1515)</f>
        <v>0</v>
      </c>
      <c r="L1517" s="181">
        <f>SUM(L1506:L1515)</f>
        <v>0</v>
      </c>
      <c r="M1517" s="181"/>
      <c r="N1517" s="181">
        <f>SUM(N1506:N1515)</f>
        <v>8105.0811999999996</v>
      </c>
      <c r="O1517" s="181">
        <f>SUM(O1506:O1515)</f>
        <v>10276.90177</v>
      </c>
      <c r="P1517" s="181">
        <f>SUM(P1506:P1515)</f>
        <v>0</v>
      </c>
      <c r="Q1517" s="181"/>
      <c r="R1517" s="181">
        <f>SUM(R1506:R1515)</f>
        <v>10890.375</v>
      </c>
      <c r="S1517" s="181">
        <f>SUM(S1506:S1515)</f>
        <v>0</v>
      </c>
      <c r="T1517" s="181">
        <f>SUM(T1506:T1515)</f>
        <v>0</v>
      </c>
      <c r="U1517" s="181">
        <f>SUM(U1506:U1515)</f>
        <v>0</v>
      </c>
      <c r="V1517" s="181">
        <f>SUM(V1506:V1515)</f>
        <v>0</v>
      </c>
      <c r="W1517" s="181"/>
      <c r="X1517" s="181">
        <f>SUM(X1506:X1515)</f>
        <v>10276.90177</v>
      </c>
      <c r="Y1517" s="181">
        <f>SUM(Y1506:Y1515)</f>
        <v>68495.455999999991</v>
      </c>
      <c r="Z1517" s="181">
        <f>SUM(Z1506:Z1515)</f>
        <v>199196.81899999999</v>
      </c>
      <c r="AA1517" s="181">
        <f>SUM(AA1506:AA1515)</f>
        <v>18381.982969999997</v>
      </c>
      <c r="AB1517" s="181">
        <f>SUM(AB1506:AB1515)</f>
        <v>13050.293369999999</v>
      </c>
      <c r="AC1517" s="181"/>
      <c r="AD1517" s="181"/>
      <c r="AE1517" s="186" t="s">
        <v>184</v>
      </c>
      <c r="AF1517" s="195">
        <f t="shared" ref="AF1517:AH1518" si="292">+D1514</f>
        <v>4673.0050000000001</v>
      </c>
      <c r="AG1517" s="195">
        <f t="shared" si="292"/>
        <v>0</v>
      </c>
      <c r="AH1517" s="195">
        <f t="shared" si="292"/>
        <v>0</v>
      </c>
      <c r="AI1517" s="195">
        <f t="shared" si="287"/>
        <v>0</v>
      </c>
      <c r="AJ1517" s="195">
        <f>+H1514</f>
        <v>0</v>
      </c>
      <c r="AK1517" s="195">
        <f t="shared" si="288"/>
        <v>0</v>
      </c>
      <c r="AL1517" s="195">
        <f>+O1514</f>
        <v>4673.00551</v>
      </c>
      <c r="AM1517" s="195">
        <f>+P1514</f>
        <v>0</v>
      </c>
      <c r="AN1517" s="195">
        <f t="shared" si="289"/>
        <v>4673.00551</v>
      </c>
      <c r="AO1517" s="195">
        <f>+V1514</f>
        <v>0</v>
      </c>
      <c r="AP1517" s="195">
        <f>+AN1517+AO1517</f>
        <v>4673.00551</v>
      </c>
      <c r="AQ1517" s="195">
        <f t="shared" si="290"/>
        <v>4673.00551</v>
      </c>
      <c r="AR1517" s="195">
        <f t="shared" si="291"/>
        <v>-5.0999999984924216E-4</v>
      </c>
      <c r="AS1517" s="195">
        <f>+AF1518-AK1518-AP1518</f>
        <v>-2.5999999979831045E-4</v>
      </c>
    </row>
    <row r="1518" spans="1:45" x14ac:dyDescent="0.2">
      <c r="A1518" s="180"/>
      <c r="D1518" s="182" t="s">
        <v>40</v>
      </c>
      <c r="E1518" s="182" t="s">
        <v>40</v>
      </c>
      <c r="F1518" s="182" t="s">
        <v>40</v>
      </c>
      <c r="G1518" s="182"/>
      <c r="H1518" s="182" t="s">
        <v>40</v>
      </c>
      <c r="I1518" s="182" t="s">
        <v>40</v>
      </c>
      <c r="J1518" s="182" t="s">
        <v>40</v>
      </c>
      <c r="K1518" s="182" t="s">
        <v>40</v>
      </c>
      <c r="L1518" s="182" t="s">
        <v>40</v>
      </c>
      <c r="M1518" s="182"/>
      <c r="N1518" s="182" t="s">
        <v>40</v>
      </c>
      <c r="O1518" s="182" t="s">
        <v>40</v>
      </c>
      <c r="P1518" s="182" t="s">
        <v>40</v>
      </c>
      <c r="Q1518" s="182"/>
      <c r="R1518" s="182" t="s">
        <v>40</v>
      </c>
      <c r="S1518" s="182" t="s">
        <v>40</v>
      </c>
      <c r="T1518" s="182" t="s">
        <v>40</v>
      </c>
      <c r="U1518" s="182" t="s">
        <v>40</v>
      </c>
      <c r="V1518" s="182" t="s">
        <v>40</v>
      </c>
      <c r="W1518" s="182"/>
      <c r="X1518" s="182" t="s">
        <v>40</v>
      </c>
      <c r="Y1518" s="182" t="s">
        <v>40</v>
      </c>
      <c r="Z1518" s="182" t="s">
        <v>40</v>
      </c>
      <c r="AA1518" s="182" t="s">
        <v>40</v>
      </c>
      <c r="AB1518" s="182" t="s">
        <v>40</v>
      </c>
      <c r="AC1518" s="182"/>
      <c r="AD1518" s="182"/>
      <c r="AE1518" s="186" t="s">
        <v>53</v>
      </c>
      <c r="AF1518" s="195">
        <f t="shared" si="292"/>
        <v>5603.8959999999997</v>
      </c>
      <c r="AG1518" s="195">
        <f t="shared" si="292"/>
        <v>0</v>
      </c>
      <c r="AH1518" s="195">
        <f t="shared" si="292"/>
        <v>0</v>
      </c>
      <c r="AI1518" s="195">
        <f t="shared" si="287"/>
        <v>0</v>
      </c>
      <c r="AJ1518" s="195">
        <f>+H1515</f>
        <v>0</v>
      </c>
      <c r="AK1518" s="195">
        <f t="shared" si="288"/>
        <v>0</v>
      </c>
      <c r="AL1518" s="195">
        <f>+O1515</f>
        <v>5603.8962599999995</v>
      </c>
      <c r="AM1518" s="195">
        <f>+P1515</f>
        <v>0</v>
      </c>
      <c r="AN1518" s="195">
        <f t="shared" si="289"/>
        <v>5603.8962599999995</v>
      </c>
      <c r="AO1518" s="195">
        <f>+V1515</f>
        <v>0</v>
      </c>
      <c r="AP1518" s="195">
        <f>+AN1518+AO1518</f>
        <v>5603.8962599999995</v>
      </c>
      <c r="AQ1518" s="195">
        <f t="shared" si="290"/>
        <v>5603.8962599999995</v>
      </c>
      <c r="AR1518" s="195">
        <f t="shared" si="291"/>
        <v>-2.5999999979831045E-4</v>
      </c>
      <c r="AS1518" s="195">
        <f>SUM(AS1503:AS1517)</f>
        <v>360034.76633000007</v>
      </c>
    </row>
    <row r="1519" spans="1:45" x14ac:dyDescent="0.2">
      <c r="A1519" s="180"/>
      <c r="B1519" s="171" t="s">
        <v>26</v>
      </c>
      <c r="C1519" s="166" t="s">
        <v>123</v>
      </c>
      <c r="D1519" s="181">
        <f>D1481+D1491+D1503+D1517</f>
        <v>1018206.8374899999</v>
      </c>
      <c r="E1519" s="181">
        <f>E1481+E1491+E1503+E1517</f>
        <v>45416.287909999999</v>
      </c>
      <c r="F1519" s="181">
        <f>F1481+F1491+F1503+F1517</f>
        <v>0</v>
      </c>
      <c r="G1519" s="181"/>
      <c r="H1519" s="181">
        <f>H1481+H1491+H1503+H1517</f>
        <v>347735.54365999997</v>
      </c>
      <c r="I1519" s="181">
        <f>I1481+I1491+I1503+I1517</f>
        <v>0</v>
      </c>
      <c r="J1519" s="181">
        <f>J1481+J1491+J1503+J1517</f>
        <v>0</v>
      </c>
      <c r="K1519" s="181">
        <f>K1481+K1491+K1503+K1517</f>
        <v>0</v>
      </c>
      <c r="L1519" s="181">
        <f>L1481+L1491+L1503+L1517</f>
        <v>0</v>
      </c>
      <c r="M1519" s="181"/>
      <c r="N1519" s="181">
        <f>N1481+N1491+N1503+N1517</f>
        <v>45416.287909999999</v>
      </c>
      <c r="O1519" s="181">
        <f>O1481+O1491+O1503+O1517</f>
        <v>21145.021090000002</v>
      </c>
      <c r="P1519" s="181">
        <f>P1481+P1491+P1503+P1517</f>
        <v>772.91016000000002</v>
      </c>
      <c r="Q1519" s="181"/>
      <c r="R1519" s="181">
        <f>R1481+R1491+R1503+R1517</f>
        <v>23079.237000000001</v>
      </c>
      <c r="S1519" s="181">
        <f>S1481+S1491+S1503+S1517</f>
        <v>6180.3030399999998</v>
      </c>
      <c r="T1519" s="181">
        <f>T1481+T1491+T1503+T1517</f>
        <v>4554.1438399999997</v>
      </c>
      <c r="U1519" s="181">
        <f>U1481+U1491+U1503+U1517</f>
        <v>0</v>
      </c>
      <c r="V1519" s="181">
        <f>V1481+V1491+V1503+V1517</f>
        <v>0</v>
      </c>
      <c r="W1519" s="181"/>
      <c r="X1519" s="181">
        <f>X1481+X1491+X1503+X1517</f>
        <v>21917.931250000001</v>
      </c>
      <c r="Y1519" s="181">
        <f>Y1481+Y1491+Y1503+Y1517</f>
        <v>370814.78065999993</v>
      </c>
      <c r="Z1519" s="181">
        <f>Z1481+Z1491+Z1503+Z1517</f>
        <v>647392.65682999999</v>
      </c>
      <c r="AA1519" s="181">
        <f>AA1481+AA1491+AA1503+AA1517</f>
        <v>67334.219159999993</v>
      </c>
      <c r="AB1519" s="181">
        <f>AB1481+AB1491+AB1503+AB1517</f>
        <v>368252.12405999994</v>
      </c>
      <c r="AC1519" s="181"/>
      <c r="AD1519" s="181"/>
      <c r="AE1519" s="186" t="s">
        <v>54</v>
      </c>
      <c r="AF1519" s="195">
        <f t="shared" ref="AF1519:AR1519" si="293">SUM(AF1504:AF1518)</f>
        <v>427368.98549000005</v>
      </c>
      <c r="AG1519" s="195">
        <f t="shared" si="293"/>
        <v>45416.287909999999</v>
      </c>
      <c r="AH1519" s="195">
        <f t="shared" si="293"/>
        <v>0</v>
      </c>
      <c r="AI1519" s="195">
        <f t="shared" si="293"/>
        <v>45416.287909999999</v>
      </c>
      <c r="AJ1519" s="195">
        <f t="shared" si="293"/>
        <v>0</v>
      </c>
      <c r="AK1519" s="195">
        <f t="shared" si="293"/>
        <v>45416.287909999999</v>
      </c>
      <c r="AL1519" s="195">
        <f t="shared" si="293"/>
        <v>21145.021090000002</v>
      </c>
      <c r="AM1519" s="195">
        <f t="shared" si="293"/>
        <v>772.91016000000002</v>
      </c>
      <c r="AN1519" s="195">
        <f t="shared" si="293"/>
        <v>21917.931250000001</v>
      </c>
      <c r="AO1519" s="195">
        <f t="shared" si="293"/>
        <v>0</v>
      </c>
      <c r="AP1519" s="195">
        <f t="shared" si="293"/>
        <v>21917.931250000001</v>
      </c>
      <c r="AQ1519" s="195">
        <f t="shared" si="293"/>
        <v>67334.219159999993</v>
      </c>
      <c r="AR1519" s="195">
        <f t="shared" si="293"/>
        <v>360034.56633000006</v>
      </c>
      <c r="AS1519" s="195"/>
    </row>
    <row r="1520" spans="1:45" x14ac:dyDescent="0.2">
      <c r="A1520" s="180"/>
      <c r="D1520" s="182" t="s">
        <v>50</v>
      </c>
      <c r="E1520" s="182" t="s">
        <v>50</v>
      </c>
      <c r="F1520" s="182" t="s">
        <v>50</v>
      </c>
      <c r="G1520" s="182"/>
      <c r="H1520" s="182" t="s">
        <v>50</v>
      </c>
      <c r="I1520" s="182" t="s">
        <v>50</v>
      </c>
      <c r="J1520" s="182" t="s">
        <v>50</v>
      </c>
      <c r="K1520" s="182" t="s">
        <v>50</v>
      </c>
      <c r="L1520" s="182" t="s">
        <v>50</v>
      </c>
      <c r="M1520" s="182"/>
      <c r="N1520" s="182" t="s">
        <v>50</v>
      </c>
      <c r="O1520" s="182" t="s">
        <v>50</v>
      </c>
      <c r="P1520" s="182" t="s">
        <v>50</v>
      </c>
      <c r="Q1520" s="182"/>
      <c r="R1520" s="182" t="s">
        <v>50</v>
      </c>
      <c r="S1520" s="182" t="s">
        <v>50</v>
      </c>
      <c r="T1520" s="182" t="s">
        <v>50</v>
      </c>
      <c r="U1520" s="182" t="s">
        <v>50</v>
      </c>
      <c r="V1520" s="182" t="s">
        <v>50</v>
      </c>
      <c r="W1520" s="182"/>
      <c r="X1520" s="182" t="s">
        <v>50</v>
      </c>
      <c r="Y1520" s="182" t="s">
        <v>50</v>
      </c>
      <c r="Z1520" s="182" t="s">
        <v>50</v>
      </c>
      <c r="AA1520" s="182" t="s">
        <v>50</v>
      </c>
      <c r="AB1520" s="182" t="s">
        <v>50</v>
      </c>
      <c r="AC1520" s="182"/>
      <c r="AD1520" s="182"/>
      <c r="AF1520" s="195"/>
      <c r="AG1520" s="195"/>
      <c r="AH1520" s="195"/>
      <c r="AI1520" s="195"/>
      <c r="AJ1520" s="195"/>
      <c r="AK1520" s="195"/>
      <c r="AL1520" s="195"/>
      <c r="AM1520" s="195"/>
      <c r="AN1520" s="195"/>
      <c r="AO1520" s="195"/>
      <c r="AP1520" s="195"/>
      <c r="AQ1520" s="195"/>
      <c r="AR1520" s="195"/>
      <c r="AS1520" s="195" t="e">
        <f>AS94+AS162+AS265+AS454+AS617+AS756+AS887+AS989+AS1106+AS1166+AS1275+AS1360+AS1422+AS1464+AS1518</f>
        <v>#REF!</v>
      </c>
    </row>
    <row r="1521" spans="1:45" x14ac:dyDescent="0.2">
      <c r="A1521" s="180"/>
      <c r="D1521" s="182"/>
      <c r="E1521" s="182"/>
      <c r="F1521" s="182"/>
      <c r="G1521" s="182"/>
      <c r="H1521" s="182"/>
      <c r="I1521" s="182"/>
      <c r="J1521" s="182"/>
      <c r="K1521" s="182"/>
      <c r="L1521" s="182"/>
      <c r="M1521" s="182"/>
      <c r="N1521" s="182"/>
      <c r="O1521" s="182"/>
      <c r="P1521" s="182"/>
      <c r="Q1521" s="182"/>
      <c r="R1521" s="167" t="s">
        <v>418</v>
      </c>
      <c r="S1521" s="239"/>
      <c r="T1521" s="182"/>
      <c r="U1521" s="182"/>
      <c r="V1521" s="182"/>
      <c r="W1521" s="182"/>
      <c r="X1521" s="182"/>
      <c r="Y1521" s="182"/>
      <c r="Z1521" s="182"/>
      <c r="AA1521" s="182"/>
      <c r="AB1521" s="182"/>
      <c r="AC1521" s="182"/>
      <c r="AD1521" s="182"/>
      <c r="AF1521" s="195"/>
      <c r="AG1521" s="195"/>
      <c r="AH1521" s="195"/>
      <c r="AI1521" s="195"/>
      <c r="AJ1521" s="195"/>
      <c r="AK1521" s="195"/>
      <c r="AL1521" s="195"/>
      <c r="AM1521" s="195"/>
      <c r="AN1521" s="195"/>
      <c r="AO1521" s="195"/>
      <c r="AP1521" s="195"/>
      <c r="AQ1521" s="195"/>
      <c r="AR1521" s="195"/>
      <c r="AS1521" s="195"/>
    </row>
    <row r="1522" spans="1:45" ht="15.75" thickBot="1" x14ac:dyDescent="0.25">
      <c r="A1522" s="180"/>
      <c r="D1522" s="182"/>
      <c r="E1522" s="182"/>
      <c r="F1522" s="182"/>
      <c r="G1522" s="182"/>
      <c r="H1522" s="182"/>
      <c r="I1522" s="182"/>
      <c r="J1522" s="182"/>
      <c r="K1522" s="182"/>
      <c r="L1522" s="182"/>
      <c r="M1522" s="182"/>
      <c r="N1522" s="182"/>
      <c r="O1522" s="182"/>
      <c r="P1522" s="182"/>
      <c r="Q1522" s="182"/>
      <c r="R1522" s="244" t="s">
        <v>419</v>
      </c>
      <c r="S1522" s="244"/>
      <c r="T1522" s="182"/>
      <c r="U1522" s="182"/>
      <c r="V1522" s="182"/>
      <c r="W1522" s="182"/>
      <c r="X1522" s="182"/>
      <c r="Y1522" s="231"/>
      <c r="Z1522" s="231"/>
      <c r="AA1522" s="182"/>
      <c r="AB1522" s="182"/>
      <c r="AC1522" s="182"/>
      <c r="AD1522" s="182"/>
      <c r="AF1522" s="195"/>
      <c r="AG1522" s="195"/>
      <c r="AH1522" s="195"/>
      <c r="AI1522" s="195"/>
      <c r="AJ1522" s="195"/>
      <c r="AK1522" s="195"/>
      <c r="AL1522" s="195"/>
      <c r="AM1522" s="195"/>
      <c r="AN1522" s="195"/>
      <c r="AO1522" s="195"/>
      <c r="AP1522" s="195"/>
      <c r="AQ1522" s="195"/>
      <c r="AR1522" s="195"/>
      <c r="AS1522" s="195"/>
    </row>
    <row r="1523" spans="1:45" ht="15.75" thickTop="1" x14ac:dyDescent="0.2">
      <c r="A1523" s="180"/>
      <c r="D1523" s="182"/>
      <c r="E1523" s="182"/>
      <c r="F1523" s="182"/>
      <c r="G1523" s="182"/>
      <c r="H1523" s="182"/>
      <c r="I1523" s="182"/>
      <c r="J1523" s="182"/>
      <c r="K1523" s="182"/>
      <c r="L1523" s="182"/>
      <c r="M1523" s="182"/>
      <c r="N1523" s="182"/>
      <c r="O1523" s="182"/>
      <c r="P1523" s="182"/>
      <c r="Q1523" s="182"/>
      <c r="R1523" s="240"/>
      <c r="S1523" s="240"/>
      <c r="T1523" s="182"/>
      <c r="U1523" s="182"/>
      <c r="V1523" s="182"/>
      <c r="W1523" s="182"/>
      <c r="X1523" s="182"/>
      <c r="Y1523" s="182"/>
      <c r="Z1523" s="182"/>
      <c r="AA1523" s="182"/>
      <c r="AB1523" s="182"/>
      <c r="AC1523" s="182"/>
      <c r="AD1523" s="182"/>
      <c r="AF1523" s="195"/>
      <c r="AG1523" s="195"/>
      <c r="AH1523" s="195"/>
      <c r="AI1523" s="195"/>
      <c r="AJ1523" s="195"/>
      <c r="AK1523" s="195"/>
      <c r="AL1523" s="195"/>
      <c r="AM1523" s="195"/>
      <c r="AN1523" s="195"/>
      <c r="AO1523" s="195"/>
      <c r="AP1523" s="195"/>
      <c r="AQ1523" s="195"/>
      <c r="AR1523" s="195"/>
      <c r="AS1523" s="195"/>
    </row>
    <row r="1524" spans="1:45" x14ac:dyDescent="0.2">
      <c r="A1524" s="180"/>
      <c r="D1524" s="182"/>
      <c r="E1524" s="182"/>
      <c r="F1524" s="182"/>
      <c r="G1524" s="182"/>
      <c r="H1524" s="182"/>
      <c r="I1524" s="182"/>
      <c r="J1524" s="182"/>
      <c r="K1524" s="182"/>
      <c r="L1524" s="182"/>
      <c r="M1524" s="182"/>
      <c r="N1524" s="182"/>
      <c r="O1524" s="182"/>
      <c r="P1524" s="182"/>
      <c r="Q1524" s="182"/>
      <c r="R1524" s="240"/>
      <c r="S1524" s="240"/>
      <c r="T1524" s="182"/>
      <c r="U1524" s="182"/>
      <c r="V1524" s="182"/>
      <c r="W1524" s="182"/>
      <c r="X1524" s="182"/>
      <c r="Y1524" s="182"/>
      <c r="Z1524" s="182"/>
      <c r="AA1524" s="182"/>
      <c r="AB1524" s="182"/>
      <c r="AC1524" s="182"/>
      <c r="AD1524" s="182"/>
      <c r="AF1524" s="195"/>
      <c r="AG1524" s="195"/>
      <c r="AH1524" s="195"/>
      <c r="AI1524" s="195"/>
      <c r="AJ1524" s="195"/>
      <c r="AK1524" s="195"/>
      <c r="AL1524" s="195"/>
      <c r="AM1524" s="195"/>
      <c r="AN1524" s="195"/>
      <c r="AO1524" s="195"/>
      <c r="AP1524" s="195"/>
      <c r="AQ1524" s="195"/>
      <c r="AR1524" s="195"/>
      <c r="AS1524" s="195"/>
    </row>
    <row r="1525" spans="1:45" x14ac:dyDescent="0.2">
      <c r="A1525" s="180"/>
      <c r="D1525" s="191"/>
      <c r="E1525" s="191"/>
      <c r="F1525" s="191"/>
      <c r="G1525" s="191"/>
      <c r="H1525" s="191"/>
      <c r="I1525" s="191"/>
      <c r="J1525" s="191"/>
      <c r="K1525" s="191"/>
      <c r="L1525" s="191"/>
      <c r="M1525" s="191"/>
      <c r="N1525" s="191"/>
      <c r="O1525" s="191"/>
      <c r="P1525" s="191"/>
      <c r="Q1525" s="191"/>
      <c r="R1525" s="191"/>
      <c r="S1525" s="191"/>
      <c r="T1525" s="191"/>
      <c r="U1525" s="191"/>
      <c r="V1525" s="191"/>
      <c r="W1525" s="191"/>
      <c r="X1525" s="191"/>
      <c r="Y1525" s="191"/>
      <c r="Z1525" s="190"/>
      <c r="AA1525" s="191"/>
      <c r="AB1525" s="181"/>
      <c r="AC1525" s="181"/>
      <c r="AD1525" s="181"/>
      <c r="AF1525" s="195" t="e">
        <f>AF95+AF163+AF266+AF455+AF618+AF757+AF888+AF993+AF1107+AF1167+AF1276+AF1361+AF1423+AF1465+AF1519</f>
        <v>#REF!</v>
      </c>
      <c r="AG1525" s="195" t="e">
        <f>AG95+AG163+AG266+AG455+AG618+AG757+AG888+AG993+AG1107+AG1167+AG1276+AG1361+AG1423+AG1465+AG1519</f>
        <v>#REF!</v>
      </c>
      <c r="AH1525" s="195" t="e">
        <f>AH95+AH163+AH266+AH455+AH618+AH757+AH888+AH993+AH1107+AH1167+AH1276+AH1361+AH1423+AH1465+AH1519</f>
        <v>#REF!</v>
      </c>
      <c r="AI1525" s="195" t="e">
        <f>AI95+AI163+AI266+AI455+AI618+AI757+AI888+AI993+AI1107+AI1167+AI1276+AI1361+AI1423+AI1465+AI1519</f>
        <v>#REF!</v>
      </c>
      <c r="AJ1525" s="195" t="e">
        <f>AJ95+AJ163+AJ264+AJ455+AJ618+AJ757+AJ888+AJ993+AJ1107+AJ1167+AJ1276+AJ1361+AJ1423+AJ1465+AJ1519</f>
        <v>#REF!</v>
      </c>
      <c r="AK1525" s="195" t="e">
        <f t="shared" ref="AK1525:AR1525" si="294">AK95+AK163+AK266+AK455+AK618+AK757+AK888+AK993+AK1107+AK1167+AK1276+AK1361+AK1423+AK1465+AK1519</f>
        <v>#REF!</v>
      </c>
      <c r="AL1525" s="195" t="e">
        <f t="shared" si="294"/>
        <v>#REF!</v>
      </c>
      <c r="AM1525" s="195" t="e">
        <f t="shared" si="294"/>
        <v>#VALUE!</v>
      </c>
      <c r="AN1525" s="195" t="e">
        <f t="shared" si="294"/>
        <v>#REF!</v>
      </c>
      <c r="AO1525" s="195" t="e">
        <f t="shared" si="294"/>
        <v>#VALUE!</v>
      </c>
      <c r="AP1525" s="195" t="e">
        <f t="shared" si="294"/>
        <v>#REF!</v>
      </c>
      <c r="AQ1525" s="195" t="e">
        <f t="shared" si="294"/>
        <v>#REF!</v>
      </c>
      <c r="AR1525" s="195" t="e">
        <f t="shared" si="294"/>
        <v>#REF!</v>
      </c>
      <c r="AS1525" s="195"/>
    </row>
    <row r="1526" spans="1:45" x14ac:dyDescent="0.2">
      <c r="A1526" s="180"/>
      <c r="B1526" s="210" t="s">
        <v>277</v>
      </c>
      <c r="D1526" s="181">
        <f>D96+D164+D267+D456+D619+D758+D889+D994+D1108+D1168+D1277+D1466+D1519+D1425+D1362</f>
        <v>42782067.636640005</v>
      </c>
      <c r="E1526" s="181" t="e">
        <f>E96+E164+E267+E456+E619+E758+E889+E994+E1108+E1168+E1277+E1362+E1425+E1466+E1519</f>
        <v>#REF!</v>
      </c>
      <c r="F1526" s="181" t="e">
        <f>F96+F164+F267+F456+F619+F758+F889+F994+F1108+F1168+F1277+F1362+F1425+F1466+F1519</f>
        <v>#REF!</v>
      </c>
      <c r="G1526" s="181"/>
      <c r="H1526" s="181">
        <f>H96+H164+H267+H456+H619+H758+H889+H994+H1108+H1168+H1277+H1362+H1425+H1466+H1519</f>
        <v>35941668.241859995</v>
      </c>
      <c r="I1526" s="181" t="e">
        <f>I96+I164+I267+I456+I619+I758+I889+I994+I1108+I1168+I1277+I1362+I1425+I1466+I1519</f>
        <v>#REF!</v>
      </c>
      <c r="J1526" s="181" t="e">
        <f>J96+J164+J267+J456+J619+J758+J889+J994+J1108+J1168+J1277+J1362+J1425+J1466+J1519</f>
        <v>#REF!</v>
      </c>
      <c r="K1526" s="181" t="e">
        <f>K96+K164+K267+K456+K619+K758+K889+K994+K1108+K1168+K1277+K1362+K1425+K1466+K1519</f>
        <v>#REF!</v>
      </c>
      <c r="L1526" s="181" t="e">
        <f>L96+L164+L267+L456+L619+L758+L889+L994+L1108+L1168+L1277+L1362+L1425+L1466+L1519</f>
        <v>#REF!</v>
      </c>
      <c r="M1526" s="181"/>
      <c r="N1526" s="181" t="e">
        <f>N96+N164+N267+N456+N619+N758+N889+N994+N1108+N1168+N1277+N1362+N1425+N1466+N1519</f>
        <v>#REF!</v>
      </c>
      <c r="O1526" s="181" t="e">
        <f>O96+O164+O267+O456+O619+O758+O889+O994+O1108+O1168+O1277+O1362+O1425+O1466+O1519</f>
        <v>#REF!</v>
      </c>
      <c r="P1526" s="181" t="e">
        <f>P96+P164+P267+P456+P619+P758+P889+P994+P1108+P1168+P1277+P1362+P1425+P1466+P1519</f>
        <v>#VALUE!</v>
      </c>
      <c r="Q1526" s="181"/>
      <c r="R1526" s="181">
        <f>R96+R164+R267+R456+R619+R758+R889+R994+R1108+R1168+R1277+R1362+R1425+R1466+R1519</f>
        <v>1033564.3744799999</v>
      </c>
      <c r="S1526" s="181" t="e">
        <f>S96+S164+S267+S456+S619+S758+S889+S994+S1108+S1168+S1277+S1362+S1425+S1466+S1519</f>
        <v>#REF!</v>
      </c>
      <c r="T1526" s="181" t="e">
        <f>T96+T164+T267+T456+T619+T758+T889+T994+T1108+T1168+T1277+T1362+T1425+T1466+T1519</f>
        <v>#REF!</v>
      </c>
      <c r="U1526" s="181" t="e">
        <f>U96+U164+U267+U456+U619+U758+U889+U994+U1108+U1168+U1277+U1362+U1425+U1466+U1519</f>
        <v>#REF!</v>
      </c>
      <c r="V1526" s="181" t="e">
        <f>V96+V164+V267+V456+V619+V758+V889+V994+V1108+V1168+V1277+V1362+V1425+V1466+V1519</f>
        <v>#REF!</v>
      </c>
      <c r="W1526" s="181"/>
      <c r="X1526" s="181" t="e">
        <f>X96+X164+X267+X456+X619+X758+X889+X994+X1108+X1168+X1277+X1362+X1425+X1466+X1519</f>
        <v>#REF!</v>
      </c>
      <c r="Y1526" s="181">
        <f>Y96+Y164+Y267+Y456+Y619+Y758+Y889+Y994+Y1108+Y1168+Y1277+Y1362+Y1425+Y1466+Y1519+1</f>
        <v>36975232.620209999</v>
      </c>
      <c r="Z1526" s="181">
        <f>Z96+Z164+Z267+Z456+Z619+Z758+Z889+Z994+Z1108+Z1168+Z1277+Z1362+Z1425+Z1466+Z1519-3</f>
        <v>5806835.2234300002</v>
      </c>
      <c r="AA1526" s="181" t="e">
        <f>AA96+AA164+AA267+AA456+AA619+AA758+AA889+AA994+AA1108+AA1168+AA1277+AA1362+AA1425+AA1466+AA1519</f>
        <v>#VALUE!</v>
      </c>
      <c r="AB1526" s="181" t="e">
        <f>AB96+AB164+AB267+AB456+AB619+AB758+AB889+AB994+AB1108+AB1168+AB1277+AB1362+AB1425+AB1466+AB1519</f>
        <v>#VALUE!</v>
      </c>
      <c r="AC1526" s="181"/>
      <c r="AD1526" s="181"/>
      <c r="AE1526" s="186" t="s">
        <v>277</v>
      </c>
      <c r="AF1526" s="195"/>
      <c r="AG1526" s="195"/>
      <c r="AH1526" s="195"/>
      <c r="AI1526" s="195"/>
      <c r="AJ1526" s="195"/>
      <c r="AK1526" s="195"/>
      <c r="AL1526" s="195"/>
      <c r="AM1526" s="195"/>
      <c r="AN1526" s="195"/>
      <c r="AO1526" s="195"/>
      <c r="AP1526" s="195"/>
      <c r="AQ1526" s="195"/>
      <c r="AR1526" s="195"/>
      <c r="AS1526" s="195"/>
    </row>
    <row r="1527" spans="1:45" ht="15.75" customHeight="1" x14ac:dyDescent="0.2">
      <c r="A1527" s="180"/>
      <c r="C1527" s="195"/>
      <c r="D1527" s="182" t="s">
        <v>128</v>
      </c>
      <c r="E1527" s="182" t="s">
        <v>128</v>
      </c>
      <c r="F1527" s="182" t="s">
        <v>128</v>
      </c>
      <c r="G1527" s="182"/>
      <c r="H1527" s="182" t="s">
        <v>128</v>
      </c>
      <c r="I1527" s="182" t="s">
        <v>128</v>
      </c>
      <c r="J1527" s="182" t="s">
        <v>128</v>
      </c>
      <c r="K1527" s="182" t="s">
        <v>128</v>
      </c>
      <c r="L1527" s="182" t="s">
        <v>128</v>
      </c>
      <c r="M1527" s="182"/>
      <c r="N1527" s="182" t="s">
        <v>128</v>
      </c>
      <c r="O1527" s="182" t="s">
        <v>128</v>
      </c>
      <c r="P1527" s="182" t="s">
        <v>128</v>
      </c>
      <c r="Q1527" s="182"/>
      <c r="R1527" s="182" t="s">
        <v>128</v>
      </c>
      <c r="S1527" s="182" t="s">
        <v>128</v>
      </c>
      <c r="T1527" s="182" t="s">
        <v>128</v>
      </c>
      <c r="U1527" s="182" t="s">
        <v>128</v>
      </c>
      <c r="V1527" s="182" t="s">
        <v>128</v>
      </c>
      <c r="W1527" s="182"/>
      <c r="X1527" s="182" t="s">
        <v>128</v>
      </c>
      <c r="Y1527" s="182" t="s">
        <v>128</v>
      </c>
      <c r="Z1527" s="182" t="s">
        <v>128</v>
      </c>
      <c r="AA1527" s="182" t="s">
        <v>128</v>
      </c>
      <c r="AB1527" s="182" t="s">
        <v>128</v>
      </c>
      <c r="AC1527" s="182"/>
      <c r="AD1527" s="182"/>
      <c r="AR1527" s="195"/>
    </row>
    <row r="1528" spans="1:45" ht="16.5" customHeight="1" x14ac:dyDescent="0.2">
      <c r="C1528" s="195"/>
      <c r="D1528" s="252"/>
      <c r="E1528" s="253"/>
      <c r="F1528" s="253"/>
      <c r="G1528" s="253"/>
      <c r="H1528" s="252"/>
      <c r="I1528" s="252"/>
      <c r="J1528" s="252"/>
      <c r="K1528" s="252"/>
      <c r="L1528" s="252"/>
      <c r="M1528" s="252"/>
      <c r="N1528" s="252"/>
      <c r="O1528" s="252"/>
      <c r="P1528" s="252"/>
      <c r="Q1528" s="252"/>
      <c r="R1528" s="252"/>
      <c r="S1528" s="252"/>
      <c r="T1528" s="252"/>
      <c r="U1528" s="252"/>
      <c r="V1528" s="252"/>
      <c r="W1528" s="252"/>
      <c r="X1528" s="252"/>
      <c r="Y1528" s="252"/>
      <c r="Z1528" s="252"/>
      <c r="AA1528" s="167"/>
      <c r="AB1528" s="167"/>
      <c r="AC1528" s="167"/>
      <c r="AD1528" s="167"/>
    </row>
    <row r="1529" spans="1:45" ht="16.5" customHeight="1" thickBot="1" x14ac:dyDescent="0.25">
      <c r="B1529" s="165" t="s">
        <v>295</v>
      </c>
      <c r="D1529" s="198">
        <f>D19+D50+D95+D205+D301+D419+D428+D477+D489+D923+D944+D964+D1125+D1133+D1145+D1158+D1246+D1333+D1338+D1465+D27</f>
        <v>35754.094639999996</v>
      </c>
      <c r="E1529" s="191"/>
      <c r="F1529" s="191"/>
      <c r="G1529" s="191"/>
      <c r="H1529" s="233"/>
      <c r="I1529" s="191"/>
      <c r="J1529" s="191"/>
      <c r="K1529" s="191"/>
      <c r="L1529" s="191"/>
      <c r="M1529" s="191"/>
      <c r="N1529" s="191"/>
      <c r="O1529" s="198">
        <f>+O19+O50+O205+O419+O431+O923+O1125+O1145+O1158+O1246+O477+O301+O1465+O1136+O1333+O1339+O817+O944+O964+O95+O489</f>
        <v>137986.81619999997</v>
      </c>
      <c r="P1529" s="198">
        <f>+P19+P50+P205+P419+P431+P923+P1125+P1145+P1158+P1246+P477+P301+P1465+P1136+P1333+P1339+P817+P944+P964+P95+P489</f>
        <v>0</v>
      </c>
      <c r="Q1529" s="198"/>
      <c r="R1529" s="198">
        <f>R19+R50+R95+R205+R301+R419+R428+R477+R489+R923+R944+R964+R1125+R1133+R1145+R1158+R1246+R1333+R1338+R1465+R27</f>
        <v>35754.093879999993</v>
      </c>
      <c r="S1529" s="198">
        <f t="shared" ref="S1529:X1529" si="295">S19+S50+S95+S205+S301+S419+S428+S477+S489+S923+S944+S964+S1125+S1133+S1145+S1158+S1246+S1333+S1338+S1465</f>
        <v>11929.124220000002</v>
      </c>
      <c r="T1529" s="198">
        <f t="shared" si="295"/>
        <v>11929.124220000002</v>
      </c>
      <c r="U1529" s="198">
        <f t="shared" si="295"/>
        <v>11929.124220000002</v>
      </c>
      <c r="V1529" s="198">
        <f t="shared" si="295"/>
        <v>11929.124220000002</v>
      </c>
      <c r="W1529" s="198">
        <f t="shared" si="295"/>
        <v>11929.124220000002</v>
      </c>
      <c r="X1529" s="198">
        <f t="shared" si="295"/>
        <v>11929.124220000002</v>
      </c>
      <c r="Y1529" s="198">
        <f>Y19+Y50+Y95+Y205+Y301+Y419+Y428+Y477+Y489+Y923+Y944+Y964+Y1125+Y1133+Y1145+Y1158+Y1246+Y1333+Y1338+Y1465+Y27</f>
        <v>35754.093879999993</v>
      </c>
      <c r="Z1529" s="198">
        <f>Z19+Z50+Z95+Z205+Z301+Z419+Z428+Z477+Z489+Z923+Z944+Z964+Z1125+Z1133+Z1145+Z1158+Z1246+Z1333+Z1338+Z1465</f>
        <v>7.5999999899067916E-4</v>
      </c>
      <c r="AA1529" s="167"/>
      <c r="AB1529" s="167"/>
      <c r="AC1529" s="167"/>
      <c r="AD1529" s="167"/>
    </row>
    <row r="1530" spans="1:45" ht="15.75" customHeight="1" thickTop="1" x14ac:dyDescent="0.2">
      <c r="C1530" s="195"/>
      <c r="D1530" s="167"/>
      <c r="E1530" s="167"/>
      <c r="F1530" s="167"/>
      <c r="G1530" s="167"/>
      <c r="H1530" s="167"/>
      <c r="I1530" s="167"/>
      <c r="J1530" s="167"/>
      <c r="K1530" s="167"/>
      <c r="L1530" s="167"/>
      <c r="M1530" s="167"/>
      <c r="N1530" s="167"/>
      <c r="O1530" s="167"/>
      <c r="P1530" s="167"/>
      <c r="Q1530" s="167"/>
      <c r="R1530" s="167"/>
      <c r="S1530" s="167"/>
      <c r="T1530" s="167"/>
      <c r="U1530" s="167"/>
      <c r="V1530" s="167"/>
      <c r="W1530" s="167"/>
      <c r="X1530" s="167"/>
      <c r="Y1530" s="167"/>
      <c r="Z1530" s="167"/>
      <c r="AA1530" s="167"/>
      <c r="AB1530" s="167"/>
      <c r="AC1530" s="167"/>
      <c r="AD1530" s="167"/>
    </row>
    <row r="1531" spans="1:45" ht="15.75" customHeight="1" x14ac:dyDescent="0.2">
      <c r="D1531" s="233"/>
      <c r="E1531" s="167"/>
      <c r="F1531" s="234">
        <v>1500000</v>
      </c>
      <c r="G1531" s="167" t="s">
        <v>358</v>
      </c>
      <c r="H1531" s="167"/>
      <c r="I1531" s="167"/>
      <c r="J1531" s="167"/>
      <c r="K1531" s="167"/>
      <c r="L1531" s="167"/>
      <c r="M1531" s="167"/>
      <c r="N1531" s="167"/>
      <c r="O1531" s="167"/>
      <c r="P1531" s="195">
        <v>0</v>
      </c>
      <c r="R1531" s="235"/>
      <c r="W1531" s="167"/>
      <c r="X1531" s="167"/>
      <c r="Y1531" s="167"/>
      <c r="Z1531" s="191"/>
      <c r="AA1531" s="167"/>
      <c r="AB1531" s="167"/>
      <c r="AC1531" s="167"/>
      <c r="AD1531" s="167"/>
    </row>
    <row r="1532" spans="1:45" ht="15.75" customHeight="1" x14ac:dyDescent="0.2">
      <c r="C1532" s="193"/>
      <c r="D1532" s="167"/>
      <c r="E1532" s="167"/>
      <c r="F1532" s="167">
        <v>0</v>
      </c>
      <c r="G1532" s="167" t="s">
        <v>340</v>
      </c>
      <c r="H1532" s="167"/>
      <c r="O1532" s="195"/>
      <c r="P1532" s="167">
        <v>0</v>
      </c>
      <c r="Q1532" s="167"/>
      <c r="R1532" s="167"/>
      <c r="S1532" s="167"/>
      <c r="T1532" s="167"/>
      <c r="U1532" s="170">
        <v>-6436.84</v>
      </c>
      <c r="V1532" s="167"/>
      <c r="AS1532" s="195"/>
    </row>
    <row r="1533" spans="1:45" ht="15.75" customHeight="1" x14ac:dyDescent="0.2">
      <c r="A1533" s="180"/>
      <c r="C1533" s="236"/>
      <c r="D1533" s="167"/>
      <c r="E1533" s="167"/>
      <c r="F1533" s="167">
        <v>0</v>
      </c>
      <c r="G1533" s="167" t="s">
        <v>329</v>
      </c>
      <c r="H1533" s="195"/>
      <c r="I1533" s="167"/>
      <c r="J1533" s="167"/>
      <c r="K1533" s="167"/>
      <c r="L1533" s="167"/>
      <c r="M1533" s="167"/>
      <c r="N1533" s="167"/>
      <c r="O1533" s="167"/>
      <c r="P1533" s="237">
        <v>5629341.75</v>
      </c>
      <c r="R1533" s="167"/>
      <c r="S1533" s="167"/>
      <c r="T1533" s="167"/>
      <c r="U1533" s="170"/>
      <c r="V1533" s="167"/>
      <c r="W1533" s="167"/>
      <c r="X1533" s="167"/>
      <c r="Y1533" s="167"/>
      <c r="Z1533" s="167"/>
      <c r="AA1533" s="167"/>
      <c r="AB1533" s="167"/>
      <c r="AC1533" s="167"/>
      <c r="AD1533" s="167"/>
      <c r="AF1533" s="195"/>
      <c r="AG1533" s="195"/>
      <c r="AH1533" s="195"/>
      <c r="AI1533" s="195"/>
      <c r="AJ1533" s="195"/>
      <c r="AK1533" s="195"/>
      <c r="AL1533" s="195"/>
      <c r="AM1533" s="195"/>
      <c r="AN1533" s="195"/>
      <c r="AO1533" s="195"/>
      <c r="AP1533" s="195"/>
      <c r="AQ1533" s="195"/>
      <c r="AR1533" s="195"/>
      <c r="AS1533" s="195"/>
    </row>
    <row r="1534" spans="1:45" ht="15.75" customHeight="1" x14ac:dyDescent="0.2">
      <c r="A1534" s="180"/>
      <c r="B1534" s="166"/>
      <c r="D1534" s="167"/>
      <c r="E1534" s="167"/>
      <c r="F1534" s="195">
        <v>365655576.51999998</v>
      </c>
      <c r="G1534" s="167" t="s">
        <v>303</v>
      </c>
      <c r="H1534" s="167"/>
      <c r="I1534" s="167"/>
      <c r="J1534" s="167"/>
      <c r="K1534" s="167"/>
      <c r="L1534" s="167"/>
      <c r="M1534" s="167"/>
      <c r="N1534" s="167"/>
      <c r="O1534" s="167"/>
      <c r="P1534" s="238">
        <v>0</v>
      </c>
      <c r="Q1534" s="170"/>
      <c r="R1534" s="239"/>
      <c r="S1534" s="167"/>
      <c r="T1534" s="167"/>
      <c r="U1534" s="167"/>
      <c r="V1534" s="167"/>
      <c r="W1534" s="167"/>
      <c r="X1534" s="167"/>
      <c r="Y1534" s="167"/>
      <c r="Z1534" s="167"/>
      <c r="AA1534" s="170"/>
      <c r="AB1534" s="167"/>
      <c r="AC1534" s="167"/>
      <c r="AD1534" s="167"/>
      <c r="AF1534" s="195"/>
      <c r="AG1534" s="195"/>
      <c r="AH1534" s="195"/>
      <c r="AI1534" s="195"/>
      <c r="AJ1534" s="195"/>
      <c r="AK1534" s="195"/>
      <c r="AL1534" s="195"/>
      <c r="AM1534" s="195"/>
      <c r="AN1534" s="195"/>
      <c r="AO1534" s="195"/>
      <c r="AP1534" s="195"/>
      <c r="AQ1534" s="195"/>
      <c r="AR1534" s="195"/>
      <c r="AS1534" s="195"/>
    </row>
    <row r="1535" spans="1:45" ht="16.5" customHeight="1" x14ac:dyDescent="0.2">
      <c r="A1535" s="180"/>
      <c r="B1535" s="166"/>
      <c r="D1535" s="167"/>
      <c r="E1535" s="167"/>
      <c r="F1535" s="240">
        <v>0</v>
      </c>
      <c r="G1535" s="167" t="s">
        <v>298</v>
      </c>
      <c r="H1535" s="167"/>
      <c r="I1535" s="167"/>
      <c r="J1535" s="167"/>
      <c r="K1535" s="167"/>
      <c r="L1535" s="167"/>
      <c r="M1535" s="167"/>
      <c r="N1535" s="167"/>
      <c r="O1535" s="167"/>
      <c r="P1535" s="241">
        <v>0</v>
      </c>
      <c r="Q1535" s="167"/>
      <c r="R1535" s="167"/>
      <c r="S1535" s="167"/>
      <c r="T1535" s="167"/>
      <c r="U1535" s="167"/>
      <c r="V1535" s="167"/>
      <c r="W1535" s="167"/>
      <c r="X1535" s="167"/>
      <c r="Y1535" s="167"/>
      <c r="Z1535" s="239"/>
      <c r="AA1535" s="170"/>
      <c r="AB1535" s="170"/>
      <c r="AC1535" s="170"/>
      <c r="AD1535" s="170"/>
      <c r="AF1535" s="195"/>
      <c r="AG1535" s="195"/>
      <c r="AH1535" s="195"/>
      <c r="AI1535" s="195"/>
      <c r="AJ1535" s="195"/>
      <c r="AK1535" s="195"/>
      <c r="AL1535" s="195"/>
      <c r="AM1535" s="195"/>
      <c r="AN1535" s="195"/>
      <c r="AO1535" s="195"/>
      <c r="AP1535" s="195"/>
      <c r="AQ1535" s="195"/>
      <c r="AR1535" s="195"/>
      <c r="AS1535" s="195"/>
    </row>
    <row r="1536" spans="1:45" ht="16.5" customHeight="1" thickBot="1" x14ac:dyDescent="0.25">
      <c r="A1536" s="180"/>
      <c r="B1536" s="166"/>
      <c r="D1536" s="167"/>
      <c r="E1536" s="167"/>
      <c r="F1536" s="242">
        <f>+F1534+F1531</f>
        <v>367155576.51999998</v>
      </c>
      <c r="G1536" s="167" t="s">
        <v>3</v>
      </c>
      <c r="H1536" s="239"/>
      <c r="I1536" s="167"/>
      <c r="J1536" s="167"/>
      <c r="K1536" s="167"/>
      <c r="L1536" s="167"/>
      <c r="M1536" s="167"/>
      <c r="N1536" s="167"/>
      <c r="O1536" s="167"/>
      <c r="P1536" s="167"/>
      <c r="Q1536" s="167"/>
      <c r="R1536" s="167"/>
      <c r="S1536" s="167"/>
      <c r="T1536" s="167"/>
      <c r="U1536" s="167"/>
      <c r="V1536" s="167"/>
      <c r="W1536" s="167"/>
      <c r="X1536" s="167"/>
      <c r="Y1536" s="167"/>
      <c r="Z1536" s="239"/>
      <c r="AA1536" s="170"/>
      <c r="AB1536" s="170"/>
      <c r="AC1536" s="170"/>
      <c r="AD1536" s="170"/>
      <c r="AF1536" s="195"/>
      <c r="AG1536" s="195"/>
      <c r="AH1536" s="195"/>
      <c r="AI1536" s="195"/>
      <c r="AJ1536" s="195"/>
      <c r="AK1536" s="195"/>
      <c r="AL1536" s="195"/>
      <c r="AM1536" s="195"/>
      <c r="AN1536" s="195"/>
      <c r="AO1536" s="195"/>
      <c r="AP1536" s="195"/>
      <c r="AQ1536" s="195"/>
      <c r="AR1536" s="195"/>
      <c r="AS1536" s="195"/>
    </row>
    <row r="1537" spans="1:45" ht="15.75" customHeight="1" thickTop="1" x14ac:dyDescent="0.2">
      <c r="A1537" s="180"/>
      <c r="B1537" s="166"/>
      <c r="C1537" s="195"/>
      <c r="D1537" s="167"/>
      <c r="E1537" s="167"/>
      <c r="F1537" s="167"/>
      <c r="G1537" s="167"/>
      <c r="H1537" s="167"/>
      <c r="I1537" s="167"/>
      <c r="J1537" s="167"/>
      <c r="K1537" s="167"/>
      <c r="L1537" s="167"/>
      <c r="M1537" s="167"/>
      <c r="N1537" s="167"/>
      <c r="O1537" s="167"/>
      <c r="P1537" s="167"/>
      <c r="Q1537" s="167"/>
      <c r="R1537" s="167"/>
      <c r="S1537" s="167"/>
      <c r="T1537" s="167"/>
      <c r="U1537" s="167"/>
      <c r="V1537" s="167"/>
      <c r="W1537" s="167"/>
      <c r="X1537" s="167"/>
      <c r="Y1537" s="167"/>
      <c r="Z1537" s="167"/>
      <c r="AA1537" s="167"/>
      <c r="AB1537" s="167"/>
      <c r="AC1537" s="167"/>
      <c r="AD1537" s="167"/>
      <c r="AF1537" s="195"/>
      <c r="AG1537" s="195"/>
      <c r="AH1537" s="195"/>
      <c r="AI1537" s="195"/>
      <c r="AJ1537" s="195"/>
      <c r="AK1537" s="195"/>
      <c r="AL1537" s="195"/>
      <c r="AM1537" s="195"/>
      <c r="AN1537" s="195"/>
      <c r="AO1537" s="195"/>
      <c r="AP1537" s="195"/>
      <c r="AQ1537" s="195"/>
      <c r="AR1537" s="195"/>
      <c r="AS1537" s="195"/>
    </row>
    <row r="1538" spans="1:45" ht="15.75" customHeight="1" x14ac:dyDescent="0.2">
      <c r="A1538" s="180"/>
      <c r="B1538" s="166"/>
      <c r="D1538" s="167"/>
      <c r="E1538" s="167"/>
      <c r="F1538" s="170"/>
      <c r="G1538" s="170"/>
      <c r="H1538" s="239"/>
      <c r="I1538" s="167"/>
      <c r="J1538" s="167"/>
      <c r="K1538" s="167"/>
      <c r="L1538" s="167"/>
      <c r="M1538" s="167"/>
      <c r="N1538" s="167"/>
      <c r="O1538" s="167"/>
      <c r="P1538" s="167"/>
      <c r="Q1538" s="167"/>
      <c r="R1538" s="167"/>
      <c r="S1538" s="167"/>
      <c r="T1538" s="167"/>
      <c r="U1538" s="167"/>
      <c r="V1538" s="167"/>
      <c r="W1538" s="167"/>
      <c r="X1538" s="167"/>
      <c r="Y1538" s="167"/>
      <c r="Z1538" s="167"/>
      <c r="AA1538" s="167"/>
      <c r="AB1538" s="167"/>
      <c r="AC1538" s="167"/>
      <c r="AD1538" s="167"/>
      <c r="AF1538" s="195"/>
      <c r="AG1538" s="195"/>
      <c r="AH1538" s="195"/>
      <c r="AI1538" s="195"/>
      <c r="AJ1538" s="195"/>
      <c r="AK1538" s="195"/>
      <c r="AL1538" s="195"/>
      <c r="AM1538" s="195"/>
      <c r="AN1538" s="195"/>
      <c r="AO1538" s="195"/>
      <c r="AP1538" s="195"/>
      <c r="AQ1538" s="195"/>
      <c r="AR1538" s="195"/>
      <c r="AS1538" s="195"/>
    </row>
    <row r="1539" spans="1:45" ht="15.75" customHeight="1" x14ac:dyDescent="0.2">
      <c r="A1539" s="180"/>
      <c r="D1539" s="167"/>
      <c r="E1539" s="167"/>
      <c r="F1539" s="167"/>
      <c r="G1539" s="167"/>
      <c r="H1539" s="167"/>
      <c r="I1539" s="167"/>
      <c r="J1539" s="167"/>
      <c r="K1539" s="167"/>
      <c r="L1539" s="167"/>
      <c r="M1539" s="167"/>
      <c r="N1539" s="167"/>
      <c r="O1539" s="167"/>
      <c r="P1539" s="167"/>
      <c r="Q1539" s="167"/>
      <c r="R1539" s="167"/>
      <c r="S1539" s="167"/>
      <c r="T1539" s="167"/>
      <c r="U1539" s="167"/>
      <c r="V1539" s="167"/>
      <c r="W1539" s="167"/>
      <c r="X1539" s="167"/>
      <c r="Y1539" s="167"/>
      <c r="Z1539" s="167"/>
      <c r="AA1539" s="167"/>
      <c r="AB1539" s="167"/>
      <c r="AC1539" s="167"/>
      <c r="AD1539" s="167"/>
      <c r="AF1539" s="195"/>
      <c r="AG1539" s="195"/>
      <c r="AH1539" s="195"/>
      <c r="AI1539" s="195"/>
      <c r="AJ1539" s="195"/>
      <c r="AK1539" s="195"/>
      <c r="AL1539" s="195"/>
      <c r="AM1539" s="195"/>
      <c r="AN1539" s="195"/>
      <c r="AO1539" s="195"/>
      <c r="AP1539" s="195"/>
      <c r="AQ1539" s="195"/>
      <c r="AR1539" s="195"/>
      <c r="AS1539" s="195"/>
    </row>
    <row r="1540" spans="1:45" ht="19.5" customHeight="1" x14ac:dyDescent="0.2">
      <c r="A1540" s="180"/>
      <c r="D1540" s="167"/>
      <c r="E1540" s="167"/>
      <c r="F1540" s="167"/>
      <c r="G1540" s="167"/>
      <c r="H1540" s="167"/>
      <c r="I1540" s="167"/>
      <c r="J1540" s="167"/>
      <c r="K1540" s="167"/>
      <c r="L1540" s="167"/>
      <c r="M1540" s="167"/>
      <c r="N1540" s="167"/>
      <c r="O1540" s="167"/>
      <c r="P1540" s="167"/>
      <c r="Q1540" s="167"/>
      <c r="R1540" s="167"/>
      <c r="S1540" s="167"/>
      <c r="T1540" s="167"/>
      <c r="U1540" s="167"/>
      <c r="V1540" s="167"/>
      <c r="W1540" s="167"/>
      <c r="X1540" s="167"/>
      <c r="Y1540" s="167"/>
      <c r="Z1540" s="167"/>
      <c r="AA1540" s="167"/>
      <c r="AB1540" s="167"/>
      <c r="AC1540" s="167"/>
      <c r="AD1540" s="167"/>
      <c r="AF1540" s="195"/>
      <c r="AG1540" s="195"/>
      <c r="AH1540" s="195"/>
      <c r="AI1540" s="195"/>
      <c r="AJ1540" s="195"/>
      <c r="AK1540" s="195"/>
      <c r="AL1540" s="195"/>
      <c r="AM1540" s="195"/>
      <c r="AN1540" s="195"/>
      <c r="AO1540" s="195"/>
      <c r="AP1540" s="195"/>
      <c r="AQ1540" s="195"/>
      <c r="AR1540" s="195"/>
      <c r="AS1540" s="195"/>
    </row>
    <row r="1541" spans="1:45" ht="19.5" customHeight="1" x14ac:dyDescent="0.25">
      <c r="A1541" s="180" t="s">
        <v>145</v>
      </c>
      <c r="B1541" s="256" t="s">
        <v>129</v>
      </c>
      <c r="D1541" s="167"/>
      <c r="E1541" s="167"/>
      <c r="F1541" s="167"/>
      <c r="G1541" s="167"/>
      <c r="H1541" s="167"/>
      <c r="I1541" s="167"/>
      <c r="J1541" s="167"/>
      <c r="K1541" s="167"/>
      <c r="L1541" s="167"/>
      <c r="M1541" s="167"/>
      <c r="N1541" s="167"/>
      <c r="O1541" s="167"/>
      <c r="P1541" s="167"/>
      <c r="Q1541" s="167"/>
      <c r="R1541" s="167"/>
      <c r="S1541" s="167"/>
      <c r="T1541" s="167"/>
      <c r="U1541" s="167"/>
      <c r="V1541" s="167"/>
      <c r="W1541" s="167"/>
      <c r="X1541" s="167"/>
      <c r="Y1541" s="167"/>
      <c r="Z1541" s="167"/>
      <c r="AA1541" s="167"/>
      <c r="AB1541" s="167"/>
      <c r="AC1541" s="167"/>
      <c r="AD1541" s="167"/>
      <c r="AF1541" s="195"/>
      <c r="AG1541" s="195"/>
      <c r="AH1541" s="195"/>
      <c r="AI1541" s="195"/>
      <c r="AJ1541" s="195"/>
      <c r="AK1541" s="195"/>
      <c r="AL1541" s="195"/>
      <c r="AM1541" s="195"/>
      <c r="AN1541" s="195"/>
      <c r="AO1541" s="195"/>
      <c r="AP1541" s="195"/>
      <c r="AQ1541" s="195"/>
      <c r="AR1541" s="195"/>
    </row>
    <row r="1542" spans="1:45" ht="15.75" customHeight="1" x14ac:dyDescent="0.2">
      <c r="A1542" s="180"/>
      <c r="B1542" s="166"/>
      <c r="D1542" s="167"/>
      <c r="E1542" s="167"/>
      <c r="F1542" s="167"/>
      <c r="G1542" s="167"/>
      <c r="H1542" s="167"/>
      <c r="I1542" s="167"/>
      <c r="J1542" s="167"/>
      <c r="K1542" s="167"/>
      <c r="L1542" s="167"/>
      <c r="M1542" s="167"/>
      <c r="N1542" s="167"/>
      <c r="O1542" s="167"/>
      <c r="P1542" s="167"/>
      <c r="Q1542" s="167"/>
      <c r="R1542" s="167"/>
      <c r="S1542" s="167"/>
      <c r="T1542" s="167"/>
      <c r="U1542" s="167"/>
      <c r="V1542" s="167"/>
      <c r="W1542" s="167"/>
      <c r="X1542" s="167"/>
      <c r="Y1542" s="167"/>
      <c r="Z1542" s="167"/>
      <c r="AA1542" s="167"/>
      <c r="AB1542" s="167"/>
      <c r="AC1542" s="167"/>
      <c r="AD1542" s="167"/>
    </row>
    <row r="1543" spans="1:45" ht="19.5" customHeight="1" x14ac:dyDescent="0.2">
      <c r="A1543" s="180"/>
      <c r="AA1543" s="169" t="s">
        <v>3</v>
      </c>
      <c r="AB1543" s="169" t="s">
        <v>8</v>
      </c>
      <c r="AC1543" s="169"/>
      <c r="AD1543" s="169"/>
    </row>
    <row r="1544" spans="1:45" ht="19.5" customHeight="1" x14ac:dyDescent="0.2">
      <c r="A1544" s="180"/>
      <c r="B1544" s="166"/>
      <c r="D1544" s="169" t="s">
        <v>9</v>
      </c>
      <c r="E1544" s="169" t="s">
        <v>10</v>
      </c>
      <c r="F1544" s="169" t="s">
        <v>11</v>
      </c>
      <c r="G1544" s="169"/>
      <c r="H1544" s="170"/>
      <c r="I1544" s="169" t="s">
        <v>12</v>
      </c>
      <c r="J1544" s="169" t="s">
        <v>13</v>
      </c>
      <c r="K1544" s="169" t="s">
        <v>14</v>
      </c>
      <c r="L1544" s="169" t="s">
        <v>1</v>
      </c>
      <c r="M1544" s="169"/>
      <c r="N1544" s="169" t="s">
        <v>15</v>
      </c>
      <c r="O1544" s="169" t="s">
        <v>16</v>
      </c>
      <c r="P1544" s="169" t="s">
        <v>11</v>
      </c>
      <c r="Q1544" s="169"/>
      <c r="R1544" s="170"/>
      <c r="S1544" s="169" t="s">
        <v>2</v>
      </c>
      <c r="T1544" s="169" t="s">
        <v>13</v>
      </c>
      <c r="U1544" s="169" t="s">
        <v>14</v>
      </c>
      <c r="V1544" s="169" t="s">
        <v>17</v>
      </c>
      <c r="W1544" s="169"/>
      <c r="X1544" s="169" t="s">
        <v>11</v>
      </c>
      <c r="Y1544" s="169" t="s">
        <v>7</v>
      </c>
      <c r="Z1544" s="169" t="s">
        <v>8</v>
      </c>
      <c r="AA1544" s="169" t="s">
        <v>11</v>
      </c>
      <c r="AB1544" s="169" t="s">
        <v>18</v>
      </c>
      <c r="AC1544" s="169"/>
      <c r="AD1544" s="169"/>
    </row>
    <row r="1545" spans="1:45" ht="19.5" customHeight="1" x14ac:dyDescent="0.2">
      <c r="A1545" s="180"/>
      <c r="B1545" s="166"/>
      <c r="D1545" s="175" t="s">
        <v>359</v>
      </c>
      <c r="E1545" s="175" t="s">
        <v>357</v>
      </c>
      <c r="F1545" s="175" t="s">
        <v>21</v>
      </c>
      <c r="G1545" s="175"/>
      <c r="H1545" s="176" t="s">
        <v>361</v>
      </c>
      <c r="I1545" s="175"/>
      <c r="J1545" s="175"/>
      <c r="K1545" s="175"/>
      <c r="L1545" s="175"/>
      <c r="M1545" s="175"/>
      <c r="N1545" s="175"/>
      <c r="O1545" s="175"/>
      <c r="P1545" s="175"/>
      <c r="Q1545" s="175"/>
      <c r="R1545" s="175"/>
      <c r="S1545" s="175" t="s">
        <v>27</v>
      </c>
      <c r="T1545" s="175" t="s">
        <v>28</v>
      </c>
      <c r="U1545" s="175" t="s">
        <v>23</v>
      </c>
      <c r="V1545" s="175" t="s">
        <v>2</v>
      </c>
      <c r="W1545" s="175"/>
      <c r="X1545" s="175" t="s">
        <v>29</v>
      </c>
      <c r="Y1545" s="169" t="s">
        <v>11</v>
      </c>
      <c r="Z1545" s="175" t="s">
        <v>18</v>
      </c>
      <c r="AA1545" s="175" t="s">
        <v>31</v>
      </c>
      <c r="AB1545" s="175" t="s">
        <v>31</v>
      </c>
      <c r="AC1545" s="175"/>
      <c r="AD1545" s="175"/>
    </row>
    <row r="1546" spans="1:45" ht="15.75" customHeight="1" x14ac:dyDescent="0.2">
      <c r="A1546" s="180"/>
      <c r="B1546" s="166"/>
      <c r="C1546" s="174"/>
      <c r="D1546" s="179" t="s">
        <v>8</v>
      </c>
      <c r="E1546" s="179"/>
      <c r="F1546" s="179"/>
      <c r="G1546" s="179"/>
      <c r="H1546" s="179" t="s">
        <v>1</v>
      </c>
      <c r="I1546" s="179"/>
      <c r="J1546" s="179"/>
      <c r="K1546" s="179"/>
      <c r="L1546" s="179"/>
      <c r="M1546" s="179"/>
      <c r="N1546" s="179"/>
      <c r="O1546" s="179"/>
      <c r="P1546" s="179"/>
      <c r="Q1546" s="179"/>
      <c r="R1546" s="179" t="s">
        <v>360</v>
      </c>
      <c r="S1546" s="179"/>
      <c r="T1546" s="179"/>
      <c r="U1546" s="179"/>
      <c r="V1546" s="179"/>
      <c r="W1546" s="179"/>
      <c r="X1546" s="179"/>
      <c r="Y1546" s="179" t="s">
        <v>30</v>
      </c>
      <c r="Z1546" s="179" t="s">
        <v>30</v>
      </c>
      <c r="AA1546" s="179" t="s">
        <v>32</v>
      </c>
      <c r="AB1546" s="179" t="s">
        <v>252</v>
      </c>
      <c r="AC1546" s="175"/>
      <c r="AD1546" s="175"/>
    </row>
    <row r="1547" spans="1:45" ht="15.75" customHeight="1" x14ac:dyDescent="0.2">
      <c r="A1547" s="180"/>
      <c r="C1547" s="174"/>
      <c r="D1547" s="175"/>
      <c r="E1547" s="175"/>
      <c r="F1547" s="175"/>
      <c r="G1547" s="175"/>
      <c r="H1547" s="175"/>
      <c r="I1547" s="175"/>
      <c r="J1547" s="175"/>
      <c r="K1547" s="175"/>
      <c r="L1547" s="175"/>
      <c r="M1547" s="175"/>
      <c r="N1547" s="175"/>
      <c r="O1547" s="175"/>
      <c r="P1547" s="175"/>
      <c r="Q1547" s="175"/>
      <c r="R1547" s="175"/>
      <c r="S1547" s="175"/>
      <c r="T1547" s="175"/>
      <c r="U1547" s="175"/>
      <c r="V1547" s="175"/>
      <c r="W1547" s="175"/>
      <c r="X1547" s="175"/>
      <c r="Y1547" s="175"/>
      <c r="Z1547" s="175"/>
      <c r="AA1547" s="175"/>
      <c r="AB1547" s="175"/>
      <c r="AC1547" s="175"/>
      <c r="AD1547" s="175"/>
    </row>
    <row r="1548" spans="1:45" ht="15.75" customHeight="1" x14ac:dyDescent="0.2">
      <c r="A1548" s="180"/>
      <c r="B1548" s="166" t="s">
        <v>241</v>
      </c>
      <c r="D1548" s="181">
        <f>4109231221.37/1000</f>
        <v>4109231.2213699999</v>
      </c>
      <c r="E1548" s="181" t="e">
        <f>AG83+AG142+AG255+AG439+AG601+AG739+AG873+AG981+AG1097+AG1160+AG1247+AG1351+AG1412+AG1455+AG1509</f>
        <v>#REF!</v>
      </c>
      <c r="F1548" s="181" t="e">
        <f>AH83+AH142+AH255+AH439+AH601+AH739+AH873+AH981+AH1097+AH1160+AH1247+AH1351+AH1412+AH1455+AH1509</f>
        <v>#REF!</v>
      </c>
      <c r="G1548" s="181"/>
      <c r="H1548" s="181">
        <f>2754188493.44/1000</f>
        <v>2754188.4934399999</v>
      </c>
      <c r="I1548" s="181">
        <f>TOBEPAID!I1179/1000</f>
        <v>127170.04359</v>
      </c>
      <c r="J1548" s="181">
        <f>TOBEPAID!J1179/1000</f>
        <v>174313.28405000002</v>
      </c>
      <c r="K1548" s="181">
        <f>TOBEPAID!K1179/1000</f>
        <v>1295.7525600000001</v>
      </c>
      <c r="L1548" s="181">
        <f>TOBEPAID!L1179/1000</f>
        <v>0</v>
      </c>
      <c r="M1548" s="181">
        <f>TOBEPAID!M1179/1000</f>
        <v>0</v>
      </c>
      <c r="N1548" s="181">
        <f>TOBEPAID!N1179/1000</f>
        <v>127170.04359</v>
      </c>
      <c r="O1548" s="181">
        <f>TOBEPAID!O1179/1000</f>
        <v>174313.28405000002</v>
      </c>
      <c r="P1548" s="181">
        <f>TOBEPAID!P1179/1000</f>
        <v>1295.7525600000001</v>
      </c>
      <c r="Q1548" s="181">
        <f>TOBEPAID!Q1179/1000</f>
        <v>0</v>
      </c>
      <c r="R1548" s="181">
        <f>220999309.65/1000</f>
        <v>220999.30965000001</v>
      </c>
      <c r="S1548" s="181">
        <f>TOBEPAID!S1179/1000</f>
        <v>0</v>
      </c>
      <c r="T1548" s="181">
        <f>TOBEPAID!T1179/1000</f>
        <v>0</v>
      </c>
      <c r="U1548" s="181">
        <f>TOBEPAID!U1179/1000</f>
        <v>0</v>
      </c>
      <c r="V1548" s="181">
        <f>TOBEPAID!V1179/1000</f>
        <v>0</v>
      </c>
      <c r="W1548" s="181">
        <f>TOBEPAID!W1179/1000</f>
        <v>0</v>
      </c>
      <c r="X1548" s="181">
        <f>TOBEPAID!X1179/1000</f>
        <v>175609.03660999998</v>
      </c>
      <c r="Y1548" s="181">
        <f>+H1548+R1548</f>
        <v>2975187.8030900001</v>
      </c>
      <c r="Z1548" s="181">
        <f>+D1548-Y1548</f>
        <v>1134043.4182799999</v>
      </c>
      <c r="AA1548" s="170">
        <f>BB79+BB127+BB234+BB399+BB544+BB681+BB793+BB912+BB1027+BB1087+BB1160+BB1230+BB1320+BB1367+BB1412</f>
        <v>0</v>
      </c>
      <c r="AB1548" s="170">
        <f>+D1548-N1548-X1548</f>
        <v>3806452.1411700002</v>
      </c>
      <c r="AC1548" s="170"/>
      <c r="AD1548" s="170"/>
    </row>
    <row r="1549" spans="1:45" ht="15.75" customHeight="1" x14ac:dyDescent="0.2">
      <c r="A1549" s="180"/>
      <c r="B1549" s="166" t="s">
        <v>280</v>
      </c>
      <c r="D1549" s="181">
        <f>225587394/1000</f>
        <v>225587.394</v>
      </c>
      <c r="E1549" s="181">
        <f>AG84+AG143+AG256+AG440+AG602+AG741+AG874+AG982+AG1098+AG1161+AG1248+AG1352+AG1413+AG1456+AG1513</f>
        <v>230846.76191999999</v>
      </c>
      <c r="F1549" s="181">
        <f>AH84+AH143+AH256+AH440+AH602+AH741+AH874+AH982+AH1098+AH1161+AH1248+AH1352+AH1413+AH1456+AH1513</f>
        <v>60000</v>
      </c>
      <c r="G1549" s="181"/>
      <c r="H1549" s="181">
        <f>225587394/1000</f>
        <v>225587.394</v>
      </c>
      <c r="I1549" s="181">
        <f>TOBEPAID!I1180/1000</f>
        <v>225587.39402000001</v>
      </c>
      <c r="J1549" s="181">
        <f>TOBEPAID!J1180/1000</f>
        <v>0</v>
      </c>
      <c r="K1549" s="181">
        <f>TOBEPAID!K1180/1000</f>
        <v>0</v>
      </c>
      <c r="L1549" s="181">
        <f>TOBEPAID!L1180/1000</f>
        <v>0</v>
      </c>
      <c r="M1549" s="181">
        <f>TOBEPAID!M1180/1000</f>
        <v>0</v>
      </c>
      <c r="N1549" s="181">
        <f>TOBEPAID!N1180/1000</f>
        <v>225587.39402000001</v>
      </c>
      <c r="O1549" s="181">
        <f>TOBEPAID!O1180/1000</f>
        <v>0</v>
      </c>
      <c r="P1549" s="181">
        <f>TOBEPAID!P1180/1000</f>
        <v>0</v>
      </c>
      <c r="Q1549" s="181">
        <f>TOBEPAID!Q1180/1000</f>
        <v>0</v>
      </c>
      <c r="R1549" s="181">
        <v>0</v>
      </c>
      <c r="S1549" s="181">
        <f>TOBEPAID!S1180/1000</f>
        <v>0</v>
      </c>
      <c r="T1549" s="181">
        <f>TOBEPAID!T1180/1000</f>
        <v>0</v>
      </c>
      <c r="U1549" s="181">
        <f>TOBEPAID!U1180/1000</f>
        <v>0</v>
      </c>
      <c r="V1549" s="181">
        <f>TOBEPAID!V1180/1000</f>
        <v>0</v>
      </c>
      <c r="W1549" s="181">
        <f>TOBEPAID!W1180/1000</f>
        <v>0</v>
      </c>
      <c r="X1549" s="181">
        <f>TOBEPAID!X1180/1000</f>
        <v>0</v>
      </c>
      <c r="Y1549" s="181">
        <f t="shared" ref="Y1549:Y1584" si="296">+H1549+R1549</f>
        <v>225587.394</v>
      </c>
      <c r="Z1549" s="181">
        <f>+D1549-Y1549</f>
        <v>0</v>
      </c>
      <c r="AA1549" s="170">
        <f>BB80+BB128+BB236+BB400+BB548+BB682+BB794+BB913+BB1028+BB1088+BB1161+BB1231+BB1322+BB1368+BB1413</f>
        <v>0</v>
      </c>
      <c r="AB1549" s="170">
        <f>+D1549-N1549-X1549</f>
        <v>-2.0000006770715117E-5</v>
      </c>
      <c r="AC1549" s="170"/>
      <c r="AD1549" s="170"/>
    </row>
    <row r="1550" spans="1:45" ht="15.75" customHeight="1" x14ac:dyDescent="0.2">
      <c r="A1550" s="180"/>
      <c r="B1550" s="168" t="s">
        <v>130</v>
      </c>
      <c r="D1550" s="181">
        <f>3929139/1000</f>
        <v>3929.1390000000001</v>
      </c>
      <c r="E1550" s="181">
        <f>AG85+AG144+AG257+AG441+AG603+AG742+AG875+AG983+AG1099+AG1162+AG1252+AG1354+AG1418+AG1458+AG1514</f>
        <v>10299.734039999999</v>
      </c>
      <c r="F1550" s="181">
        <f>AH85+AH144+AH257+AH441+AH603+AH742+AH875+AH983+AH1099+AH1162+AH1252+AH1354+AH1418+AH1458+AH1514</f>
        <v>0</v>
      </c>
      <c r="G1550" s="181"/>
      <c r="H1550" s="181">
        <f>1763926/1000</f>
        <v>1763.9259999999999</v>
      </c>
      <c r="I1550" s="181">
        <f>TOBEPAID!I1181/1000</f>
        <v>1763.9260200000001</v>
      </c>
      <c r="J1550" s="181">
        <f>TOBEPAID!J1181/1000</f>
        <v>2165.21324</v>
      </c>
      <c r="K1550" s="181">
        <f>TOBEPAID!K1181/1000</f>
        <v>0</v>
      </c>
      <c r="L1550" s="181">
        <f>TOBEPAID!L1181/1000</f>
        <v>0</v>
      </c>
      <c r="M1550" s="181">
        <f>TOBEPAID!M1181/1000</f>
        <v>0</v>
      </c>
      <c r="N1550" s="181">
        <f>TOBEPAID!N1181/1000</f>
        <v>1763.9260200000001</v>
      </c>
      <c r="O1550" s="181">
        <f>TOBEPAID!O1181/1000</f>
        <v>2165.21324</v>
      </c>
      <c r="P1550" s="181">
        <f>TOBEPAID!P1181/1000</f>
        <v>0</v>
      </c>
      <c r="Q1550" s="181">
        <f>TOBEPAID!Q1181/1000</f>
        <v>0</v>
      </c>
      <c r="R1550" s="181">
        <f>2165213/1000</f>
        <v>2165.2130000000002</v>
      </c>
      <c r="S1550" s="181">
        <f>TOBEPAID!S1181/1000</f>
        <v>0</v>
      </c>
      <c r="T1550" s="181">
        <f>TOBEPAID!T1181/1000</f>
        <v>0</v>
      </c>
      <c r="U1550" s="181">
        <f>TOBEPAID!U1181/1000</f>
        <v>0</v>
      </c>
      <c r="V1550" s="181">
        <f>TOBEPAID!V1181/1000</f>
        <v>0</v>
      </c>
      <c r="W1550" s="181">
        <f>TOBEPAID!W1181/1000</f>
        <v>0</v>
      </c>
      <c r="X1550" s="181">
        <f>TOBEPAID!X1181/1000</f>
        <v>2165.21324</v>
      </c>
      <c r="Y1550" s="181">
        <f t="shared" si="296"/>
        <v>3929.1390000000001</v>
      </c>
      <c r="Z1550" s="181">
        <f>+Y1550-D1550</f>
        <v>0</v>
      </c>
      <c r="AA1550" s="170">
        <f>BB81+BB129+BB237+BB401+BB549+BB683+BB796+BB914+BB1029+BB1089+BB1162+BB1232+BB1324+BB1369+BB1418</f>
        <v>0</v>
      </c>
      <c r="AB1550" s="170">
        <f>+D1550-N1550-X1550</f>
        <v>-2.5999999979831045E-4</v>
      </c>
      <c r="AC1550" s="170"/>
      <c r="AD1550" s="170"/>
    </row>
    <row r="1551" spans="1:45" ht="15.75" customHeight="1" x14ac:dyDescent="0.2">
      <c r="A1551" s="180"/>
      <c r="B1551" s="166" t="s">
        <v>460</v>
      </c>
      <c r="D1551" s="181">
        <f>1029402221.42/1000</f>
        <v>1029402.22142</v>
      </c>
      <c r="E1551" s="181"/>
      <c r="F1551" s="181"/>
      <c r="G1551" s="181"/>
      <c r="H1551" s="181">
        <f>1014392171.42/1000</f>
        <v>1014392.1714199999</v>
      </c>
      <c r="I1551" s="181"/>
      <c r="J1551" s="181"/>
      <c r="K1551" s="181"/>
      <c r="L1551" s="181"/>
      <c r="M1551" s="181"/>
      <c r="N1551" s="181"/>
      <c r="O1551" s="181"/>
      <c r="P1551" s="181"/>
      <c r="Q1551" s="181"/>
      <c r="R1551" s="181">
        <v>0</v>
      </c>
      <c r="S1551" s="181"/>
      <c r="T1551" s="181"/>
      <c r="U1551" s="181"/>
      <c r="V1551" s="181"/>
      <c r="W1551" s="181"/>
      <c r="X1551" s="181"/>
      <c r="Y1551" s="181">
        <f>+H1551+R1551</f>
        <v>1014392.1714199999</v>
      </c>
      <c r="Z1551" s="181">
        <f t="shared" ref="Z1551:Z1556" si="297">+D1551-Y1551</f>
        <v>15010.050000000047</v>
      </c>
      <c r="AA1551" s="170"/>
      <c r="AB1551" s="170"/>
      <c r="AC1551" s="170"/>
      <c r="AD1551" s="170"/>
    </row>
    <row r="1552" spans="1:45" ht="15.75" customHeight="1" x14ac:dyDescent="0.2">
      <c r="B1552" s="165" t="s">
        <v>316</v>
      </c>
      <c r="D1552" s="181">
        <f>13000000/1000</f>
        <v>13000</v>
      </c>
      <c r="E1552" s="181">
        <f>AG86+AG145+AG258+AG442+AG604+AG743+AG876+AG984+AG1100+AG1163+AG1253+AG1356+AG1419+AG1460+AG1515</f>
        <v>11222.625099999999</v>
      </c>
      <c r="F1552" s="181">
        <f>AH86+AH145+AH258+AH442+AH604+AH743+AH876+AH984+AH1100+AH1163+AH1253+AH1356+AH1419+AH1460+AH1515</f>
        <v>0</v>
      </c>
      <c r="G1552" s="181"/>
      <c r="H1552" s="181">
        <f>13000000/1000</f>
        <v>13000</v>
      </c>
      <c r="I1552" s="181">
        <f>TOBEPAID!I1182/1000</f>
        <v>193119.68414000003</v>
      </c>
      <c r="J1552" s="181">
        <f>TOBEPAID!J1182/1000</f>
        <v>29010.536150000004</v>
      </c>
      <c r="K1552" s="181">
        <f>TOBEPAID!K1182/1000</f>
        <v>522.8424</v>
      </c>
      <c r="L1552" s="181">
        <f>TOBEPAID!L1182/1000</f>
        <v>0</v>
      </c>
      <c r="M1552" s="181">
        <f>TOBEPAID!M1182/1000</f>
        <v>0</v>
      </c>
      <c r="N1552" s="181">
        <f>TOBEPAID!N1182/1000</f>
        <v>13000</v>
      </c>
      <c r="O1552" s="181">
        <f>TOBEPAID!O1182/1000</f>
        <v>0</v>
      </c>
      <c r="P1552" s="181">
        <f>TOBEPAID!P1182/1000</f>
        <v>0</v>
      </c>
      <c r="Q1552" s="181">
        <f>TOBEPAID!Q1182/1000</f>
        <v>0</v>
      </c>
      <c r="R1552" s="181">
        <v>0</v>
      </c>
      <c r="S1552" s="181">
        <f>TOBEPAID!S1182/1000</f>
        <v>0</v>
      </c>
      <c r="T1552" s="181">
        <f>TOBEPAID!T1182/1000</f>
        <v>0</v>
      </c>
      <c r="U1552" s="181">
        <f>TOBEPAID!U1182/1000</f>
        <v>0</v>
      </c>
      <c r="V1552" s="181">
        <f>TOBEPAID!V1182/1000</f>
        <v>0</v>
      </c>
      <c r="W1552" s="181">
        <f>TOBEPAID!W1182/1000</f>
        <v>0</v>
      </c>
      <c r="X1552" s="181">
        <f>TOBEPAID!X1182/1000</f>
        <v>0</v>
      </c>
      <c r="Y1552" s="181">
        <f t="shared" si="296"/>
        <v>13000</v>
      </c>
      <c r="Z1552" s="181">
        <f t="shared" si="297"/>
        <v>0</v>
      </c>
      <c r="AA1552" s="170">
        <f>BB82+BB130+BB238+BB402+BB550+BB684+BB797+BB915+BB1030+BB1090+BB1163+BB1233+BB1325+BB1370+BB1419</f>
        <v>0</v>
      </c>
      <c r="AB1552" s="170">
        <f t="shared" ref="AB1552:AB1562" si="298">+D1552-N1552-X1552</f>
        <v>0</v>
      </c>
      <c r="AC1552" s="170"/>
      <c r="AD1552" s="170"/>
    </row>
    <row r="1553" spans="1:30" ht="15.75" customHeight="1" x14ac:dyDescent="0.2">
      <c r="A1553" s="180"/>
      <c r="B1553" s="168" t="s">
        <v>257</v>
      </c>
      <c r="D1553" s="181">
        <f>1000000/1000</f>
        <v>1000</v>
      </c>
      <c r="E1553" s="181">
        <f>AG87+AG146+AG259+AG443+AG605+AG744+AG877+AG985+AG1101+AG1164+AG1254+AG1357+AG1420+AG1461+AG1516</f>
        <v>1656.32944</v>
      </c>
      <c r="F1553" s="181">
        <f>AH87+AH146+AH259+AH443+AH605+AH744+AH877+AH985+AH1101+AH1164+AH1254+AH1357+AH1420+AH1461+AH1516</f>
        <v>0</v>
      </c>
      <c r="G1553" s="181"/>
      <c r="H1553" s="181">
        <f>1000000/1000</f>
        <v>1000</v>
      </c>
      <c r="I1553" s="181">
        <f>TOBEPAID!I1183/1000</f>
        <v>0</v>
      </c>
      <c r="J1553" s="181">
        <f>TOBEPAID!J1183/1000</f>
        <v>0</v>
      </c>
      <c r="K1553" s="181">
        <f>TOBEPAID!K1183/1000</f>
        <v>0</v>
      </c>
      <c r="L1553" s="181">
        <f>TOBEPAID!L1183/1000</f>
        <v>0</v>
      </c>
      <c r="M1553" s="181">
        <f>TOBEPAID!M1183/1000</f>
        <v>0</v>
      </c>
      <c r="N1553" s="181">
        <f>TOBEPAID!N1183/1000</f>
        <v>1000</v>
      </c>
      <c r="O1553" s="181">
        <f>TOBEPAID!O1183/1000</f>
        <v>0</v>
      </c>
      <c r="P1553" s="181">
        <f>TOBEPAID!P1183/1000</f>
        <v>0</v>
      </c>
      <c r="Q1553" s="181">
        <f>TOBEPAID!Q1183/1000</f>
        <v>0</v>
      </c>
      <c r="R1553" s="181">
        <v>0</v>
      </c>
      <c r="S1553" s="181">
        <f>TOBEPAID!S1183/1000</f>
        <v>0</v>
      </c>
      <c r="T1553" s="181">
        <f>TOBEPAID!T1183/1000</f>
        <v>0</v>
      </c>
      <c r="U1553" s="181">
        <f>TOBEPAID!U1183/1000</f>
        <v>0</v>
      </c>
      <c r="V1553" s="181">
        <f>TOBEPAID!V1183/1000</f>
        <v>0</v>
      </c>
      <c r="W1553" s="181">
        <f>TOBEPAID!W1183/1000</f>
        <v>0</v>
      </c>
      <c r="X1553" s="181">
        <f>TOBEPAID!X1183/1000</f>
        <v>0</v>
      </c>
      <c r="Y1553" s="181">
        <f t="shared" si="296"/>
        <v>1000</v>
      </c>
      <c r="Z1553" s="181">
        <f t="shared" si="297"/>
        <v>0</v>
      </c>
      <c r="AA1553" s="170">
        <f>BB82+BB130+BB238+BB402+BB550+BB684+BB797+BB915+BB1030+BB1090+BB1163+BB1233+BB1325+BB1370+BB1419</f>
        <v>0</v>
      </c>
      <c r="AB1553" s="170">
        <f t="shared" si="298"/>
        <v>0</v>
      </c>
      <c r="AC1553" s="170"/>
      <c r="AD1553" s="170"/>
    </row>
    <row r="1554" spans="1:30" ht="15.75" customHeight="1" x14ac:dyDescent="0.2">
      <c r="B1554" s="165" t="s">
        <v>304</v>
      </c>
      <c r="D1554" s="181">
        <v>0</v>
      </c>
      <c r="E1554" s="181" t="e">
        <f>AG88+AG149+#REF!+AG444+AG606+AG745+AG878+AG986+AG1104+AG1165+AG1255+AG1358+AG1421+AG1462+AG1517</f>
        <v>#REF!</v>
      </c>
      <c r="F1554" s="181" t="e">
        <f>AH88+AH149+#REF!+AH444+AH606+AH745+AH878+AH986+AH1104+AH1165+AH1255+AH1358+AH1421+AH1462+AH1517</f>
        <v>#REF!</v>
      </c>
      <c r="G1554" s="181"/>
      <c r="H1554" s="181">
        <v>0</v>
      </c>
      <c r="I1554" s="181">
        <f>TOBEPAID!I1184/1000</f>
        <v>202309.11129999999</v>
      </c>
      <c r="J1554" s="181">
        <f>TOBEPAID!J1184/1000</f>
        <v>5947.2390699999996</v>
      </c>
      <c r="K1554" s="181">
        <f>TOBEPAID!K1184/1000</f>
        <v>0</v>
      </c>
      <c r="L1554" s="181">
        <f>TOBEPAID!L1184/1000</f>
        <v>0</v>
      </c>
      <c r="M1554" s="181">
        <f>TOBEPAID!M1184/1000</f>
        <v>0</v>
      </c>
      <c r="N1554" s="181">
        <f>TOBEPAID!N1184/1000</f>
        <v>145574.57649000001</v>
      </c>
      <c r="O1554" s="181">
        <f>TOBEPAID!O1184/1000</f>
        <v>0</v>
      </c>
      <c r="P1554" s="181">
        <f>TOBEPAID!P1184/1000</f>
        <v>0</v>
      </c>
      <c r="Q1554" s="181">
        <f>TOBEPAID!Q1184/1000</f>
        <v>0</v>
      </c>
      <c r="R1554" s="181">
        <v>0</v>
      </c>
      <c r="S1554" s="181">
        <f>TOBEPAID!S1184/1000</f>
        <v>0</v>
      </c>
      <c r="T1554" s="181">
        <f>TOBEPAID!T1184/1000</f>
        <v>0</v>
      </c>
      <c r="U1554" s="181">
        <f>TOBEPAID!U1184/1000</f>
        <v>0</v>
      </c>
      <c r="V1554" s="181">
        <f>TOBEPAID!V1184/1000</f>
        <v>0</v>
      </c>
      <c r="W1554" s="181">
        <f>TOBEPAID!W1184/1000</f>
        <v>0</v>
      </c>
      <c r="X1554" s="181">
        <f>TOBEPAID!X1184/1000</f>
        <v>0</v>
      </c>
      <c r="Y1554" s="181">
        <f t="shared" si="296"/>
        <v>0</v>
      </c>
      <c r="Z1554" s="181">
        <f t="shared" si="297"/>
        <v>0</v>
      </c>
      <c r="AA1554" s="170">
        <f>BB83+BB131+BB239+BB403+BB551+BB685+BB798+BB917+BB1031+BB1092+BB1164+BB1234+BB1328+BB1373+BB1421</f>
        <v>0</v>
      </c>
      <c r="AB1554" s="170">
        <f t="shared" si="298"/>
        <v>-145574.57649000001</v>
      </c>
      <c r="AC1554" s="170"/>
      <c r="AD1554" s="170"/>
    </row>
    <row r="1555" spans="1:30" ht="15.75" customHeight="1" x14ac:dyDescent="0.2">
      <c r="A1555" s="180"/>
      <c r="B1555" s="168" t="s">
        <v>44</v>
      </c>
      <c r="D1555" s="181">
        <f>300428000/1000</f>
        <v>300428</v>
      </c>
      <c r="E1555" s="181">
        <f>AG89+AG152+AG260+AG445+AG607+AG749+AG881+AG987+AG1105+AG1166+AG1256+AG1359+AG1422+AG1463+AG1518</f>
        <v>45019.767959999997</v>
      </c>
      <c r="F1555" s="181">
        <f>AH89+AH152+AH260+AH445+AH607+AH749+AH881+AH987+AH1105+AH1166+AH1256+AH1359+AH1422+AH1463+AH1518</f>
        <v>0</v>
      </c>
      <c r="G1555" s="181"/>
      <c r="H1555" s="181">
        <f>300428586/1000</f>
        <v>300428.58600000001</v>
      </c>
      <c r="I1555" s="181">
        <f>TOBEPAID!I1185/1000</f>
        <v>300428.58600000001</v>
      </c>
      <c r="J1555" s="181">
        <f>TOBEPAID!J1185/1000</f>
        <v>0</v>
      </c>
      <c r="K1555" s="181">
        <f>TOBEPAID!K1185/1000</f>
        <v>0</v>
      </c>
      <c r="L1555" s="181">
        <f>TOBEPAID!L1185/1000</f>
        <v>0</v>
      </c>
      <c r="M1555" s="181">
        <f>TOBEPAID!M1185/1000</f>
        <v>0</v>
      </c>
      <c r="N1555" s="181">
        <f>TOBEPAID!N1185/1000</f>
        <v>300428.58600000001</v>
      </c>
      <c r="O1555" s="181">
        <f>TOBEPAID!O1185/1000</f>
        <v>0</v>
      </c>
      <c r="P1555" s="181">
        <f>TOBEPAID!P1185/1000</f>
        <v>0</v>
      </c>
      <c r="Q1555" s="181">
        <f>TOBEPAID!Q1185/1000</f>
        <v>0</v>
      </c>
      <c r="R1555" s="181">
        <v>0</v>
      </c>
      <c r="S1555" s="181">
        <f>TOBEPAID!S1185/1000</f>
        <v>0</v>
      </c>
      <c r="T1555" s="181">
        <f>TOBEPAID!T1185/1000</f>
        <v>0</v>
      </c>
      <c r="U1555" s="181">
        <f>TOBEPAID!U1185/1000</f>
        <v>0</v>
      </c>
      <c r="V1555" s="181">
        <f>TOBEPAID!V1185/1000</f>
        <v>0</v>
      </c>
      <c r="W1555" s="181">
        <f>TOBEPAID!W1185/1000</f>
        <v>0</v>
      </c>
      <c r="X1555" s="181">
        <f>TOBEPAID!X1185/1000</f>
        <v>0</v>
      </c>
      <c r="Y1555" s="181">
        <f t="shared" si="296"/>
        <v>300428.58600000001</v>
      </c>
      <c r="Z1555" s="181">
        <f t="shared" si="297"/>
        <v>-0.58600000001024455</v>
      </c>
      <c r="AA1555" s="170">
        <f>BB83+BB131+BB239+BB403+BB551+BB685+BB798+BB917+BB1031+BB1092+BB1164+BB1234+BB1328+BB1373+BB1421</f>
        <v>0</v>
      </c>
      <c r="AB1555" s="170">
        <f t="shared" si="298"/>
        <v>-0.58600000001024455</v>
      </c>
      <c r="AC1555" s="170"/>
      <c r="AD1555" s="170"/>
    </row>
    <row r="1556" spans="1:30" ht="15.75" customHeight="1" x14ac:dyDescent="0.2">
      <c r="A1556" s="180"/>
      <c r="B1556" s="165" t="s">
        <v>281</v>
      </c>
      <c r="D1556" s="181">
        <f>8840000/1000</f>
        <v>8840</v>
      </c>
      <c r="E1556" s="181" t="e">
        <f>AG90+AG155+AG263+AG446+AG608+AG750+AG882+AG988+AG1106+AG1167+AG1267+AG1360+AG1423+AG1464+AG1519</f>
        <v>#VALUE!</v>
      </c>
      <c r="F1556" s="181" t="e">
        <f>AH90+AH155+AH263+AH446+AH608+AH750+AH882+AH988+AH1106+AH1167+AH1267+AH1360+AH1423+AH1464+AH1519</f>
        <v>#VALUE!</v>
      </c>
      <c r="G1556" s="181"/>
      <c r="H1556" s="181">
        <f>8840000/1000</f>
        <v>8840</v>
      </c>
      <c r="I1556" s="181">
        <f>TOBEPAID!I1186/1000</f>
        <v>8840</v>
      </c>
      <c r="J1556" s="181">
        <f>TOBEPAID!J1186/1000</f>
        <v>0</v>
      </c>
      <c r="K1556" s="181">
        <f>TOBEPAID!K1186/1000</f>
        <v>0</v>
      </c>
      <c r="L1556" s="181">
        <f>TOBEPAID!L1186/1000</f>
        <v>0</v>
      </c>
      <c r="M1556" s="181">
        <f>TOBEPAID!M1186/1000</f>
        <v>0</v>
      </c>
      <c r="N1556" s="181">
        <f>TOBEPAID!N1186/1000</f>
        <v>8840</v>
      </c>
      <c r="O1556" s="181">
        <f>TOBEPAID!O1186/1000</f>
        <v>0</v>
      </c>
      <c r="P1556" s="181">
        <f>TOBEPAID!P1186/1000</f>
        <v>0</v>
      </c>
      <c r="Q1556" s="181">
        <f>TOBEPAID!Q1186/1000</f>
        <v>0</v>
      </c>
      <c r="R1556" s="181">
        <v>0</v>
      </c>
      <c r="S1556" s="181">
        <f>TOBEPAID!S1186/1000</f>
        <v>0</v>
      </c>
      <c r="T1556" s="181">
        <f>TOBEPAID!T1186/1000</f>
        <v>0</v>
      </c>
      <c r="U1556" s="181">
        <f>TOBEPAID!U1186/1000</f>
        <v>0</v>
      </c>
      <c r="V1556" s="181">
        <f>TOBEPAID!V1186/1000</f>
        <v>0</v>
      </c>
      <c r="W1556" s="181">
        <f>TOBEPAID!W1186/1000</f>
        <v>0</v>
      </c>
      <c r="X1556" s="181">
        <f>TOBEPAID!X1186/1000</f>
        <v>0</v>
      </c>
      <c r="Y1556" s="181">
        <f t="shared" si="296"/>
        <v>8840</v>
      </c>
      <c r="Z1556" s="181">
        <f t="shared" si="297"/>
        <v>0</v>
      </c>
      <c r="AA1556" s="170">
        <f>BB84+BB132+BB240+BB404+BB553+BB686+BB801+BB918+BB1034+BB1093+BB1165+BB1235+BB1329+BB1374+BB1422</f>
        <v>0</v>
      </c>
      <c r="AB1556" s="170">
        <f t="shared" si="298"/>
        <v>0</v>
      </c>
      <c r="AC1556" s="170"/>
      <c r="AD1556" s="170"/>
    </row>
    <row r="1557" spans="1:30" ht="15.75" customHeight="1" x14ac:dyDescent="0.2">
      <c r="A1557" s="180"/>
      <c r="B1557" s="165" t="s">
        <v>80</v>
      </c>
      <c r="D1557" s="181">
        <f>244439707/1000</f>
        <v>244439.70699999999</v>
      </c>
      <c r="E1557" s="181" t="e">
        <f>AG91+AG159+AG264+AG447+AG609+AG751+AG885+AG989+AG1107+AG1168+AG1270+AG1361+AG1424+AG1465+AG1520</f>
        <v>#REF!</v>
      </c>
      <c r="F1557" s="181" t="e">
        <f>AH91+AH159+AH264+AH447+AH609+AH751+AH885+AH989+AH1107+AH1168+AH1270+AH1361+AH1424+AH1465+AH1520</f>
        <v>#REF!</v>
      </c>
      <c r="G1557" s="181"/>
      <c r="H1557" s="181">
        <f>244439707/1000</f>
        <v>244439.70699999999</v>
      </c>
      <c r="I1557" s="181">
        <f>TOBEPAID!I1187/1000</f>
        <v>269439.70798000001</v>
      </c>
      <c r="J1557" s="181">
        <f>TOBEPAID!J1187/1000</f>
        <v>0</v>
      </c>
      <c r="K1557" s="181">
        <f>TOBEPAID!K1187/1000</f>
        <v>0</v>
      </c>
      <c r="L1557" s="181">
        <f>TOBEPAID!L1187/1000</f>
        <v>0</v>
      </c>
      <c r="M1557" s="181">
        <f>TOBEPAID!M1187/1000</f>
        <v>0</v>
      </c>
      <c r="N1557" s="181">
        <f>TOBEPAID!N1187/1000</f>
        <v>244439.70797999998</v>
      </c>
      <c r="O1557" s="181">
        <f>TOBEPAID!O1187/1000</f>
        <v>0</v>
      </c>
      <c r="P1557" s="181">
        <f>TOBEPAID!P1187/1000</f>
        <v>0</v>
      </c>
      <c r="Q1557" s="181">
        <f>TOBEPAID!Q1187/1000</f>
        <v>0</v>
      </c>
      <c r="R1557" s="181">
        <v>0</v>
      </c>
      <c r="S1557" s="181">
        <f>TOBEPAID!S1187/1000</f>
        <v>0</v>
      </c>
      <c r="T1557" s="181">
        <f>TOBEPAID!T1187/1000</f>
        <v>0</v>
      </c>
      <c r="U1557" s="181">
        <f>TOBEPAID!U1187/1000</f>
        <v>0</v>
      </c>
      <c r="V1557" s="181">
        <f>TOBEPAID!V1187/1000</f>
        <v>0</v>
      </c>
      <c r="W1557" s="181">
        <f>TOBEPAID!W1187/1000</f>
        <v>0</v>
      </c>
      <c r="X1557" s="181">
        <f>TOBEPAID!X1187/1000</f>
        <v>0</v>
      </c>
      <c r="Y1557" s="181">
        <f t="shared" si="296"/>
        <v>244439.70699999999</v>
      </c>
      <c r="Z1557" s="181">
        <f>+Y1557-D1557</f>
        <v>0</v>
      </c>
      <c r="AA1557" s="170">
        <f>BB85+BB133+BB241+BB405+BB554+BB687+BB802+BB919+BB1035+BB1094+BB1166+BB1236+BB1330+BB1375+BB1423</f>
        <v>0</v>
      </c>
      <c r="AB1557" s="170">
        <f t="shared" si="298"/>
        <v>-9.7999998251907527E-4</v>
      </c>
      <c r="AC1557" s="170"/>
      <c r="AD1557" s="170"/>
    </row>
    <row r="1558" spans="1:30" ht="15.75" customHeight="1" x14ac:dyDescent="0.2">
      <c r="A1558" s="180"/>
      <c r="B1558" s="168" t="s">
        <v>243</v>
      </c>
      <c r="D1558" s="181">
        <f>34319767/1000</f>
        <v>34319.767</v>
      </c>
      <c r="E1558" s="181" t="e">
        <f>AG92+AG160+AG265+AG448+AG610+AG752+AG886+AG993+AG1108+AG1169+AG1273+AG1362+AG1425+AG1466+AG1525</f>
        <v>#REF!</v>
      </c>
      <c r="F1558" s="181" t="e">
        <f>AH92+AH160+AH265+AH448+AH610+AH752+AH886+AH993+AH1108+AH1169+AH1273+AH1362+AH1425+AH1466+AH1525</f>
        <v>#REF!</v>
      </c>
      <c r="G1558" s="181"/>
      <c r="H1558" s="181">
        <f>34319767/1000</f>
        <v>34319.767</v>
      </c>
      <c r="I1558" s="181">
        <f>TOBEPAID!I1188/1000</f>
        <v>34319.767959999997</v>
      </c>
      <c r="J1558" s="181">
        <f>TOBEPAID!J1188/1000</f>
        <v>0</v>
      </c>
      <c r="K1558" s="181">
        <f>TOBEPAID!K1188/1000</f>
        <v>0</v>
      </c>
      <c r="L1558" s="181">
        <f>TOBEPAID!L1188/1000</f>
        <v>0</v>
      </c>
      <c r="M1558" s="181">
        <f>TOBEPAID!M1188/1000</f>
        <v>0</v>
      </c>
      <c r="N1558" s="181">
        <f>TOBEPAID!N1188/1000</f>
        <v>34319.767959999997</v>
      </c>
      <c r="O1558" s="181">
        <f>TOBEPAID!O1188/1000</f>
        <v>0</v>
      </c>
      <c r="P1558" s="181">
        <f>TOBEPAID!P1188/1000</f>
        <v>0</v>
      </c>
      <c r="Q1558" s="181">
        <f>TOBEPAID!Q1188/1000</f>
        <v>0</v>
      </c>
      <c r="R1558" s="181">
        <v>0</v>
      </c>
      <c r="S1558" s="181">
        <f>TOBEPAID!S1188/1000</f>
        <v>0</v>
      </c>
      <c r="T1558" s="181">
        <f>TOBEPAID!T1188/1000</f>
        <v>0</v>
      </c>
      <c r="U1558" s="181">
        <f>TOBEPAID!U1188/1000</f>
        <v>0</v>
      </c>
      <c r="V1558" s="181">
        <f>TOBEPAID!V1188/1000</f>
        <v>0</v>
      </c>
      <c r="W1558" s="181">
        <f>TOBEPAID!W1188/1000</f>
        <v>0</v>
      </c>
      <c r="X1558" s="181">
        <f>TOBEPAID!X1188/1000</f>
        <v>0</v>
      </c>
      <c r="Y1558" s="181">
        <f t="shared" si="296"/>
        <v>34319.767</v>
      </c>
      <c r="Z1558" s="181">
        <f>+Y1558-D1558</f>
        <v>0</v>
      </c>
      <c r="AA1558" s="170" t="e">
        <f>BB86+BB134+BB242+BB406+BB555+BB688+BB803+BB920+BB1037+BB1095+BB1167+BB1240+BB1331+BB1376+#REF!</f>
        <v>#REF!</v>
      </c>
      <c r="AB1558" s="170">
        <f t="shared" si="298"/>
        <v>-9.59999997576233E-4</v>
      </c>
      <c r="AC1558" s="170"/>
      <c r="AD1558" s="170"/>
    </row>
    <row r="1559" spans="1:30" ht="15.75" customHeight="1" x14ac:dyDescent="0.2">
      <c r="A1559" s="180"/>
      <c r="B1559" s="168" t="s">
        <v>244</v>
      </c>
      <c r="D1559" s="181">
        <f>9500000/1000</f>
        <v>9500</v>
      </c>
      <c r="E1559" s="181">
        <f>AG93+AG161+AG266+AG451+AG615+AG753+AG887+AG994+AG1109+AG1170+AG1274+AG1363+AG1426+AG1467+AG1526</f>
        <v>113136.919716</v>
      </c>
      <c r="F1559" s="181">
        <f>AH93+AH161+AH266+AH451+AH615+AH753+AH887+AH994+AH1109+AH1170+AH1274+AH1363+AH1426+AH1467+AH1526</f>
        <v>0</v>
      </c>
      <c r="G1559" s="181"/>
      <c r="H1559" s="181">
        <f>9500000/1000</f>
        <v>9500</v>
      </c>
      <c r="I1559" s="181">
        <f>TOBEPAID!I1189/1000</f>
        <v>9500</v>
      </c>
      <c r="J1559" s="181">
        <f>TOBEPAID!J1189/1000</f>
        <v>0</v>
      </c>
      <c r="K1559" s="181">
        <f>TOBEPAID!K1189/1000</f>
        <v>0</v>
      </c>
      <c r="L1559" s="181">
        <f>TOBEPAID!L1189/1000</f>
        <v>0</v>
      </c>
      <c r="M1559" s="181">
        <f>TOBEPAID!M1189/1000</f>
        <v>0</v>
      </c>
      <c r="N1559" s="181">
        <f>TOBEPAID!N1189/1000</f>
        <v>9500</v>
      </c>
      <c r="O1559" s="181">
        <f>TOBEPAID!O1189/1000</f>
        <v>0</v>
      </c>
      <c r="P1559" s="181">
        <f>TOBEPAID!P1189/1000</f>
        <v>0</v>
      </c>
      <c r="Q1559" s="181">
        <f>TOBEPAID!Q1189/1000</f>
        <v>0</v>
      </c>
      <c r="R1559" s="181">
        <v>0</v>
      </c>
      <c r="S1559" s="181">
        <f>TOBEPAID!S1189/1000</f>
        <v>0</v>
      </c>
      <c r="T1559" s="181">
        <f>TOBEPAID!T1189/1000</f>
        <v>0</v>
      </c>
      <c r="U1559" s="181">
        <f>TOBEPAID!U1189/1000</f>
        <v>0</v>
      </c>
      <c r="V1559" s="181">
        <f>TOBEPAID!V1189/1000</f>
        <v>0</v>
      </c>
      <c r="W1559" s="181">
        <f>TOBEPAID!W1189/1000</f>
        <v>0</v>
      </c>
      <c r="X1559" s="181">
        <f>TOBEPAID!X1189/1000</f>
        <v>0</v>
      </c>
      <c r="Y1559" s="181">
        <f t="shared" si="296"/>
        <v>9500</v>
      </c>
      <c r="Z1559" s="181">
        <f t="shared" ref="Z1559:Z1573" si="299">+D1559-Y1559</f>
        <v>0</v>
      </c>
      <c r="AA1559" s="170">
        <f>BB87+BB140+BB243+BB407+BB556+BB689+BB804+BB921+BB1038+BB1096+BB1168+BB1241+BB1332+BB1377+BB1424</f>
        <v>0</v>
      </c>
      <c r="AB1559" s="170">
        <f t="shared" si="298"/>
        <v>0</v>
      </c>
      <c r="AC1559" s="170"/>
      <c r="AD1559" s="170"/>
    </row>
    <row r="1560" spans="1:30" ht="15.75" customHeight="1" x14ac:dyDescent="0.2">
      <c r="A1560" s="180"/>
      <c r="B1560" s="165" t="s">
        <v>282</v>
      </c>
      <c r="D1560" s="181">
        <f>1300000/1000</f>
        <v>1300</v>
      </c>
      <c r="E1560" s="181" t="e">
        <f>AG94+AG162+AG267+AG452+AG616+AG754+AG888+AG995+AG1110+AG1171+AG1275+AG1364+#REF!+AG1468+AG1527</f>
        <v>#REF!</v>
      </c>
      <c r="F1560" s="181" t="e">
        <f>AH94+AH162+AH267+AH452+AH616+AH754+AH888+AH995+AH1110+AH1171+AH1275+AH1364+#REF!+AH1468+AH1527</f>
        <v>#REF!</v>
      </c>
      <c r="G1560" s="181"/>
      <c r="H1560" s="181">
        <f>1300000/1000</f>
        <v>1300</v>
      </c>
      <c r="I1560" s="181">
        <f>TOBEPAID!I1190/1000</f>
        <v>1300</v>
      </c>
      <c r="J1560" s="181">
        <f>TOBEPAID!J1190/1000</f>
        <v>0</v>
      </c>
      <c r="K1560" s="181">
        <f>TOBEPAID!K1190/1000</f>
        <v>0</v>
      </c>
      <c r="L1560" s="181">
        <f>TOBEPAID!L1190/1000</f>
        <v>0</v>
      </c>
      <c r="M1560" s="181">
        <f>TOBEPAID!M1190/1000</f>
        <v>0</v>
      </c>
      <c r="N1560" s="181">
        <f>TOBEPAID!N1190/1000</f>
        <v>1300</v>
      </c>
      <c r="O1560" s="181">
        <f>TOBEPAID!O1190/1000</f>
        <v>0</v>
      </c>
      <c r="P1560" s="181">
        <f>TOBEPAID!P1190/1000</f>
        <v>0</v>
      </c>
      <c r="Q1560" s="181">
        <f>TOBEPAID!Q1190/1000</f>
        <v>0</v>
      </c>
      <c r="R1560" s="181">
        <v>0</v>
      </c>
      <c r="S1560" s="181">
        <f>TOBEPAID!S1190/1000</f>
        <v>0</v>
      </c>
      <c r="T1560" s="181">
        <f>TOBEPAID!T1190/1000</f>
        <v>0</v>
      </c>
      <c r="U1560" s="181">
        <f>TOBEPAID!U1190/1000</f>
        <v>0</v>
      </c>
      <c r="V1560" s="181">
        <f>TOBEPAID!V1190/1000</f>
        <v>0</v>
      </c>
      <c r="W1560" s="181">
        <f>TOBEPAID!W1190/1000</f>
        <v>0</v>
      </c>
      <c r="X1560" s="181">
        <f>TOBEPAID!X1190/1000</f>
        <v>0</v>
      </c>
      <c r="Y1560" s="181">
        <f t="shared" si="296"/>
        <v>1300</v>
      </c>
      <c r="Z1560" s="181">
        <f t="shared" si="299"/>
        <v>0</v>
      </c>
      <c r="AA1560" s="170">
        <f>BB88+BB141+BB244+BB409+BB561+BB690+BB805+BB922+BB1039+BB1097+BB1169+BB1242+BB1333+BB1378+BB1425</f>
        <v>0</v>
      </c>
      <c r="AB1560" s="170">
        <f t="shared" si="298"/>
        <v>0</v>
      </c>
      <c r="AC1560" s="170"/>
      <c r="AD1560" s="170"/>
    </row>
    <row r="1561" spans="1:30" ht="15.75" customHeight="1" x14ac:dyDescent="0.2">
      <c r="A1561" s="180"/>
      <c r="B1561" s="166" t="s">
        <v>131</v>
      </c>
      <c r="D1561" s="181">
        <f>182409/1000</f>
        <v>182.40899999999999</v>
      </c>
      <c r="E1561" s="181" t="e">
        <f>AG95+AG163+AG268+AG453+AG617+AG755+AG889+AG996+AG1111+AG1172+AG1276+AG1365+#REF!+AG1469+AG1528</f>
        <v>#REF!</v>
      </c>
      <c r="F1561" s="181" t="e">
        <f>AH95+AH163+AH268+AH453+AH617+AH755+AH889+AH996+AH1111+AH1172+AH1276+AH1365+#REF!+AH1469+AH1528</f>
        <v>#REF!</v>
      </c>
      <c r="G1561" s="181"/>
      <c r="H1561" s="181">
        <v>0</v>
      </c>
      <c r="I1561" s="181">
        <f>TOBEPAID!I1191/1000</f>
        <v>0</v>
      </c>
      <c r="J1561" s="181">
        <f>TOBEPAID!J1191/1000</f>
        <v>0</v>
      </c>
      <c r="K1561" s="181">
        <f>TOBEPAID!K1191/1000</f>
        <v>0</v>
      </c>
      <c r="L1561" s="181">
        <f>TOBEPAID!L1191/1000</f>
        <v>0</v>
      </c>
      <c r="M1561" s="181">
        <f>TOBEPAID!M1191/1000</f>
        <v>0</v>
      </c>
      <c r="N1561" s="181">
        <f>TOBEPAID!N1191/1000</f>
        <v>0</v>
      </c>
      <c r="O1561" s="181">
        <f>TOBEPAID!O1191/1000</f>
        <v>0</v>
      </c>
      <c r="P1561" s="181">
        <f>TOBEPAID!P1191/1000</f>
        <v>0</v>
      </c>
      <c r="Q1561" s="181">
        <f>TOBEPAID!Q1191/1000</f>
        <v>0</v>
      </c>
      <c r="R1561" s="181">
        <v>0</v>
      </c>
      <c r="S1561" s="181">
        <f>TOBEPAID!S1191/1000</f>
        <v>0</v>
      </c>
      <c r="T1561" s="181">
        <f>TOBEPAID!T1191/1000</f>
        <v>0</v>
      </c>
      <c r="U1561" s="181">
        <f>TOBEPAID!U1191/1000</f>
        <v>0</v>
      </c>
      <c r="V1561" s="181">
        <f>TOBEPAID!V1191/1000</f>
        <v>0</v>
      </c>
      <c r="W1561" s="181">
        <f>TOBEPAID!W1191/1000</f>
        <v>0</v>
      </c>
      <c r="X1561" s="181">
        <f>TOBEPAID!X1191/1000</f>
        <v>0</v>
      </c>
      <c r="Y1561" s="181">
        <f t="shared" si="296"/>
        <v>0</v>
      </c>
      <c r="Z1561" s="181">
        <f t="shared" si="299"/>
        <v>182.40899999999999</v>
      </c>
      <c r="AA1561" s="170">
        <f>BB89+BB142+BB245+BB410+BB562+BB694+BB807+BB923+BB1040+BB1098+BB1170+BB1243+BB1334+BB1379+BB1426</f>
        <v>0</v>
      </c>
      <c r="AB1561" s="170">
        <f t="shared" si="298"/>
        <v>182.40899999999999</v>
      </c>
      <c r="AC1561" s="170"/>
      <c r="AD1561" s="170"/>
    </row>
    <row r="1562" spans="1:30" ht="15.75" customHeight="1" x14ac:dyDescent="0.2">
      <c r="B1562" s="165" t="s">
        <v>319</v>
      </c>
      <c r="D1562" s="181">
        <f>1336228973.74/1000</f>
        <v>1336228.97374</v>
      </c>
      <c r="E1562" s="181" t="e">
        <f>AG96+AG164+#REF!+AG454+AG618+AG756+AG890+AG997+AG1112+AG1173+AG1277+AG1366+AG1427+AG1470+AG1529</f>
        <v>#REF!</v>
      </c>
      <c r="F1562" s="181" t="e">
        <f>AH96+AH164+#REF!+AH454+AH618+AH756+AH890+AH997+AH1112+AH1173+AH1277+AH1366+AH1427+AH1470+AH1529</f>
        <v>#REF!</v>
      </c>
      <c r="G1562" s="181"/>
      <c r="H1562" s="181">
        <f>1336161317.62/1000</f>
        <v>1336161.3176199999</v>
      </c>
      <c r="I1562" s="181">
        <f>TOBEPAID!I1192/1000</f>
        <v>0</v>
      </c>
      <c r="J1562" s="181">
        <f>TOBEPAID!J1192/1000</f>
        <v>0</v>
      </c>
      <c r="K1562" s="181">
        <f>TOBEPAID!K1192/1000</f>
        <v>0</v>
      </c>
      <c r="L1562" s="181">
        <f>TOBEPAID!L1192/1000</f>
        <v>0</v>
      </c>
      <c r="M1562" s="181">
        <f>TOBEPAID!M1192/1000</f>
        <v>0</v>
      </c>
      <c r="N1562" s="181">
        <f>TOBEPAID!N1192/1000</f>
        <v>170174.19977599999</v>
      </c>
      <c r="O1562" s="181">
        <f>TOBEPAID!O1192/1000</f>
        <v>0</v>
      </c>
      <c r="P1562" s="181">
        <f>TOBEPAID!P1192/1000</f>
        <v>0</v>
      </c>
      <c r="Q1562" s="181">
        <f>TOBEPAID!Q1192/1000</f>
        <v>0</v>
      </c>
      <c r="R1562" s="181">
        <v>0</v>
      </c>
      <c r="S1562" s="181">
        <f>TOBEPAID!S1192/1000</f>
        <v>0</v>
      </c>
      <c r="T1562" s="181">
        <f>TOBEPAID!T1192/1000</f>
        <v>0</v>
      </c>
      <c r="U1562" s="181">
        <f>TOBEPAID!U1192/1000</f>
        <v>0</v>
      </c>
      <c r="V1562" s="181">
        <f>TOBEPAID!V1192/1000</f>
        <v>0</v>
      </c>
      <c r="W1562" s="181">
        <f>TOBEPAID!W1192/1000</f>
        <v>0</v>
      </c>
      <c r="X1562" s="181">
        <f>TOBEPAID!X1192/1000</f>
        <v>0</v>
      </c>
      <c r="Y1562" s="181">
        <f t="shared" si="296"/>
        <v>1336161.3176199999</v>
      </c>
      <c r="Z1562" s="181">
        <f t="shared" si="299"/>
        <v>67.656120000174269</v>
      </c>
      <c r="AA1562" s="170">
        <f>BB89+BB142+BB245+BB410+BB562+BB694+BB807+BB923+BB1040+BB1098+BB1170+BB1243+BB1334+BB1379+BB1426</f>
        <v>0</v>
      </c>
      <c r="AB1562" s="170">
        <f t="shared" si="298"/>
        <v>1166054.7739639999</v>
      </c>
      <c r="AC1562" s="170"/>
      <c r="AD1562" s="170"/>
    </row>
    <row r="1563" spans="1:30" ht="15.75" customHeight="1" x14ac:dyDescent="0.2">
      <c r="B1563" s="165" t="s">
        <v>389</v>
      </c>
      <c r="D1563" s="181">
        <f>66552000/1000</f>
        <v>66552</v>
      </c>
      <c r="E1563" s="181"/>
      <c r="F1563" s="181"/>
      <c r="G1563" s="181"/>
      <c r="H1563" s="181">
        <f>66552000/1000</f>
        <v>66552</v>
      </c>
      <c r="I1563" s="181"/>
      <c r="J1563" s="181"/>
      <c r="K1563" s="181"/>
      <c r="L1563" s="181"/>
      <c r="M1563" s="181"/>
      <c r="N1563" s="181"/>
      <c r="O1563" s="181"/>
      <c r="P1563" s="181"/>
      <c r="Q1563" s="181"/>
      <c r="R1563" s="181">
        <v>0</v>
      </c>
      <c r="S1563" s="181"/>
      <c r="T1563" s="181"/>
      <c r="U1563" s="181"/>
      <c r="V1563" s="181"/>
      <c r="W1563" s="181"/>
      <c r="X1563" s="181"/>
      <c r="Y1563" s="181">
        <f>+H1563+R1563</f>
        <v>66552</v>
      </c>
      <c r="Z1563" s="181">
        <f t="shared" si="299"/>
        <v>0</v>
      </c>
      <c r="AA1563" s="170"/>
      <c r="AB1563" s="170"/>
      <c r="AC1563" s="170"/>
      <c r="AD1563" s="170"/>
    </row>
    <row r="1564" spans="1:30" ht="15.75" customHeight="1" x14ac:dyDescent="0.2">
      <c r="A1564" s="180"/>
      <c r="B1564" s="165" t="s">
        <v>296</v>
      </c>
      <c r="D1564" s="181">
        <f>6162693977.8/1000</f>
        <v>6162693.9778000005</v>
      </c>
      <c r="E1564" s="181" t="e">
        <f>AG97+AG165+AG269+AG455+AG619+AG757+AG891+AG998+AG1113+AG1174+AG1278+AG1367+AG1428+AG1471+AG1530</f>
        <v>#REF!</v>
      </c>
      <c r="F1564" s="181" t="e">
        <f>AH97+AH165+AH269+AH455+AH619+AH757+AH891+AH998+AH1113+AH1174+AH1278+AH1367+AH1428+AH1471+AH1530</f>
        <v>#REF!</v>
      </c>
      <c r="G1564" s="181"/>
      <c r="H1564" s="181">
        <f>2142782134.72/1000</f>
        <v>2142782.13472</v>
      </c>
      <c r="I1564" s="181">
        <f>TOBEPAID!I1193/1000</f>
        <v>5843.7300300000006</v>
      </c>
      <c r="J1564" s="181">
        <f>TOBEPAID!J1193/1000</f>
        <v>835.22230000000002</v>
      </c>
      <c r="K1564" s="181">
        <f>TOBEPAID!K1193/1000</f>
        <v>0</v>
      </c>
      <c r="L1564" s="181">
        <f>TOBEPAID!L1193/1000</f>
        <v>0</v>
      </c>
      <c r="M1564" s="181">
        <f>TOBEPAID!M1193/1000</f>
        <v>0</v>
      </c>
      <c r="N1564" s="181">
        <f>TOBEPAID!N1193/1000</f>
        <v>4500</v>
      </c>
      <c r="O1564" s="181">
        <f>TOBEPAID!O1193/1000</f>
        <v>1523.7322199999999</v>
      </c>
      <c r="P1564" s="181">
        <f>TOBEPAID!P1193/1000</f>
        <v>0</v>
      </c>
      <c r="Q1564" s="181">
        <f>TOBEPAID!Q1193/1000</f>
        <v>0</v>
      </c>
      <c r="R1564" s="181">
        <f>5365151/1000</f>
        <v>5365.1509999999998</v>
      </c>
      <c r="S1564" s="181">
        <f>TOBEPAID!S1193/1000</f>
        <v>0</v>
      </c>
      <c r="T1564" s="181">
        <f>TOBEPAID!T1193/1000</f>
        <v>0</v>
      </c>
      <c r="U1564" s="181">
        <f>TOBEPAID!U1193/1000</f>
        <v>0</v>
      </c>
      <c r="V1564" s="181">
        <f>TOBEPAID!V1193/1000</f>
        <v>0</v>
      </c>
      <c r="W1564" s="181">
        <f>TOBEPAID!W1193/1000</f>
        <v>0</v>
      </c>
      <c r="X1564" s="181">
        <f>TOBEPAID!X1193/1000</f>
        <v>1523.7322199999999</v>
      </c>
      <c r="Y1564" s="181">
        <f>+H1564+R1564</f>
        <v>2148147.28572</v>
      </c>
      <c r="Z1564" s="181">
        <f t="shared" si="299"/>
        <v>4014546.6920800004</v>
      </c>
      <c r="AA1564" s="170" t="e">
        <f>BB90+BB143+BB246+BB411+BB563+BB696+BB808+BB924+BB1041+BB1099+BB1171+BB1244+BB1335+BB1380+#REF!</f>
        <v>#REF!</v>
      </c>
      <c r="AB1564" s="170">
        <f>+D1564-N1564-X1564</f>
        <v>6156670.2455800008</v>
      </c>
      <c r="AC1564" s="170"/>
      <c r="AD1564" s="170"/>
    </row>
    <row r="1565" spans="1:30" ht="15.75" customHeight="1" x14ac:dyDescent="0.2">
      <c r="A1565" s="180"/>
      <c r="B1565" s="165" t="s">
        <v>407</v>
      </c>
      <c r="D1565" s="181">
        <f>273038344.86/1000</f>
        <v>273038.34486000001</v>
      </c>
      <c r="E1565" s="181"/>
      <c r="F1565" s="181"/>
      <c r="G1565" s="181"/>
      <c r="H1565" s="181">
        <f>258031961.17/1000</f>
        <v>258031.96117</v>
      </c>
      <c r="I1565" s="181"/>
      <c r="J1565" s="181"/>
      <c r="K1565" s="181"/>
      <c r="L1565" s="181"/>
      <c r="M1565" s="181"/>
      <c r="N1565" s="181"/>
      <c r="O1565" s="181"/>
      <c r="P1565" s="181"/>
      <c r="Q1565" s="181"/>
      <c r="R1565" s="181">
        <f>284360.2/1000</f>
        <v>284.36020000000002</v>
      </c>
      <c r="S1565" s="181"/>
      <c r="T1565" s="181"/>
      <c r="U1565" s="181"/>
      <c r="V1565" s="181"/>
      <c r="W1565" s="181"/>
      <c r="X1565" s="181"/>
      <c r="Y1565" s="181">
        <f>+H1565+R1565</f>
        <v>258316.32136999999</v>
      </c>
      <c r="Z1565" s="181">
        <f t="shared" si="299"/>
        <v>14722.023490000021</v>
      </c>
      <c r="AA1565" s="170"/>
      <c r="AB1565" s="170"/>
      <c r="AC1565" s="170"/>
      <c r="AD1565" s="170"/>
    </row>
    <row r="1566" spans="1:30" ht="15.75" customHeight="1" x14ac:dyDescent="0.2">
      <c r="A1566" s="180"/>
      <c r="B1566" s="165" t="s">
        <v>298</v>
      </c>
      <c r="D1566" s="181">
        <f>86804858/1000</f>
        <v>86804.857999999993</v>
      </c>
      <c r="E1566" s="181" t="e">
        <f>#REF!+AG166+AG270+AG456+AG620+AG758+AG892+AG999+AG1114+AG1179+AG1279+AG1368+AG1429+AG1473+AG1531</f>
        <v>#REF!</v>
      </c>
      <c r="F1566" s="181" t="e">
        <f>#REF!+AH166+AH270+AH456+AH620+AH758+AH892+AH999+AH1114+AH1179+AH1279+AH1368+AH1429+AH1473+AH1531</f>
        <v>#REF!</v>
      </c>
      <c r="G1566" s="181"/>
      <c r="H1566" s="181">
        <f>86804858/1000</f>
        <v>86804.857999999993</v>
      </c>
      <c r="I1566" s="181">
        <f>TOBEPAID!I1194/1000</f>
        <v>36131</v>
      </c>
      <c r="J1566" s="181">
        <f>TOBEPAID!J1194/1000</f>
        <v>0</v>
      </c>
      <c r="K1566" s="181">
        <f>TOBEPAID!K1194/1000</f>
        <v>0</v>
      </c>
      <c r="L1566" s="181">
        <f>TOBEPAID!L1194/1000</f>
        <v>0</v>
      </c>
      <c r="M1566" s="181">
        <f>TOBEPAID!M1194/1000</f>
        <v>0</v>
      </c>
      <c r="N1566" s="181">
        <f>TOBEPAID!N1194/1000</f>
        <v>69437.081200000001</v>
      </c>
      <c r="O1566" s="181">
        <f>TOBEPAID!O1194/1000</f>
        <v>0</v>
      </c>
      <c r="P1566" s="181">
        <f>TOBEPAID!P1194/1000</f>
        <v>0</v>
      </c>
      <c r="Q1566" s="181">
        <f>TOBEPAID!Q1194/1000</f>
        <v>0</v>
      </c>
      <c r="R1566" s="181">
        <v>0</v>
      </c>
      <c r="S1566" s="181">
        <f>TOBEPAID!S1194/1000</f>
        <v>0</v>
      </c>
      <c r="T1566" s="181">
        <f>TOBEPAID!T1194/1000</f>
        <v>0</v>
      </c>
      <c r="U1566" s="181">
        <f>TOBEPAID!U1194/1000</f>
        <v>0</v>
      </c>
      <c r="V1566" s="181">
        <f>TOBEPAID!V1194/1000</f>
        <v>0</v>
      </c>
      <c r="W1566" s="181">
        <f>TOBEPAID!W1194/1000</f>
        <v>0</v>
      </c>
      <c r="X1566" s="181">
        <f>TOBEPAID!X1194/1000</f>
        <v>0</v>
      </c>
      <c r="Y1566" s="181">
        <f t="shared" si="296"/>
        <v>86804.857999999993</v>
      </c>
      <c r="Z1566" s="181">
        <f t="shared" si="299"/>
        <v>0</v>
      </c>
      <c r="AA1566" s="170" t="e">
        <f>BB92+BB145+BB247+BB413+BB564+BB697+BB810+BB925+BB1042+BB1100+BB1172+BB1245+BB1337+BB1381+#REF!</f>
        <v>#REF!</v>
      </c>
      <c r="AB1566" s="170">
        <f>+D1566-N1566-X1566</f>
        <v>17367.776799999992</v>
      </c>
      <c r="AC1566" s="170"/>
      <c r="AD1566" s="170"/>
    </row>
    <row r="1567" spans="1:30" ht="15.75" customHeight="1" x14ac:dyDescent="0.2">
      <c r="A1567" s="180"/>
      <c r="B1567" s="166" t="s">
        <v>132</v>
      </c>
      <c r="D1567" s="181">
        <f>3478605.49/1000</f>
        <v>3478.6054900000004</v>
      </c>
      <c r="E1567" s="181">
        <f>AG98+AG167+AG271+AG457+AG621+AG759+AG893+AG1000+AG1115+AG1180+AG1280+AG1369+AG1430+AG1474+AG1532</f>
        <v>0</v>
      </c>
      <c r="F1567" s="181">
        <f>AH98+AH167+AH271+AH457+AH621+AH759+AH893+AH1000+AH1115+AH1180+AH1280+AH1369+AH1430+AH1474+AH1532</f>
        <v>0</v>
      </c>
      <c r="G1567" s="181"/>
      <c r="H1567" s="181">
        <v>0</v>
      </c>
      <c r="I1567" s="181">
        <f>TOBEPAID!I1195/1000</f>
        <v>0</v>
      </c>
      <c r="J1567" s="181">
        <f>TOBEPAID!J1195/1000</f>
        <v>0</v>
      </c>
      <c r="K1567" s="181">
        <f>TOBEPAID!K1195/1000</f>
        <v>0</v>
      </c>
      <c r="L1567" s="181">
        <f>TOBEPAID!L1195/1000</f>
        <v>0</v>
      </c>
      <c r="M1567" s="181">
        <f>TOBEPAID!M1195/1000</f>
        <v>0</v>
      </c>
      <c r="N1567" s="181">
        <f>TOBEPAID!N1195/1000</f>
        <v>0</v>
      </c>
      <c r="O1567" s="181">
        <f>TOBEPAID!O1195/1000</f>
        <v>0</v>
      </c>
      <c r="P1567" s="181">
        <f>TOBEPAID!P1195/1000</f>
        <v>0</v>
      </c>
      <c r="Q1567" s="181">
        <f>TOBEPAID!Q1195/1000</f>
        <v>0</v>
      </c>
      <c r="R1567" s="181">
        <v>0</v>
      </c>
      <c r="S1567" s="181">
        <f>TOBEPAID!S1195/1000</f>
        <v>0</v>
      </c>
      <c r="T1567" s="181">
        <f>TOBEPAID!T1195/1000</f>
        <v>0</v>
      </c>
      <c r="U1567" s="181">
        <f>TOBEPAID!U1195/1000</f>
        <v>0</v>
      </c>
      <c r="V1567" s="181">
        <f>TOBEPAID!V1195/1000</f>
        <v>0</v>
      </c>
      <c r="W1567" s="181">
        <f>TOBEPAID!W1195/1000</f>
        <v>0</v>
      </c>
      <c r="X1567" s="181">
        <f>TOBEPAID!X1195/1000</f>
        <v>0</v>
      </c>
      <c r="Y1567" s="181">
        <f>+H1567+R1567</f>
        <v>0</v>
      </c>
      <c r="Z1567" s="181">
        <f t="shared" si="299"/>
        <v>3478.6054900000004</v>
      </c>
      <c r="AA1567" s="170" t="e">
        <f>BB90+BB143+BB246+BB411+BB563+BB696+BB808+BB924+BB1041+BB1099+BB1171+BB1244+BB1335+BB1380+#REF!</f>
        <v>#REF!</v>
      </c>
      <c r="AB1567" s="170">
        <f>+D1567-N1567-X1567</f>
        <v>3478.6054900000004</v>
      </c>
      <c r="AC1567" s="170"/>
      <c r="AD1567" s="170"/>
    </row>
    <row r="1568" spans="1:30" ht="15.75" customHeight="1" x14ac:dyDescent="0.2">
      <c r="A1568" s="180"/>
      <c r="B1568" s="166" t="s">
        <v>38</v>
      </c>
      <c r="D1568" s="181">
        <f>56056593.41/1000</f>
        <v>56056.593409999994</v>
      </c>
      <c r="E1568" s="181">
        <f>AG99+AG168+AG272+AG458+AG622+AG760+AG894+AG1002+AG1116+AG1181+AG1281+AG1370+AG1431+AG1475+AG1533</f>
        <v>0</v>
      </c>
      <c r="F1568" s="181">
        <f>AH99+AH168+AH272+AH458+AH622+AH760+AH894+AH1002+AH1116+AH1181+AH1281+AH1370+AH1431+AH1475+AH1533</f>
        <v>0</v>
      </c>
      <c r="G1568" s="181"/>
      <c r="H1568" s="181">
        <f>1260000/1000</f>
        <v>1260</v>
      </c>
      <c r="I1568" s="181">
        <f>TOBEPAID!I1196/1000</f>
        <v>0</v>
      </c>
      <c r="J1568" s="181">
        <f>TOBEPAID!J1196/1000</f>
        <v>14468.645159999998</v>
      </c>
      <c r="K1568" s="181">
        <f>TOBEPAID!K1196/1000</f>
        <v>0</v>
      </c>
      <c r="L1568" s="181">
        <f>TOBEPAID!L1196/1000</f>
        <v>0</v>
      </c>
      <c r="M1568" s="181">
        <f>TOBEPAID!M1196/1000</f>
        <v>0</v>
      </c>
      <c r="N1568" s="181">
        <f>TOBEPAID!N1196/1000</f>
        <v>0</v>
      </c>
      <c r="O1568" s="181">
        <f>TOBEPAID!O1196/1000</f>
        <v>14468.645159999998</v>
      </c>
      <c r="P1568" s="181">
        <f>TOBEPAID!P1196/1000</f>
        <v>0</v>
      </c>
      <c r="Q1568" s="181">
        <f>TOBEPAID!Q1196/1000</f>
        <v>0</v>
      </c>
      <c r="R1568" s="181">
        <f>14805135.9/1000</f>
        <v>14805.135900000001</v>
      </c>
      <c r="S1568" s="181">
        <f>TOBEPAID!S1196/1000</f>
        <v>0</v>
      </c>
      <c r="T1568" s="181">
        <f>TOBEPAID!T1196/1000</f>
        <v>0</v>
      </c>
      <c r="U1568" s="181">
        <f>TOBEPAID!U1196/1000</f>
        <v>0</v>
      </c>
      <c r="V1568" s="181">
        <f>TOBEPAID!V1196/1000</f>
        <v>0</v>
      </c>
      <c r="W1568" s="181">
        <f>TOBEPAID!W1196/1000</f>
        <v>0</v>
      </c>
      <c r="X1568" s="181">
        <f>TOBEPAID!X1196/1000</f>
        <v>14468.645159999998</v>
      </c>
      <c r="Y1568" s="181">
        <f t="shared" si="296"/>
        <v>16065.135900000001</v>
      </c>
      <c r="Z1568" s="181">
        <f t="shared" si="299"/>
        <v>39991.457509999993</v>
      </c>
      <c r="AA1568" s="170" t="e">
        <f>BB92+BB145+BB247+BB413+BB564+BB697+BB810+BB925+BB1042+BB1100+BB1172+BB1245+BB1337+BB1381+#REF!</f>
        <v>#REF!</v>
      </c>
      <c r="AB1568" s="170">
        <f>+D1568-N1568-X1568</f>
        <v>41587.948249999994</v>
      </c>
      <c r="AC1568" s="170"/>
      <c r="AD1568" s="170"/>
    </row>
    <row r="1569" spans="1:44" ht="15.75" customHeight="1" x14ac:dyDescent="0.2">
      <c r="A1569" s="180"/>
      <c r="B1569" s="168" t="s">
        <v>133</v>
      </c>
      <c r="D1569" s="181">
        <f>8661324/1000</f>
        <v>8661.3240000000005</v>
      </c>
      <c r="E1569" s="181">
        <f>AG100+AG169+AG273+AG459+AG623+AG761+AG897+AG1007+AG1117+AG1182+AG1282+AG1373+AG1432+AG1478+AG1534</f>
        <v>0</v>
      </c>
      <c r="F1569" s="181">
        <f>AH100+AH169+AH273+AH459+AH623+AH761+AH897+AH1007+AH1117+AH1182+AH1282+AH1373+AH1432+AH1478+AH1534</f>
        <v>0</v>
      </c>
      <c r="G1569" s="181"/>
      <c r="H1569" s="181">
        <f>TOBEPAID!H1197/1000</f>
        <v>8406.1239999999998</v>
      </c>
      <c r="I1569" s="181">
        <f>TOBEPAID!I1197/1000</f>
        <v>8406.1239999999998</v>
      </c>
      <c r="J1569" s="181">
        <f>TOBEPAID!J1197/1000</f>
        <v>0</v>
      </c>
      <c r="K1569" s="181">
        <f>TOBEPAID!K1197/1000</f>
        <v>0</v>
      </c>
      <c r="L1569" s="181">
        <f>TOBEPAID!L1197/1000</f>
        <v>0</v>
      </c>
      <c r="M1569" s="181">
        <f>TOBEPAID!M1197/1000</f>
        <v>0</v>
      </c>
      <c r="N1569" s="181">
        <f>TOBEPAID!N1197/1000</f>
        <v>8406.1239999999998</v>
      </c>
      <c r="O1569" s="181">
        <f>TOBEPAID!O1197/1000</f>
        <v>0</v>
      </c>
      <c r="P1569" s="181">
        <f>TOBEPAID!P1197/1000</f>
        <v>0</v>
      </c>
      <c r="Q1569" s="181">
        <f>TOBEPAID!Q1197/1000</f>
        <v>0</v>
      </c>
      <c r="R1569" s="181">
        <v>0</v>
      </c>
      <c r="S1569" s="181">
        <f>TOBEPAID!S1197/1000</f>
        <v>0</v>
      </c>
      <c r="T1569" s="181">
        <f>TOBEPAID!T1197/1000</f>
        <v>0</v>
      </c>
      <c r="U1569" s="181">
        <f>TOBEPAID!U1197/1000</f>
        <v>0</v>
      </c>
      <c r="V1569" s="181">
        <f>TOBEPAID!V1197/1000</f>
        <v>0</v>
      </c>
      <c r="W1569" s="181">
        <f>TOBEPAID!W1197/1000</f>
        <v>0</v>
      </c>
      <c r="X1569" s="181">
        <f>TOBEPAID!X1197/1000</f>
        <v>0</v>
      </c>
      <c r="Y1569" s="181">
        <f t="shared" si="296"/>
        <v>8406.1239999999998</v>
      </c>
      <c r="Z1569" s="181">
        <f t="shared" si="299"/>
        <v>255.20000000000073</v>
      </c>
      <c r="AA1569" s="170">
        <f>BB93+BB146+BB248+BB414+BB565+BB698+BB811+BB928+BB1043+BB1101+BB1173+BB1246+BB1339+BB1384+BB1427</f>
        <v>0</v>
      </c>
      <c r="AB1569" s="170">
        <f>+D1569-N1569-X1569</f>
        <v>255.20000000000073</v>
      </c>
      <c r="AC1569" s="170"/>
      <c r="AD1569" s="170"/>
    </row>
    <row r="1570" spans="1:44" ht="15.75" customHeight="1" x14ac:dyDescent="0.2">
      <c r="A1570" s="180"/>
      <c r="B1570" s="165" t="s">
        <v>291</v>
      </c>
      <c r="D1570" s="181">
        <f>24091607429.3/1000</f>
        <v>24091607.429299999</v>
      </c>
      <c r="E1570" s="181">
        <f>AG101+AG173+AG276+AG460+AG624+AG762+AG898+AG1008+AG1118+AG1183+AG1290+AG1374+AG1437+AG1479+AG1535</f>
        <v>0</v>
      </c>
      <c r="F1570" s="181">
        <f>AH101+AH173+AH276+AH460+AH624+AH762+AH898+AH1008+AH1118+AH1183+AH1290+AH1374+AH1437+AH1479+AH1535</f>
        <v>0</v>
      </c>
      <c r="G1570" s="181"/>
      <c r="H1570" s="181">
        <f>24091607429.3/1000</f>
        <v>24091607.429299999</v>
      </c>
      <c r="I1570" s="181">
        <f>TOBEPAID!I1198/1000</f>
        <v>147429.39563999997</v>
      </c>
      <c r="J1570" s="181">
        <f>TOBEPAID!J1198/1000</f>
        <v>62839.227089999993</v>
      </c>
      <c r="K1570" s="181">
        <f>TOBEPAID!K1198/1000</f>
        <v>0</v>
      </c>
      <c r="L1570" s="181">
        <f>TOBEPAID!L1198/1000</f>
        <v>0</v>
      </c>
      <c r="M1570" s="181">
        <f>TOBEPAID!M1198/1000</f>
        <v>0</v>
      </c>
      <c r="N1570" s="181">
        <f>TOBEPAID!N1198/1000</f>
        <v>2378645.59063</v>
      </c>
      <c r="O1570" s="181">
        <f>TOBEPAID!O1198/1000</f>
        <v>0</v>
      </c>
      <c r="P1570" s="181">
        <f>TOBEPAID!P1198/1000</f>
        <v>0</v>
      </c>
      <c r="Q1570" s="181">
        <f>TOBEPAID!Q1198/1000</f>
        <v>0</v>
      </c>
      <c r="R1570" s="181">
        <v>0</v>
      </c>
      <c r="S1570" s="181">
        <f>TOBEPAID!S1198/1000</f>
        <v>0</v>
      </c>
      <c r="T1570" s="181">
        <f>TOBEPAID!T1198/1000</f>
        <v>0</v>
      </c>
      <c r="U1570" s="181">
        <f>TOBEPAID!U1198/1000</f>
        <v>0</v>
      </c>
      <c r="V1570" s="181">
        <f>TOBEPAID!V1198/1000</f>
        <v>0</v>
      </c>
      <c r="W1570" s="181">
        <f>TOBEPAID!W1198/1000</f>
        <v>0</v>
      </c>
      <c r="X1570" s="181">
        <f>TOBEPAID!X1198/1000</f>
        <v>0</v>
      </c>
      <c r="Y1570" s="181">
        <f t="shared" si="296"/>
        <v>24091607.429299999</v>
      </c>
      <c r="Z1570" s="181">
        <f t="shared" si="299"/>
        <v>0</v>
      </c>
      <c r="AA1570" s="170">
        <f>BB94+BB149+BB249+BB415+BB566+BB699+BB814+BB929+BB1044+BB1104+BB1174+BB1247+BB1341+BB1385+BB1428</f>
        <v>0</v>
      </c>
      <c r="AB1570" s="170">
        <f>+D1570-N1570-X1570</f>
        <v>21712961.83867</v>
      </c>
      <c r="AC1570" s="170"/>
      <c r="AD1570" s="170"/>
      <c r="AE1570" s="181"/>
    </row>
    <row r="1571" spans="1:44" ht="15.75" customHeight="1" x14ac:dyDescent="0.2">
      <c r="A1571" s="180"/>
      <c r="B1571" s="165" t="s">
        <v>416</v>
      </c>
      <c r="D1571" s="181">
        <f>2663462055.86/1000</f>
        <v>2663462.0558600002</v>
      </c>
      <c r="E1571" s="181"/>
      <c r="F1571" s="181"/>
      <c r="G1571" s="181"/>
      <c r="H1571" s="181">
        <f>2663462055.86/1000</f>
        <v>2663462.0558600002</v>
      </c>
      <c r="I1571" s="181"/>
      <c r="J1571" s="181"/>
      <c r="K1571" s="181"/>
      <c r="L1571" s="181"/>
      <c r="M1571" s="181"/>
      <c r="N1571" s="181"/>
      <c r="O1571" s="181"/>
      <c r="P1571" s="181"/>
      <c r="Q1571" s="181"/>
      <c r="R1571" s="181">
        <v>0</v>
      </c>
      <c r="S1571" s="181"/>
      <c r="T1571" s="181"/>
      <c r="U1571" s="181"/>
      <c r="V1571" s="181"/>
      <c r="W1571" s="181"/>
      <c r="X1571" s="181"/>
      <c r="Y1571" s="181">
        <f t="shared" si="296"/>
        <v>2663462.0558600002</v>
      </c>
      <c r="Z1571" s="181">
        <f t="shared" si="299"/>
        <v>0</v>
      </c>
      <c r="AA1571" s="170"/>
      <c r="AB1571" s="170"/>
      <c r="AC1571" s="170"/>
      <c r="AD1571" s="170"/>
      <c r="AE1571" s="181"/>
    </row>
    <row r="1572" spans="1:44" ht="15.75" customHeight="1" x14ac:dyDescent="0.2">
      <c r="A1572" s="180"/>
      <c r="B1572" s="165" t="s">
        <v>56</v>
      </c>
      <c r="D1572" s="181">
        <f>1325000/1000</f>
        <v>1325</v>
      </c>
      <c r="E1572" s="181">
        <f>AG102+AG174+AG282+AG461+AG625+AG763+AG899+AG1009+AG1120+AG1184+AG1291+AG1375+AG1438+AG1480+AG1536</f>
        <v>0</v>
      </c>
      <c r="F1572" s="181">
        <f>AH102+AH174+AH282+AH461+AH625+AH763+AH899+AH1009+AH1120+AH1184+AH1291+AH1375+AH1438+AH1480+AH1536</f>
        <v>0</v>
      </c>
      <c r="G1572" s="181"/>
      <c r="H1572" s="181">
        <v>0</v>
      </c>
      <c r="I1572" s="181">
        <f>TOBEPAID!I1199/1000</f>
        <v>0</v>
      </c>
      <c r="J1572" s="181">
        <f>TOBEPAID!J1199/1000</f>
        <v>0</v>
      </c>
      <c r="K1572" s="181">
        <f>TOBEPAID!K1199/1000</f>
        <v>0</v>
      </c>
      <c r="L1572" s="181">
        <f>TOBEPAID!L1199/1000</f>
        <v>0</v>
      </c>
      <c r="M1572" s="181">
        <f>TOBEPAID!M1199/1000</f>
        <v>0</v>
      </c>
      <c r="N1572" s="181">
        <f>TOBEPAID!N1199/1000</f>
        <v>0</v>
      </c>
      <c r="O1572" s="181">
        <f>TOBEPAID!O1199/1000</f>
        <v>0</v>
      </c>
      <c r="P1572" s="181">
        <f>TOBEPAID!P1199/1000</f>
        <v>0</v>
      </c>
      <c r="Q1572" s="181">
        <f>TOBEPAID!Q1199/1000</f>
        <v>0</v>
      </c>
      <c r="R1572" s="181">
        <v>0</v>
      </c>
      <c r="S1572" s="181">
        <f>TOBEPAID!S1199/1000</f>
        <v>0</v>
      </c>
      <c r="T1572" s="181">
        <f>TOBEPAID!T1199/1000</f>
        <v>0</v>
      </c>
      <c r="U1572" s="181">
        <f>TOBEPAID!U1199/1000</f>
        <v>0</v>
      </c>
      <c r="V1572" s="181">
        <f>TOBEPAID!V1199/1000</f>
        <v>0</v>
      </c>
      <c r="W1572" s="181">
        <f>TOBEPAID!W1199/1000</f>
        <v>0</v>
      </c>
      <c r="X1572" s="181">
        <f>TOBEPAID!X1199/1000</f>
        <v>0</v>
      </c>
      <c r="Y1572" s="181">
        <f t="shared" si="296"/>
        <v>0</v>
      </c>
      <c r="Z1572" s="181">
        <f t="shared" si="299"/>
        <v>1325</v>
      </c>
      <c r="AA1572" s="170">
        <f>BB94+BB149+BB249+BB415+BB566+BB699+BB814+BB929+BB1044+BB1104+BB1174+BB1247+BB1341+BB1385+BB1428</f>
        <v>0</v>
      </c>
      <c r="AB1572" s="170">
        <f t="shared" ref="AB1572:AB1584" si="300">+D1572-N1572-X1572</f>
        <v>1325</v>
      </c>
      <c r="AC1572" s="170"/>
      <c r="AD1572" s="170"/>
    </row>
    <row r="1573" spans="1:44" ht="15.75" customHeight="1" x14ac:dyDescent="0.2">
      <c r="A1573" s="180"/>
      <c r="B1573" s="166" t="s">
        <v>134</v>
      </c>
      <c r="D1573" s="181">
        <f>53948312.26/1000</f>
        <v>53948.312259999999</v>
      </c>
      <c r="E1573" s="181">
        <f>AG103+AG175+AG285+AG463+AG626+AG764+AG900+AG1010+AG1121+AG1190+AG1292+AG1376+AG1439+AG1481+AG1537</f>
        <v>0</v>
      </c>
      <c r="F1573" s="181">
        <f>AH103+AH175+AH285+AH463+AH626+AH764+AH900+AH1010+AH1121+AH1190+AH1292+AH1376+AH1439+AH1481+AH1537</f>
        <v>0</v>
      </c>
      <c r="G1573" s="181"/>
      <c r="H1573" s="181">
        <f>43280837/1000</f>
        <v>43280.837</v>
      </c>
      <c r="I1573" s="181">
        <f>TOBEPAID!I1200/1000</f>
        <v>43280.837399999997</v>
      </c>
      <c r="J1573" s="181">
        <f>TOBEPAID!J1200/1000</f>
        <v>3340.8892000000001</v>
      </c>
      <c r="K1573" s="181">
        <f>TOBEPAID!K1200/1000</f>
        <v>0</v>
      </c>
      <c r="L1573" s="181">
        <f>TOBEPAID!L1200/1000</f>
        <v>0</v>
      </c>
      <c r="M1573" s="181">
        <f>TOBEPAID!M1200/1000</f>
        <v>0</v>
      </c>
      <c r="N1573" s="181">
        <f>TOBEPAID!N1200/1000</f>
        <v>43280.837399999997</v>
      </c>
      <c r="O1573" s="181">
        <f>TOBEPAID!O1200/1000</f>
        <v>3340.8892000000001</v>
      </c>
      <c r="P1573" s="181">
        <f>TOBEPAID!P1200/1000</f>
        <v>0</v>
      </c>
      <c r="Q1573" s="181">
        <f>TOBEPAID!Q1200/1000</f>
        <v>0</v>
      </c>
      <c r="R1573" s="181">
        <f>3340889.2/1000</f>
        <v>3340.8892000000001</v>
      </c>
      <c r="S1573" s="181">
        <f>TOBEPAID!S1200/1000</f>
        <v>0</v>
      </c>
      <c r="T1573" s="181">
        <f>TOBEPAID!T1200/1000</f>
        <v>0</v>
      </c>
      <c r="U1573" s="181">
        <f>TOBEPAID!U1200/1000</f>
        <v>0</v>
      </c>
      <c r="V1573" s="181">
        <f>TOBEPAID!V1200/1000</f>
        <v>0</v>
      </c>
      <c r="W1573" s="181">
        <f>TOBEPAID!W1200/1000</f>
        <v>0</v>
      </c>
      <c r="X1573" s="181">
        <f>TOBEPAID!X1200/1000</f>
        <v>3340.8892000000001</v>
      </c>
      <c r="Y1573" s="181">
        <f t="shared" si="296"/>
        <v>46621.726199999997</v>
      </c>
      <c r="Z1573" s="181">
        <f t="shared" si="299"/>
        <v>7326.5860600000015</v>
      </c>
      <c r="AA1573" s="170">
        <f>BB95+BB152+BB250+BB416+BB567+BB700+BB815+BB930+BB1045+BB1105+BB1179+BB1248+BB1342+BB1386+BB1429</f>
        <v>0</v>
      </c>
      <c r="AB1573" s="170">
        <f t="shared" si="300"/>
        <v>7326.5856600000025</v>
      </c>
      <c r="AC1573" s="170"/>
      <c r="AD1573" s="170"/>
    </row>
    <row r="1574" spans="1:44" ht="15.75" customHeight="1" x14ac:dyDescent="0.2">
      <c r="A1574" s="180"/>
      <c r="B1574" s="166" t="s">
        <v>135</v>
      </c>
      <c r="D1574" s="181">
        <f>386634466.69/1000</f>
        <v>386634.46668999997</v>
      </c>
      <c r="E1574" s="181">
        <f>AG104+AG179+AG286+AG464+AG629+AG767+AG901+AG1011+AG1122+AG1191+AG1293+AG1377+AG1440+AG1482+AG1538</f>
        <v>0</v>
      </c>
      <c r="F1574" s="181">
        <f>AH104+AH179+AH286+AH464+AH629+AH767+AH901+AH1011+AH1122+AH1191+AH1293+AH1377+AH1440+AH1482+AH1538</f>
        <v>0</v>
      </c>
      <c r="G1574" s="181"/>
      <c r="H1574" s="181">
        <v>0</v>
      </c>
      <c r="I1574" s="181">
        <f>TOBEPAID!I1201/1000</f>
        <v>0</v>
      </c>
      <c r="J1574" s="181">
        <f>TOBEPAID!J1201/1000</f>
        <v>58196.378840000005</v>
      </c>
      <c r="K1574" s="181">
        <f>TOBEPAID!K1201/1000</f>
        <v>872.51886000000002</v>
      </c>
      <c r="L1574" s="181">
        <f>TOBEPAID!L1201/1000</f>
        <v>0</v>
      </c>
      <c r="M1574" s="181">
        <f>TOBEPAID!M1201/1000</f>
        <v>0</v>
      </c>
      <c r="N1574" s="181">
        <f>TOBEPAID!N1201/1000</f>
        <v>0</v>
      </c>
      <c r="O1574" s="181">
        <f>TOBEPAID!O1201/1000</f>
        <v>58196.378840000005</v>
      </c>
      <c r="P1574" s="181">
        <f>TOBEPAID!P1201/1000</f>
        <v>872.51886000000002</v>
      </c>
      <c r="Q1574" s="181">
        <f>TOBEPAID!Q1201/1000</f>
        <v>0</v>
      </c>
      <c r="R1574" s="181">
        <f>61112191/1000</f>
        <v>61112.190999999999</v>
      </c>
      <c r="S1574" s="181">
        <f>TOBEPAID!S1201/1000</f>
        <v>0</v>
      </c>
      <c r="T1574" s="181">
        <f>TOBEPAID!T1201/1000</f>
        <v>0</v>
      </c>
      <c r="U1574" s="181">
        <f>TOBEPAID!U1201/1000</f>
        <v>0</v>
      </c>
      <c r="V1574" s="181">
        <f>TOBEPAID!V1201/1000</f>
        <v>0</v>
      </c>
      <c r="W1574" s="181">
        <f>TOBEPAID!W1201/1000</f>
        <v>0</v>
      </c>
      <c r="X1574" s="181">
        <f>TOBEPAID!X1201/1000</f>
        <v>59068.897700000001</v>
      </c>
      <c r="Y1574" s="181">
        <f t="shared" si="296"/>
        <v>61112.190999999999</v>
      </c>
      <c r="Z1574" s="181">
        <f t="shared" ref="Z1574:Z1584" si="301">+D1574-Y1574</f>
        <v>325522.27568999998</v>
      </c>
      <c r="AA1574" s="170">
        <f>BB96+BB155+BB251+BB417+BB572+BB701+BB816+BB931+BB1046+BB1106+BB1180+BB1253+BB1348+BB1387+BB1430</f>
        <v>0</v>
      </c>
      <c r="AB1574" s="170">
        <f t="shared" si="300"/>
        <v>327565.56898999994</v>
      </c>
      <c r="AC1574" s="170"/>
      <c r="AD1574" s="170"/>
    </row>
    <row r="1575" spans="1:44" ht="15.75" customHeight="1" x14ac:dyDescent="0.2">
      <c r="A1575" s="180"/>
      <c r="B1575" s="166" t="s">
        <v>136</v>
      </c>
      <c r="D1575" s="181">
        <f>56328154.99/1000</f>
        <v>56328.154990000003</v>
      </c>
      <c r="E1575" s="181">
        <f>AG105+AG180+AG287+AG466+AG632+AG770+AG902+AG1012+AG1123+AG1192+AG1294+AG1378+AG1441+AG1483+AG1539</f>
        <v>0</v>
      </c>
      <c r="F1575" s="181">
        <f>AH105+AH180+AH287+AH466+AH632+AH770+AH902+AH1012+AH1123+AH1192+AH1294+AH1378+AH1441+AH1483+AH1539</f>
        <v>0</v>
      </c>
      <c r="G1575" s="181"/>
      <c r="H1575" s="181">
        <v>0</v>
      </c>
      <c r="I1575" s="181">
        <f>TOBEPAID!I1202/1000</f>
        <v>0</v>
      </c>
      <c r="J1575" s="181">
        <f>TOBEPAID!J1202/1000</f>
        <v>5043.0722100000003</v>
      </c>
      <c r="K1575" s="181">
        <f>TOBEPAID!K1202/1000</f>
        <v>0</v>
      </c>
      <c r="L1575" s="181">
        <f>TOBEPAID!L1202/1000</f>
        <v>0</v>
      </c>
      <c r="M1575" s="181">
        <f>TOBEPAID!M1202/1000</f>
        <v>0</v>
      </c>
      <c r="N1575" s="181">
        <f>TOBEPAID!N1202/1000</f>
        <v>0</v>
      </c>
      <c r="O1575" s="181">
        <f>TOBEPAID!O1202/1000</f>
        <v>5043.0722100000003</v>
      </c>
      <c r="P1575" s="181">
        <f>TOBEPAID!P1202/1000</f>
        <v>0</v>
      </c>
      <c r="Q1575" s="181">
        <f>TOBEPAID!Q1202/1000</f>
        <v>0</v>
      </c>
      <c r="R1575" s="181">
        <f>1969134/1000</f>
        <v>1969.134</v>
      </c>
      <c r="S1575" s="181">
        <f>TOBEPAID!S1202/1000</f>
        <v>0</v>
      </c>
      <c r="T1575" s="181">
        <f>TOBEPAID!T1202/1000</f>
        <v>0</v>
      </c>
      <c r="U1575" s="181">
        <f>TOBEPAID!U1202/1000</f>
        <v>0</v>
      </c>
      <c r="V1575" s="181">
        <f>TOBEPAID!V1202/1000</f>
        <v>0</v>
      </c>
      <c r="W1575" s="181">
        <f>TOBEPAID!W1202/1000</f>
        <v>0</v>
      </c>
      <c r="X1575" s="181">
        <f>TOBEPAID!X1202/1000</f>
        <v>5043.0722100000003</v>
      </c>
      <c r="Y1575" s="181">
        <f t="shared" si="296"/>
        <v>1969.134</v>
      </c>
      <c r="Z1575" s="181">
        <f t="shared" si="301"/>
        <v>54359.020990000005</v>
      </c>
      <c r="AA1575" s="170">
        <f>BB97+BB159+BB252+BB418+BB573+BB702+BB817+BB933+BB1047+BB1107+BB1181+BB1254+BB1349+BB1388+BB1431</f>
        <v>0</v>
      </c>
      <c r="AB1575" s="170">
        <f t="shared" si="300"/>
        <v>51285.082780000004</v>
      </c>
      <c r="AC1575" s="170"/>
      <c r="AD1575" s="170"/>
    </row>
    <row r="1576" spans="1:44" ht="15.75" customHeight="1" x14ac:dyDescent="0.2">
      <c r="A1576" s="180"/>
      <c r="B1576" s="166" t="s">
        <v>53</v>
      </c>
      <c r="D1576" s="181">
        <f>473378247/1000</f>
        <v>473378.24699999997</v>
      </c>
      <c r="E1576" s="181">
        <f>AG106+AG181+AG288+AG470+AG633+AG776+AG903+AG1013+AG1124+AG1193+AG1298+AG1379+AG1442+AG1484+AG1540</f>
        <v>0</v>
      </c>
      <c r="F1576" s="181">
        <f>AH106+AH181+AH288+AH470+AH633+AH776+AH903+AH1013+AH1124+AH1193+AH1298+AH1379+AH1442+AH1484+AH1540</f>
        <v>0</v>
      </c>
      <c r="G1576" s="181"/>
      <c r="H1576" s="181">
        <f>95118/1000</f>
        <v>95.117999999999995</v>
      </c>
      <c r="I1576" s="181">
        <f>TOBEPAID!I1203/1000</f>
        <v>95.117999999999995</v>
      </c>
      <c r="J1576" s="181">
        <f>TOBEPAID!J1203/1000</f>
        <v>348957.77150999999</v>
      </c>
      <c r="K1576" s="181">
        <f>TOBEPAID!K1203/1000</f>
        <v>0</v>
      </c>
      <c r="L1576" s="181">
        <f>TOBEPAID!L1203/1000</f>
        <v>0</v>
      </c>
      <c r="M1576" s="181">
        <f>TOBEPAID!M1203/1000</f>
        <v>0</v>
      </c>
      <c r="N1576" s="181">
        <f>TOBEPAID!N1203/1000</f>
        <v>95.117999999999995</v>
      </c>
      <c r="O1576" s="181">
        <f>TOBEPAID!O1203/1000</f>
        <v>348957.77150999999</v>
      </c>
      <c r="P1576" s="181">
        <f>TOBEPAID!P1203/1000</f>
        <v>0</v>
      </c>
      <c r="Q1576" s="181">
        <f>TOBEPAID!Q1203/1000</f>
        <v>0</v>
      </c>
      <c r="R1576" s="181">
        <f>354208412/1000</f>
        <v>354208.41200000001</v>
      </c>
      <c r="S1576" s="181">
        <f>TOBEPAID!S1203/1000</f>
        <v>0</v>
      </c>
      <c r="T1576" s="181">
        <f>TOBEPAID!T1203/1000</f>
        <v>0</v>
      </c>
      <c r="U1576" s="181">
        <f>TOBEPAID!U1203/1000</f>
        <v>0</v>
      </c>
      <c r="V1576" s="181">
        <f>TOBEPAID!V1203/1000</f>
        <v>0</v>
      </c>
      <c r="W1576" s="181">
        <f>TOBEPAID!W1203/1000</f>
        <v>0</v>
      </c>
      <c r="X1576" s="181">
        <f>TOBEPAID!X1203/1000</f>
        <v>348957.77150999999</v>
      </c>
      <c r="Y1576" s="181">
        <f t="shared" si="296"/>
        <v>354303.53</v>
      </c>
      <c r="Z1576" s="181">
        <f t="shared" si="301"/>
        <v>119074.71699999995</v>
      </c>
      <c r="AA1576" s="170" t="e">
        <f>#REF!+BB160+BB253+BB421+BB574+BB703+BB818+BB934+BB1048+BB1108+BB1182+BB1255+BB1350+BB1389+BB1432</f>
        <v>#REF!</v>
      </c>
      <c r="AB1576" s="170">
        <f t="shared" si="300"/>
        <v>124325.35748999997</v>
      </c>
      <c r="AC1576" s="170"/>
      <c r="AD1576" s="170"/>
    </row>
    <row r="1577" spans="1:44" ht="15.75" customHeight="1" x14ac:dyDescent="0.2">
      <c r="A1577" s="180"/>
      <c r="B1577" s="166" t="s">
        <v>137</v>
      </c>
      <c r="D1577" s="181">
        <f>388777458/1000</f>
        <v>388777.45799999998</v>
      </c>
      <c r="E1577" s="181">
        <f>AG107+AG182+AG289+AG472+AG634+AG778+AG905+AG1014+AG1125+AG1194+AG1301+AG1380+AG1443+AG1485+AG1541</f>
        <v>0</v>
      </c>
      <c r="F1577" s="181">
        <f>AH107+AH182+AH289+AH472+AH634+AH778+AH905+AH1014+AH1125+AH1194+AH1301+AH1380+AH1443+AH1485+AH1541</f>
        <v>0</v>
      </c>
      <c r="G1577" s="181"/>
      <c r="H1577" s="181">
        <f>3000000/1000</f>
        <v>3000</v>
      </c>
      <c r="I1577" s="181">
        <f>TOBEPAID!I1204/1000</f>
        <v>0</v>
      </c>
      <c r="J1577" s="181">
        <f>TOBEPAID!J1204/1000</f>
        <v>328680.54659999994</v>
      </c>
      <c r="K1577" s="181">
        <f>TOBEPAID!K1204/1000</f>
        <v>0</v>
      </c>
      <c r="L1577" s="181">
        <f>TOBEPAID!L1204/1000</f>
        <v>0</v>
      </c>
      <c r="M1577" s="181">
        <f>TOBEPAID!M1204/1000</f>
        <v>0</v>
      </c>
      <c r="N1577" s="181">
        <f>TOBEPAID!N1204/1000</f>
        <v>0</v>
      </c>
      <c r="O1577" s="181">
        <f>TOBEPAID!O1204/1000</f>
        <v>366472.74965999991</v>
      </c>
      <c r="P1577" s="181">
        <f>TOBEPAID!P1204/1000</f>
        <v>0</v>
      </c>
      <c r="Q1577" s="181">
        <f>TOBEPAID!Q1204/1000</f>
        <v>0</v>
      </c>
      <c r="R1577" s="181">
        <f>367314722/1000</f>
        <v>367314.72200000001</v>
      </c>
      <c r="S1577" s="181">
        <f>TOBEPAID!S1204/1000</f>
        <v>0</v>
      </c>
      <c r="T1577" s="181">
        <f>TOBEPAID!T1204/1000</f>
        <v>0</v>
      </c>
      <c r="U1577" s="181">
        <f>TOBEPAID!U1204/1000</f>
        <v>0</v>
      </c>
      <c r="V1577" s="181">
        <f>TOBEPAID!V1204/1000</f>
        <v>0</v>
      </c>
      <c r="W1577" s="181">
        <f>TOBEPAID!W1204/1000</f>
        <v>0</v>
      </c>
      <c r="X1577" s="181">
        <f>TOBEPAID!X1204/1000</f>
        <v>366472.74965999991</v>
      </c>
      <c r="Y1577" s="181">
        <f t="shared" si="296"/>
        <v>370314.72200000001</v>
      </c>
      <c r="Z1577" s="181">
        <f t="shared" si="301"/>
        <v>18462.735999999975</v>
      </c>
      <c r="AA1577" s="170">
        <f>BB98+BB161+BB254+BB422+BB575+BB704+BB819+BB935+BB1049+BB1109+BB1183+BB1256+BB1351+BB1390+BB1433</f>
        <v>0</v>
      </c>
      <c r="AB1577" s="170">
        <f t="shared" si="300"/>
        <v>22304.70834000007</v>
      </c>
      <c r="AC1577" s="170"/>
      <c r="AD1577" s="170"/>
    </row>
    <row r="1578" spans="1:44" ht="15.75" customHeight="1" x14ac:dyDescent="0.2">
      <c r="B1578" s="166" t="s">
        <v>345</v>
      </c>
      <c r="D1578" s="181">
        <f>670019771.28/1000</f>
        <v>670019.77127999999</v>
      </c>
      <c r="E1578" s="181" t="e">
        <f>AG108+AG183+AG290+AG473+AG635+AG779+AG907+AG1015+AG1126+AG1195+AG1302+AG1381+AG1444+AG1488+#REF!</f>
        <v>#REF!</v>
      </c>
      <c r="F1578" s="181" t="e">
        <f>AH108+AH183+AH290+AH473+AH635+AH779+AH907+AH1015+AH1126+AH1195+AH1302+AH1381+AH1444+AH1488+#REF!</f>
        <v>#REF!</v>
      </c>
      <c r="G1578" s="181"/>
      <c r="H1578" s="181">
        <f>611987271.28/1000</f>
        <v>611987.27127999999</v>
      </c>
      <c r="I1578" s="181">
        <f>TOBEPAID!I1205/1000</f>
        <v>0</v>
      </c>
      <c r="J1578" s="181">
        <f>TOBEPAID!J1205/1000</f>
        <v>0</v>
      </c>
      <c r="K1578" s="181">
        <f>TOBEPAID!K1205/1000</f>
        <v>0</v>
      </c>
      <c r="L1578" s="181">
        <f>TOBEPAID!L1205/1000</f>
        <v>0</v>
      </c>
      <c r="M1578" s="181">
        <f>TOBEPAID!M1205/1000</f>
        <v>0</v>
      </c>
      <c r="N1578" s="181">
        <f>TOBEPAID!N1205/1000</f>
        <v>36321.182473000008</v>
      </c>
      <c r="O1578" s="181">
        <f>TOBEPAID!O1205/1000</f>
        <v>0</v>
      </c>
      <c r="P1578" s="181">
        <f>TOBEPAID!P1205/1000</f>
        <v>0</v>
      </c>
      <c r="Q1578" s="181">
        <f>TOBEPAID!Q1205/1000</f>
        <v>0</v>
      </c>
      <c r="R1578" s="181">
        <v>0</v>
      </c>
      <c r="S1578" s="181">
        <f>TOBEPAID!S1205/1000</f>
        <v>0</v>
      </c>
      <c r="T1578" s="181">
        <f>TOBEPAID!T1205/1000</f>
        <v>0</v>
      </c>
      <c r="U1578" s="181">
        <f>TOBEPAID!U1205/1000</f>
        <v>0</v>
      </c>
      <c r="V1578" s="181">
        <f>TOBEPAID!V1205/1000</f>
        <v>0</v>
      </c>
      <c r="W1578" s="181">
        <f>TOBEPAID!W1205/1000</f>
        <v>0</v>
      </c>
      <c r="X1578" s="181">
        <f>TOBEPAID!X1205/1000</f>
        <v>0</v>
      </c>
      <c r="Y1578" s="181">
        <f t="shared" si="296"/>
        <v>611987.27127999999</v>
      </c>
      <c r="Z1578" s="181">
        <f t="shared" si="301"/>
        <v>58032.5</v>
      </c>
      <c r="AA1578" s="170">
        <f>BB99+BB162+BB255+BB423+BB576+BB705+BB820+BB938+BB1050+BB1110+BB1184+BB1267+BB1352+BB1391+BB1437</f>
        <v>0</v>
      </c>
      <c r="AB1578" s="170">
        <f t="shared" si="300"/>
        <v>633698.58880699996</v>
      </c>
      <c r="AC1578" s="170"/>
      <c r="AD1578" s="170"/>
    </row>
    <row r="1579" spans="1:44" ht="15.75" customHeight="1" x14ac:dyDescent="0.2">
      <c r="A1579" s="180"/>
      <c r="B1579" s="165" t="s">
        <v>245</v>
      </c>
      <c r="D1579" s="181">
        <f>434405/1000</f>
        <v>434.40499999999997</v>
      </c>
      <c r="E1579" s="181" t="e">
        <f>AG109+AG184+AG291+AG474+#REF!+AG780+AG908+AG1016+AG1127+AG1196+AG1307+AG1384+AG1445+AG1489+AG1542</f>
        <v>#REF!</v>
      </c>
      <c r="F1579" s="181" t="e">
        <f>AH109+AH184+AH291+AH474+#REF!+AH780+AH908+AH1016+AH1127+AH1196+AH1307+AH1384+AH1445+AH1489+AH1542</f>
        <v>#REF!</v>
      </c>
      <c r="G1579" s="181"/>
      <c r="H1579" s="181">
        <v>0</v>
      </c>
      <c r="I1579" s="181">
        <f>TOBEPAID!I1206/1000</f>
        <v>0</v>
      </c>
      <c r="J1579" s="181">
        <f>TOBEPAID!J1206/1000</f>
        <v>0</v>
      </c>
      <c r="K1579" s="181">
        <f>TOBEPAID!K1206/1000</f>
        <v>0</v>
      </c>
      <c r="L1579" s="181">
        <f>TOBEPAID!L1206/1000</f>
        <v>0</v>
      </c>
      <c r="M1579" s="181">
        <f>TOBEPAID!M1206/1000</f>
        <v>0</v>
      </c>
      <c r="N1579" s="181">
        <f>TOBEPAID!N1206/1000</f>
        <v>0</v>
      </c>
      <c r="O1579" s="181">
        <f>TOBEPAID!O1206/1000</f>
        <v>0</v>
      </c>
      <c r="P1579" s="181">
        <f>TOBEPAID!P1206/1000</f>
        <v>0</v>
      </c>
      <c r="Q1579" s="181">
        <f>TOBEPAID!Q1206/1000</f>
        <v>0</v>
      </c>
      <c r="R1579" s="181">
        <v>0</v>
      </c>
      <c r="S1579" s="181">
        <f>TOBEPAID!S1206/1000</f>
        <v>0</v>
      </c>
      <c r="T1579" s="181">
        <f>TOBEPAID!T1206/1000</f>
        <v>0</v>
      </c>
      <c r="U1579" s="181">
        <f>TOBEPAID!U1206/1000</f>
        <v>0</v>
      </c>
      <c r="V1579" s="181">
        <f>TOBEPAID!V1206/1000</f>
        <v>0</v>
      </c>
      <c r="W1579" s="181">
        <f>TOBEPAID!W1206/1000</f>
        <v>0</v>
      </c>
      <c r="X1579" s="181">
        <f>TOBEPAID!X1206/1000</f>
        <v>0</v>
      </c>
      <c r="Y1579" s="181">
        <f t="shared" si="296"/>
        <v>0</v>
      </c>
      <c r="Z1579" s="181">
        <f t="shared" si="301"/>
        <v>434.40499999999997</v>
      </c>
      <c r="AA1579" s="170">
        <f>BB99+BB162+BB255+BB423+BB576+BB705+BB820+BB938+BB1050+BB1110+BB1184+BB1267+BB1352+BB1391+BB1437</f>
        <v>0</v>
      </c>
      <c r="AB1579" s="170">
        <f t="shared" si="300"/>
        <v>434.40499999999997</v>
      </c>
      <c r="AC1579" s="170"/>
      <c r="AD1579" s="170"/>
    </row>
    <row r="1580" spans="1:44" ht="15.75" customHeight="1" x14ac:dyDescent="0.2">
      <c r="A1580" s="180"/>
      <c r="B1580" s="166" t="s">
        <v>144</v>
      </c>
      <c r="D1580" s="181">
        <f>837838/1000</f>
        <v>837.83799999999997</v>
      </c>
      <c r="E1580" s="181" t="e">
        <f>AG110+AG185+AG292+AG475+#REF!+AG781+AG909+AG1017+AG1128+AG1198+AG1308+AG1385+AG1446+AG1490+AG1543</f>
        <v>#REF!</v>
      </c>
      <c r="F1580" s="181" t="e">
        <f>AH110+AH185+AH292+AH475+#REF!+AH781+AH909+AH1017+AH1128+AH1198+AH1308+AH1385+AH1446+AH1490+AH1543</f>
        <v>#REF!</v>
      </c>
      <c r="G1580" s="181"/>
      <c r="H1580" s="181">
        <f>837838/1000</f>
        <v>837.83799999999997</v>
      </c>
      <c r="I1580" s="181">
        <f>TOBEPAID!I1207/1000</f>
        <v>837.83857</v>
      </c>
      <c r="J1580" s="181">
        <f>TOBEPAID!J1207/1000</f>
        <v>0</v>
      </c>
      <c r="K1580" s="181">
        <f>TOBEPAID!K1207/1000</f>
        <v>0</v>
      </c>
      <c r="L1580" s="181">
        <f>TOBEPAID!L1207/1000</f>
        <v>0</v>
      </c>
      <c r="M1580" s="181">
        <f>TOBEPAID!M1207/1000</f>
        <v>0</v>
      </c>
      <c r="N1580" s="181">
        <f>TOBEPAID!N1207/1000</f>
        <v>837.83857</v>
      </c>
      <c r="O1580" s="181">
        <f>TOBEPAID!O1207/1000</f>
        <v>0</v>
      </c>
      <c r="P1580" s="181">
        <f>TOBEPAID!P1207/1000</f>
        <v>0</v>
      </c>
      <c r="Q1580" s="181">
        <f>TOBEPAID!Q1207/1000</f>
        <v>0</v>
      </c>
      <c r="R1580" s="181">
        <v>0</v>
      </c>
      <c r="S1580" s="181">
        <f>TOBEPAID!S1207/1000</f>
        <v>0</v>
      </c>
      <c r="T1580" s="181">
        <f>TOBEPAID!T1207/1000</f>
        <v>0</v>
      </c>
      <c r="U1580" s="181">
        <f>TOBEPAID!U1207/1000</f>
        <v>0</v>
      </c>
      <c r="V1580" s="181">
        <f>TOBEPAID!V1207/1000</f>
        <v>0</v>
      </c>
      <c r="W1580" s="181">
        <f>TOBEPAID!W1207/1000</f>
        <v>0</v>
      </c>
      <c r="X1580" s="181">
        <f>TOBEPAID!X1207/1000</f>
        <v>0</v>
      </c>
      <c r="Y1580" s="181">
        <f t="shared" si="296"/>
        <v>837.83799999999997</v>
      </c>
      <c r="Z1580" s="181">
        <f t="shared" si="301"/>
        <v>0</v>
      </c>
      <c r="AA1580" s="170">
        <f>BB100+BB163+BB256+BB424+BB577+BB706+BB824+BB939+BB1051+BB1111+BB1190+BB1270+BB1354+BB1392+BB1438</f>
        <v>0</v>
      </c>
      <c r="AB1580" s="170">
        <f t="shared" si="300"/>
        <v>-5.7000000003881723E-4</v>
      </c>
      <c r="AC1580" s="170"/>
      <c r="AD1580" s="170"/>
    </row>
    <row r="1581" spans="1:44" ht="15.75" customHeight="1" x14ac:dyDescent="0.2">
      <c r="A1581" s="180"/>
      <c r="B1581" s="165" t="s">
        <v>271</v>
      </c>
      <c r="D1581" s="181">
        <f>4360000/1000</f>
        <v>4360</v>
      </c>
      <c r="E1581" s="181" t="e">
        <f>AG111+AG186+AG293+AG476+#REF!+AG782+AG910+AG1018+AG1129+AG1201+AG1309+AG1386+AG1447+AG1491+AG1544</f>
        <v>#REF!</v>
      </c>
      <c r="F1581" s="181" t="e">
        <f>AH111+AH186+AH293+AH476+#REF!+AH782+AH910+AH1018+AH1129+AH1201+AH1309+AH1386+AH1447+AH1491+AH1544</f>
        <v>#REF!</v>
      </c>
      <c r="G1581" s="181"/>
      <c r="H1581" s="181">
        <f>4359759/1000</f>
        <v>4359.759</v>
      </c>
      <c r="I1581" s="181">
        <f>TOBEPAID!I1208/1000</f>
        <v>4359.7596199999998</v>
      </c>
      <c r="J1581" s="181">
        <f>TOBEPAID!J1208/1000</f>
        <v>0</v>
      </c>
      <c r="K1581" s="181">
        <f>TOBEPAID!K1208/1000</f>
        <v>0</v>
      </c>
      <c r="L1581" s="181">
        <f>TOBEPAID!L1208/1000</f>
        <v>0</v>
      </c>
      <c r="M1581" s="181">
        <f>TOBEPAID!M1208/1000</f>
        <v>0</v>
      </c>
      <c r="N1581" s="181">
        <f>TOBEPAID!N1208/1000</f>
        <v>4359.7596199999998</v>
      </c>
      <c r="O1581" s="181">
        <f>TOBEPAID!O1208/1000</f>
        <v>0</v>
      </c>
      <c r="P1581" s="181">
        <f>TOBEPAID!P1208/1000</f>
        <v>0</v>
      </c>
      <c r="Q1581" s="181">
        <f>TOBEPAID!Q1208/1000</f>
        <v>0</v>
      </c>
      <c r="R1581" s="181">
        <v>0</v>
      </c>
      <c r="S1581" s="181">
        <f>TOBEPAID!S1208/1000</f>
        <v>0</v>
      </c>
      <c r="T1581" s="181">
        <f>TOBEPAID!T1208/1000</f>
        <v>0</v>
      </c>
      <c r="U1581" s="181">
        <f>TOBEPAID!U1208/1000</f>
        <v>0</v>
      </c>
      <c r="V1581" s="181">
        <f>TOBEPAID!V1208/1000</f>
        <v>0</v>
      </c>
      <c r="W1581" s="181">
        <f>TOBEPAID!W1208/1000</f>
        <v>0</v>
      </c>
      <c r="X1581" s="181">
        <f>TOBEPAID!X1208/1000</f>
        <v>0</v>
      </c>
      <c r="Y1581" s="181">
        <f t="shared" si="296"/>
        <v>4359.759</v>
      </c>
      <c r="Z1581" s="181">
        <f t="shared" si="301"/>
        <v>0.24099999999998545</v>
      </c>
      <c r="AA1581" s="170">
        <f>BB101+BB164+BB257+BB425+BB578+BB707+BB826+BB940+BB1052+BB1112+BB1191+BB1273+BB1355+BB1393+BB1439</f>
        <v>0</v>
      </c>
      <c r="AB1581" s="170">
        <f t="shared" si="300"/>
        <v>0.24038000000018656</v>
      </c>
      <c r="AC1581" s="170"/>
      <c r="AD1581" s="170"/>
    </row>
    <row r="1582" spans="1:44" ht="15.75" customHeight="1" x14ac:dyDescent="0.2">
      <c r="A1582" s="180"/>
      <c r="B1582" s="165" t="s">
        <v>256</v>
      </c>
      <c r="D1582" s="181">
        <f>14279036.31/1000</f>
        <v>14279.036310000001</v>
      </c>
      <c r="E1582" s="181" t="e">
        <f>AG112+AG188+AG294+AG477+#REF!+AG783+AG911+AG1019+AG1130+AG1202+AG1310+AG1387+AG1448+AG1492+AG1545</f>
        <v>#REF!</v>
      </c>
      <c r="F1582" s="181" t="e">
        <f>AH112+AH188+AH294+AH477+#REF!+AH783+AH911+AH1019+AH1130+AH1202+AH1310+AH1387+AH1448+AH1492+AH1545</f>
        <v>#REF!</v>
      </c>
      <c r="G1582" s="181"/>
      <c r="H1582" s="181">
        <f>14279036.31/1000</f>
        <v>14279.036310000001</v>
      </c>
      <c r="I1582" s="181">
        <f>TOBEPAID!I1209/1000</f>
        <v>16734.57706</v>
      </c>
      <c r="J1582" s="181">
        <f>TOBEPAID!J1209/1000</f>
        <v>0</v>
      </c>
      <c r="K1582" s="181">
        <f>TOBEPAID!K1209/1000</f>
        <v>0</v>
      </c>
      <c r="L1582" s="181">
        <f>TOBEPAID!L1209/1000</f>
        <v>0</v>
      </c>
      <c r="M1582" s="181">
        <f>TOBEPAID!M1209/1000</f>
        <v>0</v>
      </c>
      <c r="N1582" s="181">
        <f>TOBEPAID!N1209/1000</f>
        <v>16734.57706</v>
      </c>
      <c r="O1582" s="181">
        <f>TOBEPAID!O1209/1000</f>
        <v>0</v>
      </c>
      <c r="P1582" s="181">
        <f>TOBEPAID!P1209/1000</f>
        <v>0</v>
      </c>
      <c r="Q1582" s="181">
        <f>TOBEPAID!Q1209/1000</f>
        <v>0</v>
      </c>
      <c r="R1582" s="181">
        <v>0</v>
      </c>
      <c r="S1582" s="181">
        <f>TOBEPAID!S1209/1000</f>
        <v>0</v>
      </c>
      <c r="T1582" s="181">
        <f>TOBEPAID!T1209/1000</f>
        <v>0</v>
      </c>
      <c r="U1582" s="181">
        <f>TOBEPAID!U1209/1000</f>
        <v>0</v>
      </c>
      <c r="V1582" s="181">
        <f>TOBEPAID!V1209/1000</f>
        <v>0</v>
      </c>
      <c r="W1582" s="181">
        <f>TOBEPAID!W1209/1000</f>
        <v>0</v>
      </c>
      <c r="X1582" s="181">
        <f>TOBEPAID!X1209/1000</f>
        <v>0</v>
      </c>
      <c r="Y1582" s="181">
        <f t="shared" si="296"/>
        <v>14279.036310000001</v>
      </c>
      <c r="Z1582" s="181">
        <f t="shared" si="301"/>
        <v>0</v>
      </c>
      <c r="AA1582" s="170">
        <f>BB102+BB165+BB258+BB426+BB579+BB708+BB827+BB941+BB1054+BB1113+BB1192+BB1274+BB1356+BB1394+BB1440</f>
        <v>0</v>
      </c>
      <c r="AB1582" s="170">
        <f t="shared" si="300"/>
        <v>-2455.5407499999983</v>
      </c>
      <c r="AC1582" s="170"/>
      <c r="AD1582" s="170"/>
    </row>
    <row r="1583" spans="1:44" ht="15.75" customHeight="1" x14ac:dyDescent="0.2">
      <c r="A1583" s="180"/>
      <c r="B1583" s="165" t="s">
        <v>249</v>
      </c>
      <c r="D1583" s="181">
        <v>0</v>
      </c>
      <c r="E1583" s="181" t="e">
        <f>AG113+AG198+AG295+AG478+#REF!+AG784+AG912+AG1022+AG1131+AG1203+AG1311+AG1388+AG1449+AG1493+AG1546</f>
        <v>#REF!</v>
      </c>
      <c r="F1583" s="181" t="e">
        <f>AH113+AH198+AH295+AH478+#REF!+AH784+AH912+AH1022+AH1131+AH1203+AH1311+AH1388+AH1449+AH1493+AH1546</f>
        <v>#REF!</v>
      </c>
      <c r="G1583" s="181"/>
      <c r="H1583" s="181">
        <v>0</v>
      </c>
      <c r="I1583" s="181">
        <f>TOBEPAID!I1210/1000</f>
        <v>0</v>
      </c>
      <c r="J1583" s="181">
        <f>TOBEPAID!J1210/1000</f>
        <v>0</v>
      </c>
      <c r="K1583" s="181">
        <f>TOBEPAID!K1210/1000</f>
        <v>0</v>
      </c>
      <c r="L1583" s="181">
        <f>TOBEPAID!L1210/1000</f>
        <v>0</v>
      </c>
      <c r="M1583" s="181">
        <f>TOBEPAID!M1210/1000</f>
        <v>0</v>
      </c>
      <c r="N1583" s="181">
        <f>TOBEPAID!N1210/1000</f>
        <v>0</v>
      </c>
      <c r="O1583" s="181">
        <f>TOBEPAID!O1210/1000</f>
        <v>0</v>
      </c>
      <c r="P1583" s="181">
        <f>TOBEPAID!P1210/1000</f>
        <v>0</v>
      </c>
      <c r="Q1583" s="181">
        <f>TOBEPAID!Q1210/1000</f>
        <v>0</v>
      </c>
      <c r="R1583" s="181">
        <v>0</v>
      </c>
      <c r="S1583" s="181">
        <f>TOBEPAID!S1210/1000</f>
        <v>0</v>
      </c>
      <c r="T1583" s="181">
        <f>TOBEPAID!T1210/1000</f>
        <v>0</v>
      </c>
      <c r="U1583" s="181">
        <f>TOBEPAID!U1210/1000</f>
        <v>0</v>
      </c>
      <c r="V1583" s="181">
        <f>TOBEPAID!V1210/1000</f>
        <v>0</v>
      </c>
      <c r="W1583" s="181">
        <f>TOBEPAID!W1210/1000</f>
        <v>0</v>
      </c>
      <c r="X1583" s="181">
        <f>TOBEPAID!X1210/1000</f>
        <v>0</v>
      </c>
      <c r="Y1583" s="181">
        <f t="shared" si="296"/>
        <v>0</v>
      </c>
      <c r="Z1583" s="181">
        <f t="shared" si="301"/>
        <v>0</v>
      </c>
      <c r="AA1583" s="170">
        <f>BB103+BB166+BB259+BB427+BB580+BB709+BB830+BB942+BB1055+BB1114+BB1193+BB1275+BB1357+BB1395+BB1441</f>
        <v>0</v>
      </c>
      <c r="AB1583" s="170">
        <f t="shared" si="300"/>
        <v>0</v>
      </c>
      <c r="AC1583" s="170"/>
      <c r="AD1583" s="170"/>
    </row>
    <row r="1584" spans="1:44" ht="15.75" customHeight="1" x14ac:dyDescent="0.2">
      <c r="B1584" s="165" t="s">
        <v>289</v>
      </c>
      <c r="D1584" s="181">
        <f>2000000/1000</f>
        <v>2000</v>
      </c>
      <c r="E1584" s="181" t="e">
        <f>AG114+AG199+AG296+AG479+#REF!+AG785+AG913+AG1026+AG1132+AG1204+AG1312+AG1389+AG1450+AG1494+AG1547</f>
        <v>#REF!</v>
      </c>
      <c r="F1584" s="181" t="e">
        <f>AH114+AH199+AH296+AH479+#REF!+AH785+AH913+AH1026+AH1132+AH1204+AH1312+AH1389+AH1450+AH1494+AH1547</f>
        <v>#REF!</v>
      </c>
      <c r="G1584" s="181"/>
      <c r="H1584" s="181">
        <v>0</v>
      </c>
      <c r="I1584" s="181">
        <f>TOBEPAID!I1211/1000</f>
        <v>5617.6804800000009</v>
      </c>
      <c r="J1584" s="181">
        <f>TOBEPAID!J1211/1000</f>
        <v>835.22230000000002</v>
      </c>
      <c r="K1584" s="181">
        <f>TOBEPAID!K1211/1000</f>
        <v>0</v>
      </c>
      <c r="L1584" s="181">
        <f>TOBEPAID!L1211/1000</f>
        <v>0</v>
      </c>
      <c r="M1584" s="181">
        <f>TOBEPAID!M1211/1000</f>
        <v>0</v>
      </c>
      <c r="N1584" s="181">
        <f>TOBEPAID!N1211/1000</f>
        <v>0</v>
      </c>
      <c r="O1584" s="181">
        <f>TOBEPAID!O1211/1000</f>
        <v>2000</v>
      </c>
      <c r="P1584" s="181">
        <f>TOBEPAID!P1211/1000</f>
        <v>0</v>
      </c>
      <c r="Q1584" s="181">
        <f>TOBEPAID!Q1211/1000</f>
        <v>0</v>
      </c>
      <c r="R1584" s="181">
        <f>2000000/1000</f>
        <v>2000</v>
      </c>
      <c r="S1584" s="181">
        <f>TOBEPAID!S1211/1000</f>
        <v>0</v>
      </c>
      <c r="T1584" s="181">
        <f>TOBEPAID!T1211/1000</f>
        <v>0</v>
      </c>
      <c r="U1584" s="181">
        <f>TOBEPAID!U1211/1000</f>
        <v>0</v>
      </c>
      <c r="V1584" s="181">
        <f>TOBEPAID!V1211/1000</f>
        <v>0</v>
      </c>
      <c r="W1584" s="181">
        <f>TOBEPAID!W1211/1000</f>
        <v>0</v>
      </c>
      <c r="X1584" s="181">
        <f>TOBEPAID!X1211/1000</f>
        <v>2000</v>
      </c>
      <c r="Y1584" s="181">
        <f t="shared" si="296"/>
        <v>2000</v>
      </c>
      <c r="Z1584" s="181">
        <f t="shared" si="301"/>
        <v>0</v>
      </c>
      <c r="AA1584" s="170" t="e">
        <f>BB104+BB167+#REF!+BB431+BB581+BB710+BB832+BB943+BB1057+BB1115+BB1194+BB1276+BB1358+BB1396+BB1442</f>
        <v>#REF!</v>
      </c>
      <c r="AB1584" s="170">
        <f t="shared" si="300"/>
        <v>0</v>
      </c>
      <c r="AC1584" s="170"/>
      <c r="AD1584" s="170"/>
      <c r="AR1584" s="165" t="e">
        <f>+AR1525-Z1526</f>
        <v>#REF!</v>
      </c>
    </row>
    <row r="1585" spans="1:51" ht="15" customHeight="1" x14ac:dyDescent="0.2">
      <c r="D1585" s="243" t="s">
        <v>40</v>
      </c>
      <c r="E1585" s="243" t="s">
        <v>40</v>
      </c>
      <c r="F1585" s="243" t="s">
        <v>40</v>
      </c>
      <c r="G1585" s="243"/>
      <c r="H1585" s="243" t="s">
        <v>40</v>
      </c>
      <c r="I1585" s="243" t="s">
        <v>40</v>
      </c>
      <c r="J1585" s="243" t="s">
        <v>40</v>
      </c>
      <c r="K1585" s="243" t="s">
        <v>40</v>
      </c>
      <c r="L1585" s="243" t="s">
        <v>40</v>
      </c>
      <c r="M1585" s="243"/>
      <c r="N1585" s="243" t="s">
        <v>40</v>
      </c>
      <c r="O1585" s="243" t="s">
        <v>40</v>
      </c>
      <c r="P1585" s="243" t="s">
        <v>40</v>
      </c>
      <c r="Q1585" s="243"/>
      <c r="R1585" s="243" t="s">
        <v>40</v>
      </c>
      <c r="S1585" s="243" t="s">
        <v>40</v>
      </c>
      <c r="T1585" s="243" t="s">
        <v>40</v>
      </c>
      <c r="U1585" s="243" t="s">
        <v>40</v>
      </c>
      <c r="V1585" s="243" t="s">
        <v>40</v>
      </c>
      <c r="W1585" s="243"/>
      <c r="X1585" s="243" t="s">
        <v>40</v>
      </c>
      <c r="Y1585" s="243" t="s">
        <v>40</v>
      </c>
      <c r="Z1585" s="243" t="s">
        <v>40</v>
      </c>
      <c r="AA1585" s="243" t="s">
        <v>40</v>
      </c>
      <c r="AB1585" s="243" t="s">
        <v>40</v>
      </c>
      <c r="AC1585" s="243"/>
      <c r="AD1585" s="243"/>
    </row>
    <row r="1586" spans="1:51" x14ac:dyDescent="0.2">
      <c r="B1586" s="166" t="s">
        <v>248</v>
      </c>
      <c r="D1586" s="181">
        <f>SUM(D1548:D1584)+1</f>
        <v>42782067.710779995</v>
      </c>
      <c r="E1586" s="181" t="e">
        <f>SUM(E1548:E1584)</f>
        <v>#REF!</v>
      </c>
      <c r="F1586" s="181" t="e">
        <f>SUM(F1548:F1584)</f>
        <v>#REF!</v>
      </c>
      <c r="G1586" s="181"/>
      <c r="H1586" s="181">
        <f>SUM(H1548:H1584)</f>
        <v>35941667.785119995</v>
      </c>
      <c r="I1586" s="181">
        <f>SUM(I1548:I1584)</f>
        <v>1642514.2818100003</v>
      </c>
      <c r="J1586" s="181">
        <f>SUM(J1548:J1584)</f>
        <v>1034633.2477200001</v>
      </c>
      <c r="K1586" s="181">
        <f>SUM(K1548:K1584)</f>
        <v>2691.11382</v>
      </c>
      <c r="L1586" s="181">
        <f>SUM(L1548:L1584)</f>
        <v>0</v>
      </c>
      <c r="M1586" s="181"/>
      <c r="N1586" s="181">
        <f>SUM(N1548:N1584)</f>
        <v>3845716.3107890007</v>
      </c>
      <c r="O1586" s="181">
        <f>SUM(O1548:O1584)</f>
        <v>976481.73609000002</v>
      </c>
      <c r="P1586" s="181">
        <f>SUM(P1548:P1584)</f>
        <v>2168.27142</v>
      </c>
      <c r="Q1586" s="181"/>
      <c r="R1586" s="181">
        <f>SUM(R1548:R1584)-1</f>
        <v>1033563.51795</v>
      </c>
      <c r="S1586" s="181">
        <f>SUM(S1548:S1584)</f>
        <v>0</v>
      </c>
      <c r="T1586" s="181">
        <f>SUM(T1548:T1584)</f>
        <v>0</v>
      </c>
      <c r="U1586" s="181">
        <f>SUM(U1548:U1584)</f>
        <v>0</v>
      </c>
      <c r="V1586" s="181">
        <f>SUM(V1548:V1584)</f>
        <v>0</v>
      </c>
      <c r="W1586" s="181"/>
      <c r="X1586" s="181">
        <f>SUM(X1548:X1584)</f>
        <v>978650.00750999991</v>
      </c>
      <c r="Y1586" s="181">
        <f>SUM(Y1548:Y1584)+1</f>
        <v>36975233.303070009</v>
      </c>
      <c r="Z1586" s="181">
        <f>SUM(Z1548:Z1584)+1</f>
        <v>5806835.4077099999</v>
      </c>
      <c r="AA1586" s="170" t="e">
        <f>SUM(AA1548:AA1584)</f>
        <v>#REF!</v>
      </c>
      <c r="AB1586" s="170">
        <f>SUM(AB1548:AB1584)</f>
        <v>33925245.770341001</v>
      </c>
      <c r="AC1586" s="170"/>
      <c r="AD1586" s="170"/>
    </row>
    <row r="1587" spans="1:51" ht="15" customHeight="1" x14ac:dyDescent="0.2">
      <c r="D1587" s="243" t="s">
        <v>50</v>
      </c>
      <c r="E1587" s="243" t="s">
        <v>50</v>
      </c>
      <c r="F1587" s="243" t="s">
        <v>50</v>
      </c>
      <c r="G1587" s="243"/>
      <c r="H1587" s="243" t="s">
        <v>50</v>
      </c>
      <c r="I1587" s="243" t="s">
        <v>50</v>
      </c>
      <c r="J1587" s="243" t="s">
        <v>50</v>
      </c>
      <c r="K1587" s="243" t="s">
        <v>50</v>
      </c>
      <c r="L1587" s="243" t="s">
        <v>50</v>
      </c>
      <c r="M1587" s="243"/>
      <c r="N1587" s="243" t="s">
        <v>50</v>
      </c>
      <c r="O1587" s="243" t="s">
        <v>50</v>
      </c>
      <c r="P1587" s="243" t="s">
        <v>50</v>
      </c>
      <c r="Q1587" s="243"/>
      <c r="R1587" s="243" t="s">
        <v>50</v>
      </c>
      <c r="S1587" s="243" t="s">
        <v>50</v>
      </c>
      <c r="T1587" s="243" t="s">
        <v>50</v>
      </c>
      <c r="U1587" s="243" t="s">
        <v>50</v>
      </c>
      <c r="V1587" s="243" t="s">
        <v>50</v>
      </c>
      <c r="W1587" s="243"/>
      <c r="X1587" s="243" t="s">
        <v>50</v>
      </c>
      <c r="Y1587" s="243" t="s">
        <v>50</v>
      </c>
      <c r="Z1587" s="243" t="s">
        <v>50</v>
      </c>
      <c r="AA1587" s="243" t="s">
        <v>50</v>
      </c>
      <c r="AB1587" s="243" t="s">
        <v>50</v>
      </c>
      <c r="AC1587" s="243"/>
      <c r="AD1587" s="243"/>
    </row>
    <row r="1588" spans="1:51" ht="15" customHeight="1" x14ac:dyDescent="0.2">
      <c r="D1588" s="258"/>
      <c r="E1588" s="258"/>
      <c r="F1588" s="258"/>
      <c r="G1588" s="258"/>
      <c r="H1588" s="258"/>
      <c r="I1588" s="258"/>
      <c r="J1588" s="258"/>
      <c r="K1588" s="258"/>
      <c r="L1588" s="258"/>
      <c r="M1588" s="258"/>
      <c r="N1588" s="258"/>
      <c r="O1588" s="258"/>
      <c r="P1588" s="258"/>
      <c r="Q1588" s="258"/>
      <c r="R1588" s="258"/>
      <c r="S1588" s="258"/>
      <c r="T1588" s="258"/>
      <c r="U1588" s="258"/>
      <c r="V1588" s="258"/>
      <c r="W1588" s="258"/>
      <c r="X1588" s="258"/>
      <c r="Y1588" s="258"/>
      <c r="Z1588" s="258"/>
      <c r="AA1588" s="259"/>
      <c r="AB1588" s="259"/>
      <c r="AC1588" s="259"/>
      <c r="AD1588" s="259"/>
      <c r="AE1588" s="260"/>
      <c r="AF1588" s="260"/>
      <c r="AG1588" s="260"/>
      <c r="AH1588" s="260"/>
      <c r="AI1588" s="260"/>
      <c r="AJ1588" s="260"/>
      <c r="AK1588" s="260"/>
      <c r="AL1588" s="260"/>
      <c r="AM1588" s="260"/>
      <c r="AN1588" s="260"/>
      <c r="AO1588" s="260"/>
      <c r="AP1588" s="260"/>
      <c r="AQ1588" s="260"/>
      <c r="AR1588" s="260"/>
      <c r="AS1588" s="260"/>
      <c r="AT1588" s="260"/>
      <c r="AU1588" s="260"/>
      <c r="AV1588" s="260"/>
      <c r="AW1588" s="260"/>
      <c r="AX1588" s="260"/>
      <c r="AY1588" s="260"/>
    </row>
    <row r="1589" spans="1:51" ht="15.75" customHeight="1" thickBot="1" x14ac:dyDescent="0.25">
      <c r="B1589" s="165" t="s">
        <v>294</v>
      </c>
      <c r="D1589" s="198">
        <f>+D1529</f>
        <v>35754.094639999996</v>
      </c>
      <c r="E1589" s="167"/>
      <c r="F1589" s="167"/>
      <c r="G1589" s="167"/>
      <c r="H1589" s="167"/>
      <c r="I1589" s="167"/>
      <c r="J1589" s="167"/>
      <c r="K1589" s="167"/>
      <c r="L1589" s="167"/>
      <c r="M1589" s="167"/>
      <c r="N1589" s="167"/>
      <c r="O1589" s="244">
        <f>+O1529</f>
        <v>137986.81619999997</v>
      </c>
      <c r="P1589" s="244">
        <f>+P419+P205</f>
        <v>0</v>
      </c>
      <c r="Q1589" s="167"/>
      <c r="R1589" s="198">
        <f>+D1589</f>
        <v>35754.094639999996</v>
      </c>
      <c r="S1589" s="167"/>
      <c r="T1589" s="167"/>
      <c r="U1589" s="167"/>
      <c r="V1589" s="244">
        <f>+V477+V1493+V1125</f>
        <v>6098.0420000000004</v>
      </c>
      <c r="W1589" s="167"/>
      <c r="X1589" s="167"/>
      <c r="Y1589" s="198">
        <f>+Y1529</f>
        <v>35754.093879999993</v>
      </c>
      <c r="Z1589" s="244">
        <v>0</v>
      </c>
      <c r="AA1589" s="167"/>
      <c r="AB1589" s="167"/>
      <c r="AC1589" s="167"/>
      <c r="AD1589" s="167"/>
    </row>
    <row r="1590" spans="1:51" ht="15.75" customHeight="1" thickTop="1" x14ac:dyDescent="0.2">
      <c r="D1590" s="167"/>
      <c r="E1590" s="167"/>
      <c r="F1590" s="167"/>
      <c r="G1590" s="167"/>
      <c r="H1590" s="167"/>
      <c r="I1590" s="167"/>
      <c r="J1590" s="167"/>
      <c r="K1590" s="167"/>
      <c r="L1590" s="167"/>
      <c r="M1590" s="167"/>
      <c r="N1590" s="167"/>
      <c r="O1590" s="167"/>
      <c r="P1590" s="167"/>
      <c r="Q1590" s="167"/>
      <c r="R1590" s="167"/>
      <c r="S1590" s="167"/>
      <c r="T1590" s="167"/>
      <c r="U1590" s="167"/>
      <c r="V1590" s="167"/>
      <c r="W1590" s="167"/>
      <c r="X1590" s="167"/>
      <c r="Y1590" s="240"/>
      <c r="Z1590" s="167"/>
      <c r="AA1590" s="167"/>
      <c r="AB1590" s="167"/>
      <c r="AC1590" s="167"/>
      <c r="AD1590" s="167"/>
    </row>
    <row r="1591" spans="1:51" ht="15" customHeight="1" x14ac:dyDescent="0.2">
      <c r="D1591" s="167"/>
      <c r="E1591" s="167"/>
      <c r="F1591" s="167"/>
      <c r="G1591" s="167"/>
      <c r="H1591" s="167"/>
      <c r="I1591" s="167" t="e">
        <f t="shared" ref="I1591:Q1591" si="302">+I1526-I1586</f>
        <v>#REF!</v>
      </c>
      <c r="J1591" s="167" t="e">
        <f t="shared" si="302"/>
        <v>#REF!</v>
      </c>
      <c r="K1591" s="167" t="e">
        <f t="shared" si="302"/>
        <v>#REF!</v>
      </c>
      <c r="L1591" s="167" t="e">
        <f t="shared" si="302"/>
        <v>#REF!</v>
      </c>
      <c r="M1591" s="167">
        <f t="shared" si="302"/>
        <v>0</v>
      </c>
      <c r="N1591" s="167" t="e">
        <f t="shared" si="302"/>
        <v>#REF!</v>
      </c>
      <c r="O1591" s="167" t="e">
        <f t="shared" si="302"/>
        <v>#REF!</v>
      </c>
      <c r="P1591" s="167" t="e">
        <f t="shared" si="302"/>
        <v>#VALUE!</v>
      </c>
      <c r="Q1591" s="167">
        <f t="shared" si="302"/>
        <v>0</v>
      </c>
      <c r="R1591" s="167"/>
      <c r="S1591" s="167" t="e">
        <f t="shared" ref="S1591:X1591" si="303">+S1526-S1586</f>
        <v>#REF!</v>
      </c>
      <c r="T1591" s="167" t="e">
        <f t="shared" si="303"/>
        <v>#REF!</v>
      </c>
      <c r="U1591" s="167" t="e">
        <f t="shared" si="303"/>
        <v>#REF!</v>
      </c>
      <c r="V1591" s="167" t="e">
        <f t="shared" si="303"/>
        <v>#REF!</v>
      </c>
      <c r="W1591" s="167">
        <f t="shared" si="303"/>
        <v>0</v>
      </c>
      <c r="X1591" s="167" t="e">
        <f t="shared" si="303"/>
        <v>#REF!</v>
      </c>
      <c r="Y1591" s="167"/>
      <c r="Z1591" s="167"/>
      <c r="AA1591" s="167"/>
      <c r="AB1591" s="167"/>
      <c r="AC1591" s="167"/>
      <c r="AD1591" s="167"/>
    </row>
    <row r="1592" spans="1:51" ht="15" customHeight="1" x14ac:dyDescent="0.2">
      <c r="A1592" s="180"/>
      <c r="D1592" s="167"/>
      <c r="E1592" s="167"/>
      <c r="F1592" s="167"/>
      <c r="G1592" s="167"/>
      <c r="H1592" s="167"/>
      <c r="I1592" s="167"/>
      <c r="J1592" s="167"/>
      <c r="K1592" s="167"/>
      <c r="L1592" s="167"/>
      <c r="M1592" s="167"/>
      <c r="N1592" s="167"/>
      <c r="O1592" s="167"/>
      <c r="P1592" s="167"/>
      <c r="Q1592" s="167"/>
      <c r="R1592" s="167"/>
      <c r="S1592" s="167"/>
      <c r="T1592" s="167"/>
      <c r="U1592" s="167"/>
      <c r="V1592" s="167"/>
      <c r="W1592" s="167"/>
      <c r="X1592" s="167"/>
      <c r="Y1592" s="191"/>
      <c r="Z1592" s="167"/>
      <c r="AA1592" s="167"/>
      <c r="AB1592" s="167"/>
      <c r="AC1592" s="167"/>
      <c r="AD1592" s="167"/>
    </row>
    <row r="1593" spans="1:51" ht="15" customHeight="1" x14ac:dyDescent="0.2">
      <c r="A1593" s="180"/>
      <c r="D1593" s="167"/>
      <c r="E1593" s="167"/>
      <c r="F1593" s="167"/>
      <c r="G1593" s="167"/>
      <c r="H1593" s="167"/>
      <c r="I1593" s="167"/>
      <c r="J1593" s="167"/>
      <c r="K1593" s="167"/>
      <c r="L1593" s="167"/>
      <c r="M1593" s="167"/>
      <c r="N1593" s="167"/>
      <c r="O1593" s="167"/>
      <c r="P1593" s="167"/>
      <c r="Q1593" s="167"/>
      <c r="R1593" s="167"/>
      <c r="S1593" s="167"/>
      <c r="T1593" s="167"/>
      <c r="U1593" s="167"/>
      <c r="V1593" s="167"/>
      <c r="W1593" s="167"/>
      <c r="X1593" s="167"/>
      <c r="Y1593" s="191"/>
      <c r="Z1593" s="167"/>
      <c r="AA1593" s="167"/>
      <c r="AB1593" s="167"/>
      <c r="AC1593" s="167"/>
      <c r="AD1593" s="167"/>
    </row>
    <row r="1594" spans="1:51" ht="15" customHeight="1" x14ac:dyDescent="0.2">
      <c r="A1594" s="180"/>
      <c r="B1594" s="166"/>
      <c r="D1594" s="167"/>
      <c r="E1594" s="167"/>
      <c r="F1594" s="167"/>
      <c r="G1594" s="167"/>
      <c r="H1594" s="167"/>
      <c r="I1594" s="167"/>
      <c r="J1594" s="167"/>
      <c r="K1594" s="167"/>
      <c r="L1594" s="167"/>
      <c r="M1594" s="167"/>
      <c r="N1594" s="167"/>
      <c r="O1594" s="167"/>
      <c r="P1594" s="167"/>
      <c r="Q1594" s="167"/>
      <c r="R1594" s="167"/>
      <c r="S1594" s="167"/>
      <c r="T1594" s="167"/>
      <c r="U1594" s="167"/>
      <c r="V1594" s="167"/>
      <c r="W1594" s="167"/>
      <c r="X1594" s="167"/>
      <c r="Y1594" s="167"/>
      <c r="Z1594" s="167"/>
      <c r="AA1594" s="167"/>
      <c r="AB1594" s="167"/>
      <c r="AC1594" s="167"/>
      <c r="AD1594" s="167"/>
    </row>
    <row r="1595" spans="1:51" ht="15" customHeight="1" x14ac:dyDescent="0.2">
      <c r="A1595" s="180"/>
      <c r="B1595" s="166"/>
      <c r="D1595" s="167"/>
      <c r="E1595" s="167"/>
      <c r="F1595" s="167"/>
      <c r="G1595" s="167"/>
      <c r="H1595" s="167"/>
      <c r="I1595" s="167"/>
      <c r="J1595" s="167"/>
      <c r="K1595" s="167"/>
      <c r="L1595" s="167"/>
      <c r="M1595" s="167"/>
      <c r="N1595" s="167"/>
      <c r="O1595" s="167"/>
      <c r="P1595" s="167"/>
      <c r="Q1595" s="167"/>
      <c r="R1595" s="167"/>
      <c r="S1595" s="167"/>
      <c r="T1595" s="167"/>
      <c r="U1595" s="167"/>
      <c r="V1595" s="167"/>
      <c r="W1595" s="167"/>
      <c r="X1595" s="167"/>
      <c r="Y1595" s="167"/>
      <c r="Z1595" s="167"/>
      <c r="AA1595" s="167"/>
      <c r="AB1595" s="167"/>
      <c r="AC1595" s="167"/>
      <c r="AD1595" s="167"/>
    </row>
    <row r="1596" spans="1:51" ht="15" customHeight="1" x14ac:dyDescent="0.2">
      <c r="A1596" s="180"/>
      <c r="D1596" s="167"/>
      <c r="E1596" s="167"/>
      <c r="F1596" s="167"/>
      <c r="G1596" s="167"/>
      <c r="H1596" s="167"/>
      <c r="I1596" s="167"/>
      <c r="J1596" s="167"/>
      <c r="K1596" s="167"/>
      <c r="L1596" s="167"/>
      <c r="M1596" s="167"/>
      <c r="N1596" s="167"/>
      <c r="O1596" s="167"/>
      <c r="P1596" s="167"/>
      <c r="Q1596" s="167"/>
      <c r="R1596" s="167"/>
      <c r="S1596" s="167"/>
      <c r="T1596" s="167"/>
      <c r="U1596" s="167"/>
      <c r="V1596" s="167"/>
      <c r="W1596" s="167"/>
      <c r="X1596" s="167"/>
      <c r="Y1596" s="167"/>
      <c r="Z1596" s="167"/>
      <c r="AA1596" s="167"/>
      <c r="AB1596" s="167"/>
      <c r="AC1596" s="167"/>
      <c r="AD1596" s="167"/>
    </row>
    <row r="1597" spans="1:51" ht="15" customHeight="1" x14ac:dyDescent="0.2">
      <c r="A1597" s="180"/>
      <c r="B1597" s="166" t="s">
        <v>145</v>
      </c>
      <c r="D1597" s="167"/>
      <c r="E1597" s="167"/>
      <c r="F1597" s="167"/>
      <c r="G1597" s="167"/>
      <c r="H1597" s="167"/>
      <c r="I1597" s="167"/>
      <c r="J1597" s="167"/>
      <c r="K1597" s="167"/>
      <c r="L1597" s="167"/>
      <c r="M1597" s="167"/>
      <c r="N1597" s="167"/>
      <c r="O1597" s="167"/>
      <c r="P1597" s="167"/>
      <c r="Q1597" s="167"/>
      <c r="R1597" s="167"/>
      <c r="S1597" s="167"/>
      <c r="T1597" s="167"/>
      <c r="U1597" s="167"/>
      <c r="V1597" s="167"/>
      <c r="W1597" s="167"/>
      <c r="X1597" s="170"/>
      <c r="Y1597" s="243"/>
      <c r="Z1597" s="243"/>
      <c r="AA1597" s="167"/>
      <c r="AB1597" s="167"/>
      <c r="AC1597" s="167"/>
      <c r="AD1597" s="167"/>
    </row>
    <row r="1598" spans="1:51" ht="15" customHeight="1" x14ac:dyDescent="0.2">
      <c r="A1598" s="180"/>
      <c r="B1598" s="168" t="s">
        <v>0</v>
      </c>
      <c r="D1598" s="167"/>
      <c r="E1598" s="167"/>
      <c r="F1598" s="167"/>
      <c r="G1598" s="167"/>
      <c r="H1598" s="167"/>
      <c r="I1598" s="167"/>
      <c r="J1598" s="167"/>
      <c r="K1598" s="167"/>
      <c r="L1598" s="167"/>
      <c r="M1598" s="167"/>
      <c r="N1598" s="167"/>
      <c r="O1598" s="167"/>
      <c r="P1598" s="167"/>
      <c r="Q1598" s="167"/>
      <c r="R1598" s="167"/>
      <c r="S1598" s="167"/>
      <c r="T1598" s="167"/>
      <c r="U1598" s="167"/>
      <c r="V1598" s="167"/>
      <c r="W1598" s="167"/>
      <c r="X1598" s="167"/>
      <c r="Y1598" s="167"/>
      <c r="Z1598" s="167"/>
      <c r="AA1598" s="167"/>
      <c r="AB1598" s="167"/>
      <c r="AC1598" s="167"/>
      <c r="AD1598" s="167"/>
    </row>
    <row r="1599" spans="1:51" ht="15" customHeight="1" x14ac:dyDescent="0.2">
      <c r="A1599" s="180"/>
      <c r="B1599" s="166" t="s">
        <v>364</v>
      </c>
      <c r="D1599" s="167"/>
      <c r="E1599" s="167"/>
      <c r="F1599" s="167"/>
      <c r="G1599" s="167"/>
      <c r="H1599" s="167"/>
      <c r="I1599" s="167"/>
      <c r="J1599" s="167"/>
      <c r="K1599" s="167"/>
      <c r="L1599" s="167"/>
      <c r="M1599" s="167"/>
      <c r="N1599" s="167"/>
      <c r="O1599" s="167"/>
      <c r="P1599" s="167"/>
      <c r="Q1599" s="167"/>
      <c r="R1599" s="167"/>
      <c r="S1599" s="167"/>
      <c r="T1599" s="167"/>
      <c r="U1599" s="167"/>
      <c r="V1599" s="167"/>
      <c r="W1599" s="167"/>
      <c r="X1599" s="167"/>
      <c r="Y1599" s="167"/>
      <c r="Z1599" s="167"/>
      <c r="AA1599" s="167"/>
      <c r="AB1599" s="167"/>
      <c r="AC1599" s="167"/>
      <c r="AD1599" s="167"/>
    </row>
    <row r="1600" spans="1:51" ht="15" customHeight="1" x14ac:dyDescent="0.2">
      <c r="A1600" s="180"/>
      <c r="B1600" s="168" t="str">
        <f>+B3</f>
        <v>as of  March 31, 2013</v>
      </c>
      <c r="D1600" s="167"/>
      <c r="E1600" s="167"/>
      <c r="F1600" s="167"/>
      <c r="G1600" s="167"/>
      <c r="H1600" s="167"/>
      <c r="I1600" s="167"/>
      <c r="J1600" s="167"/>
      <c r="K1600" s="167"/>
      <c r="L1600" s="167"/>
      <c r="M1600" s="167"/>
      <c r="N1600" s="167"/>
      <c r="O1600" s="167"/>
      <c r="P1600" s="167"/>
      <c r="Q1600" s="167"/>
      <c r="R1600" s="167"/>
      <c r="S1600" s="167"/>
      <c r="T1600" s="167"/>
      <c r="U1600" s="167"/>
      <c r="V1600" s="167"/>
      <c r="W1600" s="167"/>
      <c r="X1600" s="167"/>
      <c r="Y1600" s="167"/>
      <c r="Z1600" s="167"/>
      <c r="AA1600" s="167"/>
      <c r="AB1600" s="167"/>
      <c r="AC1600" s="167"/>
      <c r="AD1600" s="167"/>
    </row>
    <row r="1601" spans="1:30" ht="15" customHeight="1" x14ac:dyDescent="0.2">
      <c r="A1601" s="180"/>
      <c r="B1601" s="168"/>
      <c r="D1601" s="167"/>
      <c r="E1601" s="167"/>
      <c r="F1601" s="167"/>
      <c r="G1601" s="167"/>
      <c r="H1601" s="167"/>
      <c r="I1601" s="167"/>
      <c r="J1601" s="167"/>
      <c r="K1601" s="167"/>
      <c r="L1601" s="167"/>
      <c r="M1601" s="167"/>
      <c r="N1601" s="167"/>
      <c r="O1601" s="167"/>
      <c r="P1601" s="167"/>
      <c r="Q1601" s="167"/>
      <c r="R1601" s="167"/>
      <c r="S1601" s="167"/>
      <c r="T1601" s="167"/>
      <c r="U1601" s="167"/>
      <c r="V1601" s="167"/>
      <c r="W1601" s="167"/>
      <c r="X1601" s="167"/>
      <c r="Y1601" s="167"/>
      <c r="Z1601" s="167"/>
      <c r="AA1601" s="167"/>
      <c r="AB1601" s="167"/>
      <c r="AC1601" s="167"/>
      <c r="AD1601" s="167"/>
    </row>
    <row r="1602" spans="1:30" ht="15" customHeight="1" x14ac:dyDescent="0.2">
      <c r="A1602" s="180"/>
      <c r="B1602" s="168"/>
      <c r="D1602" s="169" t="s">
        <v>9</v>
      </c>
      <c r="E1602" s="169" t="s">
        <v>10</v>
      </c>
      <c r="F1602" s="169" t="s">
        <v>11</v>
      </c>
      <c r="G1602" s="169"/>
      <c r="H1602" s="170"/>
      <c r="I1602" s="169" t="s">
        <v>12</v>
      </c>
      <c r="J1602" s="169" t="s">
        <v>13</v>
      </c>
      <c r="K1602" s="169" t="s">
        <v>14</v>
      </c>
      <c r="L1602" s="169" t="s">
        <v>1</v>
      </c>
      <c r="M1602" s="169"/>
      <c r="N1602" s="169" t="s">
        <v>15</v>
      </c>
      <c r="O1602" s="169" t="s">
        <v>16</v>
      </c>
      <c r="P1602" s="169" t="s">
        <v>11</v>
      </c>
      <c r="Q1602" s="169"/>
      <c r="R1602" s="170"/>
      <c r="S1602" s="169" t="s">
        <v>2</v>
      </c>
      <c r="T1602" s="169" t="s">
        <v>13</v>
      </c>
      <c r="U1602" s="169" t="s">
        <v>14</v>
      </c>
      <c r="V1602" s="169" t="s">
        <v>17</v>
      </c>
      <c r="W1602" s="169"/>
      <c r="X1602" s="169" t="s">
        <v>11</v>
      </c>
      <c r="Y1602" s="169" t="s">
        <v>7</v>
      </c>
      <c r="Z1602" s="169" t="s">
        <v>8</v>
      </c>
      <c r="AA1602" s="167"/>
      <c r="AB1602" s="167"/>
      <c r="AC1602" s="167"/>
      <c r="AD1602" s="167"/>
    </row>
    <row r="1603" spans="1:30" ht="15" customHeight="1" x14ac:dyDescent="0.2">
      <c r="A1603" s="180"/>
      <c r="B1603" s="174"/>
      <c r="C1603" s="174"/>
      <c r="D1603" s="175" t="s">
        <v>359</v>
      </c>
      <c r="E1603" s="175" t="s">
        <v>357</v>
      </c>
      <c r="F1603" s="175" t="s">
        <v>21</v>
      </c>
      <c r="G1603" s="175"/>
      <c r="H1603" s="176" t="s">
        <v>361</v>
      </c>
      <c r="I1603" s="175"/>
      <c r="J1603" s="175"/>
      <c r="K1603" s="175"/>
      <c r="L1603" s="175"/>
      <c r="M1603" s="175"/>
      <c r="N1603" s="175"/>
      <c r="O1603" s="175"/>
      <c r="P1603" s="175"/>
      <c r="Q1603" s="175"/>
      <c r="R1603" s="175"/>
      <c r="S1603" s="175" t="s">
        <v>27</v>
      </c>
      <c r="T1603" s="175" t="s">
        <v>28</v>
      </c>
      <c r="U1603" s="175" t="s">
        <v>23</v>
      </c>
      <c r="V1603" s="175" t="s">
        <v>2</v>
      </c>
      <c r="W1603" s="175"/>
      <c r="X1603" s="175" t="s">
        <v>29</v>
      </c>
      <c r="Y1603" s="169" t="s">
        <v>11</v>
      </c>
      <c r="Z1603" s="175" t="s">
        <v>18</v>
      </c>
      <c r="AA1603" s="169" t="s">
        <v>3</v>
      </c>
      <c r="AB1603" s="169" t="s">
        <v>8</v>
      </c>
      <c r="AC1603" s="169"/>
      <c r="AD1603" s="169"/>
    </row>
    <row r="1604" spans="1:30" ht="15" customHeight="1" x14ac:dyDescent="0.2">
      <c r="A1604" s="180"/>
      <c r="B1604" s="174"/>
      <c r="C1604" s="174"/>
      <c r="D1604" s="179" t="s">
        <v>8</v>
      </c>
      <c r="E1604" s="179"/>
      <c r="F1604" s="179"/>
      <c r="G1604" s="179"/>
      <c r="H1604" s="179" t="s">
        <v>1</v>
      </c>
      <c r="I1604" s="179"/>
      <c r="J1604" s="179"/>
      <c r="K1604" s="179"/>
      <c r="L1604" s="179"/>
      <c r="M1604" s="179"/>
      <c r="N1604" s="179"/>
      <c r="O1604" s="179"/>
      <c r="P1604" s="179"/>
      <c r="Q1604" s="179"/>
      <c r="R1604" s="179" t="s">
        <v>360</v>
      </c>
      <c r="S1604" s="179"/>
      <c r="T1604" s="179"/>
      <c r="U1604" s="179"/>
      <c r="V1604" s="179"/>
      <c r="W1604" s="179"/>
      <c r="X1604" s="179"/>
      <c r="Y1604" s="179" t="s">
        <v>30</v>
      </c>
      <c r="Z1604" s="179" t="s">
        <v>30</v>
      </c>
      <c r="AA1604" s="169" t="s">
        <v>11</v>
      </c>
      <c r="AB1604" s="169" t="s">
        <v>18</v>
      </c>
      <c r="AC1604" s="169"/>
      <c r="AD1604" s="169"/>
    </row>
    <row r="1605" spans="1:30" ht="15" customHeight="1" x14ac:dyDescent="0.2">
      <c r="A1605" s="180"/>
      <c r="B1605" s="173"/>
      <c r="C1605" s="174"/>
      <c r="D1605" s="175"/>
      <c r="E1605" s="175"/>
      <c r="F1605" s="175"/>
      <c r="G1605" s="175"/>
      <c r="H1605" s="175"/>
      <c r="I1605" s="175"/>
      <c r="J1605" s="175"/>
      <c r="K1605" s="175"/>
      <c r="L1605" s="175"/>
      <c r="M1605" s="175"/>
      <c r="N1605" s="175"/>
      <c r="O1605" s="175"/>
      <c r="P1605" s="175"/>
      <c r="Q1605" s="175"/>
      <c r="R1605" s="175"/>
      <c r="S1605" s="175"/>
      <c r="T1605" s="175"/>
      <c r="U1605" s="175"/>
      <c r="V1605" s="175"/>
      <c r="W1605" s="175"/>
      <c r="X1605" s="175"/>
      <c r="Y1605" s="175"/>
      <c r="Z1605" s="175"/>
      <c r="AA1605" s="179" t="s">
        <v>31</v>
      </c>
      <c r="AB1605" s="179" t="s">
        <v>31</v>
      </c>
      <c r="AC1605" s="175"/>
      <c r="AD1605" s="175"/>
    </row>
    <row r="1606" spans="1:30" ht="15" customHeight="1" x14ac:dyDescent="0.2">
      <c r="A1606" s="180"/>
      <c r="B1606" s="174"/>
      <c r="C1606" s="173"/>
      <c r="D1606" s="240"/>
      <c r="E1606" s="240"/>
      <c r="F1606" s="240"/>
      <c r="G1606" s="240"/>
      <c r="H1606" s="240"/>
      <c r="I1606" s="240"/>
      <c r="J1606" s="240"/>
      <c r="K1606" s="240"/>
      <c r="L1606" s="240"/>
      <c r="M1606" s="240"/>
      <c r="N1606" s="240"/>
      <c r="O1606" s="240"/>
      <c r="P1606" s="240"/>
      <c r="Q1606" s="240"/>
      <c r="R1606" s="240"/>
      <c r="S1606" s="240"/>
      <c r="T1606" s="240"/>
      <c r="U1606" s="240"/>
      <c r="V1606" s="240"/>
      <c r="W1606" s="240"/>
      <c r="X1606" s="240"/>
      <c r="Y1606" s="240"/>
      <c r="Z1606" s="240"/>
      <c r="AA1606" s="167"/>
      <c r="AB1606" s="167"/>
      <c r="AC1606" s="167"/>
      <c r="AD1606" s="167"/>
    </row>
    <row r="1607" spans="1:30" ht="15" customHeight="1" x14ac:dyDescent="0.2">
      <c r="A1607" s="180"/>
      <c r="B1607" s="166" t="s">
        <v>33</v>
      </c>
      <c r="D1607" s="181">
        <f>+D96</f>
        <v>6414015.9122200012</v>
      </c>
      <c r="E1607" s="181">
        <f>+E96</f>
        <v>125982.24082000001</v>
      </c>
      <c r="F1607" s="181">
        <f>+F96</f>
        <v>60000</v>
      </c>
      <c r="G1607" s="181"/>
      <c r="H1607" s="181">
        <f>+H96</f>
        <v>5824846.5245200004</v>
      </c>
      <c r="I1607" s="181">
        <f>+I96</f>
        <v>0</v>
      </c>
      <c r="J1607" s="181">
        <f>+J96</f>
        <v>0</v>
      </c>
      <c r="K1607" s="181">
        <f>+K96</f>
        <v>0</v>
      </c>
      <c r="L1607" s="181">
        <f>+L96</f>
        <v>0</v>
      </c>
      <c r="M1607" s="181"/>
      <c r="N1607" s="181">
        <f>+N96</f>
        <v>185982.24081999998</v>
      </c>
      <c r="O1607" s="181">
        <f>+O96</f>
        <v>29010.53615</v>
      </c>
      <c r="P1607" s="181" t="e">
        <f>+P96</f>
        <v>#VALUE!</v>
      </c>
      <c r="Q1607" s="181"/>
      <c r="R1607" s="181">
        <f>+R96</f>
        <v>32209.215660000002</v>
      </c>
      <c r="S1607" s="181">
        <f>+S96</f>
        <v>11620.82186</v>
      </c>
      <c r="T1607" s="181">
        <f>+T96</f>
        <v>5298.8419599999997</v>
      </c>
      <c r="U1607" s="181">
        <f>+U96</f>
        <v>0</v>
      </c>
      <c r="V1607" s="181">
        <f>+V96</f>
        <v>0</v>
      </c>
      <c r="W1607" s="181"/>
      <c r="X1607" s="181">
        <f>+X96</f>
        <v>29533.378549999998</v>
      </c>
      <c r="Y1607" s="181">
        <f>+H1607+R1607</f>
        <v>5857055.7401800007</v>
      </c>
      <c r="Z1607" s="181">
        <f>+Z96-1</f>
        <v>556959.56877999997</v>
      </c>
      <c r="AA1607" s="170">
        <f>+AA96</f>
        <v>215515.61937</v>
      </c>
      <c r="AB1607" s="170">
        <f>+AB96</f>
        <v>489534.66605</v>
      </c>
      <c r="AC1607" s="170"/>
      <c r="AD1607" s="170"/>
    </row>
    <row r="1608" spans="1:30" ht="15" customHeight="1" x14ac:dyDescent="0.2">
      <c r="A1608" s="180"/>
      <c r="B1608" s="166"/>
      <c r="D1608" s="181"/>
      <c r="E1608" s="181"/>
      <c r="F1608" s="181"/>
      <c r="G1608" s="181"/>
      <c r="H1608" s="181"/>
      <c r="I1608" s="181"/>
      <c r="J1608" s="181"/>
      <c r="K1608" s="181"/>
      <c r="L1608" s="181"/>
      <c r="M1608" s="181"/>
      <c r="N1608" s="181"/>
      <c r="O1608" s="181"/>
      <c r="P1608" s="181"/>
      <c r="Q1608" s="181"/>
      <c r="R1608" s="181"/>
      <c r="S1608" s="181"/>
      <c r="T1608" s="181"/>
      <c r="U1608" s="181"/>
      <c r="V1608" s="181"/>
      <c r="W1608" s="181"/>
      <c r="X1608" s="181"/>
      <c r="Y1608" s="181"/>
      <c r="Z1608" s="181"/>
      <c r="AA1608" s="170"/>
      <c r="AB1608" s="170"/>
      <c r="AC1608" s="170"/>
      <c r="AD1608" s="170"/>
    </row>
    <row r="1609" spans="1:30" ht="15" customHeight="1" x14ac:dyDescent="0.2">
      <c r="A1609" s="180"/>
      <c r="B1609" s="165" t="s">
        <v>240</v>
      </c>
      <c r="D1609" s="191">
        <f>+D164</f>
        <v>522345.13544999994</v>
      </c>
      <c r="E1609" s="191">
        <f>+E164</f>
        <v>101413.15213999999</v>
      </c>
      <c r="F1609" s="191">
        <f>+F164</f>
        <v>4000</v>
      </c>
      <c r="G1609" s="191"/>
      <c r="H1609" s="191">
        <f>+H164</f>
        <v>409064.14318000001</v>
      </c>
      <c r="I1609" s="191">
        <f>+I164</f>
        <v>0</v>
      </c>
      <c r="J1609" s="191">
        <f>+J164</f>
        <v>0</v>
      </c>
      <c r="K1609" s="191">
        <f>+K164</f>
        <v>0</v>
      </c>
      <c r="L1609" s="191">
        <f>+L164</f>
        <v>0</v>
      </c>
      <c r="M1609" s="191"/>
      <c r="N1609" s="191">
        <f>+N164</f>
        <v>105413.15213999999</v>
      </c>
      <c r="O1609" s="191">
        <f>+O164</f>
        <v>48290.838080000001</v>
      </c>
      <c r="P1609" s="191">
        <f>+P164</f>
        <v>0</v>
      </c>
      <c r="Q1609" s="191"/>
      <c r="R1609" s="191">
        <f>+R164</f>
        <v>48388.053000000007</v>
      </c>
      <c r="S1609" s="191">
        <f>+S164</f>
        <v>0</v>
      </c>
      <c r="T1609" s="191">
        <f>+T164</f>
        <v>0</v>
      </c>
      <c r="U1609" s="191">
        <f>+U164</f>
        <v>0</v>
      </c>
      <c r="V1609" s="191">
        <f>+V164</f>
        <v>0</v>
      </c>
      <c r="W1609" s="191"/>
      <c r="X1609" s="191">
        <f>+X164</f>
        <v>48290.838080000001</v>
      </c>
      <c r="Y1609" s="181">
        <f t="shared" ref="Y1609:Y1635" si="304">+H1609+R1609</f>
        <v>457452.19618000003</v>
      </c>
      <c r="Z1609" s="181">
        <f>+Z164</f>
        <v>64892.939269999995</v>
      </c>
      <c r="AA1609" s="167">
        <f>+AA164</f>
        <v>86276.087770000013</v>
      </c>
      <c r="AB1609" s="167">
        <f>+AB164</f>
        <v>13895.97739</v>
      </c>
      <c r="AC1609" s="167"/>
      <c r="AD1609" s="167"/>
    </row>
    <row r="1610" spans="1:30" ht="15" customHeight="1" x14ac:dyDescent="0.2">
      <c r="A1610" s="180"/>
      <c r="B1610" s="166"/>
      <c r="D1610" s="181"/>
      <c r="E1610" s="181"/>
      <c r="F1610" s="181"/>
      <c r="G1610" s="181"/>
      <c r="H1610" s="181"/>
      <c r="I1610" s="181"/>
      <c r="J1610" s="181"/>
      <c r="K1610" s="181"/>
      <c r="L1610" s="181"/>
      <c r="M1610" s="181"/>
      <c r="N1610" s="181"/>
      <c r="O1610" s="181"/>
      <c r="P1610" s="181"/>
      <c r="Q1610" s="181"/>
      <c r="R1610" s="181"/>
      <c r="S1610" s="181"/>
      <c r="T1610" s="181"/>
      <c r="U1610" s="181"/>
      <c r="V1610" s="181"/>
      <c r="W1610" s="181"/>
      <c r="X1610" s="181"/>
      <c r="Y1610" s="181"/>
      <c r="Z1610" s="181"/>
      <c r="AA1610" s="170"/>
      <c r="AB1610" s="170"/>
      <c r="AC1610" s="170"/>
      <c r="AD1610" s="170"/>
    </row>
    <row r="1611" spans="1:30" ht="15" customHeight="1" x14ac:dyDescent="0.2">
      <c r="A1611" s="180"/>
      <c r="B1611" s="166" t="s">
        <v>168</v>
      </c>
      <c r="D1611" s="181">
        <f>+D267+1</f>
        <v>5322010.4176500011</v>
      </c>
      <c r="E1611" s="181">
        <f>+E267</f>
        <v>623521.12477600004</v>
      </c>
      <c r="F1611" s="181">
        <f>+F267</f>
        <v>82000</v>
      </c>
      <c r="G1611" s="181"/>
      <c r="H1611" s="181">
        <f>+H267</f>
        <v>4963652.0648499997</v>
      </c>
      <c r="I1611" s="181">
        <f>+I267</f>
        <v>0</v>
      </c>
      <c r="J1611" s="181">
        <f>+J267</f>
        <v>0</v>
      </c>
      <c r="K1611" s="181">
        <f>+K267</f>
        <v>0</v>
      </c>
      <c r="L1611" s="181">
        <f>+L267</f>
        <v>0</v>
      </c>
      <c r="M1611" s="181"/>
      <c r="N1611" s="181">
        <f>+N267</f>
        <v>705521.12477600004</v>
      </c>
      <c r="O1611" s="181">
        <f>+O267</f>
        <v>114705.74331999999</v>
      </c>
      <c r="P1611" s="181">
        <f>+P267</f>
        <v>0</v>
      </c>
      <c r="Q1611" s="181"/>
      <c r="R1611" s="181">
        <f>+R267</f>
        <v>119442.46161</v>
      </c>
      <c r="S1611" s="181">
        <f>+S267</f>
        <v>0</v>
      </c>
      <c r="T1611" s="181">
        <f>+T267</f>
        <v>0</v>
      </c>
      <c r="U1611" s="181">
        <f>+U267</f>
        <v>0</v>
      </c>
      <c r="V1611" s="181">
        <f>+V267</f>
        <v>0</v>
      </c>
      <c r="W1611" s="181"/>
      <c r="X1611" s="181">
        <f>+X267</f>
        <v>114705.74331999999</v>
      </c>
      <c r="Y1611" s="181">
        <f t="shared" si="304"/>
        <v>5083094.5264599994</v>
      </c>
      <c r="Z1611" s="181">
        <f>+Z267</f>
        <v>238915.29124999998</v>
      </c>
      <c r="AA1611" s="170" t="e">
        <f>+AA267</f>
        <v>#VALUE!</v>
      </c>
      <c r="AB1611" s="170" t="e">
        <f>+AB267</f>
        <v>#VALUE!</v>
      </c>
      <c r="AC1611" s="170"/>
      <c r="AD1611" s="170"/>
    </row>
    <row r="1612" spans="1:30" ht="15" customHeight="1" x14ac:dyDescent="0.2">
      <c r="A1612" s="180"/>
      <c r="D1612" s="191"/>
      <c r="E1612" s="191"/>
      <c r="F1612" s="191"/>
      <c r="G1612" s="191"/>
      <c r="H1612" s="191"/>
      <c r="I1612" s="191"/>
      <c r="J1612" s="191"/>
      <c r="K1612" s="191"/>
      <c r="L1612" s="191"/>
      <c r="M1612" s="191"/>
      <c r="N1612" s="191"/>
      <c r="O1612" s="191"/>
      <c r="P1612" s="191"/>
      <c r="Q1612" s="191"/>
      <c r="R1612" s="191"/>
      <c r="S1612" s="191"/>
      <c r="T1612" s="191"/>
      <c r="U1612" s="191"/>
      <c r="V1612" s="191"/>
      <c r="W1612" s="191"/>
      <c r="X1612" s="191"/>
      <c r="Y1612" s="181"/>
      <c r="Z1612" s="191"/>
      <c r="AA1612" s="167"/>
      <c r="AB1612" s="167"/>
      <c r="AC1612" s="167"/>
      <c r="AD1612" s="167"/>
    </row>
    <row r="1613" spans="1:30" ht="15" customHeight="1" x14ac:dyDescent="0.2">
      <c r="A1613" s="180"/>
      <c r="B1613" s="166" t="s">
        <v>58</v>
      </c>
      <c r="D1613" s="181">
        <f>+D456</f>
        <v>5401744.1804299997</v>
      </c>
      <c r="E1613" s="181">
        <f>+E456</f>
        <v>810693.27744000009</v>
      </c>
      <c r="F1613" s="181">
        <f>+F456</f>
        <v>30660.93316</v>
      </c>
      <c r="G1613" s="181"/>
      <c r="H1613" s="181">
        <f>+H456</f>
        <v>3973807.6796599999</v>
      </c>
      <c r="I1613" s="181">
        <f>+I456</f>
        <v>0</v>
      </c>
      <c r="J1613" s="181">
        <f>+J456</f>
        <v>0</v>
      </c>
      <c r="K1613" s="181">
        <f>+K456</f>
        <v>0</v>
      </c>
      <c r="L1613" s="181">
        <f>+L456</f>
        <v>0</v>
      </c>
      <c r="M1613" s="181"/>
      <c r="N1613" s="181">
        <f>+N456</f>
        <v>841354.21059999999</v>
      </c>
      <c r="O1613" s="181">
        <f>+O456</f>
        <v>155379.06977999999</v>
      </c>
      <c r="P1613" s="181">
        <f>+P456</f>
        <v>0</v>
      </c>
      <c r="Q1613" s="181"/>
      <c r="R1613" s="181">
        <f>+R456</f>
        <v>173192.72714999999</v>
      </c>
      <c r="S1613" s="181">
        <f>+S456</f>
        <v>1690.0005999999998</v>
      </c>
      <c r="T1613" s="181">
        <f>+T456</f>
        <v>210.2466</v>
      </c>
      <c r="U1613" s="181">
        <f>+U456</f>
        <v>0</v>
      </c>
      <c r="V1613" s="181">
        <f>+V456</f>
        <v>0</v>
      </c>
      <c r="W1613" s="181"/>
      <c r="X1613" s="181">
        <f>+X456</f>
        <v>155379.06977999999</v>
      </c>
      <c r="Y1613" s="181">
        <f t="shared" si="304"/>
        <v>4147000.4068100001</v>
      </c>
      <c r="Z1613" s="181">
        <f>+Z456</f>
        <v>1254743.7735000001</v>
      </c>
      <c r="AA1613" s="170">
        <f>+AA456</f>
        <v>996733.28038000001</v>
      </c>
      <c r="AB1613" s="170">
        <f>+AB456</f>
        <v>640168.31458000012</v>
      </c>
      <c r="AC1613" s="170"/>
      <c r="AD1613" s="170"/>
    </row>
    <row r="1614" spans="1:30" ht="15" customHeight="1" x14ac:dyDescent="0.2">
      <c r="A1614" s="180"/>
      <c r="B1614" s="166"/>
      <c r="D1614" s="181"/>
      <c r="E1614" s="181"/>
      <c r="F1614" s="181"/>
      <c r="G1614" s="181"/>
      <c r="H1614" s="181"/>
      <c r="I1614" s="181"/>
      <c r="J1614" s="181"/>
      <c r="K1614" s="181"/>
      <c r="L1614" s="181"/>
      <c r="M1614" s="181"/>
      <c r="N1614" s="181"/>
      <c r="O1614" s="181"/>
      <c r="P1614" s="181"/>
      <c r="Q1614" s="181"/>
      <c r="R1614" s="181"/>
      <c r="S1614" s="181"/>
      <c r="T1614" s="181"/>
      <c r="U1614" s="181"/>
      <c r="V1614" s="181"/>
      <c r="W1614" s="181"/>
      <c r="X1614" s="181"/>
      <c r="Y1614" s="181"/>
      <c r="Z1614" s="181"/>
      <c r="AA1614" s="170"/>
      <c r="AB1614" s="170"/>
      <c r="AC1614" s="170"/>
      <c r="AD1614" s="170"/>
    </row>
    <row r="1615" spans="1:30" ht="15" customHeight="1" x14ac:dyDescent="0.2">
      <c r="A1615" s="180"/>
      <c r="B1615" s="165" t="s">
        <v>178</v>
      </c>
      <c r="D1615" s="191">
        <f>+D619</f>
        <v>3893709.5405200003</v>
      </c>
      <c r="E1615" s="191">
        <f>+E619</f>
        <v>123933.44157</v>
      </c>
      <c r="F1615" s="191">
        <f>+F619</f>
        <v>0</v>
      </c>
      <c r="G1615" s="191"/>
      <c r="H1615" s="191">
        <f>+H619</f>
        <v>3447085.1903100004</v>
      </c>
      <c r="I1615" s="191">
        <f>+I619</f>
        <v>0</v>
      </c>
      <c r="J1615" s="191">
        <f>+J619</f>
        <v>0</v>
      </c>
      <c r="K1615" s="191">
        <f>+K619</f>
        <v>0</v>
      </c>
      <c r="L1615" s="191">
        <f>+L619</f>
        <v>0</v>
      </c>
      <c r="M1615" s="191"/>
      <c r="N1615" s="191">
        <f>+N619</f>
        <v>123933.44157</v>
      </c>
      <c r="O1615" s="191">
        <f>+O619</f>
        <v>169989.01484999998</v>
      </c>
      <c r="P1615" s="191">
        <f>+P619</f>
        <v>0</v>
      </c>
      <c r="Q1615" s="191"/>
      <c r="R1615" s="191">
        <f>+R619</f>
        <v>175155.29417000004</v>
      </c>
      <c r="S1615" s="191">
        <f>+S619</f>
        <v>0</v>
      </c>
      <c r="T1615" s="191">
        <f>+T619</f>
        <v>0</v>
      </c>
      <c r="U1615" s="191">
        <f>+U619</f>
        <v>0</v>
      </c>
      <c r="V1615" s="191">
        <f>+V619</f>
        <v>0</v>
      </c>
      <c r="W1615" s="191"/>
      <c r="X1615" s="191">
        <f>+X619</f>
        <v>169989.01484999998</v>
      </c>
      <c r="Y1615" s="181">
        <f t="shared" si="304"/>
        <v>3622240.4844800006</v>
      </c>
      <c r="Z1615" s="181">
        <f>+Z619</f>
        <v>271469.05625999998</v>
      </c>
      <c r="AA1615" s="167">
        <f>+AA619</f>
        <v>293922.45642000006</v>
      </c>
      <c r="AB1615" s="167">
        <f>+AB619</f>
        <v>393210.72782000003</v>
      </c>
      <c r="AC1615" s="167"/>
      <c r="AD1615" s="167"/>
    </row>
    <row r="1616" spans="1:30" ht="15" customHeight="1" x14ac:dyDescent="0.2">
      <c r="A1616" s="180"/>
      <c r="B1616" s="166"/>
      <c r="D1616" s="181"/>
      <c r="E1616" s="181"/>
      <c r="F1616" s="181"/>
      <c r="G1616" s="181"/>
      <c r="H1616" s="181"/>
      <c r="I1616" s="181"/>
      <c r="J1616" s="181"/>
      <c r="K1616" s="181"/>
      <c r="L1616" s="181"/>
      <c r="M1616" s="181"/>
      <c r="N1616" s="181"/>
      <c r="O1616" s="181"/>
      <c r="P1616" s="181"/>
      <c r="Q1616" s="181"/>
      <c r="R1616" s="181"/>
      <c r="S1616" s="181"/>
      <c r="T1616" s="181"/>
      <c r="U1616" s="181"/>
      <c r="V1616" s="181"/>
      <c r="W1616" s="181"/>
      <c r="X1616" s="181"/>
      <c r="Y1616" s="181"/>
      <c r="Z1616" s="181"/>
      <c r="AA1616" s="170"/>
      <c r="AB1616" s="170"/>
      <c r="AC1616" s="170"/>
      <c r="AD1616" s="170"/>
    </row>
    <row r="1617" spans="1:30" ht="15" customHeight="1" x14ac:dyDescent="0.2">
      <c r="A1617" s="180"/>
      <c r="B1617" s="166" t="s">
        <v>77</v>
      </c>
      <c r="D1617" s="181">
        <f>+D758</f>
        <v>2148892.7019699998</v>
      </c>
      <c r="E1617" s="181" t="e">
        <f>+E758</f>
        <v>#REF!</v>
      </c>
      <c r="F1617" s="181" t="e">
        <f>+F758</f>
        <v>#REF!</v>
      </c>
      <c r="G1617" s="181"/>
      <c r="H1617" s="181">
        <f>+H758</f>
        <v>1283051.50333</v>
      </c>
      <c r="I1617" s="181" t="e">
        <f>+I758</f>
        <v>#REF!</v>
      </c>
      <c r="J1617" s="181" t="e">
        <f>+J758</f>
        <v>#REF!</v>
      </c>
      <c r="K1617" s="181" t="e">
        <f>+K758</f>
        <v>#REF!</v>
      </c>
      <c r="L1617" s="181" t="e">
        <f>+L758</f>
        <v>#REF!</v>
      </c>
      <c r="M1617" s="181"/>
      <c r="N1617" s="181" t="e">
        <f>+N758</f>
        <v>#REF!</v>
      </c>
      <c r="O1617" s="181" t="e">
        <f>+O758</f>
        <v>#REF!</v>
      </c>
      <c r="P1617" s="181" t="e">
        <f>+P758</f>
        <v>#REF!</v>
      </c>
      <c r="Q1617" s="181"/>
      <c r="R1617" s="181">
        <f>+R758</f>
        <v>130531.24608</v>
      </c>
      <c r="S1617" s="181" t="e">
        <f>+S758</f>
        <v>#REF!</v>
      </c>
      <c r="T1617" s="181" t="e">
        <f>+T758</f>
        <v>#REF!</v>
      </c>
      <c r="U1617" s="181" t="e">
        <f>+U758</f>
        <v>#REF!</v>
      </c>
      <c r="V1617" s="181" t="e">
        <f>+V758</f>
        <v>#REF!</v>
      </c>
      <c r="W1617" s="181"/>
      <c r="X1617" s="181" t="e">
        <f>+X758</f>
        <v>#REF!</v>
      </c>
      <c r="Y1617" s="181">
        <f t="shared" si="304"/>
        <v>1413582.7494099999</v>
      </c>
      <c r="Z1617" s="181">
        <f>+Z758</f>
        <v>735309.95290999999</v>
      </c>
      <c r="AA1617" s="170" t="e">
        <f>+AA758</f>
        <v>#REF!</v>
      </c>
      <c r="AB1617" s="170" t="e">
        <f>+AB758</f>
        <v>#REF!</v>
      </c>
      <c r="AC1617" s="170"/>
      <c r="AD1617" s="170"/>
    </row>
    <row r="1618" spans="1:30" ht="15" customHeight="1" x14ac:dyDescent="0.2">
      <c r="A1618" s="180"/>
      <c r="D1618" s="191"/>
      <c r="E1618" s="191"/>
      <c r="F1618" s="191"/>
      <c r="G1618" s="191"/>
      <c r="H1618" s="191"/>
      <c r="I1618" s="191"/>
      <c r="J1618" s="191"/>
      <c r="K1618" s="191"/>
      <c r="L1618" s="191"/>
      <c r="M1618" s="191"/>
      <c r="N1618" s="191"/>
      <c r="O1618" s="191"/>
      <c r="P1618" s="191"/>
      <c r="Q1618" s="191"/>
      <c r="R1618" s="191"/>
      <c r="S1618" s="191"/>
      <c r="T1618" s="191"/>
      <c r="U1618" s="191"/>
      <c r="V1618" s="191"/>
      <c r="W1618" s="191"/>
      <c r="X1618" s="191"/>
      <c r="Y1618" s="181"/>
      <c r="Z1618" s="191"/>
      <c r="AA1618" s="170"/>
      <c r="AB1618" s="170"/>
      <c r="AC1618" s="170"/>
      <c r="AD1618" s="170"/>
    </row>
    <row r="1619" spans="1:30" ht="15" customHeight="1" x14ac:dyDescent="0.2">
      <c r="A1619" s="180"/>
      <c r="B1619" s="166" t="s">
        <v>196</v>
      </c>
      <c r="D1619" s="181">
        <f>+D889-1</f>
        <v>5506766.5822299998</v>
      </c>
      <c r="E1619" s="181">
        <f>+E889</f>
        <v>624710.89803000004</v>
      </c>
      <c r="F1619" s="181">
        <f>+F889</f>
        <v>102000</v>
      </c>
      <c r="G1619" s="181"/>
      <c r="H1619" s="181">
        <f>+H889</f>
        <v>5198983.8485999992</v>
      </c>
      <c r="I1619" s="181">
        <f>+I889</f>
        <v>0</v>
      </c>
      <c r="J1619" s="181">
        <f>+J889</f>
        <v>0</v>
      </c>
      <c r="K1619" s="181">
        <f>+K889</f>
        <v>0</v>
      </c>
      <c r="L1619" s="181">
        <f>+L889</f>
        <v>0</v>
      </c>
      <c r="M1619" s="181"/>
      <c r="N1619" s="181">
        <f>+N889</f>
        <v>781710.89786999999</v>
      </c>
      <c r="O1619" s="181">
        <f>+O889</f>
        <v>51047.303720000004</v>
      </c>
      <c r="P1619" s="181">
        <f>+P889</f>
        <v>0</v>
      </c>
      <c r="Q1619" s="181"/>
      <c r="R1619" s="181">
        <f>+R889</f>
        <v>52859.038740000004</v>
      </c>
      <c r="S1619" s="181">
        <f>+S889</f>
        <v>0</v>
      </c>
      <c r="T1619" s="181">
        <f>+T889</f>
        <v>0</v>
      </c>
      <c r="U1619" s="181">
        <f>+U889</f>
        <v>0</v>
      </c>
      <c r="V1619" s="181">
        <f>+V889</f>
        <v>0</v>
      </c>
      <c r="W1619" s="181"/>
      <c r="X1619" s="181">
        <f>+X889</f>
        <v>51046.551520000001</v>
      </c>
      <c r="Y1619" s="181">
        <f t="shared" si="304"/>
        <v>5251842.887339999</v>
      </c>
      <c r="Z1619" s="181">
        <f>+Z889</f>
        <v>254924.69670999999</v>
      </c>
      <c r="AA1619" s="170">
        <f>+AA889</f>
        <v>832757.44938999997</v>
      </c>
      <c r="AB1619" s="170">
        <f>+AB889</f>
        <v>453303.51119999995</v>
      </c>
      <c r="AC1619" s="170"/>
      <c r="AD1619" s="170"/>
    </row>
    <row r="1620" spans="1:30" ht="15" customHeight="1" x14ac:dyDescent="0.2">
      <c r="A1620" s="180"/>
      <c r="B1620" s="166"/>
      <c r="D1620" s="181"/>
      <c r="E1620" s="181"/>
      <c r="F1620" s="181"/>
      <c r="G1620" s="181"/>
      <c r="H1620" s="181"/>
      <c r="I1620" s="181"/>
      <c r="J1620" s="181"/>
      <c r="K1620" s="181"/>
      <c r="L1620" s="181"/>
      <c r="M1620" s="181"/>
      <c r="N1620" s="181"/>
      <c r="O1620" s="181"/>
      <c r="P1620" s="181"/>
      <c r="Q1620" s="181"/>
      <c r="R1620" s="181"/>
      <c r="S1620" s="181"/>
      <c r="T1620" s="181"/>
      <c r="U1620" s="181"/>
      <c r="V1620" s="181"/>
      <c r="W1620" s="181"/>
      <c r="X1620" s="181"/>
      <c r="Y1620" s="181"/>
      <c r="Z1620" s="181"/>
      <c r="AA1620" s="170"/>
      <c r="AB1620" s="170"/>
      <c r="AC1620" s="170"/>
      <c r="AD1620" s="170"/>
    </row>
    <row r="1621" spans="1:30" ht="15" customHeight="1" x14ac:dyDescent="0.2">
      <c r="A1621" s="180"/>
      <c r="B1621" s="165" t="s">
        <v>94</v>
      </c>
      <c r="D1621" s="191">
        <f>+D994</f>
        <v>1254274.34987</v>
      </c>
      <c r="E1621" s="191">
        <f>+E994</f>
        <v>40516.243499999997</v>
      </c>
      <c r="F1621" s="191">
        <f>+F994</f>
        <v>1500</v>
      </c>
      <c r="G1621" s="191"/>
      <c r="H1621" s="191">
        <f>+H994</f>
        <v>598238.15323000005</v>
      </c>
      <c r="I1621" s="191">
        <f>+I994</f>
        <v>0</v>
      </c>
      <c r="J1621" s="191">
        <f>+J994</f>
        <v>0</v>
      </c>
      <c r="K1621" s="191">
        <f>+K994</f>
        <v>0</v>
      </c>
      <c r="L1621" s="191">
        <f>+L994</f>
        <v>0</v>
      </c>
      <c r="M1621" s="191"/>
      <c r="N1621" s="191">
        <f>+N994</f>
        <v>42016.243499999997</v>
      </c>
      <c r="O1621" s="191">
        <f>+O994</f>
        <v>14548.389009999999</v>
      </c>
      <c r="P1621" s="191">
        <f>+P994</f>
        <v>0</v>
      </c>
      <c r="Q1621" s="191"/>
      <c r="R1621" s="191">
        <f>+R994</f>
        <v>14548.411899999999</v>
      </c>
      <c r="S1621" s="191">
        <f>+S994</f>
        <v>0</v>
      </c>
      <c r="T1621" s="191">
        <f>+T994</f>
        <v>0</v>
      </c>
      <c r="U1621" s="191">
        <f>+U994</f>
        <v>0</v>
      </c>
      <c r="V1621" s="191">
        <f>+V994</f>
        <v>0</v>
      </c>
      <c r="W1621" s="191"/>
      <c r="X1621" s="191">
        <f>+X994</f>
        <v>14548.389009999999</v>
      </c>
      <c r="Y1621" s="181">
        <f t="shared" si="304"/>
        <v>612786.56513</v>
      </c>
      <c r="Z1621" s="181">
        <f>+Z994</f>
        <v>641487.78473999992</v>
      </c>
      <c r="AA1621" s="167">
        <f>+AA994</f>
        <v>56564.632510000003</v>
      </c>
      <c r="AB1621" s="167">
        <f>+AB994</f>
        <v>131444.87508999999</v>
      </c>
      <c r="AC1621" s="167"/>
      <c r="AD1621" s="167"/>
    </row>
    <row r="1622" spans="1:30" ht="15" customHeight="1" x14ac:dyDescent="0.2">
      <c r="A1622" s="180"/>
      <c r="B1622" s="166"/>
      <c r="D1622" s="181"/>
      <c r="E1622" s="181"/>
      <c r="F1622" s="181"/>
      <c r="G1622" s="181"/>
      <c r="H1622" s="181"/>
      <c r="I1622" s="181"/>
      <c r="J1622" s="181"/>
      <c r="K1622" s="181"/>
      <c r="L1622" s="181"/>
      <c r="M1622" s="181"/>
      <c r="N1622" s="181"/>
      <c r="O1622" s="181">
        <f>+O1621-14548389.01</f>
        <v>-14533840.620990001</v>
      </c>
      <c r="P1622" s="181"/>
      <c r="Q1622" s="181"/>
      <c r="R1622" s="181"/>
      <c r="S1622" s="181"/>
      <c r="T1622" s="181"/>
      <c r="U1622" s="181"/>
      <c r="V1622" s="181"/>
      <c r="W1622" s="181"/>
      <c r="X1622" s="181"/>
      <c r="Y1622" s="181"/>
      <c r="Z1622" s="181"/>
      <c r="AA1622" s="170"/>
      <c r="AB1622" s="170"/>
      <c r="AC1622" s="170"/>
      <c r="AD1622" s="170"/>
    </row>
    <row r="1623" spans="1:30" ht="15" customHeight="1" x14ac:dyDescent="0.2">
      <c r="A1623" s="180"/>
      <c r="B1623" s="166" t="s">
        <v>210</v>
      </c>
      <c r="D1623" s="181">
        <f>+D1108</f>
        <v>914097.30055999989</v>
      </c>
      <c r="E1623" s="181">
        <f>+E1108</f>
        <v>150757.49505999999</v>
      </c>
      <c r="F1623" s="181">
        <f>+F1108</f>
        <v>17000</v>
      </c>
      <c r="G1623" s="181"/>
      <c r="H1623" s="181">
        <f>+H1108</f>
        <v>699129.46202000009</v>
      </c>
      <c r="I1623" s="181">
        <f>+I1108</f>
        <v>0</v>
      </c>
      <c r="J1623" s="181">
        <f>+J1108</f>
        <v>0</v>
      </c>
      <c r="K1623" s="181">
        <f>+K1108</f>
        <v>0</v>
      </c>
      <c r="L1623" s="181">
        <f>+L1108</f>
        <v>0</v>
      </c>
      <c r="M1623" s="181"/>
      <c r="N1623" s="181">
        <f>+N1108</f>
        <v>167757.49505999999</v>
      </c>
      <c r="O1623" s="181">
        <f>+O1108</f>
        <v>119641.15905999999</v>
      </c>
      <c r="P1623" s="181">
        <f>+P1108</f>
        <v>0</v>
      </c>
      <c r="Q1623" s="181"/>
      <c r="R1623" s="181">
        <f>+R1108</f>
        <v>120048.58668000001</v>
      </c>
      <c r="S1623" s="181">
        <f>+S1108</f>
        <v>0</v>
      </c>
      <c r="T1623" s="181">
        <f>+T1108</f>
        <v>0</v>
      </c>
      <c r="U1623" s="181">
        <f>+U1108</f>
        <v>0</v>
      </c>
      <c r="V1623" s="181">
        <f>+V1108</f>
        <v>0</v>
      </c>
      <c r="W1623" s="181"/>
      <c r="X1623" s="181">
        <f>+X1108</f>
        <v>119641.15905999999</v>
      </c>
      <c r="Y1623" s="181">
        <f t="shared" si="304"/>
        <v>819178.04870000016</v>
      </c>
      <c r="Z1623" s="181">
        <f>+D1623-Y1623</f>
        <v>94919.251859999727</v>
      </c>
      <c r="AA1623" s="170">
        <f>+AA1108</f>
        <v>287398.65411999996</v>
      </c>
      <c r="AB1623" s="170">
        <f>+AB1108</f>
        <v>174965.78299000004</v>
      </c>
      <c r="AC1623" s="170"/>
      <c r="AD1623" s="170"/>
    </row>
    <row r="1624" spans="1:30" ht="15" customHeight="1" x14ac:dyDescent="0.2">
      <c r="A1624" s="180"/>
      <c r="D1624" s="191"/>
      <c r="E1624" s="191"/>
      <c r="F1624" s="191"/>
      <c r="G1624" s="191"/>
      <c r="H1624" s="191"/>
      <c r="I1624" s="191"/>
      <c r="J1624" s="191"/>
      <c r="K1624" s="191"/>
      <c r="L1624" s="191"/>
      <c r="M1624" s="191"/>
      <c r="N1624" s="191"/>
      <c r="O1624" s="191"/>
      <c r="P1624" s="191"/>
      <c r="Q1624" s="191"/>
      <c r="R1624" s="191"/>
      <c r="S1624" s="191"/>
      <c r="T1624" s="191"/>
      <c r="U1624" s="191"/>
      <c r="V1624" s="191"/>
      <c r="W1624" s="191"/>
      <c r="X1624" s="191"/>
      <c r="Y1624" s="181"/>
      <c r="Z1624" s="191"/>
      <c r="AA1624" s="167"/>
      <c r="AB1624" s="167"/>
      <c r="AC1624" s="167"/>
      <c r="AD1624" s="167"/>
    </row>
    <row r="1625" spans="1:30" ht="15" customHeight="1" x14ac:dyDescent="0.2">
      <c r="A1625" s="180"/>
      <c r="B1625" s="166" t="s">
        <v>105</v>
      </c>
      <c r="D1625" s="181">
        <f>+D1168</f>
        <v>2571301.2202599999</v>
      </c>
      <c r="E1625" s="181">
        <f>+E1168</f>
        <v>139213.57640000002</v>
      </c>
      <c r="F1625" s="181">
        <f>+F1168</f>
        <v>30000</v>
      </c>
      <c r="G1625" s="181"/>
      <c r="H1625" s="181">
        <f>+H1168</f>
        <v>2478603.00226</v>
      </c>
      <c r="I1625" s="181">
        <f>+I1168</f>
        <v>0</v>
      </c>
      <c r="J1625" s="181">
        <f>+J1168</f>
        <v>0</v>
      </c>
      <c r="K1625" s="181">
        <f>+K1168</f>
        <v>0</v>
      </c>
      <c r="L1625" s="181">
        <f>+L1168</f>
        <v>0</v>
      </c>
      <c r="M1625" s="181"/>
      <c r="N1625" s="181">
        <f>+N1168</f>
        <v>169213.57640000002</v>
      </c>
      <c r="O1625" s="181">
        <f>+O1168</f>
        <v>10786.10788</v>
      </c>
      <c r="P1625" s="181">
        <f>+P1168</f>
        <v>0</v>
      </c>
      <c r="Q1625" s="181"/>
      <c r="R1625" s="181">
        <f>+R1168</f>
        <v>8822.4184699999987</v>
      </c>
      <c r="S1625" s="181">
        <f>+S1168</f>
        <v>356.11799999999999</v>
      </c>
      <c r="T1625" s="181">
        <f>+T1168</f>
        <v>0</v>
      </c>
      <c r="U1625" s="181">
        <f>+U1168</f>
        <v>0</v>
      </c>
      <c r="V1625" s="181">
        <f>+V1168</f>
        <v>0</v>
      </c>
      <c r="W1625" s="181"/>
      <c r="X1625" s="181">
        <f>+X1168</f>
        <v>10786.10788</v>
      </c>
      <c r="Y1625" s="181">
        <f t="shared" si="304"/>
        <v>2487425.4207299999</v>
      </c>
      <c r="Z1625" s="181">
        <f>+Z1168</f>
        <v>83875.799530000004</v>
      </c>
      <c r="AA1625" s="170">
        <f>+AA1168</f>
        <v>179999.68428000002</v>
      </c>
      <c r="AB1625" s="170">
        <f>+AB1168</f>
        <v>274902.35924000002</v>
      </c>
      <c r="AC1625" s="170"/>
      <c r="AD1625" s="170"/>
    </row>
    <row r="1626" spans="1:30" ht="15" customHeight="1" x14ac:dyDescent="0.2">
      <c r="A1626" s="180"/>
      <c r="B1626" s="166"/>
      <c r="D1626" s="181"/>
      <c r="E1626" s="181"/>
      <c r="F1626" s="181"/>
      <c r="G1626" s="181"/>
      <c r="H1626" s="181"/>
      <c r="I1626" s="181"/>
      <c r="J1626" s="181"/>
      <c r="K1626" s="181"/>
      <c r="L1626" s="181"/>
      <c r="M1626" s="181"/>
      <c r="N1626" s="181"/>
      <c r="O1626" s="181"/>
      <c r="P1626" s="181"/>
      <c r="Q1626" s="181"/>
      <c r="R1626" s="181"/>
      <c r="S1626" s="181"/>
      <c r="T1626" s="181"/>
      <c r="U1626" s="181"/>
      <c r="V1626" s="181"/>
      <c r="W1626" s="181"/>
      <c r="X1626" s="181"/>
      <c r="Y1626" s="181"/>
      <c r="Z1626" s="181"/>
      <c r="AA1626" s="170"/>
      <c r="AB1626" s="170"/>
      <c r="AC1626" s="170"/>
      <c r="AD1626" s="170"/>
    </row>
    <row r="1627" spans="1:30" ht="15" customHeight="1" x14ac:dyDescent="0.2">
      <c r="A1627" s="180"/>
      <c r="B1627" s="165" t="s">
        <v>223</v>
      </c>
      <c r="D1627" s="191">
        <f>+D1277-1</f>
        <v>2710511.58751</v>
      </c>
      <c r="E1627" s="191">
        <f>+E1277</f>
        <v>32683.629160000004</v>
      </c>
      <c r="F1627" s="191">
        <f>+F1277</f>
        <v>0</v>
      </c>
      <c r="G1627" s="191"/>
      <c r="H1627" s="191">
        <f>+H1277</f>
        <v>2095479.06953</v>
      </c>
      <c r="I1627" s="191">
        <f>+I1277</f>
        <v>0</v>
      </c>
      <c r="J1627" s="191">
        <f>+J1277</f>
        <v>0</v>
      </c>
      <c r="K1627" s="191">
        <f>+K1277</f>
        <v>0</v>
      </c>
      <c r="L1627" s="191">
        <f>+L1277</f>
        <v>0</v>
      </c>
      <c r="M1627" s="191"/>
      <c r="N1627" s="191">
        <f>+N1277</f>
        <v>32683.629160000004</v>
      </c>
      <c r="O1627" s="191">
        <f>+O1277</f>
        <v>54613.40236</v>
      </c>
      <c r="P1627" s="191">
        <f>+P1277</f>
        <v>872.51886000000002</v>
      </c>
      <c r="Q1627" s="191"/>
      <c r="R1627" s="191">
        <f>+R1277</f>
        <v>58814.653320000005</v>
      </c>
      <c r="S1627" s="191">
        <f>+S1277</f>
        <v>0</v>
      </c>
      <c r="T1627" s="191">
        <f>+T1277</f>
        <v>0</v>
      </c>
      <c r="U1627" s="191">
        <f>+U1277</f>
        <v>0</v>
      </c>
      <c r="V1627" s="191">
        <f>+V1277</f>
        <v>0</v>
      </c>
      <c r="W1627" s="191"/>
      <c r="X1627" s="191">
        <f>+X1277</f>
        <v>55485.921219999997</v>
      </c>
      <c r="Y1627" s="181">
        <f t="shared" si="304"/>
        <v>2154293.72285</v>
      </c>
      <c r="Z1627" s="181">
        <f>+Z1277-1</f>
        <v>556218.6675199999</v>
      </c>
      <c r="AA1627" s="167">
        <f>+AA1277</f>
        <v>88169.550380000015</v>
      </c>
      <c r="AB1627" s="167">
        <f>+AB1277</f>
        <v>273169.59279999998</v>
      </c>
      <c r="AC1627" s="167"/>
      <c r="AD1627" s="167"/>
    </row>
    <row r="1628" spans="1:30" ht="15" customHeight="1" x14ac:dyDescent="0.2">
      <c r="A1628" s="180"/>
      <c r="B1628" s="166"/>
      <c r="D1628" s="181"/>
      <c r="E1628" s="181"/>
      <c r="F1628" s="181"/>
      <c r="G1628" s="181"/>
      <c r="H1628" s="181"/>
      <c r="I1628" s="181"/>
      <c r="J1628" s="181"/>
      <c r="K1628" s="181"/>
      <c r="L1628" s="181"/>
      <c r="M1628" s="181"/>
      <c r="N1628" s="181"/>
      <c r="O1628" s="181"/>
      <c r="P1628" s="181"/>
      <c r="Q1628" s="181"/>
      <c r="R1628" s="181"/>
      <c r="S1628" s="181"/>
      <c r="T1628" s="181"/>
      <c r="U1628" s="181"/>
      <c r="V1628" s="181"/>
      <c r="W1628" s="181"/>
      <c r="X1628" s="181"/>
      <c r="Y1628" s="181"/>
      <c r="Z1628" s="181"/>
      <c r="AA1628" s="170"/>
      <c r="AB1628" s="170"/>
      <c r="AC1628" s="170"/>
      <c r="AD1628" s="170"/>
    </row>
    <row r="1629" spans="1:30" ht="15" customHeight="1" x14ac:dyDescent="0.2">
      <c r="A1629" s="180"/>
      <c r="B1629" s="166" t="s">
        <v>232</v>
      </c>
      <c r="D1629" s="181">
        <f>+D1362</f>
        <v>2489271.8925100002</v>
      </c>
      <c r="E1629" s="181">
        <f>+E1362</f>
        <v>102099.61305</v>
      </c>
      <c r="F1629" s="181">
        <f>+F1362</f>
        <v>7994.64336</v>
      </c>
      <c r="G1629" s="181"/>
      <c r="H1629" s="181">
        <f>+H1362</f>
        <v>2332195.1688299999</v>
      </c>
      <c r="I1629" s="181">
        <f>+I1362</f>
        <v>0</v>
      </c>
      <c r="J1629" s="181">
        <f>+J1362</f>
        <v>0</v>
      </c>
      <c r="K1629" s="181">
        <f>+K1362</f>
        <v>0</v>
      </c>
      <c r="L1629" s="181">
        <f>+L1362</f>
        <v>0</v>
      </c>
      <c r="M1629" s="181"/>
      <c r="N1629" s="181">
        <f>+N1362</f>
        <v>110094.25641</v>
      </c>
      <c r="O1629" s="181">
        <f>+O1362</f>
        <v>35888.49654</v>
      </c>
      <c r="P1629" s="181">
        <f>+P1362</f>
        <v>0</v>
      </c>
      <c r="Q1629" s="181"/>
      <c r="R1629" s="181">
        <f>+R1362</f>
        <v>36117.452530000002</v>
      </c>
      <c r="S1629" s="181">
        <f>+S1362</f>
        <v>0</v>
      </c>
      <c r="T1629" s="181">
        <f>+T1362</f>
        <v>0</v>
      </c>
      <c r="U1629" s="181">
        <f>+U1362</f>
        <v>0</v>
      </c>
      <c r="V1629" s="181">
        <f>+V1362</f>
        <v>0</v>
      </c>
      <c r="W1629" s="181"/>
      <c r="X1629" s="181">
        <f>+X1362</f>
        <v>35888.49654</v>
      </c>
      <c r="Y1629" s="181">
        <f t="shared" si="304"/>
        <v>2368312.6213599998</v>
      </c>
      <c r="Z1629" s="181">
        <f>+Z1362</f>
        <v>120959.27115</v>
      </c>
      <c r="AA1629" s="170">
        <f>+AA1362</f>
        <v>145982.75294999999</v>
      </c>
      <c r="AB1629" s="170">
        <f>+AB1362</f>
        <v>258770.91336000001</v>
      </c>
      <c r="AC1629" s="170"/>
      <c r="AD1629" s="170"/>
    </row>
    <row r="1630" spans="1:30" ht="15" customHeight="1" x14ac:dyDescent="0.2">
      <c r="A1630" s="180"/>
      <c r="D1630" s="191"/>
      <c r="E1630" s="191"/>
      <c r="F1630" s="191"/>
      <c r="G1630" s="191"/>
      <c r="H1630" s="191"/>
      <c r="I1630" s="191"/>
      <c r="J1630" s="191"/>
      <c r="K1630" s="191"/>
      <c r="L1630" s="191"/>
      <c r="M1630" s="191"/>
      <c r="N1630" s="191"/>
      <c r="O1630" s="191"/>
      <c r="P1630" s="191"/>
      <c r="Q1630" s="191"/>
      <c r="R1630" s="191"/>
      <c r="S1630" s="191"/>
      <c r="T1630" s="191"/>
      <c r="U1630" s="191"/>
      <c r="V1630" s="191"/>
      <c r="W1630" s="191"/>
      <c r="X1630" s="191"/>
      <c r="Y1630" s="181"/>
      <c r="Z1630" s="191"/>
      <c r="AA1630" s="167"/>
      <c r="AB1630" s="167"/>
      <c r="AC1630" s="167"/>
      <c r="AD1630" s="167"/>
    </row>
    <row r="1631" spans="1:30" ht="15" customHeight="1" x14ac:dyDescent="0.2">
      <c r="A1631" s="180"/>
      <c r="B1631" s="166" t="s">
        <v>250</v>
      </c>
      <c r="D1631" s="181">
        <f>+D1425</f>
        <v>233831.35897</v>
      </c>
      <c r="E1631" s="181">
        <f>+E1425</f>
        <v>31036.731469999999</v>
      </c>
      <c r="F1631" s="181">
        <f>+F1425</f>
        <v>0</v>
      </c>
      <c r="G1631" s="181"/>
      <c r="H1631" s="181">
        <f>+H1425</f>
        <v>136344.03427999999</v>
      </c>
      <c r="I1631" s="181">
        <f>+I1425</f>
        <v>0</v>
      </c>
      <c r="J1631" s="181">
        <f>+J1425</f>
        <v>0</v>
      </c>
      <c r="K1631" s="181">
        <f>+K1425</f>
        <v>0</v>
      </c>
      <c r="L1631" s="181">
        <f>+L1425</f>
        <v>0</v>
      </c>
      <c r="M1631" s="181"/>
      <c r="N1631" s="181">
        <f>+N1425</f>
        <v>31036.731470000002</v>
      </c>
      <c r="O1631" s="181" t="e">
        <f>+O1425</f>
        <v>#VALUE!</v>
      </c>
      <c r="P1631" s="181" t="e">
        <f>+P1425</f>
        <v>#VALUE!</v>
      </c>
      <c r="Q1631" s="181"/>
      <c r="R1631" s="181">
        <f>+R1425</f>
        <v>11289.13617</v>
      </c>
      <c r="S1631" s="181">
        <f>+S1425</f>
        <v>108.12775000000001</v>
      </c>
      <c r="T1631" s="181">
        <f>+T1425</f>
        <v>0</v>
      </c>
      <c r="U1631" s="181">
        <f>+U1425</f>
        <v>0</v>
      </c>
      <c r="V1631" s="181" t="e">
        <f>+V1425</f>
        <v>#VALUE!</v>
      </c>
      <c r="W1631" s="181"/>
      <c r="X1631" s="181" t="e">
        <f>+X1425</f>
        <v>#VALUE!</v>
      </c>
      <c r="Y1631" s="181">
        <f t="shared" si="304"/>
        <v>147633.17045000001</v>
      </c>
      <c r="Z1631" s="181">
        <f>+Z1425</f>
        <v>86198.188519999996</v>
      </c>
      <c r="AA1631" s="170">
        <f>+AA1425</f>
        <v>35601.261910000001</v>
      </c>
      <c r="AB1631" s="170">
        <f>+AB1425</f>
        <v>85942.467370000013</v>
      </c>
      <c r="AC1631" s="170"/>
      <c r="AD1631" s="170"/>
    </row>
    <row r="1632" spans="1:30" ht="15" customHeight="1" x14ac:dyDescent="0.2">
      <c r="A1632" s="180"/>
      <c r="D1632" s="182"/>
      <c r="E1632" s="182"/>
      <c r="F1632" s="182"/>
      <c r="G1632" s="182"/>
      <c r="H1632" s="182"/>
      <c r="I1632" s="182"/>
      <c r="J1632" s="182"/>
      <c r="K1632" s="182"/>
      <c r="L1632" s="182"/>
      <c r="M1632" s="182"/>
      <c r="N1632" s="182"/>
      <c r="O1632" s="182"/>
      <c r="P1632" s="182"/>
      <c r="Q1632" s="182"/>
      <c r="R1632" s="182"/>
      <c r="S1632" s="182"/>
      <c r="T1632" s="182"/>
      <c r="U1632" s="182"/>
      <c r="V1632" s="182"/>
      <c r="W1632" s="182"/>
      <c r="X1632" s="182"/>
      <c r="Y1632" s="181"/>
      <c r="Z1632" s="182"/>
      <c r="AA1632" s="243"/>
      <c r="AB1632" s="243"/>
      <c r="AC1632" s="243"/>
      <c r="AD1632" s="243"/>
    </row>
    <row r="1633" spans="1:30" ht="15" customHeight="1" x14ac:dyDescent="0.2">
      <c r="A1633" s="180"/>
      <c r="B1633" s="165" t="s">
        <v>119</v>
      </c>
      <c r="D1633" s="191">
        <f>+D1466</f>
        <v>2381087.6189999999</v>
      </c>
      <c r="E1633" s="191">
        <f>+E1466</f>
        <v>295582.78089000005</v>
      </c>
      <c r="F1633" s="191">
        <f>+F1466</f>
        <v>29000</v>
      </c>
      <c r="G1633" s="191"/>
      <c r="H1633" s="191">
        <f>+H1466</f>
        <v>2153452.8536</v>
      </c>
      <c r="I1633" s="191">
        <f>+I1466</f>
        <v>0</v>
      </c>
      <c r="J1633" s="191">
        <f>+J1466</f>
        <v>0</v>
      </c>
      <c r="K1633" s="191">
        <f>+K1466</f>
        <v>0</v>
      </c>
      <c r="L1633" s="191">
        <f>+L1466</f>
        <v>0</v>
      </c>
      <c r="M1633" s="191"/>
      <c r="N1633" s="191">
        <f>+N1466</f>
        <v>324582.78089000005</v>
      </c>
      <c r="O1633" s="191">
        <f>+O1466</f>
        <v>26122.796729999998</v>
      </c>
      <c r="P1633" s="191">
        <f>+P1466</f>
        <v>0</v>
      </c>
      <c r="Q1633" s="191"/>
      <c r="R1633" s="191">
        <f>+R1466</f>
        <v>29066.441999999999</v>
      </c>
      <c r="S1633" s="191">
        <f>+S1466</f>
        <v>2594.8166699999992</v>
      </c>
      <c r="T1633" s="191">
        <f>+T1466</f>
        <v>0</v>
      </c>
      <c r="U1633" s="191">
        <f>+U1466</f>
        <v>2125.6468199999999</v>
      </c>
      <c r="V1633" s="191">
        <f>+V1466</f>
        <v>0</v>
      </c>
      <c r="W1633" s="191"/>
      <c r="X1633" s="191">
        <f>+X1466</f>
        <v>26122.796729999998</v>
      </c>
      <c r="Y1633" s="181">
        <f t="shared" si="304"/>
        <v>2182519.2955999998</v>
      </c>
      <c r="Z1633" s="181">
        <f>+Z1466</f>
        <v>198569.32459999999</v>
      </c>
      <c r="AA1633" s="167">
        <f>+AA1466</f>
        <v>350705.57762000005</v>
      </c>
      <c r="AB1633" s="167">
        <f>+AB1466</f>
        <v>144114.26964999997</v>
      </c>
      <c r="AC1633" s="167"/>
      <c r="AD1633" s="167"/>
    </row>
    <row r="1634" spans="1:30" ht="15" customHeight="1" x14ac:dyDescent="0.2">
      <c r="A1634" s="180"/>
      <c r="B1634" s="166"/>
      <c r="D1634" s="181"/>
      <c r="E1634" s="181"/>
      <c r="F1634" s="181"/>
      <c r="G1634" s="181"/>
      <c r="H1634" s="181"/>
      <c r="I1634" s="181"/>
      <c r="J1634" s="181"/>
      <c r="K1634" s="181"/>
      <c r="L1634" s="181"/>
      <c r="M1634" s="181"/>
      <c r="N1634" s="181"/>
      <c r="O1634" s="181"/>
      <c r="P1634" s="181"/>
      <c r="Q1634" s="181"/>
      <c r="R1634" s="181"/>
      <c r="S1634" s="181"/>
      <c r="T1634" s="181"/>
      <c r="U1634" s="181"/>
      <c r="V1634" s="181"/>
      <c r="W1634" s="181"/>
      <c r="X1634" s="181"/>
      <c r="Y1634" s="181"/>
      <c r="Z1634" s="181"/>
      <c r="AA1634" s="170"/>
      <c r="AB1634" s="170"/>
      <c r="AC1634" s="170"/>
      <c r="AD1634" s="170"/>
    </row>
    <row r="1635" spans="1:30" ht="15" customHeight="1" x14ac:dyDescent="0.2">
      <c r="A1635" s="180"/>
      <c r="B1635" s="165" t="s">
        <v>123</v>
      </c>
      <c r="D1635" s="245">
        <f>+D1519</f>
        <v>1018206.8374899999</v>
      </c>
      <c r="E1635" s="245">
        <f>+E1519</f>
        <v>45416.287909999999</v>
      </c>
      <c r="F1635" s="245">
        <f>+F1519</f>
        <v>0</v>
      </c>
      <c r="G1635" s="245"/>
      <c r="H1635" s="245">
        <f>+H1519</f>
        <v>347735.54365999997</v>
      </c>
      <c r="I1635" s="245">
        <f>+I1519</f>
        <v>0</v>
      </c>
      <c r="J1635" s="245">
        <f>+J1519</f>
        <v>0</v>
      </c>
      <c r="K1635" s="245">
        <f>+K1519</f>
        <v>0</v>
      </c>
      <c r="L1635" s="245">
        <f>+L1519</f>
        <v>0</v>
      </c>
      <c r="M1635" s="245"/>
      <c r="N1635" s="245">
        <f>+N1519</f>
        <v>45416.287909999999</v>
      </c>
      <c r="O1635" s="245">
        <f>+O1519</f>
        <v>21145.021090000002</v>
      </c>
      <c r="P1635" s="245">
        <f>+P1519</f>
        <v>772.91016000000002</v>
      </c>
      <c r="Q1635" s="245"/>
      <c r="R1635" s="245">
        <f>+R1519</f>
        <v>23079.237000000001</v>
      </c>
      <c r="S1635" s="245">
        <f>+S1519</f>
        <v>6180.3030399999998</v>
      </c>
      <c r="T1635" s="245">
        <f>+T1519</f>
        <v>4554.1438399999997</v>
      </c>
      <c r="U1635" s="245">
        <f>+U1519</f>
        <v>0</v>
      </c>
      <c r="V1635" s="245">
        <f>+V1519</f>
        <v>0</v>
      </c>
      <c r="W1635" s="245"/>
      <c r="X1635" s="245">
        <f>+X1519</f>
        <v>21917.931250000001</v>
      </c>
      <c r="Y1635" s="246">
        <f t="shared" si="304"/>
        <v>370814.78065999999</v>
      </c>
      <c r="Z1635" s="246">
        <f>+Z1519</f>
        <v>647392.65682999999</v>
      </c>
      <c r="AA1635" s="247">
        <f>+AA1519</f>
        <v>67334.219159999993</v>
      </c>
      <c r="AB1635" s="247">
        <f>+AB1519</f>
        <v>368252.12405999994</v>
      </c>
      <c r="AC1635" s="248"/>
      <c r="AD1635" s="248"/>
    </row>
    <row r="1636" spans="1:30" ht="15" customHeight="1" x14ac:dyDescent="0.2">
      <c r="A1636" s="180"/>
      <c r="D1636" s="191"/>
      <c r="E1636" s="191"/>
      <c r="F1636" s="191"/>
      <c r="G1636" s="191"/>
      <c r="H1636" s="191"/>
      <c r="I1636" s="191"/>
      <c r="J1636" s="191"/>
      <c r="K1636" s="191"/>
      <c r="L1636" s="191"/>
      <c r="M1636" s="191"/>
      <c r="N1636" s="191"/>
      <c r="O1636" s="191"/>
      <c r="P1636" s="191"/>
      <c r="Q1636" s="191"/>
      <c r="R1636" s="191"/>
      <c r="S1636" s="191"/>
      <c r="T1636" s="191"/>
      <c r="U1636" s="191"/>
      <c r="V1636" s="191"/>
      <c r="W1636" s="191"/>
      <c r="X1636" s="191"/>
      <c r="Y1636" s="191"/>
      <c r="Z1636" s="191"/>
      <c r="AA1636" s="167"/>
      <c r="AB1636" s="167"/>
      <c r="AC1636" s="167"/>
      <c r="AD1636" s="167"/>
    </row>
    <row r="1637" spans="1:30" ht="15.75" thickBot="1" x14ac:dyDescent="0.25">
      <c r="A1637" s="180"/>
      <c r="B1637" s="210" t="s">
        <v>277</v>
      </c>
      <c r="D1637" s="198">
        <f>SUM(D1607:D1635)+1</f>
        <v>42782067.636640005</v>
      </c>
      <c r="E1637" s="198" t="e">
        <f>SUM(E1607:E1635)</f>
        <v>#REF!</v>
      </c>
      <c r="F1637" s="198" t="e">
        <f>SUM(F1607:F1635)</f>
        <v>#REF!</v>
      </c>
      <c r="G1637" s="198"/>
      <c r="H1637" s="198">
        <f>SUM(H1607:H1635)</f>
        <v>35941668.241859995</v>
      </c>
      <c r="I1637" s="198" t="e">
        <f>SUM(I1607:I1635)</f>
        <v>#REF!</v>
      </c>
      <c r="J1637" s="198" t="e">
        <f>SUM(J1607:J1635)</f>
        <v>#REF!</v>
      </c>
      <c r="K1637" s="198" t="e">
        <f>SUM(K1607:K1635)</f>
        <v>#REF!</v>
      </c>
      <c r="L1637" s="198" t="e">
        <f>SUM(L1607:L1635)</f>
        <v>#REF!</v>
      </c>
      <c r="M1637" s="198"/>
      <c r="N1637" s="198" t="e">
        <f>SUM(N1607:N1635)</f>
        <v>#REF!</v>
      </c>
      <c r="O1637" s="198" t="e">
        <f>SUM(O1607:O1635)</f>
        <v>#REF!</v>
      </c>
      <c r="P1637" s="198" t="e">
        <f>SUM(P1607:P1635)</f>
        <v>#VALUE!</v>
      </c>
      <c r="Q1637" s="198"/>
      <c r="R1637" s="198">
        <f>SUM(R1607:R1635)</f>
        <v>1033564.3744799999</v>
      </c>
      <c r="S1637" s="198" t="e">
        <f>SUM(S1607:S1635)</f>
        <v>#REF!</v>
      </c>
      <c r="T1637" s="198" t="e">
        <f>SUM(T1607:T1635)</f>
        <v>#REF!</v>
      </c>
      <c r="U1637" s="198" t="e">
        <f>SUM(U1607:U1635)</f>
        <v>#REF!</v>
      </c>
      <c r="V1637" s="198" t="e">
        <f>SUM(V1607:V1635)</f>
        <v>#REF!</v>
      </c>
      <c r="W1637" s="198"/>
      <c r="X1637" s="198" t="e">
        <f>SUM(X1607:X1635)</f>
        <v>#REF!</v>
      </c>
      <c r="Y1637" s="198">
        <f>SUM(Y1607:Y1635)</f>
        <v>36975232.616339996</v>
      </c>
      <c r="Z1637" s="198">
        <f>SUM(Z1607:Z1635)-1</f>
        <v>5806835.2234300002</v>
      </c>
      <c r="AA1637" s="244" t="e">
        <f>SUM(AA1607:AA1635)</f>
        <v>#VALUE!</v>
      </c>
      <c r="AB1637" s="244" t="e">
        <f>SUM(AB1607:AB1635)</f>
        <v>#VALUE!</v>
      </c>
      <c r="AC1637" s="240"/>
      <c r="AD1637" s="240"/>
    </row>
    <row r="1638" spans="1:30" ht="15.75" thickTop="1" x14ac:dyDescent="0.2">
      <c r="A1638" s="180"/>
      <c r="D1638" s="191"/>
      <c r="E1638" s="191"/>
      <c r="F1638" s="191"/>
      <c r="G1638" s="191"/>
      <c r="H1638" s="191"/>
      <c r="I1638" s="191"/>
      <c r="J1638" s="191"/>
      <c r="K1638" s="191"/>
      <c r="L1638" s="191"/>
      <c r="M1638" s="191"/>
      <c r="N1638" s="191"/>
      <c r="O1638" s="191"/>
      <c r="P1638" s="191"/>
      <c r="Q1638" s="191"/>
      <c r="R1638" s="191"/>
      <c r="S1638" s="191"/>
      <c r="T1638" s="191"/>
      <c r="U1638" s="191"/>
      <c r="V1638" s="191"/>
      <c r="W1638" s="191"/>
      <c r="X1638" s="191"/>
      <c r="Y1638" s="191"/>
      <c r="Z1638" s="191"/>
      <c r="AA1638" s="167"/>
      <c r="AB1638" s="167"/>
      <c r="AC1638" s="167"/>
      <c r="AD1638" s="167"/>
    </row>
    <row r="1639" spans="1:30" x14ac:dyDescent="0.2">
      <c r="A1639" s="180"/>
      <c r="D1639" s="191"/>
      <c r="E1639" s="191"/>
      <c r="F1639" s="191"/>
      <c r="G1639" s="191"/>
      <c r="H1639" s="191"/>
      <c r="I1639" s="191"/>
      <c r="J1639" s="191"/>
      <c r="K1639" s="191"/>
      <c r="L1639" s="191"/>
      <c r="M1639" s="191"/>
      <c r="N1639" s="191"/>
      <c r="O1639" s="191"/>
      <c r="P1639" s="191" t="e">
        <f>+P1586-P1637</f>
        <v>#VALUE!</v>
      </c>
      <c r="Q1639" s="191"/>
      <c r="R1639" s="191"/>
      <c r="S1639" s="191"/>
      <c r="T1639" s="191"/>
      <c r="U1639" s="191"/>
      <c r="V1639" s="191"/>
      <c r="W1639" s="191"/>
      <c r="X1639" s="191"/>
      <c r="Y1639" s="199"/>
      <c r="Z1639" s="191"/>
      <c r="AA1639" s="167"/>
      <c r="AB1639" s="167"/>
      <c r="AC1639" s="167"/>
      <c r="AD1639" s="167"/>
    </row>
    <row r="1640" spans="1:30" x14ac:dyDescent="0.2">
      <c r="A1640" s="180"/>
      <c r="B1640" s="172"/>
      <c r="D1640" s="191"/>
      <c r="E1640" s="191"/>
      <c r="F1640" s="191"/>
      <c r="G1640" s="191"/>
      <c r="H1640" s="191"/>
      <c r="I1640" s="191"/>
      <c r="J1640" s="191"/>
      <c r="K1640" s="191"/>
      <c r="L1640" s="191"/>
      <c r="M1640" s="191"/>
      <c r="N1640" s="191"/>
      <c r="O1640" s="191"/>
      <c r="P1640" s="191"/>
      <c r="Q1640" s="191"/>
      <c r="R1640" s="191"/>
      <c r="S1640" s="191"/>
      <c r="T1640" s="191"/>
      <c r="U1640" s="191"/>
      <c r="V1640" s="191"/>
      <c r="W1640" s="191"/>
      <c r="X1640" s="191"/>
      <c r="Y1640" s="191"/>
      <c r="Z1640" s="191"/>
      <c r="AA1640" s="167"/>
      <c r="AB1640" s="167"/>
      <c r="AC1640" s="167"/>
      <c r="AD1640" s="167"/>
    </row>
    <row r="1641" spans="1:30" ht="15.75" thickBot="1" x14ac:dyDescent="0.25">
      <c r="A1641" s="180"/>
      <c r="B1641" s="165" t="s">
        <v>292</v>
      </c>
      <c r="D1641" s="198">
        <f>+D1529</f>
        <v>35754.094639999996</v>
      </c>
      <c r="E1641" s="191"/>
      <c r="F1641" s="191"/>
      <c r="G1641" s="191"/>
      <c r="H1641" s="191"/>
      <c r="I1641" s="191"/>
      <c r="J1641" s="191"/>
      <c r="K1641" s="191"/>
      <c r="L1641" s="191"/>
      <c r="M1641" s="191"/>
      <c r="N1641" s="191"/>
      <c r="O1641" s="198">
        <f>+O1589</f>
        <v>137986.81619999997</v>
      </c>
      <c r="P1641" s="198">
        <f>+P1589</f>
        <v>0</v>
      </c>
      <c r="Q1641" s="191"/>
      <c r="R1641" s="198">
        <f>+D1641</f>
        <v>35754.094639999996</v>
      </c>
      <c r="S1641" s="191"/>
      <c r="T1641" s="191"/>
      <c r="U1641" s="191"/>
      <c r="V1641" s="198">
        <f>+V1589</f>
        <v>6098.0420000000004</v>
      </c>
      <c r="W1641" s="191"/>
      <c r="X1641" s="191"/>
      <c r="Y1641" s="191"/>
      <c r="Z1641" s="191"/>
      <c r="AA1641" s="167"/>
      <c r="AB1641" s="167"/>
      <c r="AC1641" s="167"/>
      <c r="AD1641" s="167"/>
    </row>
    <row r="1642" spans="1:30" ht="15.75" thickTop="1" x14ac:dyDescent="0.2"/>
  </sheetData>
  <sheetProtection sheet="1" objects="1" scenarios="1"/>
  <phoneticPr fontId="15" type="noConversion"/>
  <pageMargins left="0.6" right="0.52" top="0.62" bottom="0.2" header="0.16" footer="0.2"/>
  <pageSetup paperSize="9" scale="56" orientation="portrait" r:id="rId1"/>
  <headerFooter alignWithMargins="0"/>
  <rowBreaks count="2" manualBreakCount="2">
    <brk id="1537" max="28" man="1"/>
    <brk id="159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DB65534"/>
  <sheetViews>
    <sheetView showGridLines="0" tabSelected="1" view="pageBreakPreview" zoomScale="75" workbookViewId="0">
      <selection sqref="A1:AQ1279"/>
    </sheetView>
  </sheetViews>
  <sheetFormatPr defaultColWidth="11.77734375" defaultRowHeight="15.75" x14ac:dyDescent="0.25"/>
  <cols>
    <col min="1" max="1" width="4.88671875" customWidth="1"/>
    <col min="2" max="2" width="17.21875" customWidth="1"/>
    <col min="3" max="3" width="26" style="6" customWidth="1"/>
    <col min="4" max="4" width="18.21875" style="56" customWidth="1"/>
    <col min="5" max="5" width="17.44140625" style="56" customWidth="1"/>
    <col min="6" max="6" width="14.33203125" style="56" customWidth="1"/>
    <col min="7" max="7" width="2" style="56" customWidth="1"/>
    <col min="8" max="8" width="16.88671875" style="56" customWidth="1"/>
    <col min="9" max="9" width="14.77734375" style="56" hidden="1" customWidth="1"/>
    <col min="10" max="10" width="13.77734375" style="56" hidden="1" customWidth="1"/>
    <col min="11" max="11" width="1.6640625" style="56" hidden="1" customWidth="1"/>
    <col min="12" max="12" width="16.77734375" style="56" customWidth="1"/>
    <col min="13" max="13" width="3.33203125" style="56" customWidth="1"/>
    <col min="14" max="15" width="15.77734375" style="56" customWidth="1"/>
    <col min="16" max="16" width="15.6640625" style="56" customWidth="1"/>
    <col min="17" max="17" width="2.77734375" style="56" customWidth="1"/>
    <col min="18" max="18" width="15.77734375" style="56" customWidth="1"/>
    <col min="19" max="20" width="14.77734375" style="56" hidden="1" customWidth="1"/>
    <col min="21" max="21" width="15.77734375" style="56" hidden="1" customWidth="1"/>
    <col min="22" max="22" width="16.21875" style="56" customWidth="1"/>
    <col min="23" max="23" width="3.5546875" style="56" customWidth="1"/>
    <col min="24" max="24" width="15.77734375" style="56" customWidth="1"/>
    <col min="25" max="26" width="17.77734375" style="56" customWidth="1"/>
    <col min="27" max="27" width="17.77734375" style="56" hidden="1" customWidth="1"/>
    <col min="28" max="28" width="17.77734375" style="56" customWidth="1"/>
    <col min="29" max="29" width="22" customWidth="1"/>
    <col min="30" max="30" width="16.88671875" customWidth="1"/>
    <col min="31" max="31" width="17.33203125" customWidth="1"/>
    <col min="32" max="32" width="15.33203125" customWidth="1"/>
    <col min="33" max="33" width="18.109375" customWidth="1"/>
    <col min="34" max="34" width="15.77734375" customWidth="1"/>
    <col min="35" max="35" width="16.77734375" customWidth="1"/>
    <col min="36" max="36" width="16.5546875" customWidth="1"/>
    <col min="37" max="37" width="14" customWidth="1"/>
    <col min="38" max="38" width="16" customWidth="1"/>
    <col min="39" max="39" width="15" customWidth="1"/>
    <col min="40" max="40" width="16.77734375" customWidth="1"/>
    <col min="41" max="42" width="17.88671875" customWidth="1"/>
    <col min="43" max="43" width="16.88671875" customWidth="1"/>
  </cols>
  <sheetData>
    <row r="1" spans="1:43" x14ac:dyDescent="0.25">
      <c r="B1" s="2" t="s">
        <v>141</v>
      </c>
      <c r="C1" s="4"/>
      <c r="D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43" x14ac:dyDescent="0.25">
      <c r="B2" s="3" t="s">
        <v>0</v>
      </c>
      <c r="C2" s="4"/>
      <c r="D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X2" s="55"/>
      <c r="Y2" s="55"/>
      <c r="Z2" s="55"/>
      <c r="AA2" s="55"/>
      <c r="AB2" s="55"/>
    </row>
    <row r="3" spans="1:43" x14ac:dyDescent="0.25">
      <c r="B3" s="3" t="s">
        <v>356</v>
      </c>
      <c r="C3" s="4"/>
      <c r="D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43" x14ac:dyDescent="0.25">
      <c r="B4" s="4"/>
      <c r="C4" s="4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43" x14ac:dyDescent="0.25">
      <c r="B5" s="4"/>
      <c r="C5" s="4"/>
      <c r="D5" s="55"/>
      <c r="E5" s="55"/>
      <c r="F5" s="57" t="s">
        <v>1</v>
      </c>
      <c r="G5" s="57"/>
      <c r="H5" s="58"/>
      <c r="I5" s="57" t="s">
        <v>2</v>
      </c>
      <c r="J5" s="55"/>
      <c r="K5" s="57" t="s">
        <v>2</v>
      </c>
      <c r="L5" s="57" t="s">
        <v>3</v>
      </c>
      <c r="M5" s="57"/>
      <c r="N5" s="57" t="s">
        <v>4</v>
      </c>
      <c r="O5" s="55"/>
      <c r="P5" s="57" t="s">
        <v>17</v>
      </c>
      <c r="Q5" s="57"/>
      <c r="R5" s="55"/>
      <c r="S5" s="55"/>
      <c r="T5" s="55"/>
      <c r="U5" s="57" t="s">
        <v>2</v>
      </c>
      <c r="V5" s="57" t="s">
        <v>3</v>
      </c>
      <c r="W5" s="57"/>
      <c r="X5" s="57" t="s">
        <v>6</v>
      </c>
      <c r="Y5" s="57" t="s">
        <v>7</v>
      </c>
      <c r="Z5" s="57" t="s">
        <v>8</v>
      </c>
      <c r="AA5" s="57" t="s">
        <v>3</v>
      </c>
      <c r="AB5" s="57" t="s">
        <v>8</v>
      </c>
      <c r="AC5" s="4"/>
      <c r="AE5" s="4"/>
      <c r="AF5" s="7" t="s">
        <v>1</v>
      </c>
      <c r="AG5" s="5"/>
      <c r="AH5" s="7" t="s">
        <v>3</v>
      </c>
      <c r="AI5" s="7" t="s">
        <v>4</v>
      </c>
      <c r="AJ5" s="4"/>
      <c r="AK5" s="7" t="s">
        <v>17</v>
      </c>
      <c r="AL5" s="4"/>
      <c r="AM5" s="7" t="s">
        <v>3</v>
      </c>
      <c r="AN5" s="7" t="s">
        <v>6</v>
      </c>
      <c r="AO5" s="7" t="s">
        <v>7</v>
      </c>
      <c r="AP5" s="7" t="s">
        <v>8</v>
      </c>
      <c r="AQ5" s="7" t="s">
        <v>8</v>
      </c>
    </row>
    <row r="6" spans="1:43" x14ac:dyDescent="0.25">
      <c r="B6" s="4"/>
      <c r="C6" s="4"/>
      <c r="D6" s="57" t="s">
        <v>9</v>
      </c>
      <c r="E6" s="57" t="s">
        <v>10</v>
      </c>
      <c r="F6" s="57" t="s">
        <v>11</v>
      </c>
      <c r="G6" s="57"/>
      <c r="H6" s="58"/>
      <c r="I6" s="57" t="s">
        <v>12</v>
      </c>
      <c r="J6" s="57" t="s">
        <v>13</v>
      </c>
      <c r="K6" s="57" t="s">
        <v>14</v>
      </c>
      <c r="L6" s="57" t="s">
        <v>1</v>
      </c>
      <c r="M6" s="57"/>
      <c r="N6" s="57" t="s">
        <v>15</v>
      </c>
      <c r="O6" s="57" t="s">
        <v>16</v>
      </c>
      <c r="P6" s="57" t="s">
        <v>11</v>
      </c>
      <c r="Q6" s="57"/>
      <c r="R6" s="58"/>
      <c r="S6" s="57" t="s">
        <v>2</v>
      </c>
      <c r="T6" s="57" t="s">
        <v>13</v>
      </c>
      <c r="U6" s="57" t="s">
        <v>14</v>
      </c>
      <c r="V6" s="57" t="s">
        <v>17</v>
      </c>
      <c r="W6" s="57"/>
      <c r="X6" s="57" t="s">
        <v>11</v>
      </c>
      <c r="Y6" s="57" t="s">
        <v>11</v>
      </c>
      <c r="Z6" s="57" t="s">
        <v>18</v>
      </c>
      <c r="AA6" s="57" t="s">
        <v>11</v>
      </c>
      <c r="AB6" s="57" t="s">
        <v>18</v>
      </c>
      <c r="AD6" s="7" t="s">
        <v>9</v>
      </c>
      <c r="AE6" s="7" t="s">
        <v>10</v>
      </c>
      <c r="AF6" s="7" t="s">
        <v>11</v>
      </c>
      <c r="AG6" s="5"/>
      <c r="AH6" s="7" t="s">
        <v>1</v>
      </c>
      <c r="AI6" s="7" t="s">
        <v>15</v>
      </c>
      <c r="AJ6" s="7" t="s">
        <v>16</v>
      </c>
      <c r="AK6" s="7" t="s">
        <v>11</v>
      </c>
      <c r="AL6" s="5"/>
      <c r="AM6" s="7" t="s">
        <v>17</v>
      </c>
      <c r="AN6" s="7" t="s">
        <v>11</v>
      </c>
      <c r="AO6" s="7" t="s">
        <v>11</v>
      </c>
      <c r="AP6" s="7" t="s">
        <v>18</v>
      </c>
      <c r="AQ6" s="7" t="s">
        <v>18</v>
      </c>
    </row>
    <row r="7" spans="1:43" x14ac:dyDescent="0.25">
      <c r="A7" s="44"/>
      <c r="B7" s="10" t="s">
        <v>19</v>
      </c>
      <c r="C7" s="11"/>
      <c r="D7" s="59" t="s">
        <v>20</v>
      </c>
      <c r="E7" s="59" t="s">
        <v>357</v>
      </c>
      <c r="F7" s="59" t="s">
        <v>21</v>
      </c>
      <c r="G7" s="59"/>
      <c r="H7" s="59" t="s">
        <v>22</v>
      </c>
      <c r="I7" s="59" t="s">
        <v>23</v>
      </c>
      <c r="J7" s="59" t="s">
        <v>24</v>
      </c>
      <c r="K7" s="59" t="s">
        <v>23</v>
      </c>
      <c r="L7" s="59" t="s">
        <v>2</v>
      </c>
      <c r="M7" s="59"/>
      <c r="N7" s="59" t="s">
        <v>25</v>
      </c>
      <c r="O7" s="59" t="str">
        <f>+E7</f>
        <v>AS OF 11/30/05</v>
      </c>
      <c r="P7" s="59" t="s">
        <v>21</v>
      </c>
      <c r="Q7" s="59"/>
      <c r="R7" s="59" t="s">
        <v>26</v>
      </c>
      <c r="S7" s="59" t="s">
        <v>27</v>
      </c>
      <c r="T7" s="59" t="s">
        <v>28</v>
      </c>
      <c r="U7" s="59" t="s">
        <v>23</v>
      </c>
      <c r="V7" s="59" t="s">
        <v>2</v>
      </c>
      <c r="W7" s="59"/>
      <c r="X7" s="59" t="s">
        <v>29</v>
      </c>
      <c r="Y7" s="59" t="s">
        <v>30</v>
      </c>
      <c r="Z7" s="59" t="s">
        <v>30</v>
      </c>
      <c r="AA7" s="59" t="s">
        <v>31</v>
      </c>
      <c r="AB7" s="59" t="s">
        <v>31</v>
      </c>
      <c r="AD7" s="10" t="s">
        <v>20</v>
      </c>
      <c r="AE7" s="10" t="str">
        <f>+O7</f>
        <v>AS OF 11/30/05</v>
      </c>
      <c r="AF7" s="10" t="s">
        <v>21</v>
      </c>
      <c r="AG7" s="10" t="s">
        <v>22</v>
      </c>
      <c r="AH7" s="10" t="s">
        <v>2</v>
      </c>
      <c r="AI7" s="10" t="s">
        <v>25</v>
      </c>
      <c r="AJ7" s="10" t="str">
        <f>+E7</f>
        <v>AS OF 11/30/05</v>
      </c>
      <c r="AK7" s="10" t="s">
        <v>21</v>
      </c>
      <c r="AL7" s="10" t="s">
        <v>26</v>
      </c>
      <c r="AM7" s="10" t="s">
        <v>2</v>
      </c>
      <c r="AN7" s="10" t="s">
        <v>29</v>
      </c>
      <c r="AO7" s="10" t="s">
        <v>30</v>
      </c>
      <c r="AP7" s="10" t="s">
        <v>30</v>
      </c>
      <c r="AQ7" s="10" t="s">
        <v>31</v>
      </c>
    </row>
    <row r="8" spans="1:43" x14ac:dyDescent="0.25">
      <c r="A8" s="44"/>
      <c r="B8" s="12" t="s">
        <v>152</v>
      </c>
      <c r="C8" s="41"/>
      <c r="D8" s="60" t="s">
        <v>153</v>
      </c>
      <c r="E8" s="60" t="s">
        <v>154</v>
      </c>
      <c r="F8" s="60" t="s">
        <v>164</v>
      </c>
      <c r="G8" s="60"/>
      <c r="H8" s="60" t="s">
        <v>155</v>
      </c>
      <c r="I8" s="60"/>
      <c r="J8" s="60"/>
      <c r="K8" s="60"/>
      <c r="L8" s="60" t="s">
        <v>156</v>
      </c>
      <c r="M8" s="60"/>
      <c r="N8" s="60" t="s">
        <v>157</v>
      </c>
      <c r="O8" s="60" t="s">
        <v>158</v>
      </c>
      <c r="P8" s="60" t="s">
        <v>159</v>
      </c>
      <c r="Q8" s="60"/>
      <c r="R8" s="60" t="s">
        <v>160</v>
      </c>
      <c r="S8" s="60"/>
      <c r="T8" s="60"/>
      <c r="U8" s="60"/>
      <c r="V8" s="60" t="s">
        <v>161</v>
      </c>
      <c r="W8" s="60"/>
      <c r="X8" s="60" t="s">
        <v>162</v>
      </c>
      <c r="Y8" s="60" t="s">
        <v>251</v>
      </c>
      <c r="Z8" s="60" t="s">
        <v>163</v>
      </c>
      <c r="AA8" s="60" t="s">
        <v>32</v>
      </c>
      <c r="AB8" s="60" t="s">
        <v>252</v>
      </c>
      <c r="AD8" s="12" t="s">
        <v>153</v>
      </c>
      <c r="AE8" s="12" t="s">
        <v>154</v>
      </c>
      <c r="AF8" s="12" t="s">
        <v>164</v>
      </c>
      <c r="AG8" s="12" t="s">
        <v>155</v>
      </c>
      <c r="AH8" s="12" t="s">
        <v>156</v>
      </c>
      <c r="AI8" s="12" t="s">
        <v>157</v>
      </c>
      <c r="AJ8" s="12" t="s">
        <v>158</v>
      </c>
      <c r="AK8" s="12" t="s">
        <v>159</v>
      </c>
      <c r="AL8" s="12" t="s">
        <v>160</v>
      </c>
      <c r="AM8" s="12" t="s">
        <v>161</v>
      </c>
      <c r="AN8" s="12" t="s">
        <v>162</v>
      </c>
      <c r="AO8" s="12" t="s">
        <v>251</v>
      </c>
      <c r="AP8" s="12" t="s">
        <v>163</v>
      </c>
      <c r="AQ8" s="12" t="s">
        <v>252</v>
      </c>
    </row>
    <row r="9" spans="1:43" x14ac:dyDescent="0.25">
      <c r="A9" s="44"/>
      <c r="B9" s="4"/>
      <c r="C9" s="4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43" ht="19.5" x14ac:dyDescent="0.35">
      <c r="A10" s="44"/>
      <c r="B10" s="47" t="s">
        <v>33</v>
      </c>
      <c r="C10" s="4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43" x14ac:dyDescent="0.25">
      <c r="A11" s="44"/>
      <c r="B11" s="2"/>
      <c r="C11" s="4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43" x14ac:dyDescent="0.25">
      <c r="A12" s="46">
        <v>1</v>
      </c>
      <c r="B12" s="2" t="s">
        <v>34</v>
      </c>
      <c r="C12" s="2" t="s">
        <v>35</v>
      </c>
      <c r="D12" s="58">
        <f>41585883.04+10000000-9158767.1</f>
        <v>42427115.939999998</v>
      </c>
      <c r="E12" s="58">
        <v>10000000</v>
      </c>
      <c r="F12" s="55"/>
      <c r="G12" s="55"/>
      <c r="H12" s="58">
        <f>E12+F12</f>
        <v>10000000</v>
      </c>
      <c r="I12" s="55"/>
      <c r="J12" s="55"/>
      <c r="K12" s="55"/>
      <c r="L12" s="58"/>
      <c r="M12" s="58"/>
      <c r="N12" s="58">
        <f>H12+L12</f>
        <v>10000000</v>
      </c>
      <c r="O12" s="58">
        <v>0</v>
      </c>
      <c r="P12" s="55"/>
      <c r="Q12" s="55"/>
      <c r="R12" s="58">
        <f>O12+P12</f>
        <v>0</v>
      </c>
      <c r="S12" s="55"/>
      <c r="T12" s="55"/>
      <c r="U12" s="55"/>
      <c r="V12" s="58"/>
      <c r="W12" s="58"/>
      <c r="X12" s="58">
        <f>R12+V12</f>
        <v>0</v>
      </c>
      <c r="Y12" s="58">
        <f t="shared" ref="Y12:Y17" si="0">R12+H12</f>
        <v>10000000</v>
      </c>
      <c r="Z12" s="58">
        <f t="shared" ref="Z12:Z17" si="1">D12-Y12</f>
        <v>32427115.939999998</v>
      </c>
      <c r="AA12" s="58">
        <f t="shared" ref="AA12:AA17" si="2">N12+X12</f>
        <v>10000000</v>
      </c>
      <c r="AB12" s="58">
        <f t="shared" ref="AB12:AB17" si="3">+D12-N12-X12</f>
        <v>32427115.939999998</v>
      </c>
    </row>
    <row r="13" spans="1:43" x14ac:dyDescent="0.25">
      <c r="A13" s="46"/>
      <c r="B13" s="4"/>
      <c r="C13" s="3" t="s">
        <v>36</v>
      </c>
      <c r="D13" s="58">
        <v>1485240.65</v>
      </c>
      <c r="E13" s="58">
        <v>1485240.65</v>
      </c>
      <c r="F13" s="55"/>
      <c r="G13" s="55"/>
      <c r="H13" s="58">
        <f>E13+F13</f>
        <v>1485240.65</v>
      </c>
      <c r="I13" s="55"/>
      <c r="J13" s="55"/>
      <c r="K13" s="55"/>
      <c r="L13" s="58"/>
      <c r="M13" s="58"/>
      <c r="N13" s="58">
        <f>H13+L13</f>
        <v>1485240.65</v>
      </c>
      <c r="O13" s="58">
        <v>0</v>
      </c>
      <c r="P13" s="55"/>
      <c r="Q13" s="55"/>
      <c r="R13" s="58">
        <f>O13+P13</f>
        <v>0</v>
      </c>
      <c r="S13" s="55"/>
      <c r="T13" s="55"/>
      <c r="U13" s="55"/>
      <c r="V13" s="58"/>
      <c r="W13" s="58"/>
      <c r="X13" s="58">
        <f>R13+V13</f>
        <v>0</v>
      </c>
      <c r="Y13" s="58">
        <f t="shared" si="0"/>
        <v>1485240.65</v>
      </c>
      <c r="Z13" s="58">
        <f t="shared" si="1"/>
        <v>0</v>
      </c>
      <c r="AA13" s="58">
        <f t="shared" si="2"/>
        <v>1485240.65</v>
      </c>
      <c r="AB13" s="58">
        <f t="shared" si="3"/>
        <v>0</v>
      </c>
    </row>
    <row r="14" spans="1:43" x14ac:dyDescent="0.25">
      <c r="C14" s="4" t="s">
        <v>317</v>
      </c>
      <c r="D14" s="55">
        <v>9158767.0999999996</v>
      </c>
      <c r="E14" s="55">
        <v>9158767.0999999996</v>
      </c>
      <c r="F14" s="55"/>
      <c r="G14" s="55"/>
      <c r="H14" s="55">
        <f>+E14+F14</f>
        <v>9158767.0999999996</v>
      </c>
      <c r="I14" s="55"/>
      <c r="J14" s="55"/>
      <c r="K14" s="55"/>
      <c r="L14" s="55"/>
      <c r="M14" s="55"/>
      <c r="N14" s="55">
        <f>+H14+L14</f>
        <v>9158767.0999999996</v>
      </c>
      <c r="O14" s="55">
        <v>0</v>
      </c>
      <c r="P14" s="55"/>
      <c r="Q14" s="55"/>
      <c r="R14" s="55">
        <f>+O14+P14</f>
        <v>0</v>
      </c>
      <c r="S14" s="55"/>
      <c r="T14" s="55"/>
      <c r="U14" s="55"/>
      <c r="V14" s="55"/>
      <c r="W14" s="55"/>
      <c r="X14" s="55">
        <f>+R14+V14</f>
        <v>0</v>
      </c>
      <c r="Y14" s="58">
        <f t="shared" si="0"/>
        <v>9158767.0999999996</v>
      </c>
      <c r="Z14" s="58">
        <f t="shared" si="1"/>
        <v>0</v>
      </c>
      <c r="AA14" s="58">
        <f t="shared" si="2"/>
        <v>9158767.0999999996</v>
      </c>
      <c r="AB14" s="58">
        <f t="shared" si="3"/>
        <v>0</v>
      </c>
    </row>
    <row r="15" spans="1:43" x14ac:dyDescent="0.25">
      <c r="A15" s="46"/>
      <c r="B15" s="4"/>
      <c r="C15" s="2" t="s">
        <v>37</v>
      </c>
      <c r="D15" s="58">
        <v>49699845.5</v>
      </c>
      <c r="E15" s="58">
        <v>0</v>
      </c>
      <c r="F15" s="55"/>
      <c r="G15" s="55"/>
      <c r="H15" s="58">
        <f>E15+F15</f>
        <v>0</v>
      </c>
      <c r="I15" s="55"/>
      <c r="J15" s="55"/>
      <c r="K15" s="55"/>
      <c r="L15" s="58"/>
      <c r="M15" s="58"/>
      <c r="N15" s="58">
        <f>H15+L15</f>
        <v>0</v>
      </c>
      <c r="O15" s="58">
        <v>0</v>
      </c>
      <c r="P15" s="55"/>
      <c r="Q15" s="55"/>
      <c r="R15" s="58">
        <f>O15+P15</f>
        <v>0</v>
      </c>
      <c r="S15" s="55"/>
      <c r="T15" s="55"/>
      <c r="U15" s="55"/>
      <c r="V15" s="58"/>
      <c r="W15" s="58"/>
      <c r="X15" s="58">
        <f>R15+V15</f>
        <v>0</v>
      </c>
      <c r="Y15" s="58">
        <f t="shared" si="0"/>
        <v>0</v>
      </c>
      <c r="Z15" s="58">
        <f t="shared" si="1"/>
        <v>49699845.5</v>
      </c>
      <c r="AA15" s="58">
        <f t="shared" si="2"/>
        <v>0</v>
      </c>
      <c r="AB15" s="58">
        <f t="shared" si="3"/>
        <v>49699845.5</v>
      </c>
    </row>
    <row r="16" spans="1:43" x14ac:dyDescent="0.25">
      <c r="A16" s="46"/>
      <c r="B16" s="4"/>
      <c r="C16" s="2" t="s">
        <v>38</v>
      </c>
      <c r="D16" s="58">
        <v>3930000</v>
      </c>
      <c r="E16" s="58">
        <v>0</v>
      </c>
      <c r="F16" s="55"/>
      <c r="G16" s="55"/>
      <c r="H16" s="58">
        <f>E16+F16</f>
        <v>0</v>
      </c>
      <c r="I16" s="55"/>
      <c r="J16" s="55"/>
      <c r="K16" s="55"/>
      <c r="L16" s="58"/>
      <c r="M16" s="58"/>
      <c r="N16" s="58">
        <f>H16+L16</f>
        <v>0</v>
      </c>
      <c r="O16" s="58">
        <v>0</v>
      </c>
      <c r="P16" s="55"/>
      <c r="Q16" s="55"/>
      <c r="R16" s="58">
        <f>O16+P16</f>
        <v>0</v>
      </c>
      <c r="S16" s="55"/>
      <c r="T16" s="55"/>
      <c r="U16" s="55"/>
      <c r="V16" s="58"/>
      <c r="W16" s="58"/>
      <c r="X16" s="58">
        <f>R16+V16</f>
        <v>0</v>
      </c>
      <c r="Y16" s="58">
        <f t="shared" si="0"/>
        <v>0</v>
      </c>
      <c r="Z16" s="58">
        <f t="shared" si="1"/>
        <v>3930000</v>
      </c>
      <c r="AA16" s="58">
        <f t="shared" si="2"/>
        <v>0</v>
      </c>
      <c r="AB16" s="58">
        <f t="shared" si="3"/>
        <v>3930000</v>
      </c>
    </row>
    <row r="17" spans="1:28" x14ac:dyDescent="0.25">
      <c r="A17" s="46"/>
      <c r="B17" s="4"/>
      <c r="C17" s="2" t="s">
        <v>39</v>
      </c>
      <c r="D17" s="58">
        <v>5281344.55</v>
      </c>
      <c r="E17" s="58">
        <v>0</v>
      </c>
      <c r="F17" s="55"/>
      <c r="G17" s="55"/>
      <c r="H17" s="58">
        <f>E17+F17</f>
        <v>0</v>
      </c>
      <c r="I17" s="55"/>
      <c r="J17" s="55"/>
      <c r="K17" s="55"/>
      <c r="L17" s="58"/>
      <c r="M17" s="58"/>
      <c r="N17" s="58">
        <f>H17+L17</f>
        <v>0</v>
      </c>
      <c r="O17" s="58">
        <v>0</v>
      </c>
      <c r="P17" s="55"/>
      <c r="Q17" s="55"/>
      <c r="R17" s="58">
        <f>O17+P17</f>
        <v>0</v>
      </c>
      <c r="S17" s="55"/>
      <c r="T17" s="55"/>
      <c r="U17" s="55"/>
      <c r="V17" s="58"/>
      <c r="W17" s="58"/>
      <c r="X17" s="58">
        <f>R17+V17</f>
        <v>0</v>
      </c>
      <c r="Y17" s="58">
        <f t="shared" si="0"/>
        <v>0</v>
      </c>
      <c r="Z17" s="58">
        <f t="shared" si="1"/>
        <v>5281344.55</v>
      </c>
      <c r="AA17" s="58">
        <f t="shared" si="2"/>
        <v>0</v>
      </c>
      <c r="AB17" s="58">
        <f t="shared" si="3"/>
        <v>5281344.55</v>
      </c>
    </row>
    <row r="18" spans="1:28" x14ac:dyDescent="0.25">
      <c r="A18" s="46"/>
      <c r="B18" s="4"/>
      <c r="C18" s="4"/>
      <c r="D18" s="61" t="s">
        <v>40</v>
      </c>
      <c r="E18" s="61" t="s">
        <v>40</v>
      </c>
      <c r="F18" s="61" t="s">
        <v>40</v>
      </c>
      <c r="G18" s="61"/>
      <c r="H18" s="61" t="s">
        <v>40</v>
      </c>
      <c r="I18" s="61" t="s">
        <v>40</v>
      </c>
      <c r="J18" s="61" t="s">
        <v>40</v>
      </c>
      <c r="K18" s="61" t="s">
        <v>40</v>
      </c>
      <c r="L18" s="61" t="s">
        <v>40</v>
      </c>
      <c r="M18" s="61"/>
      <c r="N18" s="61" t="s">
        <v>40</v>
      </c>
      <c r="O18" s="61" t="s">
        <v>40</v>
      </c>
      <c r="P18" s="61" t="s">
        <v>40</v>
      </c>
      <c r="Q18" s="61"/>
      <c r="R18" s="61" t="s">
        <v>40</v>
      </c>
      <c r="S18" s="61" t="s">
        <v>40</v>
      </c>
      <c r="T18" s="61" t="s">
        <v>40</v>
      </c>
      <c r="U18" s="61" t="s">
        <v>40</v>
      </c>
      <c r="V18" s="61" t="s">
        <v>40</v>
      </c>
      <c r="W18" s="61"/>
      <c r="X18" s="61" t="s">
        <v>40</v>
      </c>
      <c r="Y18" s="61" t="s">
        <v>40</v>
      </c>
      <c r="Z18" s="61" t="s">
        <v>40</v>
      </c>
      <c r="AA18" s="61" t="s">
        <v>40</v>
      </c>
      <c r="AB18" s="61" t="s">
        <v>40</v>
      </c>
    </row>
    <row r="19" spans="1:28" x14ac:dyDescent="0.25">
      <c r="A19" s="46"/>
      <c r="B19" s="4"/>
      <c r="C19" s="4"/>
      <c r="D19" s="58">
        <f>SUM(D12:D17)</f>
        <v>111982313.73999999</v>
      </c>
      <c r="E19" s="58">
        <f>SUM(E12:E17)</f>
        <v>20644007.75</v>
      </c>
      <c r="F19" s="58">
        <f>SUM(F12:F17)</f>
        <v>0</v>
      </c>
      <c r="G19" s="58"/>
      <c r="H19" s="58">
        <f>SUM(H12:H17)</f>
        <v>20644007.75</v>
      </c>
      <c r="I19" s="58">
        <f>SUM(I12:I17)</f>
        <v>0</v>
      </c>
      <c r="J19" s="58">
        <f>SUM(J12:J17)</f>
        <v>0</v>
      </c>
      <c r="K19" s="58">
        <f>SUM(K12:K17)</f>
        <v>0</v>
      </c>
      <c r="L19" s="58">
        <f>SUM(L12:L17)</f>
        <v>0</v>
      </c>
      <c r="M19" s="58"/>
      <c r="N19" s="58">
        <f>SUM(N12:N17)</f>
        <v>20644007.75</v>
      </c>
      <c r="O19" s="58">
        <f>SUM(O12:O17)</f>
        <v>0</v>
      </c>
      <c r="P19" s="58">
        <f>SUM(P12:P17)</f>
        <v>0</v>
      </c>
      <c r="Q19" s="58"/>
      <c r="R19" s="58">
        <f>SUM(R12:R17)</f>
        <v>0</v>
      </c>
      <c r="S19" s="58">
        <f>SUM(S12:S17)</f>
        <v>0</v>
      </c>
      <c r="T19" s="58">
        <f>SUM(T12:T17)</f>
        <v>0</v>
      </c>
      <c r="U19" s="58">
        <f>SUM(U12:U17)</f>
        <v>0</v>
      </c>
      <c r="V19" s="58">
        <f>SUM(V12:V17)</f>
        <v>0</v>
      </c>
      <c r="W19" s="58"/>
      <c r="X19" s="58">
        <f>SUM(X12:X17)</f>
        <v>0</v>
      </c>
      <c r="Y19" s="58">
        <f>SUM(Y12:Y17)</f>
        <v>20644007.75</v>
      </c>
      <c r="Z19" s="58">
        <f>SUM(Z12:Z17)</f>
        <v>91338305.989999995</v>
      </c>
      <c r="AA19" s="58">
        <f>SUM(AA12:AA17)</f>
        <v>20644007.75</v>
      </c>
      <c r="AB19" s="58">
        <f>SUM(AB12:AB17)</f>
        <v>91338305.989999995</v>
      </c>
    </row>
    <row r="20" spans="1:28" ht="15.75" customHeight="1" x14ac:dyDescent="0.25">
      <c r="A20" s="46"/>
      <c r="B20" s="4" t="str">
        <f>+B12</f>
        <v>ILOCOS NORTE</v>
      </c>
      <c r="C20" s="4"/>
      <c r="D20" s="61" t="s">
        <v>40</v>
      </c>
      <c r="E20" s="61" t="s">
        <v>40</v>
      </c>
      <c r="F20" s="61" t="s">
        <v>40</v>
      </c>
      <c r="G20" s="61"/>
      <c r="H20" s="61" t="s">
        <v>40</v>
      </c>
      <c r="I20" s="61" t="s">
        <v>40</v>
      </c>
      <c r="J20" s="61" t="s">
        <v>40</v>
      </c>
      <c r="K20" s="61" t="s">
        <v>40</v>
      </c>
      <c r="L20" s="61" t="s">
        <v>40</v>
      </c>
      <c r="M20" s="61"/>
      <c r="N20" s="61" t="s">
        <v>40</v>
      </c>
      <c r="O20" s="61" t="s">
        <v>40</v>
      </c>
      <c r="P20" s="61" t="s">
        <v>40</v>
      </c>
      <c r="Q20" s="61"/>
      <c r="R20" s="61" t="s">
        <v>40</v>
      </c>
      <c r="S20" s="61" t="s">
        <v>40</v>
      </c>
      <c r="T20" s="61" t="s">
        <v>40</v>
      </c>
      <c r="U20" s="61" t="s">
        <v>40</v>
      </c>
      <c r="V20" s="61" t="s">
        <v>40</v>
      </c>
      <c r="W20" s="61"/>
      <c r="X20" s="61" t="s">
        <v>40</v>
      </c>
      <c r="Y20" s="61" t="s">
        <v>40</v>
      </c>
      <c r="Z20" s="61" t="s">
        <v>40</v>
      </c>
      <c r="AA20" s="61" t="s">
        <v>40</v>
      </c>
      <c r="AB20" s="61" t="s">
        <v>40</v>
      </c>
    </row>
    <row r="21" spans="1:28" ht="15.75" customHeight="1" thickBot="1" x14ac:dyDescent="0.3">
      <c r="A21" s="46"/>
      <c r="B21" s="112" t="s">
        <v>292</v>
      </c>
      <c r="C21" s="4"/>
      <c r="D21" s="114">
        <f>268103.72+183039.69+16263.55</f>
        <v>467406.95999999996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114">
        <f>451143.41+16263.55</f>
        <v>467406.95999999996</v>
      </c>
      <c r="P21" s="118"/>
      <c r="Q21" s="61"/>
      <c r="R21" s="114">
        <f>+O21+P21</f>
        <v>467406.95999999996</v>
      </c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5.5" customHeight="1" thickTop="1" x14ac:dyDescent="0.25">
      <c r="A22" s="46">
        <v>2</v>
      </c>
      <c r="B22" s="2" t="s">
        <v>41</v>
      </c>
      <c r="C22" s="2" t="s">
        <v>35</v>
      </c>
      <c r="D22" s="58">
        <f>62456960.5+3034770</f>
        <v>65491730.5</v>
      </c>
      <c r="E22" s="58">
        <v>0</v>
      </c>
      <c r="F22" s="55"/>
      <c r="G22" s="55"/>
      <c r="H22" s="58">
        <f>E22+F22</f>
        <v>0</v>
      </c>
      <c r="I22" s="55"/>
      <c r="J22" s="55"/>
      <c r="K22" s="55"/>
      <c r="L22" s="58"/>
      <c r="M22" s="58"/>
      <c r="N22" s="58">
        <f>H22+L22</f>
        <v>0</v>
      </c>
      <c r="O22" s="58">
        <v>0</v>
      </c>
      <c r="P22" s="55"/>
      <c r="Q22" s="55"/>
      <c r="R22" s="58">
        <f>O22+P22</f>
        <v>0</v>
      </c>
      <c r="S22" s="55"/>
      <c r="T22" s="55"/>
      <c r="U22" s="55"/>
      <c r="V22" s="58"/>
      <c r="W22" s="58"/>
      <c r="X22" s="58">
        <f>R22+V22</f>
        <v>0</v>
      </c>
      <c r="Y22" s="58">
        <f>R22+H22</f>
        <v>0</v>
      </c>
      <c r="Z22" s="58">
        <f>D22-Y22</f>
        <v>65491730.5</v>
      </c>
      <c r="AA22" s="58">
        <f>N22+X22</f>
        <v>0</v>
      </c>
      <c r="AB22" s="58">
        <f>+D22-N22-X22</f>
        <v>65491730.5</v>
      </c>
    </row>
    <row r="23" spans="1:28" x14ac:dyDescent="0.25">
      <c r="A23" s="46"/>
      <c r="B23" s="4"/>
      <c r="C23" s="3" t="s">
        <v>36</v>
      </c>
      <c r="D23" s="58">
        <v>2264731.2599999998</v>
      </c>
      <c r="E23" s="58">
        <v>2264731.2599999998</v>
      </c>
      <c r="F23" s="55"/>
      <c r="G23" s="55"/>
      <c r="H23" s="58">
        <f>E23+F23</f>
        <v>2264731.2599999998</v>
      </c>
      <c r="I23" s="55"/>
      <c r="J23" s="55"/>
      <c r="K23" s="55"/>
      <c r="L23" s="58"/>
      <c r="M23" s="58"/>
      <c r="N23" s="58">
        <f>H23+L23</f>
        <v>2264731.2599999998</v>
      </c>
      <c r="O23" s="58">
        <v>0</v>
      </c>
      <c r="P23" s="55"/>
      <c r="Q23" s="55"/>
      <c r="R23" s="58">
        <f>O23+P23</f>
        <v>0</v>
      </c>
      <c r="S23" s="55"/>
      <c r="T23" s="55"/>
      <c r="U23" s="55"/>
      <c r="V23" s="58"/>
      <c r="W23" s="58"/>
      <c r="X23" s="58">
        <f>R23+V23</f>
        <v>0</v>
      </c>
      <c r="Y23" s="58">
        <f>R23+H23</f>
        <v>2264731.2599999998</v>
      </c>
      <c r="Z23" s="58">
        <f>D23-Y23</f>
        <v>0</v>
      </c>
      <c r="AA23" s="58">
        <f>N23+X23</f>
        <v>2264731.2599999998</v>
      </c>
      <c r="AB23" s="58">
        <f>+D23-N23-X23</f>
        <v>0</v>
      </c>
    </row>
    <row r="24" spans="1:28" ht="15.75" customHeight="1" x14ac:dyDescent="0.25">
      <c r="A24" s="46"/>
      <c r="B24" s="4"/>
      <c r="C24" s="2" t="s">
        <v>37</v>
      </c>
      <c r="D24" s="58">
        <v>75920788.530000001</v>
      </c>
      <c r="E24" s="58">
        <v>0</v>
      </c>
      <c r="F24" s="55"/>
      <c r="G24" s="55"/>
      <c r="H24" s="58">
        <f>E24+F24</f>
        <v>0</v>
      </c>
      <c r="I24" s="55"/>
      <c r="J24" s="55"/>
      <c r="K24" s="55"/>
      <c r="L24" s="58"/>
      <c r="M24" s="58"/>
      <c r="N24" s="58">
        <f>H24+L24</f>
        <v>0</v>
      </c>
      <c r="O24" s="58">
        <v>0</v>
      </c>
      <c r="P24" s="55"/>
      <c r="Q24" s="55"/>
      <c r="R24" s="58">
        <f>O24+P24</f>
        <v>0</v>
      </c>
      <c r="S24" s="55"/>
      <c r="T24" s="55"/>
      <c r="U24" s="55"/>
      <c r="V24" s="58"/>
      <c r="W24" s="58"/>
      <c r="X24" s="58">
        <f>R24+V24</f>
        <v>0</v>
      </c>
      <c r="Y24" s="58">
        <f>R24+H24</f>
        <v>0</v>
      </c>
      <c r="Z24" s="58">
        <f>D24-Y24</f>
        <v>75920788.530000001</v>
      </c>
      <c r="AA24" s="58">
        <f>N24+X24</f>
        <v>0</v>
      </c>
      <c r="AB24" s="58">
        <f>+D24-N24-X24</f>
        <v>75920788.530000001</v>
      </c>
    </row>
    <row r="25" spans="1:28" x14ac:dyDescent="0.25">
      <c r="A25" s="46"/>
      <c r="B25" s="4"/>
      <c r="C25" s="2" t="s">
        <v>39</v>
      </c>
      <c r="D25" s="58">
        <v>2636031.41</v>
      </c>
      <c r="E25" s="58">
        <v>0</v>
      </c>
      <c r="F25" s="55"/>
      <c r="G25" s="55"/>
      <c r="H25" s="58">
        <f>E25+F25</f>
        <v>0</v>
      </c>
      <c r="I25" s="55"/>
      <c r="J25" s="55"/>
      <c r="K25" s="55"/>
      <c r="L25" s="58"/>
      <c r="M25" s="58"/>
      <c r="N25" s="58">
        <f>H25+L25</f>
        <v>0</v>
      </c>
      <c r="O25" s="58">
        <v>0</v>
      </c>
      <c r="P25" s="55"/>
      <c r="Q25" s="55"/>
      <c r="R25" s="58">
        <f>O25+P25</f>
        <v>0</v>
      </c>
      <c r="S25" s="55"/>
      <c r="T25" s="55"/>
      <c r="U25" s="55"/>
      <c r="V25" s="58"/>
      <c r="W25" s="58"/>
      <c r="X25" s="58">
        <f>R25+V25</f>
        <v>0</v>
      </c>
      <c r="Y25" s="58">
        <f>R25+H25</f>
        <v>0</v>
      </c>
      <c r="Z25" s="58">
        <f>D25-Y25</f>
        <v>2636031.41</v>
      </c>
      <c r="AA25" s="58">
        <f>N25+X25</f>
        <v>0</v>
      </c>
      <c r="AB25" s="58">
        <f>+D25-N25-X25</f>
        <v>2636031.41</v>
      </c>
    </row>
    <row r="26" spans="1:28" x14ac:dyDescent="0.25">
      <c r="A26" s="46"/>
      <c r="B26" s="4"/>
      <c r="C26" s="4"/>
      <c r="D26" s="61" t="s">
        <v>40</v>
      </c>
      <c r="E26" s="61" t="s">
        <v>40</v>
      </c>
      <c r="F26" s="61" t="s">
        <v>40</v>
      </c>
      <c r="G26" s="61"/>
      <c r="H26" s="61" t="s">
        <v>40</v>
      </c>
      <c r="I26" s="61" t="s">
        <v>40</v>
      </c>
      <c r="J26" s="61" t="s">
        <v>40</v>
      </c>
      <c r="K26" s="61" t="s">
        <v>40</v>
      </c>
      <c r="L26" s="61" t="s">
        <v>40</v>
      </c>
      <c r="M26" s="61"/>
      <c r="N26" s="61" t="s">
        <v>40</v>
      </c>
      <c r="O26" s="61" t="s">
        <v>40</v>
      </c>
      <c r="P26" s="61" t="s">
        <v>40</v>
      </c>
      <c r="Q26" s="61"/>
      <c r="R26" s="61" t="s">
        <v>40</v>
      </c>
      <c r="S26" s="61" t="s">
        <v>40</v>
      </c>
      <c r="T26" s="61" t="s">
        <v>40</v>
      </c>
      <c r="U26" s="61" t="s">
        <v>40</v>
      </c>
      <c r="V26" s="61" t="s">
        <v>40</v>
      </c>
      <c r="W26" s="61"/>
      <c r="X26" s="61" t="s">
        <v>40</v>
      </c>
      <c r="Y26" s="61" t="s">
        <v>40</v>
      </c>
      <c r="Z26" s="61" t="s">
        <v>40</v>
      </c>
      <c r="AA26" s="61" t="s">
        <v>40</v>
      </c>
      <c r="AB26" s="61" t="s">
        <v>40</v>
      </c>
    </row>
    <row r="27" spans="1:28" x14ac:dyDescent="0.25">
      <c r="A27" s="46"/>
      <c r="B27" s="4"/>
      <c r="C27" s="4"/>
      <c r="D27" s="58">
        <f t="shared" ref="D27:AB27" si="4">SUM(D22:D25)</f>
        <v>146313281.70000002</v>
      </c>
      <c r="E27" s="58">
        <f t="shared" si="4"/>
        <v>2264731.2599999998</v>
      </c>
      <c r="F27" s="58">
        <f t="shared" si="4"/>
        <v>0</v>
      </c>
      <c r="G27" s="58"/>
      <c r="H27" s="58">
        <f t="shared" si="4"/>
        <v>2264731.2599999998</v>
      </c>
      <c r="I27" s="58">
        <f t="shared" si="4"/>
        <v>0</v>
      </c>
      <c r="J27" s="58">
        <f t="shared" si="4"/>
        <v>0</v>
      </c>
      <c r="K27" s="58">
        <f t="shared" si="4"/>
        <v>0</v>
      </c>
      <c r="L27" s="58">
        <f t="shared" si="4"/>
        <v>0</v>
      </c>
      <c r="M27" s="58"/>
      <c r="N27" s="58">
        <f t="shared" si="4"/>
        <v>2264731.2599999998</v>
      </c>
      <c r="O27" s="58">
        <f t="shared" si="4"/>
        <v>0</v>
      </c>
      <c r="P27" s="58">
        <f t="shared" si="4"/>
        <v>0</v>
      </c>
      <c r="Q27" s="58"/>
      <c r="R27" s="58">
        <f t="shared" si="4"/>
        <v>0</v>
      </c>
      <c r="S27" s="58">
        <f t="shared" si="4"/>
        <v>0</v>
      </c>
      <c r="T27" s="58">
        <f t="shared" si="4"/>
        <v>0</v>
      </c>
      <c r="U27" s="58">
        <f t="shared" si="4"/>
        <v>0</v>
      </c>
      <c r="V27" s="58">
        <f t="shared" si="4"/>
        <v>0</v>
      </c>
      <c r="W27" s="58"/>
      <c r="X27" s="58">
        <f t="shared" si="4"/>
        <v>0</v>
      </c>
      <c r="Y27" s="58">
        <f t="shared" si="4"/>
        <v>2264731.2599999998</v>
      </c>
      <c r="Z27" s="58">
        <f t="shared" si="4"/>
        <v>144048550.44</v>
      </c>
      <c r="AA27" s="58">
        <f t="shared" si="4"/>
        <v>2264731.2599999998</v>
      </c>
      <c r="AB27" s="58">
        <f t="shared" si="4"/>
        <v>144048550.44</v>
      </c>
    </row>
    <row r="28" spans="1:28" x14ac:dyDescent="0.25">
      <c r="A28" s="46"/>
      <c r="B28" s="4"/>
      <c r="C28" s="4"/>
      <c r="D28" s="61" t="s">
        <v>40</v>
      </c>
      <c r="E28" s="61" t="s">
        <v>40</v>
      </c>
      <c r="F28" s="61" t="s">
        <v>40</v>
      </c>
      <c r="G28" s="61"/>
      <c r="H28" s="61" t="s">
        <v>40</v>
      </c>
      <c r="I28" s="61" t="s">
        <v>40</v>
      </c>
      <c r="J28" s="61" t="s">
        <v>40</v>
      </c>
      <c r="K28" s="61" t="s">
        <v>40</v>
      </c>
      <c r="L28" s="61" t="s">
        <v>40</v>
      </c>
      <c r="M28" s="61"/>
      <c r="N28" s="61" t="s">
        <v>40</v>
      </c>
      <c r="O28" s="61" t="s">
        <v>40</v>
      </c>
      <c r="P28" s="61" t="s">
        <v>40</v>
      </c>
      <c r="Q28" s="61"/>
      <c r="R28" s="61" t="s">
        <v>40</v>
      </c>
      <c r="S28" s="61" t="s">
        <v>40</v>
      </c>
      <c r="T28" s="61" t="s">
        <v>40</v>
      </c>
      <c r="U28" s="61" t="s">
        <v>40</v>
      </c>
      <c r="V28" s="61" t="s">
        <v>40</v>
      </c>
      <c r="W28" s="61"/>
      <c r="X28" s="61" t="s">
        <v>40</v>
      </c>
      <c r="Y28" s="61" t="s">
        <v>40</v>
      </c>
      <c r="Z28" s="61" t="s">
        <v>40</v>
      </c>
      <c r="AA28" s="61" t="s">
        <v>40</v>
      </c>
      <c r="AB28" s="61" t="s">
        <v>40</v>
      </c>
    </row>
    <row r="29" spans="1:28" x14ac:dyDescent="0.25">
      <c r="A29" s="46"/>
      <c r="B29" s="4"/>
      <c r="C29" s="4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x14ac:dyDescent="0.25">
      <c r="A30" s="46">
        <v>3</v>
      </c>
      <c r="B30" s="2" t="s">
        <v>42</v>
      </c>
      <c r="C30" s="2" t="s">
        <v>35</v>
      </c>
      <c r="D30" s="58">
        <f>24930468.72+194946.81-5589954.25</f>
        <v>19535461.279999997</v>
      </c>
      <c r="E30" s="58">
        <v>0</v>
      </c>
      <c r="F30" s="55"/>
      <c r="G30" s="55"/>
      <c r="H30" s="58">
        <f>E30+F30</f>
        <v>0</v>
      </c>
      <c r="I30" s="55"/>
      <c r="J30" s="55"/>
      <c r="K30" s="55"/>
      <c r="L30" s="58"/>
      <c r="M30" s="58"/>
      <c r="N30" s="58">
        <f>H30+L30</f>
        <v>0</v>
      </c>
      <c r="O30" s="58">
        <v>194946.81</v>
      </c>
      <c r="P30" s="55">
        <v>522842.4</v>
      </c>
      <c r="Q30" s="55"/>
      <c r="R30" s="58">
        <f>O30+P30</f>
        <v>717789.21</v>
      </c>
      <c r="S30" s="55"/>
      <c r="T30" s="55"/>
      <c r="U30" s="55"/>
      <c r="V30" s="58"/>
      <c r="W30" s="58"/>
      <c r="X30" s="58">
        <f>R30+V30</f>
        <v>717789.21</v>
      </c>
      <c r="Y30" s="58">
        <f t="shared" ref="Y30:Y37" si="5">R30+H30</f>
        <v>717789.21</v>
      </c>
      <c r="Z30" s="58">
        <f t="shared" ref="Z30:Z37" si="6">D30-Y30</f>
        <v>18817672.069999997</v>
      </c>
      <c r="AA30" s="58">
        <f t="shared" ref="AA30:AA37" si="7">N30+X30</f>
        <v>717789.21</v>
      </c>
      <c r="AB30" s="58">
        <f t="shared" ref="AB30:AB37" si="8">+D30-N30-X30</f>
        <v>18817672.069999997</v>
      </c>
    </row>
    <row r="31" spans="1:28" x14ac:dyDescent="0.25">
      <c r="A31" s="46"/>
      <c r="B31" s="4"/>
      <c r="C31" s="3" t="s">
        <v>36</v>
      </c>
      <c r="D31" s="58">
        <f>1576673.05+138121.54</f>
        <v>1714794.59</v>
      </c>
      <c r="E31" s="58">
        <v>1714794.59</v>
      </c>
      <c r="F31" s="55"/>
      <c r="G31" s="55"/>
      <c r="H31" s="58">
        <f>E31+F31</f>
        <v>1714794.59</v>
      </c>
      <c r="I31" s="55"/>
      <c r="J31" s="55"/>
      <c r="K31" s="55"/>
      <c r="L31" s="58"/>
      <c r="M31" s="58"/>
      <c r="N31" s="58">
        <f>H31+L31</f>
        <v>1714794.59</v>
      </c>
      <c r="O31" s="58">
        <v>0</v>
      </c>
      <c r="P31" s="55"/>
      <c r="Q31" s="55"/>
      <c r="R31" s="58">
        <f>O31+P31</f>
        <v>0</v>
      </c>
      <c r="S31" s="55"/>
      <c r="T31" s="55"/>
      <c r="U31" s="55"/>
      <c r="V31" s="58"/>
      <c r="W31" s="58"/>
      <c r="X31" s="58">
        <f>R31+V31</f>
        <v>0</v>
      </c>
      <c r="Y31" s="58">
        <f t="shared" si="5"/>
        <v>1714794.59</v>
      </c>
      <c r="Z31" s="58">
        <f t="shared" si="6"/>
        <v>0</v>
      </c>
      <c r="AA31" s="58">
        <f t="shared" si="7"/>
        <v>1714794.59</v>
      </c>
      <c r="AB31" s="58">
        <f t="shared" si="8"/>
        <v>0</v>
      </c>
    </row>
    <row r="32" spans="1:28" x14ac:dyDescent="0.25">
      <c r="A32" s="46"/>
      <c r="B32" s="4"/>
      <c r="C32" s="3" t="s">
        <v>43</v>
      </c>
      <c r="D32" s="58">
        <v>1763926.02</v>
      </c>
      <c r="E32" s="58">
        <v>1763926.02</v>
      </c>
      <c r="F32" s="55"/>
      <c r="G32" s="55"/>
      <c r="H32" s="58">
        <f>E32+F32</f>
        <v>1763926.02</v>
      </c>
      <c r="I32" s="55"/>
      <c r="J32" s="55"/>
      <c r="K32" s="55"/>
      <c r="L32" s="58"/>
      <c r="M32" s="58"/>
      <c r="N32" s="58">
        <f>H32+L32</f>
        <v>1763926.02</v>
      </c>
      <c r="O32" s="58">
        <v>0</v>
      </c>
      <c r="P32" s="55"/>
      <c r="Q32" s="55"/>
      <c r="R32" s="58">
        <f>O32+P32</f>
        <v>0</v>
      </c>
      <c r="S32" s="55"/>
      <c r="T32" s="55"/>
      <c r="U32" s="55"/>
      <c r="V32" s="58"/>
      <c r="W32" s="58"/>
      <c r="X32" s="58">
        <f>R32+V32</f>
        <v>0</v>
      </c>
      <c r="Y32" s="58">
        <f t="shared" si="5"/>
        <v>1763926.02</v>
      </c>
      <c r="Z32" s="58">
        <f t="shared" si="6"/>
        <v>0</v>
      </c>
      <c r="AA32" s="58">
        <f t="shared" si="7"/>
        <v>1763926.02</v>
      </c>
      <c r="AB32" s="58">
        <f t="shared" si="8"/>
        <v>0</v>
      </c>
    </row>
    <row r="33" spans="1:63" x14ac:dyDescent="0.25">
      <c r="C33" s="4" t="s">
        <v>317</v>
      </c>
      <c r="D33" s="55">
        <v>5589954.25</v>
      </c>
      <c r="E33" s="55">
        <v>5589954.25</v>
      </c>
      <c r="F33" s="55"/>
      <c r="G33" s="55"/>
      <c r="H33" s="55">
        <f>+E33+F33</f>
        <v>5589954.25</v>
      </c>
      <c r="I33" s="55"/>
      <c r="J33" s="55"/>
      <c r="K33" s="55"/>
      <c r="L33" s="55"/>
      <c r="M33" s="55"/>
      <c r="N33" s="55">
        <f>+H33+L33</f>
        <v>5589954.25</v>
      </c>
      <c r="O33" s="55">
        <v>0</v>
      </c>
      <c r="P33" s="55"/>
      <c r="Q33" s="55"/>
      <c r="R33" s="55">
        <f>+O33+P33</f>
        <v>0</v>
      </c>
      <c r="S33" s="55"/>
      <c r="T33" s="55"/>
      <c r="U33" s="55"/>
      <c r="V33" s="55"/>
      <c r="W33" s="55"/>
      <c r="X33" s="55">
        <f>+R33+V33</f>
        <v>0</v>
      </c>
      <c r="Y33" s="58">
        <f t="shared" si="5"/>
        <v>5589954.25</v>
      </c>
      <c r="Z33" s="58">
        <f t="shared" si="6"/>
        <v>0</v>
      </c>
      <c r="AA33" s="58">
        <f t="shared" si="7"/>
        <v>5589954.25</v>
      </c>
      <c r="AB33" s="58">
        <f t="shared" si="8"/>
        <v>0</v>
      </c>
    </row>
    <row r="34" spans="1:63" x14ac:dyDescent="0.25">
      <c r="A34" s="46"/>
      <c r="B34" s="4"/>
      <c r="C34" s="3" t="s">
        <v>44</v>
      </c>
      <c r="D34" s="58">
        <v>8704000</v>
      </c>
      <c r="E34" s="58">
        <v>8704000</v>
      </c>
      <c r="F34" s="55"/>
      <c r="G34" s="55"/>
      <c r="H34" s="58">
        <f>E34+F34</f>
        <v>8704000</v>
      </c>
      <c r="I34" s="55"/>
      <c r="J34" s="55"/>
      <c r="K34" s="55"/>
      <c r="L34" s="58"/>
      <c r="M34" s="58"/>
      <c r="N34" s="58">
        <f>H34+L34</f>
        <v>8704000</v>
      </c>
      <c r="O34" s="58">
        <v>0</v>
      </c>
      <c r="P34" s="55"/>
      <c r="Q34" s="55"/>
      <c r="R34" s="58">
        <f>O34+P34</f>
        <v>0</v>
      </c>
      <c r="S34" s="55"/>
      <c r="T34" s="55"/>
      <c r="U34" s="55"/>
      <c r="V34" s="58"/>
      <c r="W34" s="58"/>
      <c r="X34" s="58">
        <f>R34+V34</f>
        <v>0</v>
      </c>
      <c r="Y34" s="58">
        <f t="shared" si="5"/>
        <v>8704000</v>
      </c>
      <c r="Z34" s="58">
        <f t="shared" si="6"/>
        <v>0</v>
      </c>
      <c r="AA34" s="58">
        <f t="shared" si="7"/>
        <v>8704000</v>
      </c>
      <c r="AB34" s="58">
        <f t="shared" si="8"/>
        <v>0</v>
      </c>
    </row>
    <row r="35" spans="1:63" x14ac:dyDescent="0.25">
      <c r="A35" s="46"/>
      <c r="B35" s="4"/>
      <c r="C35" s="2" t="s">
        <v>37</v>
      </c>
      <c r="D35" s="58">
        <v>22797780.879999999</v>
      </c>
      <c r="E35" s="58">
        <v>0</v>
      </c>
      <c r="F35" s="55"/>
      <c r="G35" s="55"/>
      <c r="H35" s="58">
        <f>E35+F35</f>
        <v>0</v>
      </c>
      <c r="I35" s="55"/>
      <c r="J35" s="55"/>
      <c r="K35" s="55"/>
      <c r="L35" s="58"/>
      <c r="M35" s="58"/>
      <c r="N35" s="58">
        <f>H35+L35</f>
        <v>0</v>
      </c>
      <c r="O35" s="58">
        <v>0</v>
      </c>
      <c r="P35" s="55"/>
      <c r="Q35" s="55"/>
      <c r="R35" s="58">
        <f>O35+P35</f>
        <v>0</v>
      </c>
      <c r="S35" s="55"/>
      <c r="T35" s="55"/>
      <c r="U35" s="55"/>
      <c r="V35" s="58"/>
      <c r="W35" s="58"/>
      <c r="X35" s="58">
        <f>R35+V35</f>
        <v>0</v>
      </c>
      <c r="Y35" s="58">
        <f t="shared" si="5"/>
        <v>0</v>
      </c>
      <c r="Z35" s="58">
        <f t="shared" si="6"/>
        <v>22797780.879999999</v>
      </c>
      <c r="AA35" s="58">
        <f t="shared" si="7"/>
        <v>0</v>
      </c>
      <c r="AB35" s="58">
        <f t="shared" si="8"/>
        <v>22797780.879999999</v>
      </c>
    </row>
    <row r="36" spans="1:63" x14ac:dyDescent="0.25">
      <c r="A36" s="46"/>
      <c r="B36" s="4"/>
      <c r="C36" s="2" t="s">
        <v>38</v>
      </c>
      <c r="D36" s="58">
        <v>19579161.579999998</v>
      </c>
      <c r="E36" s="58">
        <v>0</v>
      </c>
      <c r="F36" s="55"/>
      <c r="G36" s="55"/>
      <c r="H36" s="58">
        <f>E36+F36</f>
        <v>0</v>
      </c>
      <c r="I36" s="55"/>
      <c r="J36" s="55"/>
      <c r="K36" s="55"/>
      <c r="L36" s="58"/>
      <c r="M36" s="58"/>
      <c r="N36" s="58">
        <f>H36+L36</f>
        <v>0</v>
      </c>
      <c r="O36" s="58">
        <v>0</v>
      </c>
      <c r="P36" s="55"/>
      <c r="Q36" s="55"/>
      <c r="R36" s="58">
        <f>O36+P36</f>
        <v>0</v>
      </c>
      <c r="S36" s="55"/>
      <c r="T36" s="55"/>
      <c r="U36" s="55"/>
      <c r="V36" s="58"/>
      <c r="W36" s="58"/>
      <c r="X36" s="58">
        <f>R36+V36</f>
        <v>0</v>
      </c>
      <c r="Y36" s="58">
        <f t="shared" si="5"/>
        <v>0</v>
      </c>
      <c r="Z36" s="58">
        <f t="shared" si="6"/>
        <v>19579161.579999998</v>
      </c>
      <c r="AA36" s="58">
        <f t="shared" si="7"/>
        <v>0</v>
      </c>
      <c r="AB36" s="58">
        <f t="shared" si="8"/>
        <v>19579161.579999998</v>
      </c>
    </row>
    <row r="37" spans="1:63" x14ac:dyDescent="0.25">
      <c r="A37" s="46"/>
      <c r="B37" s="4"/>
      <c r="C37" s="2" t="s">
        <v>39</v>
      </c>
      <c r="D37" s="58">
        <v>4441043.8</v>
      </c>
      <c r="E37" s="58">
        <v>0</v>
      </c>
      <c r="F37" s="55"/>
      <c r="G37" s="55"/>
      <c r="H37" s="58">
        <f>E37+F37</f>
        <v>0</v>
      </c>
      <c r="I37" s="55"/>
      <c r="J37" s="55"/>
      <c r="K37" s="55"/>
      <c r="L37" s="58"/>
      <c r="M37" s="58"/>
      <c r="N37" s="58">
        <f>H37+L37</f>
        <v>0</v>
      </c>
      <c r="O37" s="58">
        <v>0</v>
      </c>
      <c r="P37" s="55"/>
      <c r="Q37" s="55"/>
      <c r="R37" s="58">
        <f>O37+P37</f>
        <v>0</v>
      </c>
      <c r="S37" s="55"/>
      <c r="T37" s="55"/>
      <c r="U37" s="55"/>
      <c r="V37" s="58"/>
      <c r="W37" s="58"/>
      <c r="X37" s="58">
        <f>R37+V37</f>
        <v>0</v>
      </c>
      <c r="Y37" s="58">
        <f t="shared" si="5"/>
        <v>0</v>
      </c>
      <c r="Z37" s="58">
        <f t="shared" si="6"/>
        <v>4441043.8</v>
      </c>
      <c r="AA37" s="58">
        <f t="shared" si="7"/>
        <v>0</v>
      </c>
      <c r="AB37" s="58">
        <f t="shared" si="8"/>
        <v>4441043.8</v>
      </c>
    </row>
    <row r="38" spans="1:63" x14ac:dyDescent="0.25">
      <c r="A38" s="46"/>
      <c r="B38" s="4"/>
      <c r="C38" s="4"/>
      <c r="D38" s="61" t="s">
        <v>40</v>
      </c>
      <c r="E38" s="61" t="s">
        <v>40</v>
      </c>
      <c r="F38" s="61" t="s">
        <v>40</v>
      </c>
      <c r="G38" s="61"/>
      <c r="H38" s="61" t="s">
        <v>40</v>
      </c>
      <c r="I38" s="61" t="s">
        <v>40</v>
      </c>
      <c r="J38" s="61" t="s">
        <v>40</v>
      </c>
      <c r="K38" s="61" t="s">
        <v>40</v>
      </c>
      <c r="L38" s="61" t="s">
        <v>40</v>
      </c>
      <c r="M38" s="61"/>
      <c r="N38" s="61" t="s">
        <v>40</v>
      </c>
      <c r="O38" s="61" t="s">
        <v>40</v>
      </c>
      <c r="P38" s="61" t="s">
        <v>40</v>
      </c>
      <c r="Q38" s="61"/>
      <c r="R38" s="61" t="s">
        <v>40</v>
      </c>
      <c r="S38" s="61" t="s">
        <v>40</v>
      </c>
      <c r="T38" s="61" t="s">
        <v>40</v>
      </c>
      <c r="U38" s="61" t="s">
        <v>40</v>
      </c>
      <c r="V38" s="61" t="s">
        <v>40</v>
      </c>
      <c r="W38" s="61"/>
      <c r="X38" s="61" t="s">
        <v>40</v>
      </c>
      <c r="Y38" s="61" t="s">
        <v>40</v>
      </c>
      <c r="Z38" s="61" t="s">
        <v>40</v>
      </c>
      <c r="AA38" s="61" t="s">
        <v>40</v>
      </c>
      <c r="AB38" s="61" t="s">
        <v>40</v>
      </c>
    </row>
    <row r="39" spans="1:63" s="49" customFormat="1" x14ac:dyDescent="0.25">
      <c r="A39" s="46"/>
      <c r="B39" s="4"/>
      <c r="C39" s="4"/>
      <c r="D39" s="58">
        <f>SUM(D30:D37)</f>
        <v>84126122.399999991</v>
      </c>
      <c r="E39" s="58">
        <f>SUM(E30:E37)</f>
        <v>17772674.859999999</v>
      </c>
      <c r="F39" s="58">
        <f>SUM(F30:F37)</f>
        <v>0</v>
      </c>
      <c r="G39" s="58"/>
      <c r="H39" s="58">
        <f>SUM(H30:H37)</f>
        <v>17772674.859999999</v>
      </c>
      <c r="I39" s="58">
        <f>SUM(I30:I37)</f>
        <v>0</v>
      </c>
      <c r="J39" s="58">
        <f>SUM(J30:J37)</f>
        <v>0</v>
      </c>
      <c r="K39" s="58">
        <f>SUM(K30:K37)</f>
        <v>0</v>
      </c>
      <c r="L39" s="58">
        <f>SUM(L30:L37)</f>
        <v>0</v>
      </c>
      <c r="M39" s="58"/>
      <c r="N39" s="58">
        <f>SUM(N30:N37)</f>
        <v>17772674.859999999</v>
      </c>
      <c r="O39" s="58">
        <f>SUM(O30:O37)</f>
        <v>194946.81</v>
      </c>
      <c r="P39" s="58">
        <f>SUM(P30:P37)</f>
        <v>522842.4</v>
      </c>
      <c r="Q39" s="58"/>
      <c r="R39" s="58">
        <f>SUM(R30:R37)</f>
        <v>717789.21</v>
      </c>
      <c r="S39" s="58">
        <f>SUM(S30:S37)</f>
        <v>0</v>
      </c>
      <c r="T39" s="58">
        <f>SUM(T30:T37)</f>
        <v>0</v>
      </c>
      <c r="U39" s="58">
        <f>SUM(U30:U37)</f>
        <v>0</v>
      </c>
      <c r="V39" s="58">
        <f>SUM(V30:V37)</f>
        <v>0</v>
      </c>
      <c r="W39" s="58"/>
      <c r="X39" s="58">
        <f>SUM(X30:X37)</f>
        <v>717789.21</v>
      </c>
      <c r="Y39" s="58">
        <f>SUM(Y30:Y37)</f>
        <v>18490464.07</v>
      </c>
      <c r="Z39" s="58">
        <f>SUM(Z30:Z37)</f>
        <v>65635658.329999991</v>
      </c>
      <c r="AA39" s="58">
        <f>SUM(AA30:AA37)</f>
        <v>18490464.07</v>
      </c>
      <c r="AB39" s="58">
        <f>SUM(AB30:AB37)</f>
        <v>65635658.329999991</v>
      </c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</row>
    <row r="40" spans="1:63" ht="15.75" customHeight="1" x14ac:dyDescent="0.25">
      <c r="A40" s="46"/>
      <c r="B40" s="4" t="s">
        <v>42</v>
      </c>
      <c r="C40" s="4"/>
      <c r="D40" s="61" t="s">
        <v>40</v>
      </c>
      <c r="E40" s="61" t="s">
        <v>40</v>
      </c>
      <c r="F40" s="61" t="s">
        <v>40</v>
      </c>
      <c r="G40" s="61"/>
      <c r="H40" s="61" t="s">
        <v>40</v>
      </c>
      <c r="I40" s="61" t="s">
        <v>40</v>
      </c>
      <c r="J40" s="61" t="s">
        <v>40</v>
      </c>
      <c r="K40" s="61" t="s">
        <v>40</v>
      </c>
      <c r="L40" s="61" t="s">
        <v>40</v>
      </c>
      <c r="M40" s="61"/>
      <c r="N40" s="61" t="s">
        <v>40</v>
      </c>
      <c r="O40" s="61" t="s">
        <v>40</v>
      </c>
      <c r="P40" s="61" t="s">
        <v>40</v>
      </c>
      <c r="Q40" s="61"/>
      <c r="R40" s="61" t="s">
        <v>40</v>
      </c>
      <c r="S40" s="61" t="s">
        <v>40</v>
      </c>
      <c r="T40" s="61" t="s">
        <v>40</v>
      </c>
      <c r="U40" s="61" t="s">
        <v>40</v>
      </c>
      <c r="V40" s="61" t="s">
        <v>40</v>
      </c>
      <c r="W40" s="61"/>
      <c r="X40" s="61" t="s">
        <v>40</v>
      </c>
      <c r="Y40" s="61" t="s">
        <v>40</v>
      </c>
      <c r="Z40" s="61" t="s">
        <v>40</v>
      </c>
      <c r="AA40" s="61" t="s">
        <v>40</v>
      </c>
      <c r="AB40" s="61" t="s">
        <v>40</v>
      </c>
      <c r="BF40" s="49"/>
      <c r="BG40" s="49"/>
      <c r="BH40" s="49"/>
      <c r="BI40" s="49"/>
      <c r="BJ40" s="49"/>
      <c r="BK40" s="49"/>
    </row>
    <row r="41" spans="1:63" ht="15.75" customHeight="1" thickBot="1" x14ac:dyDescent="0.3">
      <c r="A41" s="107"/>
      <c r="B41" s="112" t="s">
        <v>292</v>
      </c>
      <c r="C41" s="20"/>
      <c r="D41" s="114">
        <f>181752.55+843176.8</f>
        <v>1024929.3500000001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114">
        <f>181752.55+843176.8</f>
        <v>1024929.3500000001</v>
      </c>
      <c r="P41" s="118"/>
      <c r="Q41" s="62"/>
      <c r="R41" s="114">
        <f>+O41+P41</f>
        <v>1024929.3500000001</v>
      </c>
      <c r="S41" s="62"/>
      <c r="T41" s="62"/>
      <c r="U41" s="62"/>
      <c r="V41" s="62"/>
      <c r="W41" s="62"/>
      <c r="X41" s="62"/>
      <c r="Y41" s="118"/>
      <c r="Z41" s="118"/>
      <c r="AA41" s="62"/>
      <c r="AB41" s="62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</row>
    <row r="42" spans="1:63" ht="55.5" customHeight="1" thickTop="1" x14ac:dyDescent="0.25">
      <c r="A42" s="46">
        <v>4</v>
      </c>
      <c r="B42" s="2" t="s">
        <v>45</v>
      </c>
      <c r="C42" s="2" t="s">
        <v>35</v>
      </c>
      <c r="D42" s="58">
        <f>26292198.95-6975852</f>
        <v>19316346.949999999</v>
      </c>
      <c r="E42" s="58">
        <v>0</v>
      </c>
      <c r="F42" s="58"/>
      <c r="G42" s="58"/>
      <c r="H42" s="58">
        <f>E42+F42</f>
        <v>0</v>
      </c>
      <c r="I42" s="55"/>
      <c r="J42" s="58"/>
      <c r="K42" s="58"/>
      <c r="L42" s="58"/>
      <c r="M42" s="58"/>
      <c r="N42" s="58">
        <f>H42+L42</f>
        <v>0</v>
      </c>
      <c r="O42" s="58">
        <v>181752.55</v>
      </c>
      <c r="P42" s="55"/>
      <c r="Q42" s="55"/>
      <c r="R42" s="58">
        <f>O42+P42</f>
        <v>181752.55</v>
      </c>
      <c r="S42" s="55">
        <v>39241.199999999997</v>
      </c>
      <c r="T42" s="55"/>
      <c r="U42" s="55"/>
      <c r="V42" s="58"/>
      <c r="W42" s="58"/>
      <c r="X42" s="58">
        <f>R42+V42</f>
        <v>181752.55</v>
      </c>
      <c r="Y42" s="58">
        <f>R42+H42</f>
        <v>181752.55</v>
      </c>
      <c r="Z42" s="58">
        <f>D42-Y42</f>
        <v>19134594.399999999</v>
      </c>
      <c r="AA42" s="58">
        <f>N42+X42</f>
        <v>181752.55</v>
      </c>
      <c r="AB42" s="58">
        <f>+D42-N42-X42</f>
        <v>19134594.399999999</v>
      </c>
    </row>
    <row r="43" spans="1:63" x14ac:dyDescent="0.25">
      <c r="A43" s="46"/>
      <c r="B43" s="4"/>
      <c r="C43" s="3" t="s">
        <v>36</v>
      </c>
      <c r="D43" s="58">
        <v>1977546.91</v>
      </c>
      <c r="E43" s="58">
        <v>1977546.91</v>
      </c>
      <c r="F43" s="55"/>
      <c r="G43" s="55"/>
      <c r="H43" s="58">
        <f>E43+F43</f>
        <v>1977546.91</v>
      </c>
      <c r="I43" s="55"/>
      <c r="J43" s="58"/>
      <c r="K43" s="58"/>
      <c r="L43" s="58"/>
      <c r="M43" s="58"/>
      <c r="N43" s="58">
        <f>H43+L43</f>
        <v>1977546.91</v>
      </c>
      <c r="O43" s="58">
        <v>0</v>
      </c>
      <c r="P43" s="55"/>
      <c r="Q43" s="55"/>
      <c r="R43" s="58">
        <f>O43+P43</f>
        <v>0</v>
      </c>
      <c r="S43" s="58"/>
      <c r="T43" s="55"/>
      <c r="U43" s="55"/>
      <c r="V43" s="58"/>
      <c r="W43" s="58"/>
      <c r="X43" s="58">
        <f>R43+V43</f>
        <v>0</v>
      </c>
      <c r="Y43" s="58">
        <f>R43+H43</f>
        <v>1977546.91</v>
      </c>
      <c r="Z43" s="58">
        <f>D43-Y43</f>
        <v>0</v>
      </c>
      <c r="AA43" s="58">
        <f>N43+X43</f>
        <v>1977546.91</v>
      </c>
      <c r="AB43" s="58">
        <f>+D43-N43-X43</f>
        <v>0</v>
      </c>
    </row>
    <row r="44" spans="1:63" x14ac:dyDescent="0.25">
      <c r="C44" s="4" t="s">
        <v>317</v>
      </c>
      <c r="D44" s="55">
        <v>6975852</v>
      </c>
      <c r="E44" s="55">
        <v>6975852</v>
      </c>
      <c r="F44" s="55"/>
      <c r="G44" s="55"/>
      <c r="H44" s="55">
        <f>+E44+F44</f>
        <v>6975852</v>
      </c>
      <c r="I44" s="55"/>
      <c r="J44" s="55"/>
      <c r="K44" s="55"/>
      <c r="L44" s="55"/>
      <c r="M44" s="55"/>
      <c r="N44" s="55">
        <f>+H44+L44</f>
        <v>6975852</v>
      </c>
      <c r="O44" s="55">
        <v>0</v>
      </c>
      <c r="P44" s="55"/>
      <c r="Q44" s="55"/>
      <c r="R44" s="55">
        <f>+O44-P44</f>
        <v>0</v>
      </c>
      <c r="S44" s="55"/>
      <c r="T44" s="55"/>
      <c r="U44" s="55"/>
      <c r="V44" s="55"/>
      <c r="W44" s="55"/>
      <c r="X44" s="55">
        <f>+R44+V44</f>
        <v>0</v>
      </c>
      <c r="Y44" s="58">
        <f>R44+H44</f>
        <v>6975852</v>
      </c>
      <c r="Z44" s="58">
        <f>D44-Y44</f>
        <v>0</v>
      </c>
      <c r="AA44" s="58">
        <f>N44+X44</f>
        <v>6975852</v>
      </c>
      <c r="AB44" s="58">
        <f>+D44-N44-X44</f>
        <v>0</v>
      </c>
    </row>
    <row r="45" spans="1:63" x14ac:dyDescent="0.25">
      <c r="A45" s="46"/>
      <c r="B45" s="4"/>
      <c r="C45" s="2" t="s">
        <v>37</v>
      </c>
      <c r="D45" s="58">
        <v>2485399.46</v>
      </c>
      <c r="E45" s="58">
        <v>0</v>
      </c>
      <c r="F45" s="55"/>
      <c r="G45" s="55"/>
      <c r="H45" s="58">
        <f>E45+F45</f>
        <v>0</v>
      </c>
      <c r="I45" s="55"/>
      <c r="J45" s="55"/>
      <c r="K45" s="55"/>
      <c r="L45" s="58"/>
      <c r="M45" s="58"/>
      <c r="N45" s="58">
        <f>H45+L45</f>
        <v>0</v>
      </c>
      <c r="O45" s="58">
        <v>0</v>
      </c>
      <c r="P45" s="55"/>
      <c r="Q45" s="55"/>
      <c r="R45" s="58">
        <f>O45+P45</f>
        <v>0</v>
      </c>
      <c r="S45" s="55"/>
      <c r="T45" s="55"/>
      <c r="U45" s="58"/>
      <c r="V45" s="58"/>
      <c r="W45" s="58"/>
      <c r="X45" s="58">
        <f>R45+V45</f>
        <v>0</v>
      </c>
      <c r="Y45" s="58">
        <f>R45+H45</f>
        <v>0</v>
      </c>
      <c r="Z45" s="58">
        <f>D45-Y45</f>
        <v>2485399.46</v>
      </c>
      <c r="AA45" s="58">
        <f>N45+X45</f>
        <v>0</v>
      </c>
      <c r="AB45" s="58">
        <f>+D45-N45-X45</f>
        <v>2485399.46</v>
      </c>
    </row>
    <row r="46" spans="1:63" x14ac:dyDescent="0.25">
      <c r="A46" s="46"/>
      <c r="B46" s="4"/>
      <c r="C46" s="4"/>
      <c r="D46" s="61" t="s">
        <v>40</v>
      </c>
      <c r="E46" s="61" t="s">
        <v>40</v>
      </c>
      <c r="F46" s="61" t="s">
        <v>40</v>
      </c>
      <c r="G46" s="61"/>
      <c r="H46" s="61" t="s">
        <v>40</v>
      </c>
      <c r="I46" s="61" t="s">
        <v>40</v>
      </c>
      <c r="J46" s="61" t="s">
        <v>40</v>
      </c>
      <c r="K46" s="61" t="s">
        <v>40</v>
      </c>
      <c r="L46" s="61" t="s">
        <v>40</v>
      </c>
      <c r="M46" s="61"/>
      <c r="N46" s="61" t="s">
        <v>40</v>
      </c>
      <c r="O46" s="61" t="s">
        <v>40</v>
      </c>
      <c r="P46" s="61" t="s">
        <v>40</v>
      </c>
      <c r="Q46" s="61"/>
      <c r="R46" s="61" t="s">
        <v>40</v>
      </c>
      <c r="S46" s="61" t="s">
        <v>40</v>
      </c>
      <c r="T46" s="61" t="s">
        <v>40</v>
      </c>
      <c r="U46" s="61" t="s">
        <v>40</v>
      </c>
      <c r="V46" s="61" t="s">
        <v>40</v>
      </c>
      <c r="W46" s="61"/>
      <c r="X46" s="61" t="s">
        <v>40</v>
      </c>
      <c r="Y46" s="61" t="s">
        <v>40</v>
      </c>
      <c r="Z46" s="61" t="s">
        <v>40</v>
      </c>
      <c r="AA46" s="61" t="s">
        <v>40</v>
      </c>
      <c r="AB46" s="61" t="s">
        <v>40</v>
      </c>
    </row>
    <row r="47" spans="1:63" ht="16.5" customHeight="1" x14ac:dyDescent="0.25">
      <c r="A47" s="46"/>
      <c r="B47" s="4"/>
      <c r="C47" s="4"/>
      <c r="D47" s="58">
        <f>SUM(D42:D45)</f>
        <v>30755145.32</v>
      </c>
      <c r="E47" s="58">
        <f>SUM(E42:E45)</f>
        <v>8953398.9100000001</v>
      </c>
      <c r="F47" s="58">
        <f>SUM(F42:F45)</f>
        <v>0</v>
      </c>
      <c r="G47" s="58"/>
      <c r="H47" s="58">
        <f>SUM(H42:H45)</f>
        <v>8953398.9100000001</v>
      </c>
      <c r="I47" s="58">
        <f>SUM(I42:I45)</f>
        <v>0</v>
      </c>
      <c r="J47" s="58">
        <f>SUM(J42:J45)</f>
        <v>0</v>
      </c>
      <c r="K47" s="58">
        <f>SUM(K42:K45)</f>
        <v>0</v>
      </c>
      <c r="L47" s="58">
        <f>SUM(L42:L45)</f>
        <v>0</v>
      </c>
      <c r="M47" s="58"/>
      <c r="N47" s="58">
        <f>SUM(N42:N45)</f>
        <v>8953398.9100000001</v>
      </c>
      <c r="O47" s="58">
        <f>SUM(O42:O45)</f>
        <v>181752.55</v>
      </c>
      <c r="P47" s="58">
        <f>SUM(P42:P45)</f>
        <v>0</v>
      </c>
      <c r="Q47" s="58"/>
      <c r="R47" s="58">
        <f>SUM(R42:R45)</f>
        <v>181752.55</v>
      </c>
      <c r="S47" s="58">
        <f>SUM(S42:S45)</f>
        <v>39241.199999999997</v>
      </c>
      <c r="T47" s="58">
        <f>SUM(T42:T45)</f>
        <v>0</v>
      </c>
      <c r="U47" s="58">
        <f>SUM(U42:U45)</f>
        <v>0</v>
      </c>
      <c r="V47" s="58">
        <f>SUM(V42:V45)</f>
        <v>0</v>
      </c>
      <c r="W47" s="58"/>
      <c r="X47" s="58">
        <f>SUM(X42:X45)</f>
        <v>181752.55</v>
      </c>
      <c r="Y47" s="58">
        <f>SUM(Y42:Y45)</f>
        <v>9135151.4600000009</v>
      </c>
      <c r="Z47" s="58">
        <f>SUM(Z42:Z45)</f>
        <v>21619993.859999999</v>
      </c>
      <c r="AA47" s="58">
        <f>SUM(AA42:AA45)</f>
        <v>9135151.4600000009</v>
      </c>
      <c r="AB47" s="58">
        <f>SUM(AB42:AB45)</f>
        <v>21619993.859999999</v>
      </c>
    </row>
    <row r="48" spans="1:63" x14ac:dyDescent="0.25">
      <c r="A48" s="46"/>
      <c r="B48" s="4"/>
      <c r="C48" s="4"/>
      <c r="D48" s="61" t="s">
        <v>40</v>
      </c>
      <c r="E48" s="61" t="s">
        <v>40</v>
      </c>
      <c r="F48" s="61" t="s">
        <v>40</v>
      </c>
      <c r="G48" s="61"/>
      <c r="H48" s="61" t="s">
        <v>40</v>
      </c>
      <c r="I48" s="61" t="s">
        <v>40</v>
      </c>
      <c r="J48" s="61" t="s">
        <v>40</v>
      </c>
      <c r="K48" s="61" t="s">
        <v>40</v>
      </c>
      <c r="L48" s="61" t="s">
        <v>40</v>
      </c>
      <c r="M48" s="61"/>
      <c r="N48" s="61" t="s">
        <v>40</v>
      </c>
      <c r="O48" s="61" t="s">
        <v>40</v>
      </c>
      <c r="P48" s="61" t="s">
        <v>40</v>
      </c>
      <c r="Q48" s="61"/>
      <c r="R48" s="61" t="s">
        <v>40</v>
      </c>
      <c r="S48" s="61" t="s">
        <v>40</v>
      </c>
      <c r="T48" s="61" t="s">
        <v>40</v>
      </c>
      <c r="U48" s="61" t="s">
        <v>40</v>
      </c>
      <c r="V48" s="61" t="s">
        <v>40</v>
      </c>
      <c r="W48" s="61"/>
      <c r="X48" s="61" t="s">
        <v>40</v>
      </c>
      <c r="Y48" s="61" t="s">
        <v>40</v>
      </c>
      <c r="Z48" s="61" t="s">
        <v>40</v>
      </c>
      <c r="AA48" s="61" t="s">
        <v>40</v>
      </c>
      <c r="AB48" s="61" t="s">
        <v>40</v>
      </c>
    </row>
    <row r="49" spans="1:63" x14ac:dyDescent="0.25">
      <c r="A49" s="46"/>
      <c r="B49" s="4"/>
      <c r="C49" s="4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125"/>
      <c r="P49" s="126"/>
      <c r="Q49" s="84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63" x14ac:dyDescent="0.25">
      <c r="A50" s="46">
        <v>5</v>
      </c>
      <c r="B50" s="3" t="s">
        <v>46</v>
      </c>
      <c r="C50" s="2" t="s">
        <v>35</v>
      </c>
      <c r="D50" s="58">
        <f>23528628</f>
        <v>23528628</v>
      </c>
      <c r="E50" s="58">
        <v>0</v>
      </c>
      <c r="F50" s="55"/>
      <c r="G50" s="55"/>
      <c r="H50" s="58">
        <f>E50+F50</f>
        <v>0</v>
      </c>
      <c r="I50" s="55"/>
      <c r="J50" s="55"/>
      <c r="K50" s="55"/>
      <c r="L50" s="58"/>
      <c r="M50" s="58"/>
      <c r="N50" s="58">
        <f>H50+L50</f>
        <v>0</v>
      </c>
      <c r="O50" s="55">
        <f>24522+1439798.05+4238931.19+1059910.77+16765466.09</f>
        <v>23528628.100000001</v>
      </c>
      <c r="P50" s="55"/>
      <c r="Q50" s="55"/>
      <c r="R50" s="58">
        <f>O50+P50</f>
        <v>23528628.100000001</v>
      </c>
      <c r="S50" s="55">
        <f>3518107.3+6592500.74</f>
        <v>10110608.039999999</v>
      </c>
      <c r="T50" s="55">
        <f>178555.67+4060375.52+231956.38+827954.39</f>
        <v>5298841.96</v>
      </c>
      <c r="U50" s="55"/>
      <c r="V50" s="58"/>
      <c r="W50" s="58"/>
      <c r="X50" s="58">
        <f>R50+V50</f>
        <v>23528628.100000001</v>
      </c>
      <c r="Y50" s="58">
        <f t="shared" ref="Y50:Y58" si="9">R50+H50</f>
        <v>23528628.100000001</v>
      </c>
      <c r="Z50" s="58">
        <f>+D50-H50-R50</f>
        <v>-0.10000000149011612</v>
      </c>
      <c r="AA50" s="58">
        <f t="shared" ref="AA50:AA58" si="10">N50+X50</f>
        <v>23528628.100000001</v>
      </c>
      <c r="AB50" s="58">
        <f t="shared" ref="AB50:AB58" si="11">+D50-N50-X50</f>
        <v>-0.10000000149011612</v>
      </c>
    </row>
    <row r="51" spans="1:63" s="4" customFormat="1" ht="15.75" customHeight="1" x14ac:dyDescent="0.25">
      <c r="A51" s="46"/>
      <c r="C51" s="3" t="s">
        <v>36</v>
      </c>
      <c r="D51" s="58">
        <v>3180311.69</v>
      </c>
      <c r="E51" s="58">
        <v>3180311.69</v>
      </c>
      <c r="F51" s="55"/>
      <c r="G51" s="55"/>
      <c r="H51" s="58">
        <f>E51+F51</f>
        <v>3180311.69</v>
      </c>
      <c r="I51" s="55"/>
      <c r="J51" s="55"/>
      <c r="K51" s="55"/>
      <c r="L51" s="58"/>
      <c r="M51" s="58"/>
      <c r="N51" s="58">
        <f>H51+L51</f>
        <v>3180311.69</v>
      </c>
      <c r="O51" s="58">
        <v>0</v>
      </c>
      <c r="P51" s="55"/>
      <c r="Q51" s="55"/>
      <c r="R51" s="58">
        <f>O51+P51</f>
        <v>0</v>
      </c>
      <c r="S51" s="58"/>
      <c r="T51" s="55"/>
      <c r="U51" s="55"/>
      <c r="V51" s="58"/>
      <c r="W51" s="58"/>
      <c r="X51" s="58">
        <f>R51+V51</f>
        <v>0</v>
      </c>
      <c r="Y51" s="58">
        <f t="shared" si="9"/>
        <v>3180311.69</v>
      </c>
      <c r="Z51" s="58">
        <f t="shared" ref="Z51:Z58" si="12">D51-Y51</f>
        <v>0</v>
      </c>
      <c r="AA51" s="58">
        <f t="shared" si="10"/>
        <v>3180311.69</v>
      </c>
      <c r="AB51" s="58">
        <f t="shared" si="11"/>
        <v>0</v>
      </c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</row>
    <row r="52" spans="1:63" x14ac:dyDescent="0.25">
      <c r="C52" s="4" t="s">
        <v>318</v>
      </c>
      <c r="D52" s="55">
        <v>5000000</v>
      </c>
      <c r="E52" s="55">
        <v>4777683.7</v>
      </c>
      <c r="F52" s="55"/>
      <c r="G52" s="55"/>
      <c r="H52" s="55">
        <f>+E52+F52</f>
        <v>4777683.7</v>
      </c>
      <c r="I52" s="55"/>
      <c r="J52" s="55"/>
      <c r="K52" s="55"/>
      <c r="L52" s="55"/>
      <c r="M52" s="55"/>
      <c r="N52" s="55">
        <f>+H52+L52</f>
        <v>4777683.7</v>
      </c>
      <c r="O52" s="55">
        <v>0</v>
      </c>
      <c r="P52" s="55"/>
      <c r="Q52" s="55"/>
      <c r="R52" s="55">
        <f>+O52+P52</f>
        <v>0</v>
      </c>
      <c r="S52" s="55"/>
      <c r="T52" s="55"/>
      <c r="U52" s="55"/>
      <c r="V52" s="55"/>
      <c r="W52" s="55"/>
      <c r="X52" s="55">
        <f>+R52+V52</f>
        <v>0</v>
      </c>
      <c r="Y52" s="58">
        <f t="shared" si="9"/>
        <v>4777683.7</v>
      </c>
      <c r="Z52" s="58">
        <f t="shared" si="12"/>
        <v>222316.29999999981</v>
      </c>
      <c r="AA52" s="58">
        <f t="shared" si="10"/>
        <v>4777683.7</v>
      </c>
      <c r="AB52" s="58">
        <f t="shared" si="11"/>
        <v>222316.29999999981</v>
      </c>
      <c r="BF52" s="4"/>
      <c r="BG52" s="4"/>
      <c r="BH52" s="4"/>
      <c r="BI52" s="4"/>
      <c r="BJ52" s="4"/>
      <c r="BK52" s="4"/>
    </row>
    <row r="53" spans="1:63" x14ac:dyDescent="0.25">
      <c r="C53" s="4" t="s">
        <v>290</v>
      </c>
      <c r="D53" s="55">
        <v>30000000</v>
      </c>
      <c r="E53" s="55"/>
      <c r="F53" s="55">
        <v>30000000</v>
      </c>
      <c r="G53" s="55"/>
      <c r="H53" s="55">
        <f>+E53+F53</f>
        <v>30000000</v>
      </c>
      <c r="I53" s="55"/>
      <c r="J53" s="55"/>
      <c r="K53" s="55"/>
      <c r="L53" s="55"/>
      <c r="M53" s="55"/>
      <c r="N53" s="55">
        <f>+H53+L53</f>
        <v>30000000</v>
      </c>
      <c r="O53" s="55">
        <v>0</v>
      </c>
      <c r="P53" s="55"/>
      <c r="Q53" s="55"/>
      <c r="R53" s="55">
        <f>+O53+P53</f>
        <v>0</v>
      </c>
      <c r="S53" s="55"/>
      <c r="T53" s="55"/>
      <c r="U53" s="55"/>
      <c r="V53" s="55"/>
      <c r="W53" s="55"/>
      <c r="X53" s="55">
        <f>+R53+V53</f>
        <v>0</v>
      </c>
      <c r="Y53" s="58">
        <f t="shared" si="9"/>
        <v>30000000</v>
      </c>
      <c r="Z53" s="58">
        <f t="shared" si="12"/>
        <v>0</v>
      </c>
      <c r="AA53" s="58">
        <f t="shared" si="10"/>
        <v>30000000</v>
      </c>
      <c r="AB53" s="58">
        <f t="shared" si="11"/>
        <v>0</v>
      </c>
      <c r="BA53" s="4"/>
      <c r="BB53" s="4"/>
      <c r="BC53" s="4"/>
      <c r="BD53" s="4"/>
      <c r="BE53" s="4"/>
    </row>
    <row r="54" spans="1:63" x14ac:dyDescent="0.25">
      <c r="A54" s="46"/>
      <c r="B54" s="4"/>
      <c r="C54" s="3" t="s">
        <v>44</v>
      </c>
      <c r="D54" s="58">
        <v>13793000</v>
      </c>
      <c r="E54" s="58">
        <v>13793000</v>
      </c>
      <c r="F54" s="55"/>
      <c r="G54" s="55"/>
      <c r="H54" s="58">
        <f>E54+F54</f>
        <v>13793000</v>
      </c>
      <c r="I54" s="55"/>
      <c r="J54" s="55"/>
      <c r="K54" s="55"/>
      <c r="L54" s="58"/>
      <c r="M54" s="58"/>
      <c r="N54" s="58">
        <f>H54+L54</f>
        <v>13793000</v>
      </c>
      <c r="O54" s="58">
        <v>0</v>
      </c>
      <c r="P54" s="55"/>
      <c r="Q54" s="55"/>
      <c r="R54" s="58">
        <f>O54+P54</f>
        <v>0</v>
      </c>
      <c r="S54" s="58"/>
      <c r="T54" s="55"/>
      <c r="U54" s="55"/>
      <c r="V54" s="58"/>
      <c r="W54" s="58"/>
      <c r="X54" s="58">
        <f>R54+V54</f>
        <v>0</v>
      </c>
      <c r="Y54" s="58">
        <f t="shared" si="9"/>
        <v>13793000</v>
      </c>
      <c r="Z54" s="58">
        <f t="shared" si="12"/>
        <v>0</v>
      </c>
      <c r="AA54" s="58">
        <f t="shared" si="10"/>
        <v>13793000</v>
      </c>
      <c r="AB54" s="58">
        <f t="shared" si="11"/>
        <v>0</v>
      </c>
      <c r="AT54" s="4"/>
      <c r="AU54" s="4"/>
      <c r="AV54" s="4"/>
      <c r="AW54" s="4"/>
      <c r="AX54" s="4"/>
      <c r="AY54" s="4"/>
      <c r="AZ54" s="4"/>
    </row>
    <row r="55" spans="1:63" x14ac:dyDescent="0.25">
      <c r="A55" s="46"/>
      <c r="B55" s="4"/>
      <c r="C55" s="3" t="s">
        <v>48</v>
      </c>
      <c r="D55" s="58">
        <v>11432000</v>
      </c>
      <c r="E55" s="58">
        <v>11432000</v>
      </c>
      <c r="F55" s="55"/>
      <c r="G55" s="55"/>
      <c r="H55" s="58">
        <f>E55+F55</f>
        <v>11432000</v>
      </c>
      <c r="I55" s="55"/>
      <c r="J55" s="55"/>
      <c r="K55" s="55"/>
      <c r="L55" s="58"/>
      <c r="M55" s="58"/>
      <c r="N55" s="58">
        <f>H55+L55</f>
        <v>11432000</v>
      </c>
      <c r="O55" s="58">
        <v>0</v>
      </c>
      <c r="P55" s="55"/>
      <c r="Q55" s="55"/>
      <c r="R55" s="58">
        <f>O55+P55</f>
        <v>0</v>
      </c>
      <c r="S55" s="55"/>
      <c r="T55" s="55"/>
      <c r="U55" s="55"/>
      <c r="V55" s="58"/>
      <c r="W55" s="58"/>
      <c r="X55" s="58">
        <f>R55+V55</f>
        <v>0</v>
      </c>
      <c r="Y55" s="58">
        <f t="shared" si="9"/>
        <v>11432000</v>
      </c>
      <c r="Z55" s="58">
        <f t="shared" si="12"/>
        <v>0</v>
      </c>
      <c r="AA55" s="58">
        <f t="shared" si="10"/>
        <v>11432000</v>
      </c>
      <c r="AB55" s="58">
        <f t="shared" si="11"/>
        <v>0</v>
      </c>
      <c r="AR55" s="4"/>
      <c r="AS55" s="4"/>
    </row>
    <row r="56" spans="1:63" x14ac:dyDescent="0.25">
      <c r="A56" s="4"/>
      <c r="B56" s="4"/>
      <c r="C56" s="120" t="s">
        <v>296</v>
      </c>
      <c r="D56" s="55">
        <f>20000000-5000000</f>
        <v>15000000</v>
      </c>
      <c r="E56" s="55">
        <f>2000000+2500000</f>
        <v>4500000</v>
      </c>
      <c r="F56" s="55"/>
      <c r="G56" s="55"/>
      <c r="H56" s="55">
        <f>+E56+F56</f>
        <v>4500000</v>
      </c>
      <c r="I56" s="55"/>
      <c r="J56" s="55"/>
      <c r="K56" s="55"/>
      <c r="L56" s="55"/>
      <c r="M56" s="55"/>
      <c r="N56" s="55">
        <f>H56+L56</f>
        <v>4500000</v>
      </c>
      <c r="O56" s="55">
        <f>338735.6+126337+633224.56+230030.16+70320+125084.9</f>
        <v>1523732.22</v>
      </c>
      <c r="P56" s="55"/>
      <c r="Q56" s="55"/>
      <c r="R56" s="55">
        <f>O56+P56</f>
        <v>1523732.22</v>
      </c>
      <c r="S56" s="55"/>
      <c r="T56" s="55"/>
      <c r="U56" s="55"/>
      <c r="V56" s="55"/>
      <c r="W56" s="55"/>
      <c r="X56" s="55">
        <f>+R56+V56</f>
        <v>1523732.22</v>
      </c>
      <c r="Y56" s="55">
        <f t="shared" si="9"/>
        <v>6023732.2199999997</v>
      </c>
      <c r="Z56" s="58">
        <f t="shared" si="12"/>
        <v>8976267.7800000012</v>
      </c>
      <c r="AA56" s="55">
        <f t="shared" si="10"/>
        <v>6023732.2199999997</v>
      </c>
      <c r="AB56" s="55">
        <f t="shared" si="11"/>
        <v>8976267.7799999993</v>
      </c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63" x14ac:dyDescent="0.25">
      <c r="A57" s="46"/>
      <c r="B57" s="4"/>
      <c r="C57" s="2" t="s">
        <v>37</v>
      </c>
      <c r="D57" s="58">
        <v>369667.37</v>
      </c>
      <c r="E57" s="58">
        <v>0</v>
      </c>
      <c r="F57" s="55"/>
      <c r="G57" s="55"/>
      <c r="H57" s="58">
        <f>E57+F57</f>
        <v>0</v>
      </c>
      <c r="I57" s="55"/>
      <c r="J57" s="55"/>
      <c r="K57" s="55"/>
      <c r="L57" s="58"/>
      <c r="M57" s="58"/>
      <c r="N57" s="58">
        <f>H57+L57</f>
        <v>0</v>
      </c>
      <c r="O57" s="55">
        <f>356044.7+4180.2-4180.2</f>
        <v>356044.7</v>
      </c>
      <c r="P57" s="55"/>
      <c r="Q57" s="55"/>
      <c r="R57" s="58">
        <f>O57+P57</f>
        <v>356044.7</v>
      </c>
      <c r="S57" s="55">
        <f>458902.7-406034.2+193464.12+70403</f>
        <v>316735.62</v>
      </c>
      <c r="T57" s="55"/>
      <c r="U57" s="55"/>
      <c r="V57" s="58"/>
      <c r="W57" s="58"/>
      <c r="X57" s="58">
        <f>R57+V57</f>
        <v>356044.7</v>
      </c>
      <c r="Y57" s="58">
        <f t="shared" si="9"/>
        <v>356044.7</v>
      </c>
      <c r="Z57" s="58">
        <f t="shared" si="12"/>
        <v>13622.669999999984</v>
      </c>
      <c r="AA57" s="58">
        <f t="shared" si="10"/>
        <v>356044.7</v>
      </c>
      <c r="AB57" s="58">
        <f t="shared" si="11"/>
        <v>13622.669999999984</v>
      </c>
    </row>
    <row r="58" spans="1:63" x14ac:dyDescent="0.25">
      <c r="A58" s="46"/>
      <c r="B58" s="4"/>
      <c r="C58" s="8" t="s">
        <v>39</v>
      </c>
      <c r="D58" s="58">
        <v>1431062.19</v>
      </c>
      <c r="E58" s="58">
        <v>0</v>
      </c>
      <c r="F58" s="55"/>
      <c r="G58" s="55"/>
      <c r="H58" s="58">
        <f>E58+F58</f>
        <v>0</v>
      </c>
      <c r="I58" s="55"/>
      <c r="J58" s="55"/>
      <c r="K58" s="55"/>
      <c r="L58" s="58"/>
      <c r="M58" s="58"/>
      <c r="N58" s="58">
        <f>H58+L58</f>
        <v>0</v>
      </c>
      <c r="O58" s="55">
        <v>25467.5</v>
      </c>
      <c r="P58" s="55"/>
      <c r="Q58" s="55"/>
      <c r="R58" s="58">
        <f>O58+P58</f>
        <v>25467.5</v>
      </c>
      <c r="S58" s="55"/>
      <c r="T58" s="55"/>
      <c r="U58" s="55"/>
      <c r="V58" s="58"/>
      <c r="W58" s="58"/>
      <c r="X58" s="58">
        <f>R58+V58</f>
        <v>25467.5</v>
      </c>
      <c r="Y58" s="58">
        <f t="shared" si="9"/>
        <v>25467.5</v>
      </c>
      <c r="Z58" s="58">
        <f t="shared" si="12"/>
        <v>1405594.69</v>
      </c>
      <c r="AA58" s="58">
        <f t="shared" si="10"/>
        <v>25467.5</v>
      </c>
      <c r="AB58" s="58">
        <f t="shared" si="11"/>
        <v>1405594.69</v>
      </c>
    </row>
    <row r="59" spans="1:63" ht="15.75" customHeight="1" x14ac:dyDescent="0.25">
      <c r="A59" s="46"/>
      <c r="B59" s="4"/>
      <c r="C59" s="4"/>
      <c r="D59" s="61" t="s">
        <v>40</v>
      </c>
      <c r="E59" s="61" t="s">
        <v>40</v>
      </c>
      <c r="F59" s="61" t="s">
        <v>40</v>
      </c>
      <c r="G59" s="61"/>
      <c r="H59" s="61" t="s">
        <v>40</v>
      </c>
      <c r="I59" s="61" t="s">
        <v>40</v>
      </c>
      <c r="J59" s="61" t="s">
        <v>40</v>
      </c>
      <c r="K59" s="61" t="s">
        <v>40</v>
      </c>
      <c r="L59" s="61" t="s">
        <v>40</v>
      </c>
      <c r="M59" s="61"/>
      <c r="N59" s="61" t="s">
        <v>40</v>
      </c>
      <c r="O59" s="61" t="s">
        <v>40</v>
      </c>
      <c r="P59" s="61" t="s">
        <v>40</v>
      </c>
      <c r="Q59" s="61"/>
      <c r="R59" s="61" t="s">
        <v>40</v>
      </c>
      <c r="S59" s="61" t="s">
        <v>40</v>
      </c>
      <c r="T59" s="61" t="s">
        <v>40</v>
      </c>
      <c r="U59" s="61" t="s">
        <v>40</v>
      </c>
      <c r="V59" s="61" t="s">
        <v>40</v>
      </c>
      <c r="W59" s="61"/>
      <c r="X59" s="61" t="s">
        <v>40</v>
      </c>
      <c r="Y59" s="61" t="s">
        <v>40</v>
      </c>
      <c r="Z59" s="61" t="s">
        <v>40</v>
      </c>
      <c r="AA59" s="61" t="s">
        <v>40</v>
      </c>
      <c r="AB59" s="61" t="s">
        <v>40</v>
      </c>
    </row>
    <row r="60" spans="1:63" x14ac:dyDescent="0.25">
      <c r="A60" s="46"/>
      <c r="B60" s="4"/>
      <c r="C60" s="4"/>
      <c r="D60" s="58">
        <f>SUM(D50:D58)</f>
        <v>103734669.25</v>
      </c>
      <c r="E60" s="58">
        <f>SUM(E50:E58)</f>
        <v>37682995.390000001</v>
      </c>
      <c r="F60" s="58">
        <f>SUM(F50:F58)</f>
        <v>30000000</v>
      </c>
      <c r="G60" s="58"/>
      <c r="H60" s="58">
        <f>SUM(H50:H58)</f>
        <v>67682995.390000001</v>
      </c>
      <c r="I60" s="58">
        <f>SUM(I50:I58)</f>
        <v>0</v>
      </c>
      <c r="J60" s="58">
        <f>SUM(J50:J58)</f>
        <v>0</v>
      </c>
      <c r="K60" s="58">
        <f>SUM(K50:K58)</f>
        <v>0</v>
      </c>
      <c r="L60" s="58">
        <f>SUM(L50:L58)</f>
        <v>0</v>
      </c>
      <c r="M60" s="58"/>
      <c r="N60" s="58">
        <f>SUM(N50:N58)</f>
        <v>67682995.390000001</v>
      </c>
      <c r="O60" s="58">
        <f>SUM(O50:O58)</f>
        <v>25433872.52</v>
      </c>
      <c r="P60" s="58">
        <f>SUM(P50:P58)</f>
        <v>0</v>
      </c>
      <c r="Q60" s="58"/>
      <c r="R60" s="58">
        <f>SUM(R50:R58)</f>
        <v>25433872.52</v>
      </c>
      <c r="S60" s="58">
        <f>SUM(S50:S58)</f>
        <v>10427343.659999998</v>
      </c>
      <c r="T60" s="58">
        <f>SUM(T50:T58)</f>
        <v>5298841.96</v>
      </c>
      <c r="U60" s="58">
        <f>SUM(U50:U58)</f>
        <v>0</v>
      </c>
      <c r="V60" s="58">
        <f>SUM(V50:V58)</f>
        <v>0</v>
      </c>
      <c r="W60" s="58"/>
      <c r="X60" s="58">
        <f>SUM(X50:X58)</f>
        <v>25433872.52</v>
      </c>
      <c r="Y60" s="58">
        <f>SUM(Y50:Y58)</f>
        <v>93116867.910000011</v>
      </c>
      <c r="Z60" s="58">
        <f>SUM(Z50:Z58)</f>
        <v>10617801.34</v>
      </c>
      <c r="AA60" s="58">
        <f>SUM(AA50:AA58)</f>
        <v>93116867.910000011</v>
      </c>
      <c r="AB60" s="58">
        <f>SUM(AB50:AB58)</f>
        <v>10617801.339999996</v>
      </c>
    </row>
    <row r="61" spans="1:63" x14ac:dyDescent="0.25">
      <c r="A61" s="46"/>
      <c r="B61" s="4"/>
      <c r="C61" s="4"/>
      <c r="D61" s="61" t="s">
        <v>40</v>
      </c>
      <c r="E61" s="61" t="s">
        <v>40</v>
      </c>
      <c r="F61" s="61" t="s">
        <v>40</v>
      </c>
      <c r="G61" s="61"/>
      <c r="H61" s="61" t="s">
        <v>40</v>
      </c>
      <c r="I61" s="61" t="s">
        <v>40</v>
      </c>
      <c r="J61" s="61" t="s">
        <v>40</v>
      </c>
      <c r="K61" s="61" t="s">
        <v>40</v>
      </c>
      <c r="L61" s="61" t="s">
        <v>40</v>
      </c>
      <c r="M61" s="61"/>
      <c r="N61" s="61" t="s">
        <v>40</v>
      </c>
      <c r="O61" s="61" t="s">
        <v>40</v>
      </c>
      <c r="P61" s="61" t="s">
        <v>40</v>
      </c>
      <c r="Q61" s="61"/>
      <c r="R61" s="61" t="s">
        <v>40</v>
      </c>
      <c r="S61" s="61" t="s">
        <v>40</v>
      </c>
      <c r="T61" s="61" t="s">
        <v>40</v>
      </c>
      <c r="U61" s="61" t="s">
        <v>40</v>
      </c>
      <c r="V61" s="61" t="s">
        <v>40</v>
      </c>
      <c r="W61" s="61"/>
      <c r="X61" s="61" t="s">
        <v>40</v>
      </c>
      <c r="Y61" s="61" t="s">
        <v>40</v>
      </c>
      <c r="Z61" s="61" t="s">
        <v>40</v>
      </c>
      <c r="AA61" s="61" t="s">
        <v>40</v>
      </c>
      <c r="AB61" s="61" t="s">
        <v>40</v>
      </c>
      <c r="AC61" s="124" t="s">
        <v>317</v>
      </c>
      <c r="AD61" s="123">
        <f>+D52+D64+D44+D14+D33</f>
        <v>29751928.27</v>
      </c>
      <c r="AE61" s="123">
        <f>+E52+E64+E44+E14+E33</f>
        <v>29529611.969999999</v>
      </c>
      <c r="AF61" s="123">
        <f>+F52+F64+F44+F14+F33</f>
        <v>0</v>
      </c>
      <c r="AG61" s="123">
        <f>+AE61+AF61</f>
        <v>29529611.969999999</v>
      </c>
      <c r="AH61" s="123">
        <f>+L52+L64+L44+L14+L33</f>
        <v>0</v>
      </c>
      <c r="AI61" s="123">
        <f>+AG61+AH61</f>
        <v>29529611.969999999</v>
      </c>
      <c r="AJ61" s="123">
        <f>+O52+O64+O44+O14+O33</f>
        <v>0</v>
      </c>
      <c r="AK61" s="123">
        <f>+P14</f>
        <v>0</v>
      </c>
      <c r="AL61" s="123">
        <f>+AJ61+AK61</f>
        <v>0</v>
      </c>
      <c r="AM61" s="123">
        <f>+V14</f>
        <v>0</v>
      </c>
      <c r="AN61" s="123">
        <f>+AL61+AM61</f>
        <v>0</v>
      </c>
      <c r="AO61" s="123">
        <f>+AG61+AL61</f>
        <v>29529611.969999999</v>
      </c>
      <c r="AP61" s="123">
        <f>+AD61-AO61</f>
        <v>222316.30000000075</v>
      </c>
      <c r="AQ61" s="123">
        <f>+AD61-AI61-AN61</f>
        <v>222316.30000000075</v>
      </c>
      <c r="AR61" s="6"/>
    </row>
    <row r="62" spans="1:63" x14ac:dyDescent="0.25">
      <c r="A62" s="46"/>
      <c r="B62" s="4"/>
      <c r="C62" s="4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2"/>
      <c r="Y62" s="61"/>
      <c r="Z62" s="61"/>
      <c r="AA62" s="61"/>
      <c r="AB62" s="61"/>
      <c r="AC62" s="50" t="s">
        <v>297</v>
      </c>
      <c r="AD62" s="123">
        <f>+D56</f>
        <v>15000000</v>
      </c>
      <c r="AE62" s="123">
        <f>+E56</f>
        <v>4500000</v>
      </c>
      <c r="AF62" s="123">
        <f>+F56</f>
        <v>0</v>
      </c>
      <c r="AG62" s="123">
        <f>+AE62+AF62</f>
        <v>4500000</v>
      </c>
      <c r="AH62" s="123">
        <f>+L56</f>
        <v>0</v>
      </c>
      <c r="AI62" s="123">
        <f>+AG62+AH62</f>
        <v>4500000</v>
      </c>
      <c r="AJ62" s="123">
        <f>+O56</f>
        <v>1523732.22</v>
      </c>
      <c r="AK62" s="123">
        <f>+P56</f>
        <v>0</v>
      </c>
      <c r="AL62" s="123">
        <f>+AJ62+AK62</f>
        <v>1523732.22</v>
      </c>
      <c r="AM62" s="123">
        <f>+V42</f>
        <v>0</v>
      </c>
      <c r="AN62" s="123">
        <f>+AL62+AM62</f>
        <v>1523732.22</v>
      </c>
      <c r="AO62" s="123">
        <f>+AG62+AL62</f>
        <v>6023732.2199999997</v>
      </c>
      <c r="AP62" s="123">
        <f>+AD62-AO62</f>
        <v>8976267.7800000012</v>
      </c>
      <c r="AQ62" s="123">
        <f>+AD62-AI62-AN62</f>
        <v>8976267.7799999993</v>
      </c>
    </row>
    <row r="63" spans="1:63" x14ac:dyDescent="0.25">
      <c r="A63" s="46">
        <v>6</v>
      </c>
      <c r="B63" s="2" t="s">
        <v>49</v>
      </c>
      <c r="C63" s="2" t="s">
        <v>35</v>
      </c>
      <c r="D63" s="58">
        <f>115037553.6-3027354.92</f>
        <v>112010198.67999999</v>
      </c>
      <c r="E63" s="58">
        <v>0</v>
      </c>
      <c r="F63" s="55"/>
      <c r="G63" s="55"/>
      <c r="H63" s="58">
        <f>E63+F63</f>
        <v>0</v>
      </c>
      <c r="I63" s="58"/>
      <c r="J63" s="55"/>
      <c r="K63" s="55"/>
      <c r="L63" s="58"/>
      <c r="M63" s="58"/>
      <c r="N63" s="58">
        <f>H63+L63</f>
        <v>0</v>
      </c>
      <c r="O63" s="55">
        <v>84243.3</v>
      </c>
      <c r="P63" s="55"/>
      <c r="Q63" s="55"/>
      <c r="R63" s="58">
        <f>O63+P63</f>
        <v>84243.3</v>
      </c>
      <c r="S63" s="55">
        <v>1154237</v>
      </c>
      <c r="T63" s="55"/>
      <c r="U63" s="55"/>
      <c r="V63" s="58"/>
      <c r="W63" s="58"/>
      <c r="X63" s="58">
        <f>R63+V63</f>
        <v>84243.3</v>
      </c>
      <c r="Y63" s="58">
        <f t="shared" ref="Y63:Y70" si="13">R63+H63</f>
        <v>84243.3</v>
      </c>
      <c r="Z63" s="58">
        <f t="shared" ref="Z63:Z70" si="14">D63-Y63</f>
        <v>111925955.38</v>
      </c>
      <c r="AA63" s="58">
        <f t="shared" ref="AA63:AA70" si="15">N63+X63</f>
        <v>84243.3</v>
      </c>
      <c r="AB63" s="58">
        <f t="shared" ref="AB63:AB70" si="16">+D63-N63-X63</f>
        <v>111925955.38</v>
      </c>
      <c r="AC63" s="50" t="s">
        <v>47</v>
      </c>
      <c r="AD63" s="94">
        <f>D12+D22+D30+D42+D50+D63</f>
        <v>282309481.34999996</v>
      </c>
      <c r="AE63" s="94">
        <f>E12+E22+E30+E42+E50+E63</f>
        <v>10000000</v>
      </c>
      <c r="AF63" s="94">
        <f>F12+F22+F30+F42+F50+F63</f>
        <v>0</v>
      </c>
      <c r="AG63" s="94">
        <f>+AE63+AF63</f>
        <v>10000000</v>
      </c>
      <c r="AH63" s="94">
        <f>L12+L22+L30+L42+L50+L63</f>
        <v>0</v>
      </c>
      <c r="AI63" s="94">
        <f>+AG63+AH63</f>
        <v>10000000</v>
      </c>
      <c r="AJ63" s="94">
        <f>O12+O22+O30+O42+O50+O63</f>
        <v>23989570.760000002</v>
      </c>
      <c r="AK63" s="94">
        <f>P12+P22+P30+P42+P50+P63</f>
        <v>522842.4</v>
      </c>
      <c r="AL63" s="94">
        <f>+AJ63+AK63</f>
        <v>24512413.16</v>
      </c>
      <c r="AM63" s="94">
        <f>V12+V22+V30+V50+V63</f>
        <v>0</v>
      </c>
      <c r="AN63" s="97">
        <f>+AL63+AM63</f>
        <v>24512413.16</v>
      </c>
      <c r="AO63" s="94">
        <f>+AG63+AL63</f>
        <v>34512413.159999996</v>
      </c>
      <c r="AP63" s="94">
        <f>+AD63-AO63+0.2</f>
        <v>247797068.38999996</v>
      </c>
      <c r="AQ63" s="94">
        <f>+AD63-AI63-AN63</f>
        <v>247797068.18999997</v>
      </c>
    </row>
    <row r="64" spans="1:63" x14ac:dyDescent="0.25">
      <c r="A64" s="4"/>
      <c r="B64" s="4"/>
      <c r="C64" s="4" t="s">
        <v>317</v>
      </c>
      <c r="D64" s="55">
        <v>3027354.92</v>
      </c>
      <c r="E64" s="55">
        <v>3027354.92</v>
      </c>
      <c r="F64" s="55"/>
      <c r="G64" s="55"/>
      <c r="H64" s="55">
        <f>+E64+F64</f>
        <v>3027354.92</v>
      </c>
      <c r="I64" s="55"/>
      <c r="J64" s="55"/>
      <c r="K64" s="55"/>
      <c r="L64" s="55"/>
      <c r="M64" s="55"/>
      <c r="N64" s="55">
        <f>+H64+L64</f>
        <v>3027354.92</v>
      </c>
      <c r="O64" s="55">
        <v>0</v>
      </c>
      <c r="P64" s="55"/>
      <c r="Q64" s="55"/>
      <c r="R64" s="55">
        <f>+O64+P64</f>
        <v>0</v>
      </c>
      <c r="S64" s="55"/>
      <c r="T64" s="55"/>
      <c r="U64" s="55"/>
      <c r="V64" s="55"/>
      <c r="W64" s="55"/>
      <c r="X64" s="55">
        <f>+R64+V64</f>
        <v>0</v>
      </c>
      <c r="Y64" s="58">
        <f t="shared" si="13"/>
        <v>3027354.92</v>
      </c>
      <c r="Z64" s="58">
        <f t="shared" si="14"/>
        <v>0</v>
      </c>
      <c r="AA64" s="58">
        <f t="shared" si="15"/>
        <v>3027354.92</v>
      </c>
      <c r="AB64" s="58">
        <f t="shared" si="16"/>
        <v>0</v>
      </c>
      <c r="AC64" s="49" t="s">
        <v>303</v>
      </c>
      <c r="AD64" s="94">
        <f>+D65+D53</f>
        <v>90000000</v>
      </c>
      <c r="AE64" s="94">
        <f>+E65+E53</f>
        <v>30000000</v>
      </c>
      <c r="AF64" s="94">
        <f>+F65+F53</f>
        <v>60000000</v>
      </c>
      <c r="AG64" s="94">
        <f>+AE64+AF64</f>
        <v>90000000</v>
      </c>
      <c r="AH64" s="94">
        <f>+L65+L53</f>
        <v>0</v>
      </c>
      <c r="AI64" s="94">
        <f>+AG64+AH64</f>
        <v>90000000</v>
      </c>
      <c r="AJ64" s="94">
        <f>+O65+O53</f>
        <v>0</v>
      </c>
      <c r="AK64" s="94">
        <f>+P65+P53</f>
        <v>0</v>
      </c>
      <c r="AL64" s="94">
        <f>+AJ64+AK64</f>
        <v>0</v>
      </c>
      <c r="AM64" s="94">
        <f>+V65+V53</f>
        <v>0</v>
      </c>
      <c r="AN64" s="97">
        <f>+AL64+AM64</f>
        <v>0</v>
      </c>
      <c r="AO64" s="94">
        <f>+AG64+AL64</f>
        <v>90000000</v>
      </c>
      <c r="AP64" s="94">
        <f>+AD64-AO64</f>
        <v>0</v>
      </c>
      <c r="AQ64" s="94">
        <f>+AD64-AI64-AN64</f>
        <v>0</v>
      </c>
    </row>
    <row r="65" spans="1:106" x14ac:dyDescent="0.25">
      <c r="C65" s="4" t="s">
        <v>290</v>
      </c>
      <c r="D65" s="55">
        <f>30000000+30000000</f>
        <v>60000000</v>
      </c>
      <c r="E65" s="55">
        <v>30000000</v>
      </c>
      <c r="F65" s="55">
        <v>30000000</v>
      </c>
      <c r="G65" s="55"/>
      <c r="H65" s="55">
        <f>+E65+F65</f>
        <v>60000000</v>
      </c>
      <c r="I65" s="55"/>
      <c r="J65" s="55"/>
      <c r="K65" s="55"/>
      <c r="L65" s="55"/>
      <c r="M65" s="55"/>
      <c r="N65" s="55">
        <f>+H65+L65</f>
        <v>60000000</v>
      </c>
      <c r="O65" s="55">
        <v>0</v>
      </c>
      <c r="P65" s="55"/>
      <c r="Q65" s="55"/>
      <c r="R65" s="55">
        <f>+O65+P65</f>
        <v>0</v>
      </c>
      <c r="S65" s="55"/>
      <c r="T65" s="55"/>
      <c r="U65" s="55"/>
      <c r="V65" s="55"/>
      <c r="W65" s="55"/>
      <c r="X65" s="55">
        <f>+R65+V65</f>
        <v>0</v>
      </c>
      <c r="Y65" s="58">
        <f t="shared" si="13"/>
        <v>60000000</v>
      </c>
      <c r="Z65" s="58">
        <f t="shared" si="14"/>
        <v>0</v>
      </c>
      <c r="AA65" s="58">
        <f t="shared" si="15"/>
        <v>60000000</v>
      </c>
      <c r="AB65" s="58">
        <f t="shared" si="16"/>
        <v>0</v>
      </c>
    </row>
    <row r="66" spans="1:106" x14ac:dyDescent="0.25">
      <c r="A66" s="46"/>
      <c r="B66" s="4"/>
      <c r="C66" s="3" t="s">
        <v>36</v>
      </c>
      <c r="D66" s="58">
        <v>600000</v>
      </c>
      <c r="E66" s="58">
        <v>600000</v>
      </c>
      <c r="F66" s="55"/>
      <c r="G66" s="55"/>
      <c r="H66" s="58">
        <f>E66+F66</f>
        <v>600000</v>
      </c>
      <c r="I66" s="58"/>
      <c r="J66" s="55"/>
      <c r="K66" s="55"/>
      <c r="L66" s="58"/>
      <c r="M66" s="58"/>
      <c r="N66" s="58">
        <f>H66+L66</f>
        <v>600000</v>
      </c>
      <c r="O66" s="58">
        <v>0</v>
      </c>
      <c r="P66" s="55"/>
      <c r="Q66" s="55"/>
      <c r="R66" s="58">
        <f>O66+P66</f>
        <v>0</v>
      </c>
      <c r="S66" s="55"/>
      <c r="T66" s="55"/>
      <c r="U66" s="55"/>
      <c r="V66" s="58"/>
      <c r="W66" s="58"/>
      <c r="X66" s="58">
        <f>R66+V66</f>
        <v>0</v>
      </c>
      <c r="Y66" s="58">
        <f t="shared" si="13"/>
        <v>600000</v>
      </c>
      <c r="Z66" s="58">
        <f t="shared" si="14"/>
        <v>0</v>
      </c>
      <c r="AA66" s="58">
        <f t="shared" si="15"/>
        <v>600000</v>
      </c>
      <c r="AB66" s="58">
        <f t="shared" si="16"/>
        <v>0</v>
      </c>
      <c r="AC66" s="49" t="s">
        <v>36</v>
      </c>
      <c r="AD66" s="94">
        <f>D13+D23+D31+D43+D51+D66</f>
        <v>11222625.1</v>
      </c>
      <c r="AE66" s="94">
        <f>E13+E23+E31+E43+E51+E66</f>
        <v>11222625.1</v>
      </c>
      <c r="AF66" s="94">
        <f>F13+F23+F31+F43+F51+F66</f>
        <v>0</v>
      </c>
      <c r="AG66" s="94">
        <f t="shared" ref="AG66:AG73" si="17">+AE66+AF66</f>
        <v>11222625.1</v>
      </c>
      <c r="AH66" s="94">
        <f>L13+L23+L31+L43+L51+L66</f>
        <v>0</v>
      </c>
      <c r="AI66" s="94">
        <f t="shared" ref="AI66:AI73" si="18">+AG66+AH66</f>
        <v>11222625.1</v>
      </c>
      <c r="AJ66" s="94">
        <f>O13+O23+O31+O43+O51+O66</f>
        <v>0</v>
      </c>
      <c r="AK66" s="94">
        <f>P13+P23+P31+P43+P51+P66</f>
        <v>0</v>
      </c>
      <c r="AL66" s="94">
        <f t="shared" ref="AL66:AL73" si="19">+AJ66+AK66</f>
        <v>0</v>
      </c>
      <c r="AM66" s="94">
        <f>V13+V23+V31+V43+V51+V66</f>
        <v>0</v>
      </c>
      <c r="AN66" s="97">
        <f t="shared" ref="AN66:AN73" si="20">+AL66+AM66</f>
        <v>0</v>
      </c>
      <c r="AO66" s="94">
        <f t="shared" ref="AO66:AO73" si="21">+AG66+AL66</f>
        <v>11222625.1</v>
      </c>
      <c r="AP66" s="94">
        <f t="shared" ref="AP66:AP73" si="22">+AD66-AO66</f>
        <v>0</v>
      </c>
      <c r="AQ66" s="94">
        <f t="shared" ref="AQ66:AQ73" si="23">+AD66-AI66-AN66</f>
        <v>0</v>
      </c>
    </row>
    <row r="67" spans="1:106" x14ac:dyDescent="0.25">
      <c r="A67" s="46"/>
      <c r="B67" s="4"/>
      <c r="C67" s="3" t="s">
        <v>44</v>
      </c>
      <c r="D67" s="58">
        <v>4000000</v>
      </c>
      <c r="E67" s="58">
        <v>4000000</v>
      </c>
      <c r="F67" s="55"/>
      <c r="G67" s="55"/>
      <c r="H67" s="58">
        <f>E67+F67</f>
        <v>4000000</v>
      </c>
      <c r="I67" s="58"/>
      <c r="J67" s="55"/>
      <c r="K67" s="55"/>
      <c r="L67" s="58"/>
      <c r="M67" s="58"/>
      <c r="N67" s="58">
        <f>H67+L67</f>
        <v>4000000</v>
      </c>
      <c r="O67" s="58">
        <v>0</v>
      </c>
      <c r="P67" s="55"/>
      <c r="Q67" s="55"/>
      <c r="R67" s="58">
        <f>O67+P67</f>
        <v>0</v>
      </c>
      <c r="S67" s="55"/>
      <c r="T67" s="55"/>
      <c r="U67" s="55"/>
      <c r="V67" s="58"/>
      <c r="W67" s="58"/>
      <c r="X67" s="58">
        <f>R67+V67</f>
        <v>0</v>
      </c>
      <c r="Y67" s="58">
        <f t="shared" si="13"/>
        <v>4000000</v>
      </c>
      <c r="Z67" s="58">
        <f t="shared" si="14"/>
        <v>0</v>
      </c>
      <c r="AA67" s="58">
        <f t="shared" si="15"/>
        <v>4000000</v>
      </c>
      <c r="AB67" s="58">
        <f t="shared" si="16"/>
        <v>0</v>
      </c>
      <c r="AC67" s="49" t="s">
        <v>183</v>
      </c>
      <c r="AD67" s="94">
        <f>D15+D24+D35+D45+D57+D68</f>
        <v>190307124.40000001</v>
      </c>
      <c r="AE67" s="94">
        <f>E15+E24+E35+E45+E57+E68</f>
        <v>0</v>
      </c>
      <c r="AF67" s="94">
        <f>F15+F24+F35+F45+F57+F68</f>
        <v>0</v>
      </c>
      <c r="AG67" s="94">
        <f t="shared" si="17"/>
        <v>0</v>
      </c>
      <c r="AH67" s="94">
        <f>L15+L24+L32+L45+L54+L67</f>
        <v>0</v>
      </c>
      <c r="AI67" s="94">
        <f t="shared" si="18"/>
        <v>0</v>
      </c>
      <c r="AJ67" s="94">
        <f>O15+O24+O35+O45+O45+O57+O68</f>
        <v>2636543.37</v>
      </c>
      <c r="AK67" s="94">
        <f>P15+P24+P35+P45+P54+P67</f>
        <v>0</v>
      </c>
      <c r="AL67" s="94">
        <f t="shared" si="19"/>
        <v>2636543.37</v>
      </c>
      <c r="AM67" s="94">
        <f>V15+V24+V32+V45+V54+V67</f>
        <v>0</v>
      </c>
      <c r="AN67" s="97">
        <f t="shared" si="20"/>
        <v>2636543.37</v>
      </c>
      <c r="AO67" s="94">
        <f t="shared" si="21"/>
        <v>2636543.37</v>
      </c>
      <c r="AP67" s="94">
        <f t="shared" si="22"/>
        <v>187670581.03</v>
      </c>
      <c r="AQ67" s="94">
        <f t="shared" si="23"/>
        <v>187670581.03</v>
      </c>
    </row>
    <row r="68" spans="1:106" x14ac:dyDescent="0.25">
      <c r="A68" s="46"/>
      <c r="B68" s="4"/>
      <c r="C68" s="2" t="s">
        <v>37</v>
      </c>
      <c r="D68" s="58">
        <v>39033642.659999996</v>
      </c>
      <c r="E68" s="58">
        <v>0</v>
      </c>
      <c r="F68" s="55"/>
      <c r="G68" s="55"/>
      <c r="H68" s="58">
        <f>E68+F68</f>
        <v>0</v>
      </c>
      <c r="I68" s="55"/>
      <c r="J68" s="55"/>
      <c r="K68" s="55"/>
      <c r="L68" s="58"/>
      <c r="M68" s="58"/>
      <c r="N68" s="58">
        <f>H68+L68</f>
        <v>0</v>
      </c>
      <c r="O68" s="55">
        <f>601077.06+1184639.6+494782.01</f>
        <v>2280498.67</v>
      </c>
      <c r="P68" s="55"/>
      <c r="Q68" s="55"/>
      <c r="R68" s="58">
        <f>O68+P68</f>
        <v>2280498.67</v>
      </c>
      <c r="S68" s="55"/>
      <c r="T68" s="55"/>
      <c r="U68" s="55"/>
      <c r="V68" s="58">
        <v>0</v>
      </c>
      <c r="W68" s="58"/>
      <c r="X68" s="58">
        <f>R68+V68</f>
        <v>2280498.67</v>
      </c>
      <c r="Y68" s="58">
        <f t="shared" si="13"/>
        <v>2280498.67</v>
      </c>
      <c r="Z68" s="58">
        <f t="shared" si="14"/>
        <v>36753143.989999995</v>
      </c>
      <c r="AA68" s="58">
        <f t="shared" si="15"/>
        <v>2280498.67</v>
      </c>
      <c r="AB68" s="58">
        <f t="shared" si="16"/>
        <v>36753143.989999995</v>
      </c>
      <c r="AC68" s="49" t="s">
        <v>184</v>
      </c>
      <c r="AD68" s="94">
        <f>D17+D25+D37+D58</f>
        <v>13789481.949999999</v>
      </c>
      <c r="AE68" s="94">
        <f>E17+E25+E37+E58</f>
        <v>0</v>
      </c>
      <c r="AF68" s="94">
        <f>F17+F25+F37+F58</f>
        <v>0</v>
      </c>
      <c r="AG68" s="94">
        <f t="shared" si="17"/>
        <v>0</v>
      </c>
      <c r="AH68" s="94">
        <f>L17+L25+L34+L46+L55+L68</f>
        <v>0</v>
      </c>
      <c r="AI68" s="94">
        <f t="shared" si="18"/>
        <v>0</v>
      </c>
      <c r="AJ68" s="94">
        <f>O17+O25+O37+O58</f>
        <v>25467.5</v>
      </c>
      <c r="AK68" s="94">
        <f>P16+P25+P34+P46+P55+P68</f>
        <v>0</v>
      </c>
      <c r="AL68" s="94">
        <f t="shared" si="19"/>
        <v>25467.5</v>
      </c>
      <c r="AM68" s="94">
        <f>V16+V25+V34+V46+V55+V68</f>
        <v>0</v>
      </c>
      <c r="AN68" s="97">
        <f t="shared" si="20"/>
        <v>25467.5</v>
      </c>
      <c r="AO68" s="94">
        <f t="shared" si="21"/>
        <v>25467.5</v>
      </c>
      <c r="AP68" s="94">
        <f t="shared" si="22"/>
        <v>13764014.449999999</v>
      </c>
      <c r="AQ68" s="94">
        <f t="shared" si="23"/>
        <v>13764014.449999999</v>
      </c>
    </row>
    <row r="69" spans="1:106" x14ac:dyDescent="0.25">
      <c r="A69" s="46"/>
      <c r="B69" s="4"/>
      <c r="C69" s="2" t="s">
        <v>38</v>
      </c>
      <c r="D69" s="58">
        <v>4467556.75</v>
      </c>
      <c r="E69" s="58">
        <v>0</v>
      </c>
      <c r="F69" s="55"/>
      <c r="G69" s="55"/>
      <c r="H69" s="58">
        <f>E69+F69</f>
        <v>0</v>
      </c>
      <c r="I69" s="55"/>
      <c r="J69" s="55"/>
      <c r="K69" s="55"/>
      <c r="L69" s="58"/>
      <c r="M69" s="58"/>
      <c r="N69" s="58">
        <f>H69+L69</f>
        <v>0</v>
      </c>
      <c r="O69" s="58">
        <v>0</v>
      </c>
      <c r="P69" s="55"/>
      <c r="Q69" s="55"/>
      <c r="R69" s="58">
        <f>O69+P69</f>
        <v>0</v>
      </c>
      <c r="S69" s="55"/>
      <c r="T69" s="55"/>
      <c r="U69" s="55"/>
      <c r="V69" s="58"/>
      <c r="W69" s="58"/>
      <c r="X69" s="58">
        <f>R69+V69</f>
        <v>0</v>
      </c>
      <c r="Y69" s="58">
        <f t="shared" si="13"/>
        <v>0</v>
      </c>
      <c r="Z69" s="58">
        <f t="shared" si="14"/>
        <v>4467556.75</v>
      </c>
      <c r="AA69" s="58">
        <f t="shared" si="15"/>
        <v>0</v>
      </c>
      <c r="AB69" s="58">
        <f t="shared" si="16"/>
        <v>4467556.75</v>
      </c>
      <c r="AC69" s="49" t="s">
        <v>38</v>
      </c>
      <c r="AD69" s="94">
        <f>D16+D36+D69</f>
        <v>27976718.329999998</v>
      </c>
      <c r="AE69" s="94">
        <f>E16+E36+E69</f>
        <v>0</v>
      </c>
      <c r="AF69" s="94">
        <f>F16+F36+F69</f>
        <v>0</v>
      </c>
      <c r="AG69" s="94">
        <f t="shared" si="17"/>
        <v>0</v>
      </c>
      <c r="AH69" s="94">
        <f>L17+L26+L35+L47+L57+L69</f>
        <v>0</v>
      </c>
      <c r="AI69" s="94">
        <f t="shared" si="18"/>
        <v>0</v>
      </c>
      <c r="AJ69" s="94">
        <f>O16+O36+O69</f>
        <v>0</v>
      </c>
      <c r="AK69" s="94">
        <f>P16+P36+P69</f>
        <v>0</v>
      </c>
      <c r="AL69" s="94">
        <f t="shared" si="19"/>
        <v>0</v>
      </c>
      <c r="AM69" s="94">
        <f>V17+V26+V35+V47+V57+V69</f>
        <v>0</v>
      </c>
      <c r="AN69" s="97">
        <f t="shared" si="20"/>
        <v>0</v>
      </c>
      <c r="AO69" s="94">
        <f t="shared" si="21"/>
        <v>0</v>
      </c>
      <c r="AP69" s="94">
        <f t="shared" si="22"/>
        <v>27976718.329999998</v>
      </c>
      <c r="AQ69" s="94">
        <f t="shared" si="23"/>
        <v>27976718.329999998</v>
      </c>
    </row>
    <row r="70" spans="1:106" ht="15.75" customHeight="1" x14ac:dyDescent="0.25">
      <c r="A70" s="46"/>
      <c r="B70" s="4"/>
      <c r="C70" s="25" t="s">
        <v>258</v>
      </c>
      <c r="D70" s="58">
        <v>10000000</v>
      </c>
      <c r="E70" s="58">
        <v>5814761.4299999997</v>
      </c>
      <c r="F70" s="55"/>
      <c r="G70" s="55"/>
      <c r="H70" s="58">
        <f>E70+F70</f>
        <v>5814761.4299999997</v>
      </c>
      <c r="I70" s="55"/>
      <c r="J70" s="55"/>
      <c r="K70" s="55"/>
      <c r="L70" s="58"/>
      <c r="M70" s="58"/>
      <c r="N70" s="58">
        <f>H70+L70</f>
        <v>5814761.4299999997</v>
      </c>
      <c r="O70" s="58">
        <v>835222.3</v>
      </c>
      <c r="P70" s="55"/>
      <c r="Q70" s="55"/>
      <c r="R70" s="58">
        <f>O70+P70</f>
        <v>835222.3</v>
      </c>
      <c r="S70" s="55"/>
      <c r="T70" s="55"/>
      <c r="U70" s="55"/>
      <c r="V70" s="58"/>
      <c r="W70" s="58"/>
      <c r="X70" s="58">
        <f>R70+V70</f>
        <v>835222.3</v>
      </c>
      <c r="Y70" s="58">
        <f t="shared" si="13"/>
        <v>6649983.7299999995</v>
      </c>
      <c r="Z70" s="58">
        <f t="shared" si="14"/>
        <v>3350016.2700000005</v>
      </c>
      <c r="AA70" s="58">
        <f t="shared" si="15"/>
        <v>6649983.7299999995</v>
      </c>
      <c r="AB70" s="58">
        <f t="shared" si="16"/>
        <v>3350016.2700000005</v>
      </c>
      <c r="AC70" s="49" t="s">
        <v>44</v>
      </c>
      <c r="AD70" s="94">
        <f>D34+D54+D67</f>
        <v>26497000</v>
      </c>
      <c r="AE70" s="94">
        <f>E34+E54+E67</f>
        <v>26497000</v>
      </c>
      <c r="AF70" s="94">
        <f>F34+F54+F67</f>
        <v>0</v>
      </c>
      <c r="AG70" s="94">
        <f t="shared" si="17"/>
        <v>26497000</v>
      </c>
      <c r="AH70" s="94">
        <f>L18+L27+L36+L48+L58+L70</f>
        <v>0</v>
      </c>
      <c r="AI70" s="94">
        <f t="shared" si="18"/>
        <v>26497000</v>
      </c>
      <c r="AJ70" s="94">
        <f>O34+O54+O67</f>
        <v>0</v>
      </c>
      <c r="AK70" s="94">
        <f>P18+P27+P36+P48+P58+P70</f>
        <v>0</v>
      </c>
      <c r="AL70" s="94">
        <f t="shared" si="19"/>
        <v>0</v>
      </c>
      <c r="AM70" s="94">
        <f>V18+V27+V36+V48+V58+V70</f>
        <v>0</v>
      </c>
      <c r="AN70" s="97">
        <f t="shared" si="20"/>
        <v>0</v>
      </c>
      <c r="AO70" s="94">
        <f t="shared" si="21"/>
        <v>26497000</v>
      </c>
      <c r="AP70" s="94">
        <f t="shared" si="22"/>
        <v>0</v>
      </c>
      <c r="AQ70" s="94">
        <f t="shared" si="23"/>
        <v>0</v>
      </c>
    </row>
    <row r="71" spans="1:106" ht="15.75" customHeight="1" x14ac:dyDescent="0.25">
      <c r="A71" s="46"/>
      <c r="B71" s="4"/>
      <c r="C71" s="4"/>
      <c r="D71" s="61" t="s">
        <v>40</v>
      </c>
      <c r="E71" s="61" t="s">
        <v>40</v>
      </c>
      <c r="F71" s="61" t="s">
        <v>40</v>
      </c>
      <c r="G71" s="61"/>
      <c r="H71" s="61" t="s">
        <v>40</v>
      </c>
      <c r="I71" s="61" t="s">
        <v>40</v>
      </c>
      <c r="J71" s="61" t="s">
        <v>40</v>
      </c>
      <c r="K71" s="61" t="s">
        <v>40</v>
      </c>
      <c r="L71" s="61" t="s">
        <v>40</v>
      </c>
      <c r="M71" s="61"/>
      <c r="N71" s="61" t="s">
        <v>40</v>
      </c>
      <c r="O71" s="61" t="s">
        <v>40</v>
      </c>
      <c r="P71" s="61" t="s">
        <v>40</v>
      </c>
      <c r="Q71" s="61"/>
      <c r="R71" s="61" t="s">
        <v>40</v>
      </c>
      <c r="S71" s="61" t="s">
        <v>40</v>
      </c>
      <c r="T71" s="61" t="s">
        <v>40</v>
      </c>
      <c r="U71" s="61" t="s">
        <v>40</v>
      </c>
      <c r="V71" s="61" t="s">
        <v>40</v>
      </c>
      <c r="W71" s="61"/>
      <c r="X71" s="61" t="s">
        <v>40</v>
      </c>
      <c r="Y71" s="61" t="s">
        <v>40</v>
      </c>
      <c r="Z71" s="61" t="s">
        <v>40</v>
      </c>
      <c r="AA71" s="61" t="s">
        <v>40</v>
      </c>
      <c r="AB71" s="61" t="s">
        <v>40</v>
      </c>
      <c r="AC71" s="49" t="s">
        <v>259</v>
      </c>
      <c r="AD71" s="94">
        <f>+D70</f>
        <v>10000000</v>
      </c>
      <c r="AE71" s="94">
        <f>+E70</f>
        <v>5814761.4299999997</v>
      </c>
      <c r="AF71" s="94">
        <f>+F70</f>
        <v>0</v>
      </c>
      <c r="AG71" s="94">
        <f t="shared" si="17"/>
        <v>5814761.4299999997</v>
      </c>
      <c r="AH71" s="94">
        <f>L19+L28+L37+L49+L59+L71</f>
        <v>0</v>
      </c>
      <c r="AI71" s="94">
        <f t="shared" si="18"/>
        <v>5814761.4299999997</v>
      </c>
      <c r="AJ71" s="94">
        <f>+O70</f>
        <v>835222.3</v>
      </c>
      <c r="AK71" s="94">
        <f>P19+P28+P37+P49+P59+P71</f>
        <v>0</v>
      </c>
      <c r="AL71" s="94">
        <f t="shared" si="19"/>
        <v>835222.3</v>
      </c>
      <c r="AM71" s="94">
        <f>V19+V28+V37+V49+V59+V71</f>
        <v>0</v>
      </c>
      <c r="AN71" s="97">
        <f t="shared" si="20"/>
        <v>835222.3</v>
      </c>
      <c r="AO71" s="94">
        <f t="shared" si="21"/>
        <v>6649983.7299999995</v>
      </c>
      <c r="AP71" s="94">
        <f t="shared" si="22"/>
        <v>3350016.2700000005</v>
      </c>
      <c r="AQ71" s="94">
        <f t="shared" si="23"/>
        <v>3350016.2700000005</v>
      </c>
    </row>
    <row r="72" spans="1:106" ht="15.75" customHeight="1" x14ac:dyDescent="0.25">
      <c r="A72" s="46"/>
      <c r="B72" s="4"/>
      <c r="C72" s="4"/>
      <c r="D72" s="58">
        <f>SUM(D63:D70)</f>
        <v>233138753.00999999</v>
      </c>
      <c r="E72" s="58">
        <f>SUM(E63:E70)</f>
        <v>43442116.350000001</v>
      </c>
      <c r="F72" s="58">
        <f>SUM(F63:F70)</f>
        <v>30000000</v>
      </c>
      <c r="G72" s="58"/>
      <c r="H72" s="58">
        <f>SUM(H63:H70)</f>
        <v>73442116.349999994</v>
      </c>
      <c r="I72" s="58">
        <f>SUM(I63:I70)</f>
        <v>0</v>
      </c>
      <c r="J72" s="58">
        <f>SUM(J63:J70)</f>
        <v>0</v>
      </c>
      <c r="K72" s="58">
        <f>SUM(K63:K70)</f>
        <v>0</v>
      </c>
      <c r="L72" s="58">
        <f>SUM(L63:L70)</f>
        <v>0</v>
      </c>
      <c r="M72" s="58"/>
      <c r="N72" s="58">
        <f>SUM(N63:N70)</f>
        <v>73442116.349999994</v>
      </c>
      <c r="O72" s="58">
        <f>SUM(O63:O70)</f>
        <v>3199964.2699999996</v>
      </c>
      <c r="P72" s="58">
        <f>SUM(P63:P70)</f>
        <v>0</v>
      </c>
      <c r="Q72" s="58"/>
      <c r="R72" s="58">
        <f>SUM(R63:R70)</f>
        <v>3199964.2699999996</v>
      </c>
      <c r="S72" s="58">
        <f>SUM(S63:S70)</f>
        <v>1154237</v>
      </c>
      <c r="T72" s="58">
        <f>SUM(T63:T70)</f>
        <v>0</v>
      </c>
      <c r="U72" s="58">
        <f>SUM(U63:U70)</f>
        <v>0</v>
      </c>
      <c r="V72" s="58">
        <f>SUM(V63:V70)</f>
        <v>0</v>
      </c>
      <c r="W72" s="58"/>
      <c r="X72" s="58">
        <f>SUM(X63:X70)</f>
        <v>3199964.2699999996</v>
      </c>
      <c r="Y72" s="58">
        <f>SUM(Y63:Y70)</f>
        <v>76642080.620000005</v>
      </c>
      <c r="Z72" s="58">
        <f>SUM(Z63:Z70)</f>
        <v>156496672.39000002</v>
      </c>
      <c r="AA72" s="58">
        <f>SUM(AA63:AA70)</f>
        <v>76642080.620000005</v>
      </c>
      <c r="AB72" s="58">
        <f>SUM(AB63:AB70)</f>
        <v>156496672.39000002</v>
      </c>
      <c r="AC72" s="49" t="s">
        <v>260</v>
      </c>
      <c r="AD72" s="94">
        <f>+D55</f>
        <v>11432000</v>
      </c>
      <c r="AE72" s="94">
        <f>+E55</f>
        <v>11432000</v>
      </c>
      <c r="AF72" s="94">
        <f>+F55</f>
        <v>0</v>
      </c>
      <c r="AG72" s="94">
        <f t="shared" si="17"/>
        <v>11432000</v>
      </c>
      <c r="AH72" s="94">
        <f>+K55</f>
        <v>0</v>
      </c>
      <c r="AI72" s="94">
        <f>+AG72+AH72</f>
        <v>11432000</v>
      </c>
      <c r="AJ72" s="94">
        <f>+O55</f>
        <v>0</v>
      </c>
      <c r="AK72" s="94">
        <f>+P55</f>
        <v>0</v>
      </c>
      <c r="AL72" s="94">
        <f t="shared" si="19"/>
        <v>0</v>
      </c>
      <c r="AM72" s="94">
        <f>+V55</f>
        <v>0</v>
      </c>
      <c r="AN72" s="97">
        <f t="shared" si="20"/>
        <v>0</v>
      </c>
      <c r="AO72" s="94">
        <f t="shared" si="21"/>
        <v>11432000</v>
      </c>
      <c r="AP72" s="94">
        <f t="shared" si="22"/>
        <v>0</v>
      </c>
      <c r="AQ72" s="94">
        <f t="shared" si="23"/>
        <v>0</v>
      </c>
    </row>
    <row r="73" spans="1:106" ht="15.75" customHeight="1" x14ac:dyDescent="0.25">
      <c r="B73" s="4" t="s">
        <v>348</v>
      </c>
      <c r="C73" s="4"/>
      <c r="D73" s="61" t="s">
        <v>40</v>
      </c>
      <c r="E73" s="61" t="s">
        <v>40</v>
      </c>
      <c r="F73" s="61" t="s">
        <v>40</v>
      </c>
      <c r="G73" s="61"/>
      <c r="H73" s="61" t="s">
        <v>40</v>
      </c>
      <c r="I73" s="61" t="s">
        <v>40</v>
      </c>
      <c r="J73" s="61" t="s">
        <v>40</v>
      </c>
      <c r="K73" s="61" t="s">
        <v>40</v>
      </c>
      <c r="L73" s="61" t="s">
        <v>40</v>
      </c>
      <c r="M73" s="61"/>
      <c r="N73" s="61" t="s">
        <v>40</v>
      </c>
      <c r="O73" s="61" t="s">
        <v>40</v>
      </c>
      <c r="P73" s="61" t="s">
        <v>40</v>
      </c>
      <c r="Q73" s="61"/>
      <c r="R73" s="61" t="s">
        <v>40</v>
      </c>
      <c r="S73" s="61" t="s">
        <v>40</v>
      </c>
      <c r="T73" s="61" t="s">
        <v>40</v>
      </c>
      <c r="U73" s="61" t="s">
        <v>40</v>
      </c>
      <c r="V73" s="61" t="s">
        <v>40</v>
      </c>
      <c r="W73" s="61"/>
      <c r="X73" s="61" t="s">
        <v>40</v>
      </c>
      <c r="Y73" s="61" t="s">
        <v>40</v>
      </c>
      <c r="Z73" s="61" t="s">
        <v>40</v>
      </c>
      <c r="AA73" s="61" t="s">
        <v>40</v>
      </c>
      <c r="AB73" s="61" t="s">
        <v>40</v>
      </c>
      <c r="AC73" s="51" t="s">
        <v>43</v>
      </c>
      <c r="AD73" s="94">
        <f>+D32</f>
        <v>1763926.02</v>
      </c>
      <c r="AE73" s="94">
        <f>+E32</f>
        <v>1763926.02</v>
      </c>
      <c r="AF73" s="94">
        <f>+F32</f>
        <v>0</v>
      </c>
      <c r="AG73" s="94">
        <f t="shared" si="17"/>
        <v>1763926.02</v>
      </c>
      <c r="AH73" s="94">
        <f>+K32</f>
        <v>0</v>
      </c>
      <c r="AI73" s="94">
        <f t="shared" si="18"/>
        <v>1763926.02</v>
      </c>
      <c r="AJ73" s="94">
        <f>+O32</f>
        <v>0</v>
      </c>
      <c r="AK73" s="94">
        <f>+P32</f>
        <v>0</v>
      </c>
      <c r="AL73" s="94">
        <f t="shared" si="19"/>
        <v>0</v>
      </c>
      <c r="AM73" s="94">
        <f>+V32</f>
        <v>0</v>
      </c>
      <c r="AN73" s="97">
        <f t="shared" si="20"/>
        <v>0</v>
      </c>
      <c r="AO73" s="94">
        <f t="shared" si="21"/>
        <v>1763926.02</v>
      </c>
      <c r="AP73" s="94">
        <f t="shared" si="22"/>
        <v>0</v>
      </c>
      <c r="AQ73" s="94">
        <f t="shared" si="23"/>
        <v>0</v>
      </c>
    </row>
    <row r="74" spans="1:106" ht="15.75" customHeight="1" thickBot="1" x14ac:dyDescent="0.3">
      <c r="B74" s="112" t="s">
        <v>292</v>
      </c>
      <c r="D74" s="87">
        <v>61787</v>
      </c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87">
        <v>61787</v>
      </c>
      <c r="P74" s="63"/>
      <c r="Q74" s="55"/>
      <c r="R74" s="87">
        <f>+O74+P74</f>
        <v>61787</v>
      </c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106" ht="55.5" customHeight="1" thickTop="1" x14ac:dyDescent="0.25">
      <c r="A75" s="46"/>
      <c r="B75" s="7" t="s">
        <v>26</v>
      </c>
      <c r="C75" s="2" t="s">
        <v>33</v>
      </c>
      <c r="D75" s="58">
        <f>D72+D60+D47+D39+D27+D19</f>
        <v>710050285.41999996</v>
      </c>
      <c r="E75" s="58">
        <f>E72+E60+E47+E39+E27+E19</f>
        <v>130759924.52000001</v>
      </c>
      <c r="F75" s="58">
        <f>F72+F60+F47+F39+F27+F19</f>
        <v>60000000</v>
      </c>
      <c r="G75" s="58"/>
      <c r="H75" s="58">
        <f>H72+H60+H47+H39+H27+H19</f>
        <v>190759924.51999998</v>
      </c>
      <c r="I75" s="58">
        <f>I72+I60+I47+I39+I27+I19</f>
        <v>0</v>
      </c>
      <c r="J75" s="58">
        <f>J72+J60+J47+J39+J27+J19</f>
        <v>0</v>
      </c>
      <c r="K75" s="58">
        <f>K72+K60+K47+K39+K27+K19</f>
        <v>0</v>
      </c>
      <c r="L75" s="58">
        <f>L72+L60+L47+L39+L27+L19</f>
        <v>0</v>
      </c>
      <c r="M75" s="58"/>
      <c r="N75" s="58">
        <f>N72+N60+N47+N39+N27+N19</f>
        <v>190759924.51999998</v>
      </c>
      <c r="O75" s="58">
        <f>O72+O60+O47+O39+O27+O19</f>
        <v>29010536.149999999</v>
      </c>
      <c r="P75" s="58">
        <f>+P18+P17+P39+P47+P60+P72</f>
        <v>522842.4</v>
      </c>
      <c r="Q75" s="58"/>
      <c r="R75" s="58">
        <f>R72+R60+R47+R39+R27+R19</f>
        <v>29533378.550000001</v>
      </c>
      <c r="S75" s="58">
        <f>S72+S60+S47+S39+S27+S19</f>
        <v>11620821.859999998</v>
      </c>
      <c r="T75" s="58">
        <f>T72+T60+T47+T39+T27+T19</f>
        <v>5298841.96</v>
      </c>
      <c r="U75" s="58">
        <f>U72+U60+U47+U39+U27+U19</f>
        <v>0</v>
      </c>
      <c r="V75" s="58">
        <f>V72+V60+V47+V39+V27+V19</f>
        <v>0</v>
      </c>
      <c r="W75" s="58"/>
      <c r="X75" s="58">
        <f>X72+X60+X47+X39+X27+X19</f>
        <v>29533378.550000001</v>
      </c>
      <c r="Y75" s="58">
        <f>Y72+Y60+Y47+Y39+Y27+Y19</f>
        <v>220293303.07000002</v>
      </c>
      <c r="Z75" s="58">
        <f>Z72+Z60+Z47+Z39+Z27+Z19</f>
        <v>489756982.35000002</v>
      </c>
      <c r="AA75" s="58">
        <f>AA72+AA60+AA47+AA39+AA27+AA19</f>
        <v>220293303.07000002</v>
      </c>
      <c r="AB75" s="58">
        <f>AB72+AB60+AB47+AB39+AB27+AB19</f>
        <v>489756982.35000002</v>
      </c>
      <c r="AD75" s="95">
        <f t="shared" ref="AD75:AQ75" si="24">SUM(AD61:AD73)</f>
        <v>710050285.42000008</v>
      </c>
      <c r="AE75" s="95">
        <f t="shared" si="24"/>
        <v>130759924.52</v>
      </c>
      <c r="AF75" s="95">
        <f t="shared" si="24"/>
        <v>60000000</v>
      </c>
      <c r="AG75" s="95">
        <f t="shared" si="24"/>
        <v>190759924.52000001</v>
      </c>
      <c r="AH75" s="95">
        <f t="shared" si="24"/>
        <v>0</v>
      </c>
      <c r="AI75" s="95">
        <f t="shared" si="24"/>
        <v>190759924.52000001</v>
      </c>
      <c r="AJ75" s="95">
        <f t="shared" si="24"/>
        <v>29010536.150000002</v>
      </c>
      <c r="AK75" s="95">
        <f t="shared" si="24"/>
        <v>522842.4</v>
      </c>
      <c r="AL75" s="95">
        <f t="shared" si="24"/>
        <v>29533378.550000001</v>
      </c>
      <c r="AM75" s="95">
        <f t="shared" si="24"/>
        <v>0</v>
      </c>
      <c r="AN75" s="95">
        <f t="shared" si="24"/>
        <v>29533378.550000001</v>
      </c>
      <c r="AO75" s="95">
        <f t="shared" si="24"/>
        <v>220293303.06999999</v>
      </c>
      <c r="AP75" s="95">
        <f t="shared" si="24"/>
        <v>489756982.54999995</v>
      </c>
      <c r="AQ75" s="95">
        <f t="shared" si="24"/>
        <v>489756982.3499999</v>
      </c>
    </row>
    <row r="76" spans="1:106" x14ac:dyDescent="0.25">
      <c r="A76" s="46"/>
      <c r="B76" s="4"/>
      <c r="C76" s="4"/>
      <c r="D76" s="61" t="s">
        <v>50</v>
      </c>
      <c r="E76" s="61" t="s">
        <v>50</v>
      </c>
      <c r="F76" s="61" t="s">
        <v>50</v>
      </c>
      <c r="G76" s="61"/>
      <c r="H76" s="61" t="s">
        <v>50</v>
      </c>
      <c r="I76" s="61" t="s">
        <v>50</v>
      </c>
      <c r="J76" s="61" t="s">
        <v>50</v>
      </c>
      <c r="K76" s="61" t="s">
        <v>50</v>
      </c>
      <c r="L76" s="61" t="s">
        <v>50</v>
      </c>
      <c r="M76" s="61"/>
      <c r="N76" s="61" t="s">
        <v>50</v>
      </c>
      <c r="O76" s="61" t="s">
        <v>50</v>
      </c>
      <c r="P76" s="61" t="s">
        <v>50</v>
      </c>
      <c r="Q76" s="61"/>
      <c r="R76" s="61" t="s">
        <v>50</v>
      </c>
      <c r="S76" s="61" t="s">
        <v>50</v>
      </c>
      <c r="T76" s="61" t="s">
        <v>50</v>
      </c>
      <c r="U76" s="61" t="s">
        <v>50</v>
      </c>
      <c r="V76" s="61" t="s">
        <v>50</v>
      </c>
      <c r="W76" s="61"/>
      <c r="X76" s="61" t="s">
        <v>50</v>
      </c>
      <c r="Y76" s="61" t="s">
        <v>50</v>
      </c>
      <c r="Z76" s="61" t="s">
        <v>50</v>
      </c>
      <c r="AA76" s="61" t="s">
        <v>50</v>
      </c>
      <c r="AB76" s="61" t="s">
        <v>50</v>
      </c>
    </row>
    <row r="77" spans="1:106" s="4" customFormat="1" x14ac:dyDescent="0.25">
      <c r="A77" s="46"/>
      <c r="C77" s="6"/>
      <c r="D77" s="56"/>
      <c r="E77" s="62"/>
      <c r="F77" s="61"/>
      <c r="G77" s="61"/>
      <c r="H77" s="61"/>
      <c r="I77" s="61"/>
      <c r="J77" s="61"/>
      <c r="K77" s="61"/>
      <c r="L77" s="62"/>
      <c r="M77" s="61"/>
      <c r="N77" s="61"/>
      <c r="O77" s="62"/>
      <c r="P77" s="61"/>
      <c r="Q77" s="61"/>
      <c r="R77" s="61"/>
      <c r="S77" s="61"/>
      <c r="T77" s="61"/>
      <c r="U77" s="61"/>
      <c r="V77" s="62"/>
      <c r="W77" s="61"/>
      <c r="X77" s="61"/>
      <c r="Y77" s="62"/>
      <c r="Z77" s="61"/>
      <c r="AA77" s="61"/>
      <c r="AB77" s="61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</row>
    <row r="78" spans="1:106" x14ac:dyDescent="0.25">
      <c r="A78" s="46"/>
      <c r="B78" s="4"/>
      <c r="C78" s="4"/>
      <c r="D78" s="63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</row>
    <row r="79" spans="1:106" x14ac:dyDescent="0.25">
      <c r="A79" s="46"/>
      <c r="B79" s="4"/>
      <c r="C79" s="4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BF79" s="4"/>
      <c r="BG79" s="4"/>
      <c r="BH79" s="4"/>
      <c r="BI79" s="4"/>
      <c r="BJ79" s="4"/>
      <c r="BK79" s="4"/>
    </row>
    <row r="80" spans="1:106" ht="19.5" x14ac:dyDescent="0.35">
      <c r="B80" s="47" t="s">
        <v>51</v>
      </c>
      <c r="C80" s="48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BA80" s="4"/>
      <c r="BB80" s="4"/>
      <c r="BC80" s="4"/>
      <c r="BD80" s="4"/>
      <c r="BE80" s="4"/>
    </row>
    <row r="81" spans="1:52" x14ac:dyDescent="0.25">
      <c r="A81" s="46"/>
      <c r="B81" s="4"/>
      <c r="C81" s="4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W81" s="4"/>
      <c r="AX81" s="4"/>
      <c r="AY81" s="4"/>
      <c r="AZ81" s="4"/>
    </row>
    <row r="82" spans="1:52" x14ac:dyDescent="0.25">
      <c r="A82" s="46">
        <v>7</v>
      </c>
      <c r="B82" s="2" t="s">
        <v>52</v>
      </c>
      <c r="C82" s="3" t="s">
        <v>35</v>
      </c>
      <c r="D82" s="58">
        <v>0</v>
      </c>
      <c r="E82" s="58">
        <v>0</v>
      </c>
      <c r="F82" s="55"/>
      <c r="G82" s="55"/>
      <c r="H82" s="58">
        <f>E82+F82</f>
        <v>0</v>
      </c>
      <c r="I82" s="55"/>
      <c r="J82" s="55"/>
      <c r="K82" s="55"/>
      <c r="L82" s="58"/>
      <c r="M82" s="58"/>
      <c r="N82" s="58">
        <f>H82+L82</f>
        <v>0</v>
      </c>
      <c r="O82" s="58">
        <v>0</v>
      </c>
      <c r="P82" s="55"/>
      <c r="Q82" s="55"/>
      <c r="R82" s="58">
        <f>O82+P82</f>
        <v>0</v>
      </c>
      <c r="S82" s="55"/>
      <c r="T82" s="55"/>
      <c r="U82" s="55"/>
      <c r="V82" s="58"/>
      <c r="W82" s="58"/>
      <c r="X82" s="58">
        <f>R82+V82</f>
        <v>0</v>
      </c>
      <c r="Y82" s="58">
        <f t="shared" ref="Y82:Y87" si="25">R82+H82</f>
        <v>0</v>
      </c>
      <c r="Z82" s="58">
        <f t="shared" ref="Z82:Z87" si="26">D82-Y82</f>
        <v>0</v>
      </c>
      <c r="AA82" s="58">
        <f t="shared" ref="AA82:AA87" si="27">N82+X82</f>
        <v>0</v>
      </c>
      <c r="AB82" s="58">
        <f t="shared" ref="AB82:AB87" si="28">+D82-N82-X82</f>
        <v>0</v>
      </c>
      <c r="AR82" s="4"/>
      <c r="AS82" s="4"/>
      <c r="AT82" s="4"/>
      <c r="AU82" s="4"/>
      <c r="AV82" s="4"/>
    </row>
    <row r="83" spans="1:52" x14ac:dyDescent="0.25">
      <c r="B83" s="4"/>
      <c r="C83" s="3" t="s">
        <v>36</v>
      </c>
      <c r="D83" s="58">
        <f>1069568.57+165852.2</f>
        <v>1235420.77</v>
      </c>
      <c r="E83" s="58">
        <f>1069568.57+165852.2</f>
        <v>1235420.77</v>
      </c>
      <c r="F83" s="55"/>
      <c r="G83" s="55"/>
      <c r="H83" s="58">
        <f>E83+F83</f>
        <v>1235420.77</v>
      </c>
      <c r="I83" s="55"/>
      <c r="J83" s="55"/>
      <c r="K83" s="55"/>
      <c r="L83" s="58"/>
      <c r="M83" s="58"/>
      <c r="N83" s="58">
        <f>H83+L83</f>
        <v>1235420.77</v>
      </c>
      <c r="O83" s="58">
        <v>0</v>
      </c>
      <c r="P83" s="55"/>
      <c r="Q83" s="55"/>
      <c r="R83" s="58">
        <f>O83+P83</f>
        <v>0</v>
      </c>
      <c r="S83" s="55"/>
      <c r="T83" s="55"/>
      <c r="U83" s="55"/>
      <c r="V83" s="58"/>
      <c r="W83" s="58"/>
      <c r="X83" s="58">
        <f>R83+V83</f>
        <v>0</v>
      </c>
      <c r="Y83" s="58">
        <f t="shared" si="25"/>
        <v>1235420.77</v>
      </c>
      <c r="Z83" s="58">
        <f t="shared" si="26"/>
        <v>0</v>
      </c>
      <c r="AA83" s="58">
        <f t="shared" si="27"/>
        <v>1235420.77</v>
      </c>
      <c r="AB83" s="58">
        <f t="shared" si="28"/>
        <v>0</v>
      </c>
    </row>
    <row r="84" spans="1:52" x14ac:dyDescent="0.25">
      <c r="A84" s="4"/>
      <c r="B84" s="4"/>
      <c r="C84" s="4" t="s">
        <v>317</v>
      </c>
      <c r="D84" s="55">
        <f>2246011.45+2528687.2</f>
        <v>4774698.6500000004</v>
      </c>
      <c r="E84" s="55">
        <f>2246011.45+2528687.2</f>
        <v>4774698.6500000004</v>
      </c>
      <c r="F84" s="55"/>
      <c r="G84" s="55"/>
      <c r="H84" s="55">
        <f>+E84+F84</f>
        <v>4774698.6500000004</v>
      </c>
      <c r="I84" s="55"/>
      <c r="J84" s="55"/>
      <c r="K84" s="55"/>
      <c r="L84" s="55"/>
      <c r="M84" s="55"/>
      <c r="N84" s="55">
        <f>+H84+L84</f>
        <v>4774698.6500000004</v>
      </c>
      <c r="O84" s="55">
        <v>0</v>
      </c>
      <c r="P84" s="55"/>
      <c r="Q84" s="55"/>
      <c r="R84" s="55">
        <f>+O84+P84</f>
        <v>0</v>
      </c>
      <c r="S84" s="55"/>
      <c r="T84" s="55"/>
      <c r="U84" s="55"/>
      <c r="V84" s="55"/>
      <c r="W84" s="55"/>
      <c r="X84" s="55">
        <f>+R84+V84</f>
        <v>0</v>
      </c>
      <c r="Y84" s="58">
        <f t="shared" si="25"/>
        <v>4774698.6500000004</v>
      </c>
      <c r="Z84" s="58">
        <f t="shared" si="26"/>
        <v>0</v>
      </c>
      <c r="AA84" s="58">
        <f t="shared" si="27"/>
        <v>4774698.6500000004</v>
      </c>
      <c r="AB84" s="58">
        <f t="shared" si="28"/>
        <v>0</v>
      </c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52" x14ac:dyDescent="0.25">
      <c r="A85" s="46"/>
      <c r="B85" s="4"/>
      <c r="C85" s="2" t="s">
        <v>53</v>
      </c>
      <c r="D85" s="58">
        <f>6711449.6+220920.06</f>
        <v>6932369.6599999992</v>
      </c>
      <c r="E85" s="58">
        <v>0</v>
      </c>
      <c r="F85" s="55"/>
      <c r="G85" s="55"/>
      <c r="H85" s="58">
        <f>E85+F85</f>
        <v>0</v>
      </c>
      <c r="I85" s="55"/>
      <c r="J85" s="55"/>
      <c r="K85" s="55"/>
      <c r="L85" s="58"/>
      <c r="M85" s="58"/>
      <c r="N85" s="58">
        <f>H85+L85</f>
        <v>0</v>
      </c>
      <c r="O85" s="58">
        <v>6711449.5999999996</v>
      </c>
      <c r="P85" s="55"/>
      <c r="Q85" s="55"/>
      <c r="R85" s="58">
        <f>O85+P85</f>
        <v>6711449.5999999996</v>
      </c>
      <c r="S85" s="55"/>
      <c r="T85" s="55"/>
      <c r="U85" s="55"/>
      <c r="V85" s="58"/>
      <c r="W85" s="58"/>
      <c r="X85" s="58">
        <f>R85+V85</f>
        <v>6711449.5999999996</v>
      </c>
      <c r="Y85" s="58">
        <f t="shared" si="25"/>
        <v>6711449.5999999996</v>
      </c>
      <c r="Z85" s="58">
        <f t="shared" si="26"/>
        <v>220920.05999999959</v>
      </c>
      <c r="AA85" s="58">
        <f t="shared" si="27"/>
        <v>6711449.5999999996</v>
      </c>
      <c r="AB85" s="58">
        <f t="shared" si="28"/>
        <v>220920.05999999959</v>
      </c>
    </row>
    <row r="86" spans="1:52" x14ac:dyDescent="0.25">
      <c r="A86" s="46"/>
      <c r="B86" s="4"/>
      <c r="C86" s="2" t="s">
        <v>54</v>
      </c>
      <c r="D86" s="58">
        <f>3100503.79+7599759.24+12570.5</f>
        <v>10712833.530000001</v>
      </c>
      <c r="E86" s="58">
        <v>0</v>
      </c>
      <c r="F86" s="55"/>
      <c r="G86" s="55"/>
      <c r="H86" s="58">
        <f>E86+F86</f>
        <v>0</v>
      </c>
      <c r="I86" s="55"/>
      <c r="J86" s="55"/>
      <c r="K86" s="55"/>
      <c r="L86" s="58"/>
      <c r="M86" s="58"/>
      <c r="N86" s="58">
        <f>H86+L86</f>
        <v>0</v>
      </c>
      <c r="O86" s="58">
        <f>10700263.03+12570.5</f>
        <v>10712833.529999999</v>
      </c>
      <c r="P86" s="55"/>
      <c r="Q86" s="55"/>
      <c r="R86" s="58">
        <f>O86+P86</f>
        <v>10712833.529999999</v>
      </c>
      <c r="S86" s="55"/>
      <c r="T86" s="55"/>
      <c r="U86" s="55"/>
      <c r="V86" s="58"/>
      <c r="W86" s="58"/>
      <c r="X86" s="58">
        <f>R86+V86</f>
        <v>10712833.529999999</v>
      </c>
      <c r="Y86" s="58">
        <f t="shared" si="25"/>
        <v>10712833.529999999</v>
      </c>
      <c r="Z86" s="58">
        <f t="shared" si="26"/>
        <v>0</v>
      </c>
      <c r="AA86" s="58">
        <f t="shared" si="27"/>
        <v>10712833.529999999</v>
      </c>
      <c r="AB86" s="58">
        <f t="shared" si="28"/>
        <v>0</v>
      </c>
    </row>
    <row r="87" spans="1:52" x14ac:dyDescent="0.25">
      <c r="A87" s="46"/>
      <c r="B87" s="4"/>
      <c r="C87" s="3" t="s">
        <v>133</v>
      </c>
      <c r="D87" s="58">
        <v>5000000</v>
      </c>
      <c r="E87" s="58">
        <v>5000000</v>
      </c>
      <c r="F87" s="55"/>
      <c r="G87" s="55"/>
      <c r="H87" s="58">
        <f>E87+F87</f>
        <v>5000000</v>
      </c>
      <c r="I87" s="55"/>
      <c r="J87" s="55"/>
      <c r="K87" s="55"/>
      <c r="L87" s="58"/>
      <c r="M87" s="58"/>
      <c r="N87" s="58">
        <f>H87+L87</f>
        <v>5000000</v>
      </c>
      <c r="O87" s="58">
        <v>0</v>
      </c>
      <c r="P87" s="55"/>
      <c r="Q87" s="55"/>
      <c r="R87" s="58">
        <f>O87+P87</f>
        <v>0</v>
      </c>
      <c r="S87" s="58"/>
      <c r="T87" s="55"/>
      <c r="U87" s="55"/>
      <c r="V87" s="58"/>
      <c r="W87" s="58"/>
      <c r="X87" s="58">
        <f>R87+V87</f>
        <v>0</v>
      </c>
      <c r="Y87" s="58">
        <f t="shared" si="25"/>
        <v>5000000</v>
      </c>
      <c r="Z87" s="58">
        <f t="shared" si="26"/>
        <v>0</v>
      </c>
      <c r="AA87" s="58">
        <f t="shared" si="27"/>
        <v>5000000</v>
      </c>
      <c r="AB87" s="58">
        <f t="shared" si="28"/>
        <v>0</v>
      </c>
    </row>
    <row r="88" spans="1:52" x14ac:dyDescent="0.25">
      <c r="A88" s="46"/>
      <c r="B88" s="4"/>
      <c r="C88" s="4"/>
      <c r="D88" s="61" t="s">
        <v>40</v>
      </c>
      <c r="E88" s="61" t="s">
        <v>40</v>
      </c>
      <c r="F88" s="61" t="s">
        <v>40</v>
      </c>
      <c r="G88" s="61"/>
      <c r="H88" s="61" t="s">
        <v>40</v>
      </c>
      <c r="I88" s="61" t="s">
        <v>40</v>
      </c>
      <c r="J88" s="61" t="s">
        <v>40</v>
      </c>
      <c r="K88" s="61" t="s">
        <v>40</v>
      </c>
      <c r="L88" s="61" t="s">
        <v>40</v>
      </c>
      <c r="M88" s="61"/>
      <c r="N88" s="61" t="s">
        <v>40</v>
      </c>
      <c r="O88" s="61" t="s">
        <v>40</v>
      </c>
      <c r="P88" s="61" t="s">
        <v>40</v>
      </c>
      <c r="Q88" s="61"/>
      <c r="R88" s="61" t="s">
        <v>40</v>
      </c>
      <c r="S88" s="61" t="s">
        <v>40</v>
      </c>
      <c r="T88" s="61" t="s">
        <v>40</v>
      </c>
      <c r="U88" s="61" t="s">
        <v>40</v>
      </c>
      <c r="V88" s="61" t="s">
        <v>40</v>
      </c>
      <c r="W88" s="61"/>
      <c r="X88" s="61" t="s">
        <v>40</v>
      </c>
      <c r="Y88" s="61" t="s">
        <v>40</v>
      </c>
      <c r="Z88" s="61" t="s">
        <v>40</v>
      </c>
      <c r="AA88" s="61" t="s">
        <v>40</v>
      </c>
      <c r="AB88" s="61" t="s">
        <v>40</v>
      </c>
    </row>
    <row r="89" spans="1:52" x14ac:dyDescent="0.25">
      <c r="A89" s="46"/>
      <c r="B89" s="5"/>
      <c r="C89" s="4"/>
      <c r="D89" s="58">
        <f>SUM(D82:D87)</f>
        <v>28655322.609999999</v>
      </c>
      <c r="E89" s="58">
        <f>SUM(E82:E87)</f>
        <v>11010119.42</v>
      </c>
      <c r="F89" s="58">
        <f>SUM(F82:F87)</f>
        <v>0</v>
      </c>
      <c r="G89" s="58"/>
      <c r="H89" s="58">
        <f>SUM(H82:H87)</f>
        <v>11010119.42</v>
      </c>
      <c r="I89" s="58">
        <f>SUM(I82:I87)</f>
        <v>0</v>
      </c>
      <c r="J89" s="58">
        <f>SUM(J82:J87)</f>
        <v>0</v>
      </c>
      <c r="K89" s="58">
        <f>SUM(K82:K87)</f>
        <v>0</v>
      </c>
      <c r="L89" s="58">
        <f>SUM(L82:L87)</f>
        <v>0</v>
      </c>
      <c r="M89" s="58"/>
      <c r="N89" s="58">
        <f>SUM(N82:N87)</f>
        <v>11010119.42</v>
      </c>
      <c r="O89" s="58">
        <f>SUM(O82:O87)</f>
        <v>17424283.129999999</v>
      </c>
      <c r="P89" s="58">
        <f>SUM(P82:P87)</f>
        <v>0</v>
      </c>
      <c r="Q89" s="58"/>
      <c r="R89" s="58">
        <f>SUM(R82:R87)</f>
        <v>17424283.129999999</v>
      </c>
      <c r="S89" s="58">
        <f>SUM(S82:S87)</f>
        <v>0</v>
      </c>
      <c r="T89" s="58">
        <f>SUM(T82:T87)</f>
        <v>0</v>
      </c>
      <c r="U89" s="58">
        <f>SUM(U82:U87)</f>
        <v>0</v>
      </c>
      <c r="V89" s="58">
        <f>SUM(V82:V87)</f>
        <v>0</v>
      </c>
      <c r="W89" s="58"/>
      <c r="X89" s="58">
        <f>SUM(X82:X87)</f>
        <v>17424283.129999999</v>
      </c>
      <c r="Y89" s="58">
        <f>SUM(Y82:Y87)</f>
        <v>28434402.549999997</v>
      </c>
      <c r="Z89" s="58">
        <f>SUM(Z82:Z87)</f>
        <v>220920.05999999959</v>
      </c>
      <c r="AA89" s="58">
        <f>SUM(AA82:AA87)</f>
        <v>28434402.549999997</v>
      </c>
      <c r="AB89" s="58">
        <f>SUM(AB82:AB87)</f>
        <v>220920.05999999959</v>
      </c>
    </row>
    <row r="90" spans="1:52" x14ac:dyDescent="0.25">
      <c r="A90" s="46"/>
      <c r="B90" s="5"/>
      <c r="C90" s="4"/>
      <c r="D90" s="61" t="s">
        <v>40</v>
      </c>
      <c r="E90" s="61" t="s">
        <v>40</v>
      </c>
      <c r="F90" s="61" t="s">
        <v>40</v>
      </c>
      <c r="G90" s="61"/>
      <c r="H90" s="61" t="s">
        <v>40</v>
      </c>
      <c r="I90" s="61" t="s">
        <v>40</v>
      </c>
      <c r="J90" s="61" t="s">
        <v>40</v>
      </c>
      <c r="K90" s="61" t="s">
        <v>40</v>
      </c>
      <c r="L90" s="61" t="s">
        <v>40</v>
      </c>
      <c r="M90" s="61"/>
      <c r="N90" s="61" t="s">
        <v>40</v>
      </c>
      <c r="O90" s="61" t="s">
        <v>40</v>
      </c>
      <c r="P90" s="61" t="s">
        <v>40</v>
      </c>
      <c r="Q90" s="61"/>
      <c r="R90" s="61" t="s">
        <v>40</v>
      </c>
      <c r="S90" s="61" t="s">
        <v>40</v>
      </c>
      <c r="T90" s="61" t="s">
        <v>40</v>
      </c>
      <c r="U90" s="61" t="s">
        <v>40</v>
      </c>
      <c r="V90" s="61" t="s">
        <v>40</v>
      </c>
      <c r="W90" s="61"/>
      <c r="X90" s="61" t="s">
        <v>40</v>
      </c>
      <c r="Y90" s="61" t="s">
        <v>40</v>
      </c>
      <c r="Z90" s="61" t="s">
        <v>40</v>
      </c>
      <c r="AA90" s="61" t="s">
        <v>40</v>
      </c>
      <c r="AB90" s="61" t="s">
        <v>40</v>
      </c>
    </row>
    <row r="91" spans="1:52" x14ac:dyDescent="0.25">
      <c r="A91" s="46"/>
      <c r="B91" s="5"/>
      <c r="C91" s="4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52" x14ac:dyDescent="0.25">
      <c r="A92" s="46">
        <v>8</v>
      </c>
      <c r="B92" s="2" t="s">
        <v>55</v>
      </c>
      <c r="C92" s="2" t="s">
        <v>35</v>
      </c>
      <c r="D92" s="58">
        <v>6386316.3799999999</v>
      </c>
      <c r="E92" s="58">
        <v>0</v>
      </c>
      <c r="F92" s="55"/>
      <c r="G92" s="55"/>
      <c r="H92" s="58">
        <f t="shared" ref="H92:H97" si="29">E92+F92</f>
        <v>0</v>
      </c>
      <c r="I92" s="55"/>
      <c r="J92" s="55"/>
      <c r="K92" s="55"/>
      <c r="L92" s="58"/>
      <c r="M92" s="58"/>
      <c r="N92" s="58">
        <f t="shared" ref="N92:N97" si="30">H92+L92</f>
        <v>0</v>
      </c>
      <c r="O92" s="58">
        <v>0</v>
      </c>
      <c r="P92" s="58"/>
      <c r="Q92" s="58"/>
      <c r="R92" s="58">
        <f t="shared" ref="R92:R97" si="31">O92+P92</f>
        <v>0</v>
      </c>
      <c r="S92" s="58"/>
      <c r="T92" s="55"/>
      <c r="U92" s="58"/>
      <c r="V92" s="58"/>
      <c r="W92" s="58"/>
      <c r="X92" s="58">
        <f t="shared" ref="X92:X97" si="32">R92+V92</f>
        <v>0</v>
      </c>
      <c r="Y92" s="58">
        <f t="shared" ref="Y92:Y97" si="33">R92+H92</f>
        <v>0</v>
      </c>
      <c r="Z92" s="58">
        <f t="shared" ref="Z92:Z97" si="34">D92-Y92</f>
        <v>6386316.3799999999</v>
      </c>
      <c r="AA92" s="58">
        <f t="shared" ref="AA92:AA97" si="35">N92+X92</f>
        <v>0</v>
      </c>
      <c r="AB92" s="58">
        <f t="shared" ref="AB92:AB97" si="36">+D92-N92-X92</f>
        <v>6386316.3799999999</v>
      </c>
    </row>
    <row r="93" spans="1:52" x14ac:dyDescent="0.25">
      <c r="A93" s="46"/>
      <c r="B93" s="4"/>
      <c r="C93" s="3" t="s">
        <v>36</v>
      </c>
      <c r="D93" s="58">
        <v>613984.02</v>
      </c>
      <c r="E93" s="58">
        <v>613984.02</v>
      </c>
      <c r="F93" s="55"/>
      <c r="G93" s="55"/>
      <c r="H93" s="58">
        <f t="shared" si="29"/>
        <v>613984.02</v>
      </c>
      <c r="I93" s="55"/>
      <c r="J93" s="55"/>
      <c r="K93" s="55"/>
      <c r="L93" s="58"/>
      <c r="M93" s="58"/>
      <c r="N93" s="58">
        <f t="shared" si="30"/>
        <v>613984.02</v>
      </c>
      <c r="O93" s="58">
        <v>0</v>
      </c>
      <c r="P93" s="55"/>
      <c r="Q93" s="55"/>
      <c r="R93" s="58">
        <f t="shared" si="31"/>
        <v>0</v>
      </c>
      <c r="S93" s="58"/>
      <c r="T93" s="55"/>
      <c r="U93" s="58"/>
      <c r="V93" s="58"/>
      <c r="W93" s="58"/>
      <c r="X93" s="58">
        <f t="shared" si="32"/>
        <v>0</v>
      </c>
      <c r="Y93" s="58">
        <f t="shared" si="33"/>
        <v>613984.02</v>
      </c>
      <c r="Z93" s="58">
        <f t="shared" si="34"/>
        <v>0</v>
      </c>
      <c r="AA93" s="58">
        <f t="shared" si="35"/>
        <v>613984.02</v>
      </c>
      <c r="AB93" s="58">
        <f t="shared" si="36"/>
        <v>0</v>
      </c>
    </row>
    <row r="94" spans="1:52" x14ac:dyDescent="0.25">
      <c r="A94" s="46"/>
      <c r="B94" s="4"/>
      <c r="C94" s="3" t="s">
        <v>44</v>
      </c>
      <c r="D94" s="58">
        <v>25000000</v>
      </c>
      <c r="E94" s="58">
        <v>25000000</v>
      </c>
      <c r="F94" s="55"/>
      <c r="G94" s="55"/>
      <c r="H94" s="58">
        <f t="shared" si="29"/>
        <v>25000000</v>
      </c>
      <c r="I94" s="55"/>
      <c r="J94" s="55"/>
      <c r="K94" s="55"/>
      <c r="L94" s="58"/>
      <c r="M94" s="58"/>
      <c r="N94" s="58">
        <f t="shared" si="30"/>
        <v>25000000</v>
      </c>
      <c r="O94" s="58">
        <v>0</v>
      </c>
      <c r="P94" s="55"/>
      <c r="Q94" s="55"/>
      <c r="R94" s="58">
        <f t="shared" si="31"/>
        <v>0</v>
      </c>
      <c r="S94" s="58"/>
      <c r="T94" s="55"/>
      <c r="U94" s="58"/>
      <c r="V94" s="58"/>
      <c r="W94" s="58"/>
      <c r="X94" s="58">
        <f t="shared" si="32"/>
        <v>0</v>
      </c>
      <c r="Y94" s="58">
        <f t="shared" si="33"/>
        <v>25000000</v>
      </c>
      <c r="Z94" s="58">
        <f t="shared" si="34"/>
        <v>0</v>
      </c>
      <c r="AA94" s="58">
        <f t="shared" si="35"/>
        <v>25000000</v>
      </c>
      <c r="AB94" s="58">
        <f t="shared" si="36"/>
        <v>0</v>
      </c>
    </row>
    <row r="95" spans="1:52" x14ac:dyDescent="0.25">
      <c r="A95" s="46"/>
      <c r="B95" s="4"/>
      <c r="C95" s="2" t="s">
        <v>53</v>
      </c>
      <c r="D95" s="58">
        <f>1277475.81+95118</f>
        <v>1372593.81</v>
      </c>
      <c r="E95" s="58">
        <v>95118</v>
      </c>
      <c r="F95" s="55"/>
      <c r="G95" s="55"/>
      <c r="H95" s="58">
        <f t="shared" si="29"/>
        <v>95118</v>
      </c>
      <c r="I95" s="55"/>
      <c r="J95" s="55"/>
      <c r="K95" s="55"/>
      <c r="L95" s="58"/>
      <c r="M95" s="58"/>
      <c r="N95" s="58">
        <f t="shared" si="30"/>
        <v>95118</v>
      </c>
      <c r="O95" s="58">
        <v>1061487</v>
      </c>
      <c r="P95" s="58"/>
      <c r="Q95" s="58"/>
      <c r="R95" s="58">
        <f t="shared" si="31"/>
        <v>1061487</v>
      </c>
      <c r="S95" s="58"/>
      <c r="T95" s="55"/>
      <c r="U95" s="58"/>
      <c r="V95" s="58"/>
      <c r="W95" s="58"/>
      <c r="X95" s="58">
        <f t="shared" si="32"/>
        <v>1061487</v>
      </c>
      <c r="Y95" s="58">
        <f t="shared" si="33"/>
        <v>1156605</v>
      </c>
      <c r="Z95" s="58">
        <f t="shared" si="34"/>
        <v>215988.81000000006</v>
      </c>
      <c r="AA95" s="58">
        <f t="shared" si="35"/>
        <v>1156605</v>
      </c>
      <c r="AB95" s="58">
        <f t="shared" si="36"/>
        <v>215988.81000000006</v>
      </c>
    </row>
    <row r="96" spans="1:52" x14ac:dyDescent="0.25">
      <c r="A96" s="46"/>
      <c r="B96" s="4"/>
      <c r="C96" s="2" t="s">
        <v>54</v>
      </c>
      <c r="D96" s="58">
        <f>20064860.2+1843195.35+12570.5</f>
        <v>21920626.050000001</v>
      </c>
      <c r="E96" s="58">
        <v>0</v>
      </c>
      <c r="F96" s="55"/>
      <c r="G96" s="55"/>
      <c r="H96" s="58">
        <f t="shared" si="29"/>
        <v>0</v>
      </c>
      <c r="I96" s="55"/>
      <c r="J96" s="55"/>
      <c r="K96" s="55"/>
      <c r="L96" s="58"/>
      <c r="M96" s="58"/>
      <c r="N96" s="58">
        <f t="shared" si="30"/>
        <v>0</v>
      </c>
      <c r="O96" s="58">
        <f>21908055.55+12570.5</f>
        <v>21920626.050000001</v>
      </c>
      <c r="P96" s="55"/>
      <c r="Q96" s="55"/>
      <c r="R96" s="58">
        <f t="shared" si="31"/>
        <v>21920626.050000001</v>
      </c>
      <c r="S96" s="55"/>
      <c r="T96" s="55"/>
      <c r="U96" s="55"/>
      <c r="V96" s="58"/>
      <c r="W96" s="58"/>
      <c r="X96" s="58">
        <f t="shared" si="32"/>
        <v>21920626.050000001</v>
      </c>
      <c r="Y96" s="58">
        <f t="shared" si="33"/>
        <v>21920626.050000001</v>
      </c>
      <c r="Z96" s="58">
        <f t="shared" si="34"/>
        <v>0</v>
      </c>
      <c r="AA96" s="58">
        <f t="shared" si="35"/>
        <v>21920626.050000001</v>
      </c>
      <c r="AB96" s="58">
        <f t="shared" si="36"/>
        <v>0</v>
      </c>
    </row>
    <row r="97" spans="1:106" x14ac:dyDescent="0.25">
      <c r="A97" s="46"/>
      <c r="B97" s="4"/>
      <c r="C97" s="2" t="s">
        <v>56</v>
      </c>
      <c r="D97" s="58">
        <v>200000</v>
      </c>
      <c r="E97" s="58">
        <v>0</v>
      </c>
      <c r="F97" s="55"/>
      <c r="G97" s="55"/>
      <c r="H97" s="58">
        <f t="shared" si="29"/>
        <v>0</v>
      </c>
      <c r="I97" s="55"/>
      <c r="J97" s="55"/>
      <c r="K97" s="55"/>
      <c r="L97" s="58"/>
      <c r="M97" s="58"/>
      <c r="N97" s="58">
        <f t="shared" si="30"/>
        <v>0</v>
      </c>
      <c r="O97" s="58">
        <v>0</v>
      </c>
      <c r="P97" s="55"/>
      <c r="Q97" s="55"/>
      <c r="R97" s="58">
        <f t="shared" si="31"/>
        <v>0</v>
      </c>
      <c r="S97" s="55"/>
      <c r="T97" s="55"/>
      <c r="U97" s="55"/>
      <c r="V97" s="58"/>
      <c r="W97" s="58"/>
      <c r="X97" s="58">
        <f t="shared" si="32"/>
        <v>0</v>
      </c>
      <c r="Y97" s="58">
        <f t="shared" si="33"/>
        <v>0</v>
      </c>
      <c r="Z97" s="58">
        <f t="shared" si="34"/>
        <v>200000</v>
      </c>
      <c r="AA97" s="58">
        <f t="shared" si="35"/>
        <v>0</v>
      </c>
      <c r="AB97" s="58">
        <f t="shared" si="36"/>
        <v>200000</v>
      </c>
    </row>
    <row r="98" spans="1:106" x14ac:dyDescent="0.25">
      <c r="A98" s="46"/>
      <c r="B98" s="4"/>
      <c r="C98" s="4"/>
      <c r="D98" s="61" t="s">
        <v>40</v>
      </c>
      <c r="E98" s="61" t="s">
        <v>40</v>
      </c>
      <c r="F98" s="61" t="s">
        <v>40</v>
      </c>
      <c r="G98" s="61"/>
      <c r="H98" s="61" t="s">
        <v>40</v>
      </c>
      <c r="I98" s="61" t="s">
        <v>40</v>
      </c>
      <c r="J98" s="61" t="s">
        <v>40</v>
      </c>
      <c r="K98" s="61" t="s">
        <v>40</v>
      </c>
      <c r="L98" s="61" t="s">
        <v>40</v>
      </c>
      <c r="M98" s="61"/>
      <c r="N98" s="61" t="s">
        <v>40</v>
      </c>
      <c r="O98" s="61" t="s">
        <v>40</v>
      </c>
      <c r="P98" s="61" t="s">
        <v>40</v>
      </c>
      <c r="Q98" s="61"/>
      <c r="R98" s="61" t="s">
        <v>40</v>
      </c>
      <c r="S98" s="61" t="s">
        <v>40</v>
      </c>
      <c r="T98" s="61" t="s">
        <v>40</v>
      </c>
      <c r="U98" s="61" t="s">
        <v>40</v>
      </c>
      <c r="V98" s="61" t="s">
        <v>40</v>
      </c>
      <c r="W98" s="61"/>
      <c r="X98" s="61" t="s">
        <v>40</v>
      </c>
      <c r="Y98" s="61" t="s">
        <v>40</v>
      </c>
      <c r="Z98" s="61" t="s">
        <v>40</v>
      </c>
      <c r="AA98" s="61" t="s">
        <v>40</v>
      </c>
      <c r="AB98" s="61" t="s">
        <v>40</v>
      </c>
    </row>
    <row r="99" spans="1:106" x14ac:dyDescent="0.25">
      <c r="A99" s="46"/>
      <c r="B99" s="4"/>
      <c r="C99" s="4"/>
      <c r="D99" s="58">
        <f t="shared" ref="D99:AB99" si="37">SUM(D92:D97)</f>
        <v>55493520.259999998</v>
      </c>
      <c r="E99" s="58">
        <f t="shared" si="37"/>
        <v>25709102.02</v>
      </c>
      <c r="F99" s="58">
        <f t="shared" si="37"/>
        <v>0</v>
      </c>
      <c r="G99" s="58"/>
      <c r="H99" s="58">
        <f>SUM(H92:H97)</f>
        <v>25709102.02</v>
      </c>
      <c r="I99" s="58">
        <f t="shared" si="37"/>
        <v>0</v>
      </c>
      <c r="J99" s="58">
        <f t="shared" si="37"/>
        <v>0</v>
      </c>
      <c r="K99" s="58">
        <f t="shared" si="37"/>
        <v>0</v>
      </c>
      <c r="L99" s="58">
        <f t="shared" si="37"/>
        <v>0</v>
      </c>
      <c r="M99" s="58"/>
      <c r="N99" s="58">
        <f t="shared" si="37"/>
        <v>25709102.02</v>
      </c>
      <c r="O99" s="58">
        <f t="shared" si="37"/>
        <v>22982113.050000001</v>
      </c>
      <c r="P99" s="58">
        <f t="shared" si="37"/>
        <v>0</v>
      </c>
      <c r="Q99" s="58"/>
      <c r="R99" s="58">
        <f t="shared" si="37"/>
        <v>22982113.050000001</v>
      </c>
      <c r="S99" s="58">
        <f t="shared" si="37"/>
        <v>0</v>
      </c>
      <c r="T99" s="58">
        <f t="shared" si="37"/>
        <v>0</v>
      </c>
      <c r="U99" s="58">
        <f t="shared" si="37"/>
        <v>0</v>
      </c>
      <c r="V99" s="58">
        <f t="shared" si="37"/>
        <v>0</v>
      </c>
      <c r="W99" s="58"/>
      <c r="X99" s="58">
        <f t="shared" si="37"/>
        <v>22982113.050000001</v>
      </c>
      <c r="Y99" s="58">
        <f t="shared" si="37"/>
        <v>48691215.07</v>
      </c>
      <c r="Z99" s="58">
        <f t="shared" si="37"/>
        <v>6802305.1899999995</v>
      </c>
      <c r="AA99" s="58">
        <f t="shared" si="37"/>
        <v>48691215.07</v>
      </c>
      <c r="AB99" s="58">
        <f t="shared" si="37"/>
        <v>6802305.1899999995</v>
      </c>
    </row>
    <row r="100" spans="1:106" x14ac:dyDescent="0.25">
      <c r="A100" s="46"/>
      <c r="B100" s="4"/>
      <c r="C100" s="4"/>
      <c r="D100" s="61" t="s">
        <v>40</v>
      </c>
      <c r="E100" s="61" t="s">
        <v>40</v>
      </c>
      <c r="F100" s="61" t="s">
        <v>40</v>
      </c>
      <c r="G100" s="61"/>
      <c r="H100" s="61" t="s">
        <v>40</v>
      </c>
      <c r="I100" s="61" t="s">
        <v>40</v>
      </c>
      <c r="J100" s="61" t="s">
        <v>40</v>
      </c>
      <c r="K100" s="61" t="s">
        <v>40</v>
      </c>
      <c r="L100" s="61" t="s">
        <v>40</v>
      </c>
      <c r="M100" s="61"/>
      <c r="N100" s="61" t="s">
        <v>40</v>
      </c>
      <c r="O100" s="61" t="s">
        <v>40</v>
      </c>
      <c r="P100" s="61" t="s">
        <v>40</v>
      </c>
      <c r="Q100" s="61"/>
      <c r="R100" s="61" t="s">
        <v>40</v>
      </c>
      <c r="S100" s="61" t="s">
        <v>40</v>
      </c>
      <c r="T100" s="61" t="s">
        <v>40</v>
      </c>
      <c r="U100" s="61" t="s">
        <v>40</v>
      </c>
      <c r="V100" s="61" t="s">
        <v>40</v>
      </c>
      <c r="W100" s="61"/>
      <c r="X100" s="61" t="s">
        <v>40</v>
      </c>
      <c r="Y100" s="61" t="s">
        <v>40</v>
      </c>
      <c r="Z100" s="61" t="s">
        <v>40</v>
      </c>
      <c r="AA100" s="61" t="s">
        <v>40</v>
      </c>
      <c r="AB100" s="61" t="s">
        <v>40</v>
      </c>
    </row>
    <row r="101" spans="1:106" x14ac:dyDescent="0.25">
      <c r="A101" s="46"/>
      <c r="B101" s="4"/>
      <c r="C101" s="4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106" x14ac:dyDescent="0.25">
      <c r="A102" s="46">
        <v>9</v>
      </c>
      <c r="B102" s="2" t="s">
        <v>57</v>
      </c>
      <c r="C102" s="2" t="s">
        <v>35</v>
      </c>
      <c r="D102" s="58">
        <f>3538978.4</f>
        <v>3538978.4</v>
      </c>
      <c r="E102" s="58">
        <v>0</v>
      </c>
      <c r="F102" s="55"/>
      <c r="G102" s="55"/>
      <c r="H102" s="58">
        <f>E102+F102</f>
        <v>0</v>
      </c>
      <c r="I102" s="55"/>
      <c r="J102" s="55"/>
      <c r="K102" s="55"/>
      <c r="L102" s="58">
        <f>I102-J102+K102</f>
        <v>0</v>
      </c>
      <c r="M102" s="58"/>
      <c r="N102" s="58">
        <f>H102+L102</f>
        <v>0</v>
      </c>
      <c r="O102" s="58">
        <v>0</v>
      </c>
      <c r="P102" s="55"/>
      <c r="Q102" s="55"/>
      <c r="R102" s="58">
        <f>O102+P102</f>
        <v>0</v>
      </c>
      <c r="S102" s="58">
        <f>144183.6+728525.87-661704.58-211004.89</f>
        <v>0</v>
      </c>
      <c r="T102" s="55"/>
      <c r="U102" s="55"/>
      <c r="V102" s="58"/>
      <c r="W102" s="58"/>
      <c r="X102" s="58">
        <f>R102+V102</f>
        <v>0</v>
      </c>
      <c r="Y102" s="58">
        <f>R102+H102</f>
        <v>0</v>
      </c>
      <c r="Z102" s="58">
        <f>D102-Y102</f>
        <v>3538978.4</v>
      </c>
      <c r="AA102" s="58">
        <f>N102+X102</f>
        <v>0</v>
      </c>
      <c r="AB102" s="58">
        <f>+D102-N102-X102</f>
        <v>3538978.4</v>
      </c>
    </row>
    <row r="103" spans="1:106" s="4" customFormat="1" x14ac:dyDescent="0.25">
      <c r="A103"/>
      <c r="B103"/>
      <c r="C103" s="4" t="s">
        <v>317</v>
      </c>
      <c r="D103" s="55">
        <f>864446.54-864446.54</f>
        <v>0</v>
      </c>
      <c r="E103" s="55">
        <f>864446.54-864446.54</f>
        <v>0</v>
      </c>
      <c r="F103" s="55"/>
      <c r="G103" s="55"/>
      <c r="H103" s="55">
        <f>+E103+F103</f>
        <v>0</v>
      </c>
      <c r="I103" s="55"/>
      <c r="J103" s="55"/>
      <c r="K103" s="55"/>
      <c r="L103" s="55"/>
      <c r="M103" s="55"/>
      <c r="N103" s="55">
        <f>+H103+L103</f>
        <v>0</v>
      </c>
      <c r="O103" s="55">
        <v>0</v>
      </c>
      <c r="P103" s="55"/>
      <c r="Q103" s="55"/>
      <c r="R103" s="55">
        <f>+O103+P103</f>
        <v>0</v>
      </c>
      <c r="S103" s="55"/>
      <c r="T103" s="55"/>
      <c r="U103" s="55"/>
      <c r="V103" s="55"/>
      <c r="W103" s="55"/>
      <c r="X103" s="55">
        <f>+R103+V103</f>
        <v>0</v>
      </c>
      <c r="Y103" s="58">
        <f>R103+H103</f>
        <v>0</v>
      </c>
      <c r="Z103" s="58">
        <f>D103-Y103</f>
        <v>0</v>
      </c>
      <c r="AA103" s="58">
        <f>N103+X103</f>
        <v>0</v>
      </c>
      <c r="AB103" s="58">
        <f>+D103-N103-X103</f>
        <v>0</v>
      </c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</row>
    <row r="104" spans="1:106" x14ac:dyDescent="0.25">
      <c r="A104" s="46"/>
      <c r="B104" s="4"/>
      <c r="C104" s="3" t="s">
        <v>36</v>
      </c>
      <c r="D104" s="58">
        <v>181314.71</v>
      </c>
      <c r="E104" s="58">
        <v>181314.71</v>
      </c>
      <c r="F104" s="55"/>
      <c r="G104" s="55"/>
      <c r="H104" s="58">
        <f>E104+F104</f>
        <v>181314.71</v>
      </c>
      <c r="I104" s="55"/>
      <c r="J104" s="55"/>
      <c r="K104" s="55"/>
      <c r="L104" s="58">
        <f>I104-J104+K104</f>
        <v>0</v>
      </c>
      <c r="M104" s="58"/>
      <c r="N104" s="58">
        <f>H104+L104</f>
        <v>181314.71</v>
      </c>
      <c r="O104" s="58">
        <v>0</v>
      </c>
      <c r="P104" s="55"/>
      <c r="Q104" s="55"/>
      <c r="R104" s="58">
        <f>O104+P104</f>
        <v>0</v>
      </c>
      <c r="S104" s="58">
        <f>144183.6+728525.87-661704.58-211004.89</f>
        <v>0</v>
      </c>
      <c r="T104" s="55"/>
      <c r="U104" s="55"/>
      <c r="V104" s="58"/>
      <c r="W104" s="58"/>
      <c r="X104" s="58">
        <f>R104+V104</f>
        <v>0</v>
      </c>
      <c r="Y104" s="58">
        <f>R104+H104</f>
        <v>181314.71</v>
      </c>
      <c r="Z104" s="58">
        <f>D104-Y104</f>
        <v>0</v>
      </c>
      <c r="AA104" s="58">
        <f>N104+X104</f>
        <v>181314.71</v>
      </c>
      <c r="AB104" s="58">
        <f>+D104-N104-X104</f>
        <v>0</v>
      </c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</row>
    <row r="105" spans="1:106" x14ac:dyDescent="0.25">
      <c r="A105" s="46"/>
      <c r="B105" s="4"/>
      <c r="C105" s="2" t="s">
        <v>38</v>
      </c>
      <c r="D105" s="58">
        <v>1774247.49</v>
      </c>
      <c r="E105" s="58">
        <v>0</v>
      </c>
      <c r="F105" s="55"/>
      <c r="G105" s="55"/>
      <c r="H105" s="58">
        <f>E105+F105</f>
        <v>0</v>
      </c>
      <c r="I105" s="55"/>
      <c r="J105" s="55"/>
      <c r="K105" s="55"/>
      <c r="L105" s="58">
        <f>I105-J105+K105</f>
        <v>0</v>
      </c>
      <c r="M105" s="58"/>
      <c r="N105" s="58">
        <f>H105+L105</f>
        <v>0</v>
      </c>
      <c r="O105" s="58">
        <v>0</v>
      </c>
      <c r="P105" s="55"/>
      <c r="Q105" s="55"/>
      <c r="R105" s="58">
        <f>O105+P105</f>
        <v>0</v>
      </c>
      <c r="S105" s="55"/>
      <c r="T105" s="55"/>
      <c r="U105" s="55"/>
      <c r="V105" s="58"/>
      <c r="W105" s="58"/>
      <c r="X105" s="58">
        <f>R105+V105</f>
        <v>0</v>
      </c>
      <c r="Y105" s="58">
        <f>R105+H105</f>
        <v>0</v>
      </c>
      <c r="Z105" s="58">
        <f>D105-Y105</f>
        <v>1774247.49</v>
      </c>
      <c r="AA105" s="58">
        <f>N105+X105</f>
        <v>0</v>
      </c>
      <c r="AB105" s="58">
        <f>+D105-N105-X105</f>
        <v>1774247.49</v>
      </c>
      <c r="BF105" s="4"/>
      <c r="BG105" s="4"/>
      <c r="BH105" s="4"/>
      <c r="BI105" s="4"/>
      <c r="BJ105" s="4"/>
      <c r="BK105" s="4"/>
    </row>
    <row r="106" spans="1:106" x14ac:dyDescent="0.25">
      <c r="A106" s="46"/>
      <c r="B106" s="4"/>
      <c r="C106" s="4"/>
      <c r="D106" s="61" t="s">
        <v>40</v>
      </c>
      <c r="E106" s="61" t="s">
        <v>40</v>
      </c>
      <c r="F106" s="61" t="s">
        <v>40</v>
      </c>
      <c r="G106" s="61"/>
      <c r="H106" s="61" t="s">
        <v>40</v>
      </c>
      <c r="I106" s="61" t="s">
        <v>40</v>
      </c>
      <c r="J106" s="61" t="s">
        <v>40</v>
      </c>
      <c r="K106" s="61" t="s">
        <v>40</v>
      </c>
      <c r="L106" s="61" t="s">
        <v>40</v>
      </c>
      <c r="M106" s="61"/>
      <c r="N106" s="61" t="s">
        <v>40</v>
      </c>
      <c r="O106" s="61" t="s">
        <v>40</v>
      </c>
      <c r="P106" s="61" t="s">
        <v>40</v>
      </c>
      <c r="Q106" s="61"/>
      <c r="R106" s="61" t="s">
        <v>40</v>
      </c>
      <c r="S106" s="61" t="s">
        <v>40</v>
      </c>
      <c r="T106" s="61" t="s">
        <v>40</v>
      </c>
      <c r="U106" s="61" t="s">
        <v>40</v>
      </c>
      <c r="V106" s="61" t="s">
        <v>40</v>
      </c>
      <c r="W106" s="61"/>
      <c r="X106" s="61" t="s">
        <v>40</v>
      </c>
      <c r="Y106" s="61" t="s">
        <v>40</v>
      </c>
      <c r="Z106" s="61" t="s">
        <v>40</v>
      </c>
      <c r="AA106" s="61" t="s">
        <v>40</v>
      </c>
      <c r="AB106" s="61" t="s">
        <v>40</v>
      </c>
      <c r="BA106" s="4"/>
      <c r="BB106" s="4"/>
      <c r="BC106" s="4"/>
      <c r="BD106" s="4"/>
      <c r="BE106" s="4"/>
    </row>
    <row r="107" spans="1:106" x14ac:dyDescent="0.25">
      <c r="A107" s="46"/>
      <c r="B107" s="4"/>
      <c r="C107" s="4"/>
      <c r="D107" s="58">
        <f>SUM(D102:D105)</f>
        <v>5494540.5999999996</v>
      </c>
      <c r="E107" s="58">
        <f>SUM(E102:E105)</f>
        <v>181314.71</v>
      </c>
      <c r="F107" s="58">
        <f>SUM(F102:F105)</f>
        <v>0</v>
      </c>
      <c r="G107" s="58"/>
      <c r="H107" s="58">
        <f>SUM(H102:H105)</f>
        <v>181314.71</v>
      </c>
      <c r="I107" s="58">
        <f>SUM(I102:I105)</f>
        <v>0</v>
      </c>
      <c r="J107" s="58">
        <f>SUM(J102:J105)</f>
        <v>0</v>
      </c>
      <c r="K107" s="58">
        <f>SUM(K102:K105)</f>
        <v>0</v>
      </c>
      <c r="L107" s="58">
        <f>SUM(L102:L105)</f>
        <v>0</v>
      </c>
      <c r="M107" s="58"/>
      <c r="N107" s="58">
        <f>SUM(N102:N105)</f>
        <v>181314.71</v>
      </c>
      <c r="O107" s="58">
        <f>SUM(O102:O105)</f>
        <v>0</v>
      </c>
      <c r="P107" s="58">
        <f>SUM(P102:P105)</f>
        <v>0</v>
      </c>
      <c r="Q107" s="58"/>
      <c r="R107" s="58">
        <f>SUM(R102:R105)</f>
        <v>0</v>
      </c>
      <c r="S107" s="58">
        <f>SUM(S102:S105)</f>
        <v>0</v>
      </c>
      <c r="T107" s="58">
        <f>SUM(T102:T105)</f>
        <v>0</v>
      </c>
      <c r="U107" s="58">
        <f>SUM(U102:U105)</f>
        <v>0</v>
      </c>
      <c r="V107" s="58">
        <f>SUM(V102:V105)</f>
        <v>0</v>
      </c>
      <c r="W107" s="58"/>
      <c r="X107" s="58">
        <f>SUM(X102:X105)</f>
        <v>0</v>
      </c>
      <c r="Y107" s="58">
        <f>SUM(Y102:Y105)</f>
        <v>181314.71</v>
      </c>
      <c r="Z107" s="58">
        <f>SUM(Z102:Z105)</f>
        <v>5313225.8899999997</v>
      </c>
      <c r="AA107" s="58">
        <f>SUM(AA102:AA105)</f>
        <v>181314.71</v>
      </c>
      <c r="AB107" s="58">
        <f>SUM(AB102:AB105)</f>
        <v>5313225.8899999997</v>
      </c>
    </row>
    <row r="108" spans="1:106" x14ac:dyDescent="0.25">
      <c r="A108" s="46"/>
      <c r="B108" s="4"/>
      <c r="C108" s="4"/>
      <c r="D108" s="61" t="s">
        <v>40</v>
      </c>
      <c r="E108" s="61" t="s">
        <v>40</v>
      </c>
      <c r="F108" s="61" t="s">
        <v>40</v>
      </c>
      <c r="G108" s="61"/>
      <c r="H108" s="61" t="s">
        <v>40</v>
      </c>
      <c r="I108" s="61" t="s">
        <v>40</v>
      </c>
      <c r="J108" s="61" t="s">
        <v>40</v>
      </c>
      <c r="K108" s="61" t="s">
        <v>40</v>
      </c>
      <c r="L108" s="61" t="s">
        <v>40</v>
      </c>
      <c r="M108" s="61"/>
      <c r="N108" s="61" t="s">
        <v>40</v>
      </c>
      <c r="O108" s="61" t="s">
        <v>40</v>
      </c>
      <c r="P108" s="61" t="s">
        <v>40</v>
      </c>
      <c r="Q108" s="61"/>
      <c r="R108" s="61" t="s">
        <v>40</v>
      </c>
      <c r="S108" s="61" t="s">
        <v>40</v>
      </c>
      <c r="T108" s="61" t="s">
        <v>40</v>
      </c>
      <c r="U108" s="61" t="s">
        <v>40</v>
      </c>
      <c r="V108" s="61" t="s">
        <v>40</v>
      </c>
      <c r="W108" s="61"/>
      <c r="X108" s="61" t="s">
        <v>40</v>
      </c>
      <c r="Y108" s="61" t="s">
        <v>40</v>
      </c>
      <c r="Z108" s="61" t="s">
        <v>40</v>
      </c>
      <c r="AA108" s="61" t="s">
        <v>40</v>
      </c>
      <c r="AB108" s="61" t="s">
        <v>40</v>
      </c>
      <c r="AW108" s="4"/>
      <c r="AX108" s="4"/>
      <c r="AY108" s="4"/>
      <c r="AZ108" s="4"/>
    </row>
    <row r="109" spans="1:106" x14ac:dyDescent="0.25">
      <c r="A109" s="46"/>
      <c r="B109" s="4"/>
      <c r="C109" s="4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2"/>
      <c r="Z109" s="62"/>
      <c r="AA109" s="61"/>
      <c r="AB109" s="61"/>
      <c r="AR109" s="4"/>
      <c r="AS109" s="4"/>
      <c r="AT109" s="4"/>
      <c r="AU109" s="4"/>
      <c r="AV109" s="4"/>
    </row>
    <row r="110" spans="1:106" x14ac:dyDescent="0.25">
      <c r="A110" s="46">
        <v>10</v>
      </c>
      <c r="B110" s="4" t="s">
        <v>150</v>
      </c>
      <c r="C110" s="2" t="s">
        <v>35</v>
      </c>
      <c r="D110" s="63">
        <v>3610919.24</v>
      </c>
      <c r="E110" s="63">
        <v>3077761.39</v>
      </c>
      <c r="F110" s="63"/>
      <c r="G110" s="63"/>
      <c r="H110" s="63">
        <f>+E110+F110</f>
        <v>3077761.39</v>
      </c>
      <c r="I110" s="63"/>
      <c r="J110" s="63"/>
      <c r="K110" s="63"/>
      <c r="L110" s="63">
        <v>0</v>
      </c>
      <c r="M110" s="63"/>
      <c r="N110" s="63">
        <f>+H110+L110</f>
        <v>3077761.39</v>
      </c>
      <c r="O110" s="63">
        <v>37527.26</v>
      </c>
      <c r="P110" s="63"/>
      <c r="Q110" s="63"/>
      <c r="R110" s="63">
        <f>+O110+P110</f>
        <v>37527.26</v>
      </c>
      <c r="S110" s="63"/>
      <c r="T110" s="63"/>
      <c r="U110" s="63"/>
      <c r="V110" s="63"/>
      <c r="W110" s="63"/>
      <c r="X110" s="63">
        <f>+R110+V110</f>
        <v>37527.26</v>
      </c>
      <c r="Y110" s="64">
        <f>R110+H110</f>
        <v>3115288.65</v>
      </c>
      <c r="Z110" s="64">
        <f>D110-Y110</f>
        <v>495630.59000000032</v>
      </c>
      <c r="AA110" s="64">
        <f>N110+X110</f>
        <v>3115288.65</v>
      </c>
      <c r="AB110" s="64">
        <f>+D110-N110-X110</f>
        <v>495630.59000000008</v>
      </c>
    </row>
    <row r="111" spans="1:106" x14ac:dyDescent="0.25">
      <c r="A111" s="4"/>
      <c r="B111" s="4"/>
      <c r="C111" s="4" t="s">
        <v>317</v>
      </c>
      <c r="D111" s="55">
        <v>3398326.04</v>
      </c>
      <c r="E111" s="55">
        <v>3398326.04</v>
      </c>
      <c r="F111" s="55"/>
      <c r="G111" s="55"/>
      <c r="H111" s="55">
        <f>+E111+F111</f>
        <v>3398326.04</v>
      </c>
      <c r="I111" s="55"/>
      <c r="J111" s="55"/>
      <c r="K111" s="55"/>
      <c r="L111" s="55">
        <v>0</v>
      </c>
      <c r="M111" s="55"/>
      <c r="N111" s="55">
        <f>+H111+L111</f>
        <v>3398326.04</v>
      </c>
      <c r="O111" s="55">
        <v>0</v>
      </c>
      <c r="P111" s="55"/>
      <c r="Q111" s="55"/>
      <c r="R111" s="55">
        <f>+O111+P111</f>
        <v>0</v>
      </c>
      <c r="S111" s="55"/>
      <c r="T111" s="55"/>
      <c r="U111" s="55"/>
      <c r="V111" s="55"/>
      <c r="W111" s="55"/>
      <c r="X111" s="55">
        <f>+R111+V111</f>
        <v>0</v>
      </c>
      <c r="Y111" s="64">
        <f>R111+H111</f>
        <v>3398326.04</v>
      </c>
      <c r="Z111" s="64">
        <f>D111-Y111</f>
        <v>0</v>
      </c>
      <c r="AA111" s="64">
        <f>N111+X111</f>
        <v>3398326.04</v>
      </c>
      <c r="AB111" s="64">
        <f>+D111-N111-X111</f>
        <v>0</v>
      </c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106" x14ac:dyDescent="0.25">
      <c r="C112" s="54" t="s">
        <v>342</v>
      </c>
      <c r="D112" s="55">
        <v>1308680</v>
      </c>
      <c r="E112" s="55">
        <v>1308680</v>
      </c>
      <c r="F112" s="55"/>
      <c r="G112" s="55"/>
      <c r="H112" s="55">
        <f>+E112+F112</f>
        <v>1308680</v>
      </c>
      <c r="I112" s="55"/>
      <c r="J112" s="55"/>
      <c r="K112" s="55"/>
      <c r="L112" s="55">
        <v>0</v>
      </c>
      <c r="M112" s="55"/>
      <c r="N112" s="55">
        <f>+H112+L112</f>
        <v>1308680</v>
      </c>
      <c r="O112" s="55">
        <v>0</v>
      </c>
      <c r="P112" s="55"/>
      <c r="Q112" s="55"/>
      <c r="R112" s="55">
        <f>+O112+P112</f>
        <v>0</v>
      </c>
      <c r="S112" s="55"/>
      <c r="T112" s="55"/>
      <c r="U112" s="55"/>
      <c r="V112" s="55"/>
      <c r="W112" s="55"/>
      <c r="X112" s="55">
        <f>+R112+V112</f>
        <v>0</v>
      </c>
      <c r="Y112" s="64">
        <f>R112+H112</f>
        <v>1308680</v>
      </c>
      <c r="Z112" s="64">
        <f>D112-Y112</f>
        <v>0</v>
      </c>
      <c r="AA112" s="64">
        <f>N112+X112</f>
        <v>1308680</v>
      </c>
      <c r="AB112" s="64">
        <f>+D112-N112-X112</f>
        <v>0</v>
      </c>
    </row>
    <row r="113" spans="1:106" x14ac:dyDescent="0.25">
      <c r="A113" s="46"/>
      <c r="B113" s="4"/>
      <c r="C113" s="155" t="s">
        <v>343</v>
      </c>
      <c r="D113" s="63">
        <v>1146860.75</v>
      </c>
      <c r="E113" s="63">
        <v>1146860.75</v>
      </c>
      <c r="F113" s="63"/>
      <c r="G113" s="63"/>
      <c r="H113" s="63">
        <f>+E113+F113</f>
        <v>1146860.75</v>
      </c>
      <c r="I113" s="63"/>
      <c r="J113" s="63"/>
      <c r="K113" s="63"/>
      <c r="L113" s="63">
        <v>0</v>
      </c>
      <c r="M113" s="63"/>
      <c r="N113" s="63">
        <f>+H113+L113</f>
        <v>1146860.75</v>
      </c>
      <c r="O113" s="63">
        <f>37527.26-37527.26</f>
        <v>0</v>
      </c>
      <c r="P113" s="63"/>
      <c r="Q113" s="63"/>
      <c r="R113" s="63">
        <f>+O113+P113</f>
        <v>0</v>
      </c>
      <c r="S113" s="63"/>
      <c r="T113" s="63"/>
      <c r="U113" s="63"/>
      <c r="V113" s="63"/>
      <c r="W113" s="63"/>
      <c r="X113" s="63">
        <f>+R113+V113</f>
        <v>0</v>
      </c>
      <c r="Y113" s="64">
        <f>R113+H113</f>
        <v>1146860.75</v>
      </c>
      <c r="Z113" s="64">
        <f>D113-Y113</f>
        <v>0</v>
      </c>
      <c r="AA113" s="64">
        <f>N113+X113</f>
        <v>1146860.75</v>
      </c>
      <c r="AB113" s="64">
        <f>+D113-N113-X113</f>
        <v>0</v>
      </c>
    </row>
    <row r="114" spans="1:106" x14ac:dyDescent="0.25">
      <c r="A114" s="46"/>
      <c r="B114" s="4"/>
      <c r="C114" s="4"/>
      <c r="D114" s="61" t="s">
        <v>40</v>
      </c>
      <c r="E114" s="61" t="s">
        <v>40</v>
      </c>
      <c r="F114" s="61" t="s">
        <v>40</v>
      </c>
      <c r="G114" s="61"/>
      <c r="H114" s="61" t="s">
        <v>40</v>
      </c>
      <c r="I114" s="61" t="s">
        <v>40</v>
      </c>
      <c r="J114" s="61" t="s">
        <v>40</v>
      </c>
      <c r="K114" s="61" t="s">
        <v>40</v>
      </c>
      <c r="L114" s="61" t="s">
        <v>40</v>
      </c>
      <c r="M114" s="61"/>
      <c r="N114" s="61" t="s">
        <v>40</v>
      </c>
      <c r="O114" s="61" t="s">
        <v>40</v>
      </c>
      <c r="P114" s="61" t="s">
        <v>40</v>
      </c>
      <c r="Q114" s="61"/>
      <c r="R114" s="61" t="s">
        <v>40</v>
      </c>
      <c r="S114" s="61" t="s">
        <v>40</v>
      </c>
      <c r="T114" s="61" t="s">
        <v>40</v>
      </c>
      <c r="U114" s="61" t="s">
        <v>40</v>
      </c>
      <c r="V114" s="61" t="s">
        <v>40</v>
      </c>
      <c r="W114" s="61"/>
      <c r="X114" s="61" t="s">
        <v>40</v>
      </c>
      <c r="Y114" s="61" t="s">
        <v>40</v>
      </c>
      <c r="Z114" s="61" t="s">
        <v>40</v>
      </c>
      <c r="AA114" s="61" t="s">
        <v>40</v>
      </c>
      <c r="AB114" s="61" t="s">
        <v>40</v>
      </c>
      <c r="AC114" s="124" t="s">
        <v>317</v>
      </c>
      <c r="AD114" s="94">
        <f>+D84+D111+D119+D103</f>
        <v>14305553.33</v>
      </c>
      <c r="AE114" s="94">
        <f>+E84+E111+E119+E103</f>
        <v>14305553.33</v>
      </c>
      <c r="AF114" s="94">
        <f>+F84+F111+F119+F103</f>
        <v>0</v>
      </c>
      <c r="AG114" s="94">
        <f t="shared" ref="AG114:AG120" si="38">+AE114+AF114</f>
        <v>14305553.33</v>
      </c>
      <c r="AH114" s="145">
        <f>+L84+L111+L119+L103</f>
        <v>0</v>
      </c>
      <c r="AI114" s="94">
        <f t="shared" ref="AI114:AI120" si="39">+AG114+AH114</f>
        <v>14305553.33</v>
      </c>
      <c r="AJ114" s="94">
        <f>+O84+O111+O119+O103</f>
        <v>0</v>
      </c>
      <c r="AK114" s="94">
        <f>+P84+P111+P119+P103</f>
        <v>0</v>
      </c>
      <c r="AL114" s="94">
        <f t="shared" ref="AL114:AL120" si="40">+AJ114+AK114</f>
        <v>0</v>
      </c>
      <c r="AM114" s="94">
        <f>+V84+V111+V119+V103</f>
        <v>0</v>
      </c>
      <c r="AN114" s="94">
        <f t="shared" ref="AN114:AN120" si="41">+AL114+AM114</f>
        <v>0</v>
      </c>
      <c r="AO114" s="94">
        <f t="shared" ref="AO114:AO120" si="42">+AG114+AL114</f>
        <v>14305553.33</v>
      </c>
      <c r="AP114" s="94">
        <f t="shared" ref="AP114:AP120" si="43">+AD114-AO114</f>
        <v>0</v>
      </c>
      <c r="AQ114" s="94">
        <f t="shared" ref="AQ114:AQ120" si="44">+AD114-AI114-AN114</f>
        <v>0</v>
      </c>
    </row>
    <row r="115" spans="1:106" x14ac:dyDescent="0.25">
      <c r="A115" s="46"/>
      <c r="B115" s="4"/>
      <c r="C115" s="4"/>
      <c r="D115" s="62">
        <f>SUM(D110:D113)</f>
        <v>9464786.0300000012</v>
      </c>
      <c r="E115" s="62">
        <f>SUM(E110:E113)</f>
        <v>8931628.1799999997</v>
      </c>
      <c r="F115" s="62">
        <f>SUM(F110:F113)</f>
        <v>0</v>
      </c>
      <c r="G115" s="62"/>
      <c r="H115" s="62">
        <f>SUM(H110:H113)</f>
        <v>8931628.1799999997</v>
      </c>
      <c r="I115" s="62">
        <f>SUM(I110:I113)</f>
        <v>0</v>
      </c>
      <c r="J115" s="62">
        <f>SUM(J110:J113)</f>
        <v>0</v>
      </c>
      <c r="K115" s="62">
        <f>SUM(K110:K113)</f>
        <v>0</v>
      </c>
      <c r="L115" s="62">
        <f>SUM(L110:L113)</f>
        <v>0</v>
      </c>
      <c r="M115" s="62"/>
      <c r="N115" s="62">
        <f>SUM(N110:N113)</f>
        <v>8931628.1799999997</v>
      </c>
      <c r="O115" s="62">
        <f>SUM(O110:O113)</f>
        <v>37527.26</v>
      </c>
      <c r="P115" s="62">
        <f>SUM(P110:P113)</f>
        <v>0</v>
      </c>
      <c r="Q115" s="62"/>
      <c r="R115" s="62">
        <f>SUM(R110:R113)</f>
        <v>37527.26</v>
      </c>
      <c r="S115" s="62">
        <f>SUM(S110:S113)</f>
        <v>0</v>
      </c>
      <c r="T115" s="62">
        <f>SUM(T110:T113)</f>
        <v>0</v>
      </c>
      <c r="U115" s="62">
        <f>SUM(U110:U113)</f>
        <v>0</v>
      </c>
      <c r="V115" s="62">
        <f>SUM(V110:V113)</f>
        <v>0</v>
      </c>
      <c r="W115" s="62"/>
      <c r="X115" s="62">
        <f>SUM(X110:X113)</f>
        <v>37527.26</v>
      </c>
      <c r="Y115" s="62">
        <f>SUM(Y110:Y113)</f>
        <v>8969155.4399999995</v>
      </c>
      <c r="Z115" s="62">
        <f>SUM(Z110:Z113)</f>
        <v>495630.59000000032</v>
      </c>
      <c r="AA115" s="62">
        <f>SUM(AA110:AA113)</f>
        <v>8969155.4399999995</v>
      </c>
      <c r="AB115" s="62">
        <f>SUM(AB110:AB113)</f>
        <v>495630.59000000008</v>
      </c>
      <c r="AC115" s="49" t="s">
        <v>47</v>
      </c>
      <c r="AD115" s="94">
        <f>D82+D92+D102+D110+D118</f>
        <v>14392348.26</v>
      </c>
      <c r="AE115" s="94">
        <f>E82+E92+E102+E110+E118</f>
        <v>3077761.39</v>
      </c>
      <c r="AF115">
        <f>F82+F92+F102+F110+F118</f>
        <v>0</v>
      </c>
      <c r="AG115" s="94">
        <f t="shared" si="38"/>
        <v>3077761.39</v>
      </c>
      <c r="AH115">
        <f>L4+L92+L102+L110+L118</f>
        <v>0</v>
      </c>
      <c r="AI115" s="94">
        <f t="shared" si="39"/>
        <v>3077761.39</v>
      </c>
      <c r="AJ115" s="94">
        <f>O82+O92+O102+O110+O118</f>
        <v>893661.5</v>
      </c>
      <c r="AK115" s="94">
        <f>P82+P92+P102+P110+P118</f>
        <v>0</v>
      </c>
      <c r="AL115" s="94">
        <f t="shared" si="40"/>
        <v>893661.5</v>
      </c>
      <c r="AM115" s="94">
        <f>V82+V92+V102+V110+V118</f>
        <v>0</v>
      </c>
      <c r="AN115" s="94">
        <f t="shared" si="41"/>
        <v>893661.5</v>
      </c>
      <c r="AO115" s="94">
        <f t="shared" si="42"/>
        <v>3971422.89</v>
      </c>
      <c r="AP115" s="94">
        <f t="shared" si="43"/>
        <v>10420925.369999999</v>
      </c>
      <c r="AQ115" s="94">
        <f t="shared" si="44"/>
        <v>10420925.369999999</v>
      </c>
    </row>
    <row r="116" spans="1:106" x14ac:dyDescent="0.25">
      <c r="A116" s="46"/>
      <c r="B116" s="4"/>
      <c r="C116" s="4"/>
      <c r="D116" s="61" t="s">
        <v>40</v>
      </c>
      <c r="E116" s="61" t="s">
        <v>40</v>
      </c>
      <c r="F116" s="61" t="s">
        <v>40</v>
      </c>
      <c r="G116" s="61"/>
      <c r="H116" s="61" t="s">
        <v>40</v>
      </c>
      <c r="I116" s="61" t="s">
        <v>40</v>
      </c>
      <c r="J116" s="61" t="s">
        <v>40</v>
      </c>
      <c r="K116" s="61" t="s">
        <v>40</v>
      </c>
      <c r="L116" s="61" t="s">
        <v>40</v>
      </c>
      <c r="M116" s="61"/>
      <c r="N116" s="61" t="s">
        <v>40</v>
      </c>
      <c r="O116" s="61" t="s">
        <v>40</v>
      </c>
      <c r="P116" s="61" t="s">
        <v>40</v>
      </c>
      <c r="Q116" s="61"/>
      <c r="R116" s="61" t="s">
        <v>40</v>
      </c>
      <c r="S116" s="61" t="s">
        <v>40</v>
      </c>
      <c r="T116" s="61" t="s">
        <v>40</v>
      </c>
      <c r="U116" s="61" t="s">
        <v>40</v>
      </c>
      <c r="V116" s="61" t="s">
        <v>40</v>
      </c>
      <c r="W116" s="61"/>
      <c r="X116" s="61" t="s">
        <v>40</v>
      </c>
      <c r="Y116" s="61" t="s">
        <v>40</v>
      </c>
      <c r="Z116" s="61" t="s">
        <v>40</v>
      </c>
      <c r="AA116" s="61" t="s">
        <v>40</v>
      </c>
      <c r="AB116" s="61" t="s">
        <v>40</v>
      </c>
      <c r="AC116" s="49" t="s">
        <v>36</v>
      </c>
      <c r="AD116" s="94">
        <f>D83+D93+D104</f>
        <v>2030719.5</v>
      </c>
      <c r="AE116" s="94">
        <f>E83+E93+E104</f>
        <v>2030719.5</v>
      </c>
      <c r="AF116">
        <f>F83+F93+F104</f>
        <v>0</v>
      </c>
      <c r="AG116" s="94">
        <f t="shared" si="38"/>
        <v>2030719.5</v>
      </c>
      <c r="AH116">
        <f>L83+L93+L104+L113+L122</f>
        <v>0</v>
      </c>
      <c r="AI116" s="94">
        <f t="shared" si="39"/>
        <v>2030719.5</v>
      </c>
      <c r="AJ116" s="94">
        <f>O83+O93+O104</f>
        <v>0</v>
      </c>
      <c r="AK116" s="94">
        <f>P83+P93+P104</f>
        <v>0</v>
      </c>
      <c r="AL116" s="94">
        <f t="shared" si="40"/>
        <v>0</v>
      </c>
      <c r="AM116" s="94">
        <f>V83+V93+V104</f>
        <v>0</v>
      </c>
      <c r="AN116" s="94">
        <f t="shared" si="41"/>
        <v>0</v>
      </c>
      <c r="AO116" s="94">
        <f t="shared" si="42"/>
        <v>2030719.5</v>
      </c>
      <c r="AP116" s="94">
        <f t="shared" si="43"/>
        <v>0</v>
      </c>
      <c r="AQ116" s="94">
        <f t="shared" si="44"/>
        <v>0</v>
      </c>
    </row>
    <row r="117" spans="1:106" x14ac:dyDescent="0.25">
      <c r="A117" s="46"/>
      <c r="B117" s="4"/>
      <c r="C117" s="4"/>
      <c r="D117" s="61"/>
      <c r="E117" s="62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49" t="s">
        <v>53</v>
      </c>
      <c r="AD117" s="94">
        <f t="shared" ref="AD117:AF118" si="45">D85+D95+D122</f>
        <v>10755743.27</v>
      </c>
      <c r="AE117" s="94">
        <f t="shared" si="45"/>
        <v>95118</v>
      </c>
      <c r="AF117">
        <f>F85+F95+F122</f>
        <v>0</v>
      </c>
      <c r="AG117" s="94">
        <f t="shared" si="38"/>
        <v>95118</v>
      </c>
      <c r="AH117">
        <f>L85+L94+L105+L114+L123</f>
        <v>0</v>
      </c>
      <c r="AI117" s="94">
        <f t="shared" si="39"/>
        <v>95118</v>
      </c>
      <c r="AJ117" s="94">
        <f>O85+O95+O122</f>
        <v>9159820.7400000002</v>
      </c>
      <c r="AK117" s="94">
        <f>P85+P95+P122</f>
        <v>0</v>
      </c>
      <c r="AL117" s="94">
        <f t="shared" si="40"/>
        <v>9159820.7400000002</v>
      </c>
      <c r="AM117" s="94">
        <f>V85+V95+V122</f>
        <v>0</v>
      </c>
      <c r="AN117" s="94">
        <f t="shared" si="41"/>
        <v>9159820.7400000002</v>
      </c>
      <c r="AO117" s="94">
        <f t="shared" si="42"/>
        <v>9254938.7400000002</v>
      </c>
      <c r="AP117" s="94">
        <f t="shared" si="43"/>
        <v>1500804.5299999993</v>
      </c>
      <c r="AQ117" s="94">
        <f t="shared" si="44"/>
        <v>1500804.5299999993</v>
      </c>
    </row>
    <row r="118" spans="1:106" x14ac:dyDescent="0.25">
      <c r="A118" s="46">
        <v>11</v>
      </c>
      <c r="B118" s="4" t="s">
        <v>151</v>
      </c>
      <c r="C118" s="2" t="s">
        <v>35</v>
      </c>
      <c r="D118" s="55">
        <v>856134.24</v>
      </c>
      <c r="E118" s="55"/>
      <c r="F118" s="55"/>
      <c r="G118" s="55"/>
      <c r="H118" s="55">
        <f t="shared" ref="H118:H123" si="46">+E118+F118</f>
        <v>0</v>
      </c>
      <c r="I118" s="55"/>
      <c r="J118" s="55"/>
      <c r="K118" s="55"/>
      <c r="L118" s="55"/>
      <c r="M118" s="55"/>
      <c r="N118" s="55">
        <f t="shared" ref="N118:N123" si="47">+H118+L118</f>
        <v>0</v>
      </c>
      <c r="O118" s="55">
        <v>856134.24</v>
      </c>
      <c r="P118" s="55"/>
      <c r="Q118" s="55"/>
      <c r="R118" s="55">
        <f t="shared" ref="R118:R123" si="48">+O118+P118</f>
        <v>856134.24</v>
      </c>
      <c r="S118" s="55"/>
      <c r="T118" s="55"/>
      <c r="U118" s="55"/>
      <c r="V118" s="55"/>
      <c r="W118" s="55"/>
      <c r="X118" s="55">
        <f t="shared" ref="X118:X123" si="49">+R118+V118</f>
        <v>856134.24</v>
      </c>
      <c r="Y118" s="64">
        <f t="shared" ref="Y118:Y123" si="50">R118+H118</f>
        <v>856134.24</v>
      </c>
      <c r="Z118" s="55">
        <f t="shared" ref="Z118:Z123" si="51">+D118-Y118</f>
        <v>0</v>
      </c>
      <c r="AA118" s="55"/>
      <c r="AB118" s="58">
        <f t="shared" ref="AB118:AB123" si="52">+D118-N118-X118</f>
        <v>0</v>
      </c>
      <c r="AC118" s="49" t="s">
        <v>54</v>
      </c>
      <c r="AD118" s="94">
        <f t="shared" si="45"/>
        <v>38237355.840000004</v>
      </c>
      <c r="AE118" s="94">
        <f t="shared" si="45"/>
        <v>0</v>
      </c>
      <c r="AF118">
        <f t="shared" si="45"/>
        <v>0</v>
      </c>
      <c r="AG118" s="94">
        <f t="shared" si="38"/>
        <v>0</v>
      </c>
      <c r="AH118">
        <f>L86+L95+L106+L115+L124</f>
        <v>0</v>
      </c>
      <c r="AI118" s="94">
        <f t="shared" si="39"/>
        <v>0</v>
      </c>
      <c r="AJ118" s="94">
        <f>O86+O96+O123</f>
        <v>38237355.839999996</v>
      </c>
      <c r="AK118" s="94">
        <f>P86+P96+P123</f>
        <v>0</v>
      </c>
      <c r="AL118" s="94">
        <f t="shared" si="40"/>
        <v>38237355.839999996</v>
      </c>
      <c r="AM118" s="94">
        <f>V86+V96+V123</f>
        <v>0</v>
      </c>
      <c r="AN118" s="94">
        <f t="shared" si="41"/>
        <v>38237355.839999996</v>
      </c>
      <c r="AO118" s="94">
        <f t="shared" si="42"/>
        <v>38237355.839999996</v>
      </c>
      <c r="AP118" s="94">
        <f t="shared" si="43"/>
        <v>0</v>
      </c>
      <c r="AQ118" s="94">
        <f t="shared" si="44"/>
        <v>0</v>
      </c>
    </row>
    <row r="119" spans="1:106" s="4" customFormat="1" x14ac:dyDescent="0.25">
      <c r="A119"/>
      <c r="B119"/>
      <c r="C119" s="4" t="s">
        <v>317</v>
      </c>
      <c r="D119" s="55">
        <v>6132528.6399999997</v>
      </c>
      <c r="E119" s="55">
        <v>6132528.6399999997</v>
      </c>
      <c r="F119" s="55"/>
      <c r="G119" s="55"/>
      <c r="H119" s="55">
        <f t="shared" si="46"/>
        <v>6132528.6399999997</v>
      </c>
      <c r="I119" s="55"/>
      <c r="J119" s="55"/>
      <c r="K119" s="55"/>
      <c r="L119" s="55"/>
      <c r="M119" s="55"/>
      <c r="N119" s="55">
        <f t="shared" si="47"/>
        <v>6132528.6399999997</v>
      </c>
      <c r="O119" s="55">
        <v>0</v>
      </c>
      <c r="P119" s="55"/>
      <c r="Q119" s="55"/>
      <c r="R119" s="55">
        <f t="shared" si="48"/>
        <v>0</v>
      </c>
      <c r="S119" s="55"/>
      <c r="T119" s="55"/>
      <c r="U119" s="55"/>
      <c r="V119" s="55"/>
      <c r="W119" s="55"/>
      <c r="X119" s="55">
        <f t="shared" si="49"/>
        <v>0</v>
      </c>
      <c r="Y119" s="64">
        <f t="shared" si="50"/>
        <v>6132528.6399999997</v>
      </c>
      <c r="Z119" s="55">
        <f t="shared" si="51"/>
        <v>0</v>
      </c>
      <c r="AA119" s="55"/>
      <c r="AB119" s="58">
        <f t="shared" si="52"/>
        <v>0</v>
      </c>
      <c r="AC119" s="49" t="s">
        <v>329</v>
      </c>
      <c r="AD119" s="94">
        <f>+D121</f>
        <v>448459.17</v>
      </c>
      <c r="AE119" s="94">
        <f>+E121</f>
        <v>448459.17</v>
      </c>
      <c r="AF119" s="94">
        <f>+F121</f>
        <v>0</v>
      </c>
      <c r="AG119" s="94">
        <f t="shared" si="38"/>
        <v>448459.17</v>
      </c>
      <c r="AH119" s="145">
        <f>+L121</f>
        <v>0</v>
      </c>
      <c r="AI119" s="94">
        <f t="shared" si="39"/>
        <v>448459.17</v>
      </c>
      <c r="AJ119" s="94">
        <f>+O121</f>
        <v>0</v>
      </c>
      <c r="AK119" s="94">
        <f>+P121</f>
        <v>0</v>
      </c>
      <c r="AL119" s="94">
        <f t="shared" si="40"/>
        <v>0</v>
      </c>
      <c r="AM119" s="94">
        <f>+V121</f>
        <v>0</v>
      </c>
      <c r="AN119" s="94">
        <f t="shared" si="41"/>
        <v>0</v>
      </c>
      <c r="AO119" s="94">
        <f t="shared" si="42"/>
        <v>448459.17</v>
      </c>
      <c r="AP119" s="94">
        <f t="shared" si="43"/>
        <v>0</v>
      </c>
      <c r="AQ119" s="94">
        <f t="shared" si="44"/>
        <v>0</v>
      </c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</row>
    <row r="120" spans="1:106" x14ac:dyDescent="0.25">
      <c r="C120" s="4" t="s">
        <v>290</v>
      </c>
      <c r="D120" s="55">
        <f>3500000+3500000+2500000+3500000+3500000+3500000+3500000+3500000+4500000+4500000+4500000+4500000+4000000+4000000</f>
        <v>53000000</v>
      </c>
      <c r="E120" s="55">
        <f>3500000+3500000+2500000+3500000+3500000+3500000+3500000+3500000+4500000+4500000+4500000+4500000+4000000</f>
        <v>49000000</v>
      </c>
      <c r="F120" s="55">
        <v>4000000</v>
      </c>
      <c r="G120" s="55"/>
      <c r="H120" s="55">
        <f t="shared" si="46"/>
        <v>53000000</v>
      </c>
      <c r="I120" s="55"/>
      <c r="J120" s="55"/>
      <c r="K120" s="55"/>
      <c r="L120" s="55"/>
      <c r="M120" s="55"/>
      <c r="N120" s="55">
        <f t="shared" si="47"/>
        <v>53000000</v>
      </c>
      <c r="O120" s="55">
        <v>0</v>
      </c>
      <c r="P120" s="55"/>
      <c r="Q120" s="55"/>
      <c r="R120" s="55">
        <f t="shared" si="48"/>
        <v>0</v>
      </c>
      <c r="S120" s="55"/>
      <c r="T120" s="55"/>
      <c r="U120" s="55"/>
      <c r="V120" s="55"/>
      <c r="W120" s="55"/>
      <c r="X120" s="55">
        <f t="shared" si="49"/>
        <v>0</v>
      </c>
      <c r="Y120" s="64">
        <f t="shared" si="50"/>
        <v>53000000</v>
      </c>
      <c r="Z120" s="55">
        <f t="shared" si="51"/>
        <v>0</v>
      </c>
      <c r="AA120" s="55"/>
      <c r="AB120" s="58">
        <f t="shared" si="52"/>
        <v>0</v>
      </c>
      <c r="AC120" s="49" t="s">
        <v>323</v>
      </c>
      <c r="AD120" s="94">
        <f>+D120</f>
        <v>53000000</v>
      </c>
      <c r="AE120" s="94">
        <f>+E120</f>
        <v>49000000</v>
      </c>
      <c r="AF120">
        <f>+F120</f>
        <v>4000000</v>
      </c>
      <c r="AG120" s="94">
        <f t="shared" si="38"/>
        <v>53000000</v>
      </c>
      <c r="AH120">
        <f>+L120</f>
        <v>0</v>
      </c>
      <c r="AI120" s="94">
        <f t="shared" si="39"/>
        <v>53000000</v>
      </c>
      <c r="AJ120" s="94">
        <f>+O120</f>
        <v>0</v>
      </c>
      <c r="AK120" s="94">
        <f>+P120</f>
        <v>0</v>
      </c>
      <c r="AL120" s="94">
        <f t="shared" si="40"/>
        <v>0</v>
      </c>
      <c r="AM120" s="94">
        <f>+V120</f>
        <v>0</v>
      </c>
      <c r="AN120" s="94">
        <f t="shared" si="41"/>
        <v>0</v>
      </c>
      <c r="AO120" s="94">
        <f t="shared" si="42"/>
        <v>53000000</v>
      </c>
      <c r="AP120" s="94">
        <f t="shared" si="43"/>
        <v>0</v>
      </c>
      <c r="AQ120" s="94">
        <f t="shared" si="44"/>
        <v>0</v>
      </c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</row>
    <row r="121" spans="1:106" x14ac:dyDescent="0.25">
      <c r="C121" s="4" t="s">
        <v>329</v>
      </c>
      <c r="D121" s="55">
        <v>448459.17</v>
      </c>
      <c r="E121" s="55">
        <v>448459.17</v>
      </c>
      <c r="F121" s="55"/>
      <c r="G121" s="55"/>
      <c r="H121" s="55">
        <f>+E121+F121</f>
        <v>448459.17</v>
      </c>
      <c r="I121" s="55"/>
      <c r="J121" s="55"/>
      <c r="K121" s="55"/>
      <c r="L121" s="55"/>
      <c r="M121" s="55"/>
      <c r="N121" s="55">
        <f>+H121+L121</f>
        <v>448459.17</v>
      </c>
      <c r="O121" s="55">
        <v>0</v>
      </c>
      <c r="P121" s="55"/>
      <c r="Q121" s="55"/>
      <c r="R121" s="55">
        <f>+O121+P121</f>
        <v>0</v>
      </c>
      <c r="S121" s="55"/>
      <c r="T121" s="55"/>
      <c r="U121" s="55"/>
      <c r="V121" s="55"/>
      <c r="W121" s="55"/>
      <c r="X121" s="55">
        <f>+R121+V121</f>
        <v>0</v>
      </c>
      <c r="Y121" s="64">
        <f>R121+H121</f>
        <v>448459.17</v>
      </c>
      <c r="Z121" s="55">
        <f>+D121-Y121</f>
        <v>0</v>
      </c>
      <c r="AA121" s="55"/>
      <c r="AB121" s="58">
        <f>+D121-N121-X121</f>
        <v>0</v>
      </c>
      <c r="BL121" s="4"/>
    </row>
    <row r="122" spans="1:106" x14ac:dyDescent="0.25">
      <c r="A122" s="46"/>
      <c r="B122" s="4"/>
      <c r="C122" s="4" t="s">
        <v>53</v>
      </c>
      <c r="D122" s="55">
        <f>8583308.44-6132528.64</f>
        <v>2450779.7999999998</v>
      </c>
      <c r="E122" s="55">
        <f>448459.17-448459.17</f>
        <v>0</v>
      </c>
      <c r="F122" s="55"/>
      <c r="G122" s="55"/>
      <c r="H122" s="55">
        <f>+E122+F122</f>
        <v>0</v>
      </c>
      <c r="I122" s="55"/>
      <c r="J122" s="55"/>
      <c r="K122" s="55"/>
      <c r="L122" s="55"/>
      <c r="M122" s="55"/>
      <c r="N122" s="55">
        <f t="shared" si="47"/>
        <v>0</v>
      </c>
      <c r="O122" s="55">
        <v>1386884.14</v>
      </c>
      <c r="P122" s="55"/>
      <c r="Q122" s="55"/>
      <c r="R122" s="55">
        <f t="shared" si="48"/>
        <v>1386884.14</v>
      </c>
      <c r="S122" s="55"/>
      <c r="T122" s="55"/>
      <c r="U122" s="55"/>
      <c r="V122" s="55"/>
      <c r="W122" s="55"/>
      <c r="X122" s="55">
        <f t="shared" si="49"/>
        <v>1386884.14</v>
      </c>
      <c r="Y122" s="64">
        <f t="shared" si="50"/>
        <v>1386884.14</v>
      </c>
      <c r="Z122" s="55">
        <f t="shared" si="51"/>
        <v>1063895.6599999999</v>
      </c>
      <c r="AA122" s="55"/>
      <c r="AB122" s="58">
        <f t="shared" si="52"/>
        <v>1063895.6599999999</v>
      </c>
      <c r="AC122" s="49" t="s">
        <v>256</v>
      </c>
      <c r="AD122" s="94">
        <f>+D113+D112</f>
        <v>2455540.75</v>
      </c>
      <c r="AE122" s="94">
        <f>+E113+E112</f>
        <v>2455540.75</v>
      </c>
      <c r="AF122">
        <f>+F113+F112</f>
        <v>0</v>
      </c>
      <c r="AG122" s="94">
        <f>+AE122+AF122</f>
        <v>2455540.75</v>
      </c>
      <c r="AH122">
        <f>L87+L96+L107+L116+L125+L112</f>
        <v>0</v>
      </c>
      <c r="AI122" s="94">
        <f>+AG122+AH122</f>
        <v>2455540.75</v>
      </c>
      <c r="AJ122" s="94">
        <f>+O112</f>
        <v>0</v>
      </c>
      <c r="AK122" s="94">
        <f>+P113+P112</f>
        <v>0</v>
      </c>
      <c r="AL122" s="94">
        <f>+AJ122+AK122</f>
        <v>0</v>
      </c>
      <c r="AM122" s="94">
        <f>+V113+V112</f>
        <v>0</v>
      </c>
      <c r="AN122" s="94">
        <f>+AL122+AM122</f>
        <v>0</v>
      </c>
      <c r="AO122" s="94">
        <f>+AG122+AL122</f>
        <v>2455540.75</v>
      </c>
      <c r="AP122" s="94">
        <f>+AD122-AO122</f>
        <v>0</v>
      </c>
      <c r="AQ122" s="94">
        <f>+AD122-AI122-AN122</f>
        <v>0</v>
      </c>
      <c r="BF122" s="4"/>
      <c r="BG122" s="4"/>
      <c r="BH122" s="4"/>
      <c r="BI122" s="4"/>
      <c r="BJ122" s="4"/>
      <c r="BK122" s="4"/>
    </row>
    <row r="123" spans="1:106" x14ac:dyDescent="0.25">
      <c r="A123" s="46"/>
      <c r="B123" s="4"/>
      <c r="C123" s="4" t="s">
        <v>54</v>
      </c>
      <c r="D123" s="55">
        <v>5603896.2599999998</v>
      </c>
      <c r="E123" s="55">
        <v>0</v>
      </c>
      <c r="F123" s="55"/>
      <c r="G123" s="55"/>
      <c r="H123" s="55">
        <f t="shared" si="46"/>
        <v>0</v>
      </c>
      <c r="I123" s="55"/>
      <c r="J123" s="55"/>
      <c r="K123" s="55"/>
      <c r="L123" s="55"/>
      <c r="M123" s="55"/>
      <c r="N123" s="55">
        <f t="shared" si="47"/>
        <v>0</v>
      </c>
      <c r="O123" s="55">
        <v>5603896.2599999998</v>
      </c>
      <c r="P123" s="55"/>
      <c r="Q123" s="55"/>
      <c r="R123" s="55">
        <f t="shared" si="48"/>
        <v>5603896.2599999998</v>
      </c>
      <c r="S123" s="55"/>
      <c r="T123" s="55"/>
      <c r="U123" s="55"/>
      <c r="V123" s="55"/>
      <c r="W123" s="55"/>
      <c r="X123" s="55">
        <f t="shared" si="49"/>
        <v>5603896.2599999998</v>
      </c>
      <c r="Y123" s="64">
        <f t="shared" si="50"/>
        <v>5603896.2599999998</v>
      </c>
      <c r="Z123" s="55">
        <f t="shared" si="51"/>
        <v>0</v>
      </c>
      <c r="AA123" s="55"/>
      <c r="AB123" s="58">
        <f t="shared" si="52"/>
        <v>0</v>
      </c>
      <c r="AC123" s="49" t="s">
        <v>38</v>
      </c>
      <c r="AD123" s="94">
        <f>+D105</f>
        <v>1774247.49</v>
      </c>
      <c r="AE123" s="94">
        <f>+E105</f>
        <v>0</v>
      </c>
      <c r="AF123">
        <f>+F105</f>
        <v>0</v>
      </c>
      <c r="AG123" s="94">
        <f>+AE123+AF123</f>
        <v>0</v>
      </c>
      <c r="AH123">
        <f>L88+L97+L108+L117+L126</f>
        <v>0</v>
      </c>
      <c r="AI123" s="94">
        <f>+AG123+AH123</f>
        <v>0</v>
      </c>
      <c r="AJ123" s="94">
        <f>+O105</f>
        <v>0</v>
      </c>
      <c r="AK123" s="94">
        <f>+P105</f>
        <v>0</v>
      </c>
      <c r="AL123" s="94">
        <f>+AJ123+AK123</f>
        <v>0</v>
      </c>
      <c r="AM123" s="94">
        <f>+R105</f>
        <v>0</v>
      </c>
      <c r="AN123" s="94">
        <f>+AL123+AM123</f>
        <v>0</v>
      </c>
      <c r="AO123" s="94">
        <f>+AG123+AL123</f>
        <v>0</v>
      </c>
      <c r="AP123" s="94">
        <f>+AD123-AO123</f>
        <v>1774247.49</v>
      </c>
      <c r="AQ123" s="94">
        <f>+AD123-AI123-AN123</f>
        <v>1774247.49</v>
      </c>
      <c r="BA123" s="4"/>
      <c r="BB123" s="4"/>
      <c r="BC123" s="4"/>
      <c r="BD123" s="4"/>
      <c r="BE123" s="4"/>
    </row>
    <row r="124" spans="1:106" x14ac:dyDescent="0.25">
      <c r="A124" s="46"/>
      <c r="B124" s="4"/>
      <c r="C124" s="4"/>
      <c r="D124" s="61" t="s">
        <v>40</v>
      </c>
      <c r="E124" s="61" t="s">
        <v>40</v>
      </c>
      <c r="F124" s="61" t="s">
        <v>40</v>
      </c>
      <c r="G124" s="61"/>
      <c r="H124" s="61" t="s">
        <v>40</v>
      </c>
      <c r="I124" s="61" t="s">
        <v>40</v>
      </c>
      <c r="J124" s="61" t="s">
        <v>40</v>
      </c>
      <c r="K124" s="61" t="s">
        <v>40</v>
      </c>
      <c r="L124" s="61" t="s">
        <v>40</v>
      </c>
      <c r="M124" s="61"/>
      <c r="N124" s="61" t="s">
        <v>40</v>
      </c>
      <c r="O124" s="61" t="s">
        <v>40</v>
      </c>
      <c r="P124" s="61" t="s">
        <v>40</v>
      </c>
      <c r="Q124" s="61"/>
      <c r="R124" s="61" t="s">
        <v>40</v>
      </c>
      <c r="S124" s="61" t="s">
        <v>40</v>
      </c>
      <c r="T124" s="61" t="s">
        <v>40</v>
      </c>
      <c r="U124" s="61" t="s">
        <v>40</v>
      </c>
      <c r="V124" s="61" t="s">
        <v>40</v>
      </c>
      <c r="W124" s="61"/>
      <c r="X124" s="61" t="s">
        <v>40</v>
      </c>
      <c r="Y124" s="61" t="s">
        <v>40</v>
      </c>
      <c r="Z124" s="65" t="s">
        <v>165</v>
      </c>
      <c r="AA124" s="61" t="s">
        <v>40</v>
      </c>
      <c r="AB124" s="65" t="s">
        <v>165</v>
      </c>
      <c r="AC124" s="49" t="s">
        <v>167</v>
      </c>
      <c r="AD124" s="94">
        <f>+D97</f>
        <v>200000</v>
      </c>
      <c r="AE124" s="94">
        <f>+E97</f>
        <v>0</v>
      </c>
      <c r="AF124">
        <f>+F97</f>
        <v>0</v>
      </c>
      <c r="AG124" s="94">
        <f>+AE124+AF124</f>
        <v>0</v>
      </c>
      <c r="AH124">
        <f>L89+L98+L109+L118+L127</f>
        <v>0</v>
      </c>
      <c r="AI124" s="94">
        <f>+AG124+AH124</f>
        <v>0</v>
      </c>
      <c r="AJ124" s="94">
        <f>+O97</f>
        <v>0</v>
      </c>
      <c r="AK124" s="94">
        <f>+P97</f>
        <v>0</v>
      </c>
      <c r="AL124" s="94">
        <f>+AJ124+AK124</f>
        <v>0</v>
      </c>
      <c r="AM124" s="94">
        <f>+V97</f>
        <v>0</v>
      </c>
      <c r="AN124" s="94">
        <f>+AL124+AM124</f>
        <v>0</v>
      </c>
      <c r="AO124" s="94">
        <f>+AG124+AL124</f>
        <v>0</v>
      </c>
      <c r="AP124" s="94">
        <f>+AD124-AO124</f>
        <v>200000</v>
      </c>
      <c r="AQ124" s="94">
        <f>+AD124-AI124-AN124</f>
        <v>200000</v>
      </c>
    </row>
    <row r="125" spans="1:106" x14ac:dyDescent="0.25">
      <c r="A125" s="46"/>
      <c r="B125" s="4"/>
      <c r="C125" s="4"/>
      <c r="D125" s="55">
        <f>SUM(D118:D123)</f>
        <v>68491798.109999999</v>
      </c>
      <c r="E125" s="55">
        <f>SUM(E118:E123)</f>
        <v>55580987.810000002</v>
      </c>
      <c r="F125" s="55">
        <f>SUM(F118:F123)</f>
        <v>4000000</v>
      </c>
      <c r="G125" s="55"/>
      <c r="H125" s="55">
        <f>SUM(H118:H123)</f>
        <v>59580987.810000002</v>
      </c>
      <c r="I125" s="55">
        <f>SUM(I118:I123)</f>
        <v>0</v>
      </c>
      <c r="J125" s="55">
        <f>SUM(J118:J123)</f>
        <v>0</v>
      </c>
      <c r="K125" s="55">
        <f>SUM(K118:K123)</f>
        <v>0</v>
      </c>
      <c r="L125" s="55">
        <f>SUM(L118:L123)</f>
        <v>0</v>
      </c>
      <c r="M125" s="55"/>
      <c r="N125" s="55">
        <f>SUM(N118:N123)</f>
        <v>59580987.810000002</v>
      </c>
      <c r="O125" s="55">
        <f>SUM(O118:O123)</f>
        <v>7846914.6399999997</v>
      </c>
      <c r="P125" s="55">
        <f>SUM(P118:P123)</f>
        <v>0</v>
      </c>
      <c r="Q125" s="55"/>
      <c r="R125" s="55">
        <f>SUM(R118:R123)</f>
        <v>7846914.6399999997</v>
      </c>
      <c r="S125" s="55">
        <f>SUM(S118:S123)</f>
        <v>0</v>
      </c>
      <c r="T125" s="55">
        <f>SUM(T118:T123)</f>
        <v>0</v>
      </c>
      <c r="U125" s="55">
        <f>SUM(U118:U123)</f>
        <v>0</v>
      </c>
      <c r="V125" s="55">
        <f>SUM(V118:V123)</f>
        <v>0</v>
      </c>
      <c r="W125" s="55"/>
      <c r="X125" s="55">
        <f>SUM(X118:X123)</f>
        <v>7846914.6399999997</v>
      </c>
      <c r="Y125" s="55">
        <f>SUM(Y118:Y123)</f>
        <v>67427902.450000003</v>
      </c>
      <c r="Z125" s="55">
        <f>SUM(Z118:Z123)</f>
        <v>1063895.6599999999</v>
      </c>
      <c r="AA125" s="55">
        <f>SUM(AA118:AA123)</f>
        <v>0</v>
      </c>
      <c r="AB125" s="55">
        <f>SUM(AB118:AB123)</f>
        <v>1063895.6599999999</v>
      </c>
      <c r="AC125" s="49" t="s">
        <v>44</v>
      </c>
      <c r="AD125" s="94">
        <f>+D94</f>
        <v>25000000</v>
      </c>
      <c r="AE125" s="94">
        <f>+E94</f>
        <v>25000000</v>
      </c>
      <c r="AF125">
        <f>+F94</f>
        <v>0</v>
      </c>
      <c r="AG125" s="94">
        <f>+AE125+AF125</f>
        <v>25000000</v>
      </c>
      <c r="AH125">
        <f>L90+L99+L110+L122+L128</f>
        <v>0</v>
      </c>
      <c r="AI125" s="94">
        <f>+AG125+AH125</f>
        <v>25000000</v>
      </c>
      <c r="AJ125" s="94">
        <f>+O94</f>
        <v>0</v>
      </c>
      <c r="AK125" s="94">
        <f>+P94</f>
        <v>0</v>
      </c>
      <c r="AL125" s="94">
        <f>+AJ125+AK125</f>
        <v>0</v>
      </c>
      <c r="AM125" s="94">
        <f>+V94</f>
        <v>0</v>
      </c>
      <c r="AN125" s="94">
        <f>+AL125+AM125</f>
        <v>0</v>
      </c>
      <c r="AO125" s="94">
        <f>+AG125+AL125</f>
        <v>25000000</v>
      </c>
      <c r="AP125" s="94">
        <f>+AD125-AO125</f>
        <v>0</v>
      </c>
      <c r="AQ125" s="94">
        <f>+AD125-AI125-AN125</f>
        <v>0</v>
      </c>
      <c r="AW125" s="4"/>
      <c r="AX125" s="4"/>
      <c r="AY125" s="4"/>
      <c r="AZ125" s="4"/>
    </row>
    <row r="126" spans="1:106" x14ac:dyDescent="0.25">
      <c r="A126" s="46"/>
      <c r="B126" s="4"/>
      <c r="C126" s="4"/>
      <c r="D126" s="61" t="s">
        <v>40</v>
      </c>
      <c r="E126" s="61" t="s">
        <v>40</v>
      </c>
      <c r="F126" s="61" t="s">
        <v>40</v>
      </c>
      <c r="G126" s="61"/>
      <c r="H126" s="61" t="s">
        <v>40</v>
      </c>
      <c r="I126" s="61" t="s">
        <v>40</v>
      </c>
      <c r="J126" s="61" t="s">
        <v>40</v>
      </c>
      <c r="K126" s="61" t="s">
        <v>40</v>
      </c>
      <c r="L126" s="61" t="s">
        <v>40</v>
      </c>
      <c r="M126" s="61"/>
      <c r="N126" s="61" t="s">
        <v>40</v>
      </c>
      <c r="O126" s="61" t="s">
        <v>40</v>
      </c>
      <c r="P126" s="61" t="s">
        <v>40</v>
      </c>
      <c r="Q126" s="61"/>
      <c r="R126" s="61" t="s">
        <v>40</v>
      </c>
      <c r="S126" s="61" t="s">
        <v>40</v>
      </c>
      <c r="T126" s="61" t="s">
        <v>40</v>
      </c>
      <c r="U126" s="61" t="s">
        <v>40</v>
      </c>
      <c r="V126" s="61" t="s">
        <v>40</v>
      </c>
      <c r="W126" s="61"/>
      <c r="X126" s="61" t="s">
        <v>40</v>
      </c>
      <c r="Y126" s="61" t="s">
        <v>40</v>
      </c>
      <c r="Z126" s="61" t="s">
        <v>40</v>
      </c>
      <c r="AA126" s="61" t="s">
        <v>40</v>
      </c>
      <c r="AB126" s="65" t="s">
        <v>165</v>
      </c>
      <c r="AC126" s="49" t="s">
        <v>261</v>
      </c>
      <c r="AD126" s="94">
        <f>+D87</f>
        <v>5000000</v>
      </c>
      <c r="AE126" s="94">
        <f>+E87</f>
        <v>5000000</v>
      </c>
      <c r="AF126">
        <f>+F87</f>
        <v>0</v>
      </c>
      <c r="AG126" s="94">
        <f>+AE126+AF126</f>
        <v>5000000</v>
      </c>
      <c r="AH126">
        <f>L91+L100+L113+L123+L129</f>
        <v>0</v>
      </c>
      <c r="AI126" s="94">
        <f>+AG126+AH126</f>
        <v>5000000</v>
      </c>
      <c r="AJ126" s="94">
        <f>+O87</f>
        <v>0</v>
      </c>
      <c r="AK126" s="94">
        <f>+P87</f>
        <v>0</v>
      </c>
      <c r="AL126" s="94">
        <f>+AJ126+AK126</f>
        <v>0</v>
      </c>
      <c r="AM126" s="94">
        <f>+V87</f>
        <v>0</v>
      </c>
      <c r="AN126" s="94">
        <f>+AL126+AM126</f>
        <v>0</v>
      </c>
      <c r="AO126" s="94">
        <f>+AG126+AL126</f>
        <v>5000000</v>
      </c>
      <c r="AP126" s="94">
        <f>+AD126-AO126</f>
        <v>0</v>
      </c>
      <c r="AQ126" s="94">
        <f>+AD126-AI126-AN126</f>
        <v>0</v>
      </c>
    </row>
    <row r="127" spans="1:106" x14ac:dyDescent="0.25">
      <c r="A127" s="46"/>
      <c r="B127" s="21" t="s">
        <v>3</v>
      </c>
      <c r="C127" s="21" t="s">
        <v>240</v>
      </c>
      <c r="D127" s="55">
        <f>D89+D99+D107+D115+D125</f>
        <v>167599967.61000001</v>
      </c>
      <c r="E127" s="55">
        <f>E89+E99+E107+E115+E125</f>
        <v>101413152.14</v>
      </c>
      <c r="F127" s="55">
        <f>F89+F99+F107+F115+F125</f>
        <v>4000000</v>
      </c>
      <c r="G127" s="55"/>
      <c r="H127" s="55">
        <f>H89+H99+H107+H115+H125</f>
        <v>105413152.14</v>
      </c>
      <c r="I127" s="55">
        <f>I89+I99+I107+I115+I125</f>
        <v>0</v>
      </c>
      <c r="J127" s="55">
        <f>J89+J99+J107+J115+J125</f>
        <v>0</v>
      </c>
      <c r="K127" s="55">
        <f>K89+K99+K107+K115+K125</f>
        <v>0</v>
      </c>
      <c r="L127" s="55">
        <f>L89+L99+L107+L115+L125</f>
        <v>0</v>
      </c>
      <c r="M127" s="55"/>
      <c r="N127" s="55">
        <f>N89+N99+N107+N115+N125</f>
        <v>105413152.14</v>
      </c>
      <c r="O127" s="55">
        <f>O89+O99+O107+O115+O125</f>
        <v>48290838.079999998</v>
      </c>
      <c r="P127" s="55">
        <f>P89+P99+P107+P115+P125</f>
        <v>0</v>
      </c>
      <c r="Q127" s="55"/>
      <c r="R127" s="55">
        <f>R89+R99+R107+R115+R125</f>
        <v>48290838.079999998</v>
      </c>
      <c r="S127" s="55">
        <f>S89+S99+S107+S115+S125</f>
        <v>0</v>
      </c>
      <c r="T127" s="55">
        <f>T89+T99+T107+T115+T125</f>
        <v>0</v>
      </c>
      <c r="U127" s="55">
        <f>U89+U99+U107+U115+U125</f>
        <v>0</v>
      </c>
      <c r="V127" s="55">
        <f>V89+V99+V107+V115+V125</f>
        <v>0</v>
      </c>
      <c r="W127" s="55"/>
      <c r="X127" s="55">
        <f>X89+X99+X107+X115+X125</f>
        <v>48290838.079999998</v>
      </c>
      <c r="Y127" s="55">
        <f>Y89+Y99+Y107+Y115+Y125</f>
        <v>153703990.22</v>
      </c>
      <c r="Z127" s="55">
        <f>Z89+Z99+Z107+Z115+Z125</f>
        <v>13895977.389999999</v>
      </c>
      <c r="AA127" s="55">
        <f>AA89+AA99+AA107+AA115+AA125</f>
        <v>86276087.769999996</v>
      </c>
      <c r="AB127" s="55">
        <f>AB89+AB99+AB107+AB115+AB125</f>
        <v>13895977.389999999</v>
      </c>
      <c r="AD127" s="95">
        <f t="shared" ref="AD127:AQ127" si="53">SUM(AD114:AD126)</f>
        <v>167599967.61000001</v>
      </c>
      <c r="AE127" s="95">
        <f t="shared" si="53"/>
        <v>101413152.14</v>
      </c>
      <c r="AF127" s="95">
        <f t="shared" si="53"/>
        <v>4000000</v>
      </c>
      <c r="AG127" s="95">
        <f t="shared" si="53"/>
        <v>105413152.14</v>
      </c>
      <c r="AH127" s="4">
        <f t="shared" si="53"/>
        <v>0</v>
      </c>
      <c r="AI127" s="4">
        <f t="shared" si="53"/>
        <v>105413152.14</v>
      </c>
      <c r="AJ127" s="95">
        <f t="shared" si="53"/>
        <v>48290838.079999998</v>
      </c>
      <c r="AK127" s="4">
        <f t="shared" si="53"/>
        <v>0</v>
      </c>
      <c r="AL127" s="4">
        <f t="shared" si="53"/>
        <v>48290838.079999998</v>
      </c>
      <c r="AM127" s="4">
        <f t="shared" si="53"/>
        <v>0</v>
      </c>
      <c r="AN127" s="4">
        <f t="shared" si="53"/>
        <v>48290838.079999998</v>
      </c>
      <c r="AO127" s="4">
        <f t="shared" si="53"/>
        <v>153703990.22</v>
      </c>
      <c r="AP127" s="95">
        <f t="shared" si="53"/>
        <v>13895977.389999999</v>
      </c>
      <c r="AQ127" s="95">
        <f t="shared" si="53"/>
        <v>13895977.389999999</v>
      </c>
      <c r="AT127" s="4"/>
      <c r="AU127" s="4"/>
      <c r="AV127" s="4"/>
    </row>
    <row r="128" spans="1:106" x14ac:dyDescent="0.25">
      <c r="A128" s="46"/>
      <c r="B128" s="4"/>
      <c r="C128" s="4"/>
      <c r="D128" s="61" t="s">
        <v>50</v>
      </c>
      <c r="E128" s="61" t="s">
        <v>50</v>
      </c>
      <c r="F128" s="61" t="s">
        <v>50</v>
      </c>
      <c r="G128" s="61"/>
      <c r="H128" s="61" t="s">
        <v>50</v>
      </c>
      <c r="I128" s="61" t="s">
        <v>50</v>
      </c>
      <c r="J128" s="61" t="s">
        <v>50</v>
      </c>
      <c r="K128" s="61" t="s">
        <v>50</v>
      </c>
      <c r="L128" s="61" t="s">
        <v>50</v>
      </c>
      <c r="M128" s="61"/>
      <c r="N128" s="61" t="s">
        <v>50</v>
      </c>
      <c r="O128" s="61" t="s">
        <v>50</v>
      </c>
      <c r="P128" s="61" t="s">
        <v>50</v>
      </c>
      <c r="Q128" s="61"/>
      <c r="R128" s="61" t="s">
        <v>50</v>
      </c>
      <c r="S128" s="61" t="s">
        <v>50</v>
      </c>
      <c r="T128" s="61" t="s">
        <v>50</v>
      </c>
      <c r="U128" s="61" t="s">
        <v>50</v>
      </c>
      <c r="V128" s="61" t="s">
        <v>50</v>
      </c>
      <c r="W128" s="61"/>
      <c r="X128" s="61" t="s">
        <v>50</v>
      </c>
      <c r="Y128" s="61" t="s">
        <v>50</v>
      </c>
      <c r="Z128" s="61" t="s">
        <v>50</v>
      </c>
      <c r="AA128" s="61" t="s">
        <v>50</v>
      </c>
      <c r="AB128" s="61" t="s">
        <v>50</v>
      </c>
      <c r="AS128" s="4"/>
    </row>
    <row r="129" spans="1:44" x14ac:dyDescent="0.25">
      <c r="A129" s="46"/>
      <c r="B129" s="4"/>
      <c r="C129" s="20"/>
      <c r="F129" s="104"/>
      <c r="G129" s="105"/>
      <c r="H129" s="119"/>
      <c r="I129" s="105"/>
      <c r="J129" s="105"/>
      <c r="K129" s="105"/>
      <c r="L129" s="119"/>
      <c r="M129" s="10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P129" s="94"/>
      <c r="AQ129" s="94"/>
      <c r="AR129" s="4"/>
    </row>
    <row r="130" spans="1:44" ht="19.5" x14ac:dyDescent="0.35">
      <c r="A130" s="46"/>
      <c r="B130" s="48" t="s">
        <v>168</v>
      </c>
      <c r="C130" s="4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44" x14ac:dyDescent="0.25">
      <c r="A131" s="46"/>
      <c r="B131" s="16"/>
      <c r="C131" s="14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55"/>
      <c r="V131" s="55"/>
      <c r="W131" s="55"/>
      <c r="X131" s="55"/>
      <c r="Y131" s="55"/>
      <c r="Z131" s="55"/>
      <c r="AA131" s="55"/>
      <c r="AB131" s="55"/>
    </row>
    <row r="132" spans="1:44" x14ac:dyDescent="0.25">
      <c r="A132" s="46">
        <v>12</v>
      </c>
      <c r="B132" s="23" t="s">
        <v>169</v>
      </c>
      <c r="C132" s="2" t="s">
        <v>35</v>
      </c>
      <c r="D132" s="67">
        <f>59868454.65-75412.23</f>
        <v>59793042.420000002</v>
      </c>
      <c r="E132" s="68"/>
      <c r="F132" s="68"/>
      <c r="G132" s="68"/>
      <c r="H132" s="67">
        <f t="shared" ref="H132:H138" si="54">+E132+F132</f>
        <v>0</v>
      </c>
      <c r="I132" s="68"/>
      <c r="J132" s="67"/>
      <c r="K132" s="68"/>
      <c r="L132" s="68"/>
      <c r="M132" s="68"/>
      <c r="N132" s="68">
        <f t="shared" ref="N132:N138" si="55">+H132+L132</f>
        <v>0</v>
      </c>
      <c r="O132" s="68"/>
      <c r="P132" s="67"/>
      <c r="Q132" s="67"/>
      <c r="R132" s="68">
        <f t="shared" ref="R132:R137" si="56">+O132+P132</f>
        <v>0</v>
      </c>
      <c r="S132" s="67"/>
      <c r="T132" s="67"/>
      <c r="U132" s="67"/>
      <c r="V132" s="68"/>
      <c r="W132" s="68"/>
      <c r="X132" s="68">
        <f t="shared" ref="X132:X138" si="57">+R132+V132</f>
        <v>0</v>
      </c>
      <c r="Y132" s="69">
        <f t="shared" ref="Y132:Y138" si="58">R132+H132</f>
        <v>0</v>
      </c>
      <c r="Z132" s="68">
        <f t="shared" ref="Z132:Z138" si="59">+D132-Y132</f>
        <v>59793042.420000002</v>
      </c>
      <c r="AA132" s="68"/>
      <c r="AB132" s="58">
        <f t="shared" ref="AB132:AB138" si="60">+D132-N132-X132</f>
        <v>59793042.420000002</v>
      </c>
    </row>
    <row r="133" spans="1:44" x14ac:dyDescent="0.25">
      <c r="A133" s="46"/>
      <c r="B133" s="32"/>
      <c r="C133" s="26" t="s">
        <v>36</v>
      </c>
      <c r="D133" s="67">
        <v>1838599</v>
      </c>
      <c r="E133" s="67">
        <v>1838599</v>
      </c>
      <c r="F133" s="67"/>
      <c r="G133" s="67"/>
      <c r="H133" s="67">
        <f t="shared" si="54"/>
        <v>1838599</v>
      </c>
      <c r="I133" s="68"/>
      <c r="J133" s="67"/>
      <c r="K133" s="68"/>
      <c r="L133" s="68"/>
      <c r="M133" s="68"/>
      <c r="N133" s="68">
        <f t="shared" si="55"/>
        <v>1838599</v>
      </c>
      <c r="O133" s="68"/>
      <c r="P133" s="67"/>
      <c r="Q133" s="67"/>
      <c r="R133" s="68">
        <f t="shared" si="56"/>
        <v>0</v>
      </c>
      <c r="S133" s="67"/>
      <c r="T133" s="67"/>
      <c r="U133" s="67"/>
      <c r="V133" s="68"/>
      <c r="W133" s="68"/>
      <c r="X133" s="68">
        <f t="shared" si="57"/>
        <v>0</v>
      </c>
      <c r="Y133" s="69">
        <f t="shared" si="58"/>
        <v>1838599</v>
      </c>
      <c r="Z133" s="68">
        <f t="shared" si="59"/>
        <v>0</v>
      </c>
      <c r="AA133" s="68"/>
      <c r="AB133" s="58">
        <f t="shared" si="60"/>
        <v>0</v>
      </c>
    </row>
    <row r="134" spans="1:44" x14ac:dyDescent="0.25">
      <c r="A134" s="4"/>
      <c r="B134" s="4"/>
      <c r="C134" s="4" t="s">
        <v>298</v>
      </c>
      <c r="D134" s="55">
        <v>5389000</v>
      </c>
      <c r="E134" s="55">
        <v>5389000</v>
      </c>
      <c r="F134" s="55"/>
      <c r="G134" s="55"/>
      <c r="H134" s="55">
        <f t="shared" si="54"/>
        <v>5389000</v>
      </c>
      <c r="I134" s="55"/>
      <c r="J134" s="55"/>
      <c r="K134" s="55"/>
      <c r="L134" s="55"/>
      <c r="M134" s="55"/>
      <c r="N134" s="55">
        <f t="shared" si="55"/>
        <v>5389000</v>
      </c>
      <c r="O134" s="55"/>
      <c r="P134" s="55"/>
      <c r="Q134" s="55"/>
      <c r="R134" s="55">
        <f t="shared" si="56"/>
        <v>0</v>
      </c>
      <c r="S134" s="55"/>
      <c r="T134" s="55"/>
      <c r="U134" s="55"/>
      <c r="V134" s="55"/>
      <c r="W134" s="55"/>
      <c r="X134" s="55">
        <f t="shared" si="57"/>
        <v>0</v>
      </c>
      <c r="Y134" s="69">
        <f t="shared" si="58"/>
        <v>5389000</v>
      </c>
      <c r="Z134" s="68">
        <f t="shared" si="59"/>
        <v>0</v>
      </c>
      <c r="AA134" s="68"/>
      <c r="AB134" s="58">
        <f t="shared" si="60"/>
        <v>0</v>
      </c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4" ht="16.5" customHeight="1" x14ac:dyDescent="0.25">
      <c r="C135" s="4" t="s">
        <v>290</v>
      </c>
      <c r="D135" s="55">
        <f>30000000+30000000+30000000+30000000+21000000+9000000+21000000+9000000</f>
        <v>180000000</v>
      </c>
      <c r="E135" s="55">
        <f>30000000+30000000+30000000+30000000+30000000</f>
        <v>150000000</v>
      </c>
      <c r="F135" s="55">
        <f>21000000+9000000</f>
        <v>30000000</v>
      </c>
      <c r="G135" s="55"/>
      <c r="H135" s="55">
        <f t="shared" si="54"/>
        <v>180000000</v>
      </c>
      <c r="I135" s="55"/>
      <c r="J135" s="55"/>
      <c r="K135" s="55"/>
      <c r="L135" s="55"/>
      <c r="M135" s="55"/>
      <c r="N135" s="55">
        <f t="shared" si="55"/>
        <v>180000000</v>
      </c>
      <c r="O135" s="55"/>
      <c r="P135" s="55"/>
      <c r="Q135" s="55"/>
      <c r="R135" s="55">
        <f t="shared" si="56"/>
        <v>0</v>
      </c>
      <c r="S135" s="55"/>
      <c r="T135" s="55"/>
      <c r="U135" s="55"/>
      <c r="V135" s="55"/>
      <c r="W135" s="55"/>
      <c r="X135" s="55">
        <f t="shared" si="57"/>
        <v>0</v>
      </c>
      <c r="Y135" s="69">
        <f t="shared" si="58"/>
        <v>180000000</v>
      </c>
      <c r="Z135" s="68">
        <f t="shared" si="59"/>
        <v>0</v>
      </c>
      <c r="AA135" s="68"/>
      <c r="AB135" s="58">
        <f t="shared" si="60"/>
        <v>0</v>
      </c>
    </row>
    <row r="136" spans="1:44" ht="15.75" customHeight="1" x14ac:dyDescent="0.25">
      <c r="A136" s="46"/>
      <c r="B136" s="32"/>
      <c r="C136" s="4" t="s">
        <v>53</v>
      </c>
      <c r="D136" s="67">
        <f>19179623.64+75412.23</f>
        <v>19255035.870000001</v>
      </c>
      <c r="E136" s="68"/>
      <c r="F136" s="68"/>
      <c r="G136" s="68"/>
      <c r="H136" s="67">
        <f t="shared" si="54"/>
        <v>0</v>
      </c>
      <c r="I136" s="68"/>
      <c r="J136" s="67"/>
      <c r="K136" s="67"/>
      <c r="L136" s="68"/>
      <c r="M136" s="68"/>
      <c r="N136" s="68">
        <f t="shared" si="55"/>
        <v>0</v>
      </c>
      <c r="O136" s="68">
        <v>19255035.870000001</v>
      </c>
      <c r="P136" s="67"/>
      <c r="Q136" s="67"/>
      <c r="R136" s="68">
        <f t="shared" si="56"/>
        <v>19255035.870000001</v>
      </c>
      <c r="S136" s="67"/>
      <c r="T136" s="67"/>
      <c r="U136" s="67"/>
      <c r="V136" s="68"/>
      <c r="W136" s="68"/>
      <c r="X136" s="68">
        <f t="shared" si="57"/>
        <v>19255035.870000001</v>
      </c>
      <c r="Y136" s="69">
        <f t="shared" si="58"/>
        <v>19255035.870000001</v>
      </c>
      <c r="Z136" s="68">
        <f t="shared" si="59"/>
        <v>0</v>
      </c>
      <c r="AA136" s="68"/>
      <c r="AB136" s="58">
        <f t="shared" si="60"/>
        <v>0</v>
      </c>
    </row>
    <row r="137" spans="1:44" ht="16.5" customHeight="1" x14ac:dyDescent="0.25">
      <c r="A137" s="46"/>
      <c r="B137" s="32"/>
      <c r="C137" s="4" t="s">
        <v>38</v>
      </c>
      <c r="D137" s="67">
        <v>7373000</v>
      </c>
      <c r="E137" s="68"/>
      <c r="F137" s="68"/>
      <c r="G137" s="68"/>
      <c r="H137" s="67">
        <f t="shared" si="54"/>
        <v>0</v>
      </c>
      <c r="I137" s="68"/>
      <c r="J137" s="67"/>
      <c r="K137" s="68"/>
      <c r="L137" s="68"/>
      <c r="M137" s="68"/>
      <c r="N137" s="68">
        <f t="shared" si="55"/>
        <v>0</v>
      </c>
      <c r="O137" s="68"/>
      <c r="P137" s="67"/>
      <c r="Q137" s="67"/>
      <c r="R137" s="68">
        <f t="shared" si="56"/>
        <v>0</v>
      </c>
      <c r="S137" s="67"/>
      <c r="T137" s="67"/>
      <c r="U137" s="67"/>
      <c r="V137" s="68"/>
      <c r="W137" s="68"/>
      <c r="X137" s="68">
        <f t="shared" si="57"/>
        <v>0</v>
      </c>
      <c r="Y137" s="69">
        <f t="shared" si="58"/>
        <v>0</v>
      </c>
      <c r="Z137" s="68">
        <f t="shared" si="59"/>
        <v>7373000</v>
      </c>
      <c r="AA137" s="68"/>
      <c r="AB137" s="58">
        <f t="shared" si="60"/>
        <v>7373000</v>
      </c>
    </row>
    <row r="138" spans="1:44" ht="15.75" customHeight="1" x14ac:dyDescent="0.25">
      <c r="A138" s="46"/>
      <c r="B138" s="32"/>
      <c r="C138" s="4" t="s">
        <v>54</v>
      </c>
      <c r="D138" s="67">
        <v>3251526.28</v>
      </c>
      <c r="E138" s="68"/>
      <c r="F138" s="68"/>
      <c r="G138" s="68"/>
      <c r="H138" s="67">
        <f t="shared" si="54"/>
        <v>0</v>
      </c>
      <c r="I138" s="68"/>
      <c r="J138" s="67"/>
      <c r="K138" s="68"/>
      <c r="L138" s="68"/>
      <c r="M138" s="68"/>
      <c r="N138" s="68">
        <f t="shared" si="55"/>
        <v>0</v>
      </c>
      <c r="O138" s="68"/>
      <c r="P138" s="67"/>
      <c r="Q138" s="67"/>
      <c r="R138" s="68">
        <f>+K138+P138</f>
        <v>0</v>
      </c>
      <c r="S138" s="67"/>
      <c r="T138" s="67"/>
      <c r="U138" s="67"/>
      <c r="V138" s="68"/>
      <c r="W138" s="68"/>
      <c r="X138" s="68">
        <f t="shared" si="57"/>
        <v>0</v>
      </c>
      <c r="Y138" s="69">
        <f t="shared" si="58"/>
        <v>0</v>
      </c>
      <c r="Z138" s="68">
        <f t="shared" si="59"/>
        <v>3251526.28</v>
      </c>
      <c r="AA138" s="68"/>
      <c r="AB138" s="58">
        <f t="shared" si="60"/>
        <v>3251526.28</v>
      </c>
    </row>
    <row r="139" spans="1:44" ht="15.75" customHeight="1" x14ac:dyDescent="0.25">
      <c r="A139" s="46"/>
      <c r="B139" s="26"/>
      <c r="D139" s="70" t="s">
        <v>40</v>
      </c>
      <c r="E139" s="70" t="s">
        <v>40</v>
      </c>
      <c r="F139" s="70" t="s">
        <v>40</v>
      </c>
      <c r="G139" s="70"/>
      <c r="H139" s="70" t="s">
        <v>40</v>
      </c>
      <c r="I139" s="70" t="s">
        <v>40</v>
      </c>
      <c r="J139" s="70" t="s">
        <v>40</v>
      </c>
      <c r="K139" s="70" t="s">
        <v>40</v>
      </c>
      <c r="L139" s="70" t="s">
        <v>40</v>
      </c>
      <c r="M139" s="70"/>
      <c r="N139" s="70" t="s">
        <v>40</v>
      </c>
      <c r="O139" s="70" t="s">
        <v>40</v>
      </c>
      <c r="P139" s="70" t="s">
        <v>40</v>
      </c>
      <c r="Q139" s="70"/>
      <c r="R139" s="70" t="s">
        <v>40</v>
      </c>
      <c r="S139" s="70" t="s">
        <v>40</v>
      </c>
      <c r="T139" s="70" t="s">
        <v>40</v>
      </c>
      <c r="U139" s="70" t="s">
        <v>40</v>
      </c>
      <c r="V139" s="70" t="s">
        <v>40</v>
      </c>
      <c r="W139" s="70"/>
      <c r="X139" s="70" t="s">
        <v>40</v>
      </c>
      <c r="Y139" s="70" t="s">
        <v>40</v>
      </c>
      <c r="Z139" s="70" t="s">
        <v>40</v>
      </c>
      <c r="AA139" s="70" t="s">
        <v>40</v>
      </c>
      <c r="AB139" s="71" t="s">
        <v>165</v>
      </c>
    </row>
    <row r="140" spans="1:44" ht="16.5" customHeight="1" x14ac:dyDescent="0.25">
      <c r="A140" s="46"/>
      <c r="B140" s="26"/>
      <c r="D140" s="67">
        <f>SUM(D132:D138)</f>
        <v>276900203.56999999</v>
      </c>
      <c r="E140" s="67">
        <f>SUM(E132:E138)</f>
        <v>157227599</v>
      </c>
      <c r="F140" s="67">
        <f>SUM(F132:F138)</f>
        <v>30000000</v>
      </c>
      <c r="G140" s="67"/>
      <c r="H140" s="67">
        <f>SUM(H132:H138)</f>
        <v>187227599</v>
      </c>
      <c r="I140" s="67">
        <f>SUM(I132:I138)</f>
        <v>0</v>
      </c>
      <c r="J140" s="67">
        <f>SUM(J132:J138)</f>
        <v>0</v>
      </c>
      <c r="K140" s="67">
        <f>SUM(K132:K138)</f>
        <v>0</v>
      </c>
      <c r="L140" s="67">
        <f>SUM(L132:L138)</f>
        <v>0</v>
      </c>
      <c r="M140" s="67"/>
      <c r="N140" s="67">
        <f>SUM(N132:N138)</f>
        <v>187227599</v>
      </c>
      <c r="O140" s="67">
        <f>SUM(O132:O138)</f>
        <v>19255035.870000001</v>
      </c>
      <c r="P140" s="67">
        <f>SUM(P132:P138)</f>
        <v>0</v>
      </c>
      <c r="Q140" s="67"/>
      <c r="R140" s="67">
        <f>SUM(R132:R138)</f>
        <v>19255035.870000001</v>
      </c>
      <c r="S140" s="67">
        <f>SUM(S132:S138)</f>
        <v>0</v>
      </c>
      <c r="T140" s="67">
        <f>SUM(T132:T138)</f>
        <v>0</v>
      </c>
      <c r="U140" s="67">
        <f>SUM(U132:U138)</f>
        <v>0</v>
      </c>
      <c r="V140" s="67">
        <f>SUM(V132:V138)</f>
        <v>0</v>
      </c>
      <c r="W140" s="67"/>
      <c r="X140" s="67">
        <f>SUM(X132:X138)</f>
        <v>19255035.870000001</v>
      </c>
      <c r="Y140" s="67">
        <f>SUM(Y132:Y138)</f>
        <v>206482634.87</v>
      </c>
      <c r="Z140" s="67">
        <f>SUM(Z132:Z138)</f>
        <v>70417568.700000003</v>
      </c>
      <c r="AA140" s="67">
        <f>SUM(AA132:AA138)</f>
        <v>0</v>
      </c>
      <c r="AB140" s="67">
        <f>SUM(AB132:AB138)</f>
        <v>70417568.700000003</v>
      </c>
    </row>
    <row r="141" spans="1:44" x14ac:dyDescent="0.25">
      <c r="A141" s="46"/>
      <c r="B141" s="26"/>
      <c r="D141" s="70" t="s">
        <v>40</v>
      </c>
      <c r="E141" s="70" t="s">
        <v>40</v>
      </c>
      <c r="F141" s="70" t="s">
        <v>40</v>
      </c>
      <c r="G141" s="70"/>
      <c r="H141" s="70" t="s">
        <v>40</v>
      </c>
      <c r="I141" s="70" t="s">
        <v>40</v>
      </c>
      <c r="J141" s="70" t="s">
        <v>40</v>
      </c>
      <c r="K141" s="70" t="s">
        <v>40</v>
      </c>
      <c r="L141" s="70" t="s">
        <v>40</v>
      </c>
      <c r="M141" s="70"/>
      <c r="N141" s="70" t="s">
        <v>40</v>
      </c>
      <c r="O141" s="70" t="s">
        <v>40</v>
      </c>
      <c r="P141" s="70" t="s">
        <v>40</v>
      </c>
      <c r="Q141" s="70"/>
      <c r="R141" s="70" t="s">
        <v>40</v>
      </c>
      <c r="S141" s="70" t="s">
        <v>40</v>
      </c>
      <c r="T141" s="70" t="s">
        <v>40</v>
      </c>
      <c r="U141" s="70" t="s">
        <v>40</v>
      </c>
      <c r="V141" s="70" t="s">
        <v>40</v>
      </c>
      <c r="W141" s="70"/>
      <c r="X141" s="70" t="s">
        <v>40</v>
      </c>
      <c r="Y141" s="70" t="s">
        <v>40</v>
      </c>
      <c r="Z141" s="70" t="s">
        <v>40</v>
      </c>
      <c r="AA141" s="70" t="s">
        <v>40</v>
      </c>
      <c r="AB141" s="71" t="s">
        <v>165</v>
      </c>
    </row>
    <row r="142" spans="1:44" x14ac:dyDescent="0.25">
      <c r="A142" s="46"/>
      <c r="B142" s="23"/>
      <c r="C142" s="15"/>
      <c r="D142" s="68"/>
      <c r="E142" s="68"/>
      <c r="F142" s="67"/>
      <c r="G142" s="67"/>
      <c r="H142" s="67"/>
      <c r="I142" s="67"/>
      <c r="J142" s="68"/>
      <c r="K142" s="68"/>
      <c r="L142" s="67"/>
      <c r="M142" s="67"/>
      <c r="N142" s="68"/>
      <c r="O142" s="67"/>
      <c r="P142" s="67"/>
      <c r="Q142" s="67"/>
      <c r="R142" s="68"/>
      <c r="S142" s="67"/>
      <c r="T142" s="67"/>
      <c r="U142" s="68"/>
      <c r="V142" s="68"/>
      <c r="W142" s="68"/>
      <c r="X142" s="68"/>
      <c r="Y142" s="69"/>
      <c r="Z142" s="68"/>
      <c r="AA142" s="68"/>
      <c r="AB142" s="69"/>
    </row>
    <row r="143" spans="1:44" x14ac:dyDescent="0.25">
      <c r="A143" s="46">
        <v>13</v>
      </c>
      <c r="B143" s="23" t="s">
        <v>170</v>
      </c>
      <c r="C143" s="2" t="s">
        <v>35</v>
      </c>
      <c r="D143" s="68">
        <f>30988637.82-5872397.06</f>
        <v>25116240.760000002</v>
      </c>
      <c r="E143" s="68"/>
      <c r="F143" s="67"/>
      <c r="G143" s="67"/>
      <c r="H143" s="67">
        <f t="shared" ref="H143:H148" si="61">+E143+F143</f>
        <v>0</v>
      </c>
      <c r="I143" s="67"/>
      <c r="J143" s="67"/>
      <c r="K143" s="68"/>
      <c r="L143" s="67"/>
      <c r="M143" s="67"/>
      <c r="N143" s="68">
        <f>+H143+L143</f>
        <v>0</v>
      </c>
      <c r="O143" s="67"/>
      <c r="P143" s="67"/>
      <c r="Q143" s="67"/>
      <c r="R143" s="68">
        <f t="shared" ref="R143:R148" si="62">+O143+P143</f>
        <v>0</v>
      </c>
      <c r="S143" s="67"/>
      <c r="T143" s="67"/>
      <c r="U143" s="68"/>
      <c r="V143" s="68"/>
      <c r="W143" s="68"/>
      <c r="X143" s="68">
        <f t="shared" ref="X143:X148" si="63">+R143+V143</f>
        <v>0</v>
      </c>
      <c r="Y143" s="69">
        <f t="shared" ref="Y143:Y148" si="64">+R143+H143</f>
        <v>0</v>
      </c>
      <c r="Z143" s="68">
        <f t="shared" ref="Z143:Z148" si="65">+D143-Y143</f>
        <v>25116240.760000002</v>
      </c>
      <c r="AA143" s="68"/>
      <c r="AB143" s="69">
        <f t="shared" ref="AB143:AB148" si="66">+D143-N143-X143</f>
        <v>25116240.760000002</v>
      </c>
    </row>
    <row r="144" spans="1:44" ht="15.75" customHeight="1" x14ac:dyDescent="0.25">
      <c r="C144" s="4" t="s">
        <v>317</v>
      </c>
      <c r="D144" s="55">
        <f>5872397.06+500</f>
        <v>5872897.0599999996</v>
      </c>
      <c r="E144" s="55">
        <v>5872897.0559999999</v>
      </c>
      <c r="F144" s="55"/>
      <c r="G144" s="55"/>
      <c r="H144" s="55">
        <f t="shared" si="61"/>
        <v>5872897.0559999999</v>
      </c>
      <c r="I144" s="55"/>
      <c r="J144" s="55"/>
      <c r="K144" s="55"/>
      <c r="L144" s="55"/>
      <c r="M144" s="55"/>
      <c r="N144" s="55">
        <f>+H144+L144</f>
        <v>5872897.0559999999</v>
      </c>
      <c r="O144" s="55"/>
      <c r="P144" s="55"/>
      <c r="Q144" s="55"/>
      <c r="R144" s="55">
        <f t="shared" si="62"/>
        <v>0</v>
      </c>
      <c r="S144" s="55"/>
      <c r="T144" s="55"/>
      <c r="U144" s="55"/>
      <c r="V144" s="55"/>
      <c r="W144" s="55"/>
      <c r="X144" s="55">
        <f t="shared" si="63"/>
        <v>0</v>
      </c>
      <c r="Y144" s="69">
        <f t="shared" si="64"/>
        <v>5872897.0559999999</v>
      </c>
      <c r="Z144" s="68">
        <f t="shared" si="65"/>
        <v>3.9999997243285179E-3</v>
      </c>
      <c r="AA144" s="68"/>
      <c r="AB144" s="69">
        <f t="shared" si="66"/>
        <v>3.9999997243285179E-3</v>
      </c>
    </row>
    <row r="145" spans="1:106" x14ac:dyDescent="0.25">
      <c r="A145" s="46"/>
      <c r="B145" s="23"/>
      <c r="C145" s="15" t="s">
        <v>53</v>
      </c>
      <c r="D145" s="68">
        <v>5653172.1500000004</v>
      </c>
      <c r="E145" s="68"/>
      <c r="F145" s="67"/>
      <c r="G145" s="67"/>
      <c r="H145" s="67">
        <f t="shared" si="61"/>
        <v>0</v>
      </c>
      <c r="I145" s="67"/>
      <c r="J145" s="68"/>
      <c r="K145" s="68"/>
      <c r="L145" s="67"/>
      <c r="M145" s="67"/>
      <c r="N145" s="68">
        <v>0</v>
      </c>
      <c r="O145" s="67">
        <v>645730.74</v>
      </c>
      <c r="P145" s="67"/>
      <c r="Q145" s="67"/>
      <c r="R145" s="68">
        <f t="shared" si="62"/>
        <v>645730.74</v>
      </c>
      <c r="S145" s="67"/>
      <c r="T145" s="67"/>
      <c r="U145" s="68"/>
      <c r="V145" s="68"/>
      <c r="W145" s="68"/>
      <c r="X145" s="68">
        <f t="shared" si="63"/>
        <v>645730.74</v>
      </c>
      <c r="Y145" s="69">
        <f t="shared" si="64"/>
        <v>645730.74</v>
      </c>
      <c r="Z145" s="68">
        <f t="shared" si="65"/>
        <v>5007441.41</v>
      </c>
      <c r="AA145" s="68"/>
      <c r="AB145" s="69">
        <f t="shared" si="66"/>
        <v>5007441.41</v>
      </c>
    </row>
    <row r="146" spans="1:106" ht="15.75" customHeight="1" x14ac:dyDescent="0.25">
      <c r="A146" s="46"/>
      <c r="B146" s="23"/>
      <c r="C146" s="15" t="s">
        <v>38</v>
      </c>
      <c r="D146" s="68">
        <v>6848000</v>
      </c>
      <c r="E146" s="68"/>
      <c r="F146" s="67"/>
      <c r="G146" s="67"/>
      <c r="H146" s="67">
        <f t="shared" si="61"/>
        <v>0</v>
      </c>
      <c r="I146" s="67"/>
      <c r="J146" s="68"/>
      <c r="K146" s="68"/>
      <c r="L146" s="67"/>
      <c r="M146" s="67"/>
      <c r="N146" s="68">
        <f>+H146+L146</f>
        <v>0</v>
      </c>
      <c r="O146" s="67"/>
      <c r="P146" s="67"/>
      <c r="Q146" s="67"/>
      <c r="R146" s="68">
        <f t="shared" si="62"/>
        <v>0</v>
      </c>
      <c r="S146" s="67"/>
      <c r="T146" s="67"/>
      <c r="U146" s="68"/>
      <c r="V146" s="68"/>
      <c r="W146" s="68"/>
      <c r="X146" s="68">
        <f t="shared" si="63"/>
        <v>0</v>
      </c>
      <c r="Y146" s="69">
        <f t="shared" si="64"/>
        <v>0</v>
      </c>
      <c r="Z146" s="68">
        <f t="shared" si="65"/>
        <v>6848000</v>
      </c>
      <c r="AA146" s="68"/>
      <c r="AB146" s="69">
        <f t="shared" si="66"/>
        <v>6848000</v>
      </c>
    </row>
    <row r="147" spans="1:106" ht="15.75" customHeight="1" x14ac:dyDescent="0.25">
      <c r="A147" s="46"/>
      <c r="B147" s="23"/>
      <c r="C147" s="15" t="s">
        <v>54</v>
      </c>
      <c r="D147" s="68">
        <v>28036.2</v>
      </c>
      <c r="E147" s="68"/>
      <c r="F147" s="67"/>
      <c r="G147" s="67"/>
      <c r="H147" s="67">
        <f t="shared" si="61"/>
        <v>0</v>
      </c>
      <c r="I147" s="67"/>
      <c r="J147" s="68"/>
      <c r="K147" s="68"/>
      <c r="L147" s="67"/>
      <c r="M147" s="67"/>
      <c r="N147" s="68">
        <f>+H147+L147</f>
        <v>0</v>
      </c>
      <c r="O147" s="67"/>
      <c r="P147" s="67"/>
      <c r="Q147" s="67"/>
      <c r="R147" s="68">
        <f t="shared" si="62"/>
        <v>0</v>
      </c>
      <c r="S147" s="67"/>
      <c r="T147" s="67"/>
      <c r="U147" s="68"/>
      <c r="V147" s="68"/>
      <c r="W147" s="68"/>
      <c r="X147" s="68">
        <f t="shared" si="63"/>
        <v>0</v>
      </c>
      <c r="Y147" s="69">
        <f t="shared" si="64"/>
        <v>0</v>
      </c>
      <c r="Z147" s="68">
        <f t="shared" si="65"/>
        <v>28036.2</v>
      </c>
      <c r="AA147" s="68"/>
      <c r="AB147" s="69">
        <f t="shared" si="66"/>
        <v>28036.2</v>
      </c>
    </row>
    <row r="148" spans="1:106" ht="15.75" customHeight="1" x14ac:dyDescent="0.25">
      <c r="A148" s="46"/>
      <c r="B148" s="34"/>
      <c r="C148" s="16" t="s">
        <v>167</v>
      </c>
      <c r="D148" s="72">
        <v>3500000</v>
      </c>
      <c r="E148" s="70"/>
      <c r="F148" s="70"/>
      <c r="G148" s="70"/>
      <c r="H148" s="67">
        <f t="shared" si="61"/>
        <v>0</v>
      </c>
      <c r="I148" s="70"/>
      <c r="J148" s="70"/>
      <c r="K148" s="70"/>
      <c r="L148" s="70"/>
      <c r="M148" s="70"/>
      <c r="N148" s="68">
        <f>+H148+L148</f>
        <v>0</v>
      </c>
      <c r="O148" s="70"/>
      <c r="P148" s="70"/>
      <c r="Q148" s="70"/>
      <c r="R148" s="68">
        <f t="shared" si="62"/>
        <v>0</v>
      </c>
      <c r="S148" s="70"/>
      <c r="T148" s="70"/>
      <c r="U148" s="68"/>
      <c r="V148" s="68"/>
      <c r="W148" s="68"/>
      <c r="X148" s="68">
        <f t="shared" si="63"/>
        <v>0</v>
      </c>
      <c r="Y148" s="69">
        <f t="shared" si="64"/>
        <v>0</v>
      </c>
      <c r="Z148" s="68">
        <f t="shared" si="65"/>
        <v>3500000</v>
      </c>
      <c r="AA148" s="68"/>
      <c r="AB148" s="69">
        <f t="shared" si="66"/>
        <v>3500000</v>
      </c>
    </row>
    <row r="149" spans="1:106" x14ac:dyDescent="0.25">
      <c r="A149" s="46"/>
      <c r="B149" s="34"/>
      <c r="C149" s="15"/>
      <c r="D149" s="70" t="s">
        <v>40</v>
      </c>
      <c r="E149" s="70" t="s">
        <v>40</v>
      </c>
      <c r="F149" s="70" t="s">
        <v>40</v>
      </c>
      <c r="G149" s="70"/>
      <c r="H149" s="70" t="s">
        <v>40</v>
      </c>
      <c r="I149" s="70" t="s">
        <v>40</v>
      </c>
      <c r="J149" s="70" t="s">
        <v>40</v>
      </c>
      <c r="K149" s="70" t="s">
        <v>40</v>
      </c>
      <c r="L149" s="70" t="s">
        <v>40</v>
      </c>
      <c r="M149" s="70"/>
      <c r="N149" s="70" t="s">
        <v>40</v>
      </c>
      <c r="O149" s="70" t="s">
        <v>40</v>
      </c>
      <c r="P149" s="70" t="s">
        <v>40</v>
      </c>
      <c r="Q149" s="70"/>
      <c r="R149" s="70" t="s">
        <v>40</v>
      </c>
      <c r="S149" s="70" t="s">
        <v>40</v>
      </c>
      <c r="T149" s="70" t="s">
        <v>40</v>
      </c>
      <c r="U149" s="70" t="s">
        <v>40</v>
      </c>
      <c r="V149" s="70" t="s">
        <v>40</v>
      </c>
      <c r="W149" s="70"/>
      <c r="X149" s="70" t="s">
        <v>40</v>
      </c>
      <c r="Y149" s="70" t="s">
        <v>40</v>
      </c>
      <c r="Z149" s="70" t="s">
        <v>40</v>
      </c>
      <c r="AA149" s="70" t="s">
        <v>40</v>
      </c>
      <c r="AB149" s="71" t="s">
        <v>165</v>
      </c>
    </row>
    <row r="150" spans="1:106" ht="15.75" customHeight="1" x14ac:dyDescent="0.25">
      <c r="A150" s="46"/>
      <c r="B150" s="34"/>
      <c r="C150" s="13"/>
      <c r="D150" s="72">
        <f>SUM(D143:D148)</f>
        <v>47018346.170000002</v>
      </c>
      <c r="E150" s="72">
        <f>SUM(E143:E148)</f>
        <v>5872897.0559999999</v>
      </c>
      <c r="F150" s="72">
        <f>SUM(F143:F148)</f>
        <v>0</v>
      </c>
      <c r="G150" s="72"/>
      <c r="H150" s="72">
        <f>SUM(H143:H148)</f>
        <v>5872897.0559999999</v>
      </c>
      <c r="I150" s="72">
        <f>SUM(I143:I148)</f>
        <v>0</v>
      </c>
      <c r="J150" s="72">
        <f>SUM(J143:J148)</f>
        <v>0</v>
      </c>
      <c r="K150" s="72">
        <f>SUM(K143:K148)</f>
        <v>0</v>
      </c>
      <c r="L150" s="72">
        <f>SUM(L143:L148)</f>
        <v>0</v>
      </c>
      <c r="M150" s="72"/>
      <c r="N150" s="72">
        <f>SUM(N143:N148)</f>
        <v>5872897.0559999999</v>
      </c>
      <c r="O150" s="72">
        <f>SUM(O143:O148)</f>
        <v>645730.74</v>
      </c>
      <c r="P150" s="72">
        <f>SUM(P143:P148)</f>
        <v>0</v>
      </c>
      <c r="Q150" s="72"/>
      <c r="R150" s="72">
        <f>SUM(R143:R148)</f>
        <v>645730.74</v>
      </c>
      <c r="S150" s="72">
        <f>SUM(S143:S148)</f>
        <v>0</v>
      </c>
      <c r="T150" s="72">
        <f>SUM(T143:T148)</f>
        <v>0</v>
      </c>
      <c r="U150" s="72">
        <f>SUM(U143:U148)</f>
        <v>0</v>
      </c>
      <c r="V150" s="72">
        <f>SUM(V143:V148)</f>
        <v>0</v>
      </c>
      <c r="W150" s="72"/>
      <c r="X150" s="72">
        <f>SUM(X143:X148)</f>
        <v>645730.74</v>
      </c>
      <c r="Y150" s="72">
        <f>SUM(Y143:Y148)</f>
        <v>6518627.7960000001</v>
      </c>
      <c r="Z150" s="72">
        <f>SUM(Z143:Z148)</f>
        <v>40499718.374000005</v>
      </c>
      <c r="AA150" s="72">
        <f>SUM(AA143:AA148)</f>
        <v>0</v>
      </c>
      <c r="AB150" s="72">
        <f>SUM(AB143:AB148)</f>
        <v>40499718.374000005</v>
      </c>
    </row>
    <row r="151" spans="1:106" x14ac:dyDescent="0.25">
      <c r="A151" s="46"/>
      <c r="B151" s="4" t="s">
        <v>308</v>
      </c>
      <c r="C151" s="15"/>
      <c r="D151" s="70" t="s">
        <v>40</v>
      </c>
      <c r="E151" s="70" t="s">
        <v>40</v>
      </c>
      <c r="F151" s="70" t="s">
        <v>40</v>
      </c>
      <c r="G151" s="70"/>
      <c r="H151" s="70" t="s">
        <v>40</v>
      </c>
      <c r="I151" s="70" t="s">
        <v>40</v>
      </c>
      <c r="J151" s="70" t="s">
        <v>40</v>
      </c>
      <c r="K151" s="70" t="s">
        <v>40</v>
      </c>
      <c r="L151" s="70" t="s">
        <v>40</v>
      </c>
      <c r="M151" s="70"/>
      <c r="N151" s="70" t="s">
        <v>40</v>
      </c>
      <c r="O151" s="70" t="s">
        <v>40</v>
      </c>
      <c r="P151" s="70" t="s">
        <v>40</v>
      </c>
      <c r="Q151" s="70"/>
      <c r="R151" s="70" t="s">
        <v>40</v>
      </c>
      <c r="S151" s="70" t="s">
        <v>40</v>
      </c>
      <c r="T151" s="70" t="s">
        <v>40</v>
      </c>
      <c r="U151" s="70" t="s">
        <v>40</v>
      </c>
      <c r="V151" s="70" t="s">
        <v>40</v>
      </c>
      <c r="W151" s="70"/>
      <c r="X151" s="70" t="s">
        <v>40</v>
      </c>
      <c r="Y151" s="70" t="s">
        <v>40</v>
      </c>
      <c r="Z151" s="70" t="s">
        <v>40</v>
      </c>
      <c r="AA151" s="70" t="s">
        <v>40</v>
      </c>
      <c r="AB151" s="71" t="s">
        <v>165</v>
      </c>
    </row>
    <row r="152" spans="1:106" ht="15.75" customHeight="1" thickBot="1" x14ac:dyDescent="0.3">
      <c r="A152" s="46"/>
      <c r="B152" s="112" t="s">
        <v>292</v>
      </c>
      <c r="C152" s="15"/>
      <c r="D152" s="113">
        <f>843176.8+170392.91+426311.68+69984.81-69984.81</f>
        <v>1439881.3900000001</v>
      </c>
      <c r="E152" s="67"/>
      <c r="F152" s="69"/>
      <c r="G152" s="69"/>
      <c r="H152" s="128"/>
      <c r="I152" s="67"/>
      <c r="J152" s="68"/>
      <c r="K152" s="68"/>
      <c r="L152" s="67"/>
      <c r="M152" s="67"/>
      <c r="N152" s="68"/>
      <c r="O152" s="130">
        <f>843176.8+170392.91+426311.68+69984.81-69984.81</f>
        <v>1439881.3900000001</v>
      </c>
      <c r="P152" s="69"/>
      <c r="Q152" s="67"/>
      <c r="R152" s="131">
        <f t="shared" ref="R152:R160" si="67">+O152+P152</f>
        <v>1439881.3900000001</v>
      </c>
      <c r="S152" s="67"/>
      <c r="T152" s="67"/>
      <c r="U152" s="68"/>
      <c r="V152" s="68"/>
      <c r="W152" s="68"/>
      <c r="X152" s="68"/>
      <c r="Y152" s="69"/>
      <c r="Z152" s="68"/>
      <c r="AA152" s="68"/>
      <c r="AB152" s="69"/>
    </row>
    <row r="153" spans="1:106" ht="55.5" customHeight="1" thickTop="1" x14ac:dyDescent="0.25">
      <c r="A153" s="46">
        <v>14</v>
      </c>
      <c r="B153" s="23" t="s">
        <v>171</v>
      </c>
      <c r="C153" s="2" t="s">
        <v>35</v>
      </c>
      <c r="D153" s="73">
        <f>37042568.15-16229527.56-11212250</f>
        <v>9600790.5899999961</v>
      </c>
      <c r="E153" s="68"/>
      <c r="F153" s="67"/>
      <c r="G153" s="67"/>
      <c r="H153" s="67">
        <f t="shared" ref="H153:H160" si="68">+E153+F153</f>
        <v>0</v>
      </c>
      <c r="I153" s="67"/>
      <c r="J153" s="67"/>
      <c r="K153" s="68"/>
      <c r="L153" s="67"/>
      <c r="M153" s="67"/>
      <c r="N153" s="68">
        <f t="shared" ref="N153:N160" si="69">+H153+L153</f>
        <v>0</v>
      </c>
      <c r="O153" s="67">
        <f>2554800.01+23045.21+127915+27799.6+4888</f>
        <v>2738447.82</v>
      </c>
      <c r="P153" s="67"/>
      <c r="Q153" s="67"/>
      <c r="R153" s="68">
        <f t="shared" si="67"/>
        <v>2738447.82</v>
      </c>
      <c r="S153" s="67"/>
      <c r="T153" s="67"/>
      <c r="U153" s="68"/>
      <c r="V153" s="68"/>
      <c r="W153" s="68"/>
      <c r="X153" s="68">
        <f t="shared" ref="X153:X160" si="70">+R153+V153</f>
        <v>2738447.82</v>
      </c>
      <c r="Y153" s="69">
        <f t="shared" ref="Y153:Y160" si="71">+R153+H153</f>
        <v>2738447.82</v>
      </c>
      <c r="Z153" s="68">
        <f t="shared" ref="Z153:Z160" si="72">+D153-Y153</f>
        <v>6862342.7699999958</v>
      </c>
      <c r="AA153" s="68"/>
      <c r="AB153" s="69">
        <f t="shared" ref="AB153:AB160" si="73">+D153-N153-X153</f>
        <v>6862342.7699999958</v>
      </c>
    </row>
    <row r="154" spans="1:106" x14ac:dyDescent="0.25">
      <c r="A154" s="46"/>
      <c r="B154" s="23"/>
      <c r="C154" s="15" t="s">
        <v>36</v>
      </c>
      <c r="D154" s="73">
        <v>1830380</v>
      </c>
      <c r="E154" s="68">
        <v>1830380</v>
      </c>
      <c r="F154" s="67"/>
      <c r="G154" s="67"/>
      <c r="H154" s="67">
        <f t="shared" si="68"/>
        <v>1830380</v>
      </c>
      <c r="I154" s="67"/>
      <c r="J154" s="67"/>
      <c r="K154" s="68"/>
      <c r="L154" s="67"/>
      <c r="M154" s="67"/>
      <c r="N154" s="68">
        <f t="shared" si="69"/>
        <v>1830380</v>
      </c>
      <c r="O154" s="67"/>
      <c r="P154" s="67"/>
      <c r="Q154" s="67"/>
      <c r="R154" s="68">
        <f t="shared" si="67"/>
        <v>0</v>
      </c>
      <c r="S154" s="67"/>
      <c r="T154" s="67"/>
      <c r="U154" s="68"/>
      <c r="V154" s="68"/>
      <c r="W154" s="68"/>
      <c r="X154" s="68">
        <f t="shared" si="70"/>
        <v>0</v>
      </c>
      <c r="Y154" s="69">
        <f t="shared" si="71"/>
        <v>1830380</v>
      </c>
      <c r="Z154" s="68">
        <f t="shared" si="72"/>
        <v>0</v>
      </c>
      <c r="AA154" s="68"/>
      <c r="AB154" s="69">
        <f t="shared" si="73"/>
        <v>0</v>
      </c>
    </row>
    <row r="155" spans="1:106" x14ac:dyDescent="0.25">
      <c r="A155" s="46"/>
      <c r="B155" s="23"/>
      <c r="C155" s="15" t="s">
        <v>53</v>
      </c>
      <c r="D155" s="73">
        <f>12873757.37+16229527.56</f>
        <v>29103284.93</v>
      </c>
      <c r="E155" s="68"/>
      <c r="F155" s="67"/>
      <c r="G155" s="67"/>
      <c r="H155" s="67">
        <f t="shared" si="68"/>
        <v>0</v>
      </c>
      <c r="I155" s="67"/>
      <c r="J155" s="68"/>
      <c r="K155" s="68"/>
      <c r="L155" s="67"/>
      <c r="M155" s="67"/>
      <c r="N155" s="68">
        <f t="shared" si="69"/>
        <v>0</v>
      </c>
      <c r="O155" s="67">
        <v>29103284.93</v>
      </c>
      <c r="P155" s="67"/>
      <c r="Q155" s="67"/>
      <c r="R155" s="68">
        <f t="shared" si="67"/>
        <v>29103284.93</v>
      </c>
      <c r="S155" s="67"/>
      <c r="T155" s="67"/>
      <c r="U155" s="68"/>
      <c r="V155" s="68"/>
      <c r="W155" s="68"/>
      <c r="X155" s="68">
        <f t="shared" si="70"/>
        <v>29103284.93</v>
      </c>
      <c r="Y155" s="69">
        <f t="shared" si="71"/>
        <v>29103284.93</v>
      </c>
      <c r="Z155" s="68">
        <f t="shared" si="72"/>
        <v>0</v>
      </c>
      <c r="AA155" s="68"/>
      <c r="AB155" s="69">
        <f t="shared" si="73"/>
        <v>0</v>
      </c>
    </row>
    <row r="156" spans="1:106" x14ac:dyDescent="0.25">
      <c r="A156" s="46"/>
      <c r="B156" s="34"/>
      <c r="C156" s="16" t="s">
        <v>54</v>
      </c>
      <c r="D156" s="72">
        <v>10700263.029999999</v>
      </c>
      <c r="E156" s="70"/>
      <c r="F156" s="70"/>
      <c r="G156" s="70"/>
      <c r="H156" s="67">
        <f t="shared" si="68"/>
        <v>0</v>
      </c>
      <c r="I156" s="70"/>
      <c r="J156" s="70"/>
      <c r="K156" s="70"/>
      <c r="L156" s="70"/>
      <c r="M156" s="70"/>
      <c r="N156" s="68">
        <f t="shared" si="69"/>
        <v>0</v>
      </c>
      <c r="O156" s="72">
        <v>10700263.029999999</v>
      </c>
      <c r="P156" s="70"/>
      <c r="Q156" s="70"/>
      <c r="R156" s="68">
        <f t="shared" si="67"/>
        <v>10700263.029999999</v>
      </c>
      <c r="S156" s="70"/>
      <c r="T156" s="70"/>
      <c r="U156" s="68"/>
      <c r="V156" s="68"/>
      <c r="W156" s="68"/>
      <c r="X156" s="68">
        <f t="shared" si="70"/>
        <v>10700263.029999999</v>
      </c>
      <c r="Y156" s="69">
        <f t="shared" si="71"/>
        <v>10700263.029999999</v>
      </c>
      <c r="Z156" s="68">
        <f t="shared" si="72"/>
        <v>0</v>
      </c>
      <c r="AA156" s="68"/>
      <c r="AB156" s="69">
        <f t="shared" si="73"/>
        <v>0</v>
      </c>
    </row>
    <row r="157" spans="1:106" s="4" customFormat="1" ht="15.75" customHeight="1" x14ac:dyDescent="0.25">
      <c r="A157"/>
      <c r="B157"/>
      <c r="C157" s="15" t="s">
        <v>317</v>
      </c>
      <c r="D157" s="55">
        <v>11212250</v>
      </c>
      <c r="E157" s="55">
        <v>11212250</v>
      </c>
      <c r="F157" s="55"/>
      <c r="G157" s="55"/>
      <c r="H157" s="55">
        <f t="shared" si="68"/>
        <v>11212250</v>
      </c>
      <c r="I157" s="55"/>
      <c r="J157" s="55"/>
      <c r="K157" s="55"/>
      <c r="L157" s="55"/>
      <c r="M157" s="55"/>
      <c r="N157" s="55">
        <f t="shared" si="69"/>
        <v>11212250</v>
      </c>
      <c r="O157" s="55">
        <v>0</v>
      </c>
      <c r="P157" s="55"/>
      <c r="Q157" s="55"/>
      <c r="R157" s="55">
        <f t="shared" si="67"/>
        <v>0</v>
      </c>
      <c r="S157" s="55"/>
      <c r="T157" s="55"/>
      <c r="U157" s="55"/>
      <c r="V157" s="55"/>
      <c r="W157" s="55"/>
      <c r="X157" s="55">
        <f t="shared" si="70"/>
        <v>0</v>
      </c>
      <c r="Y157" s="55">
        <f t="shared" si="71"/>
        <v>11212250</v>
      </c>
      <c r="Z157" s="55">
        <f t="shared" si="72"/>
        <v>0</v>
      </c>
      <c r="AA157" s="55"/>
      <c r="AB157" s="55">
        <f t="shared" si="73"/>
        <v>0</v>
      </c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</row>
    <row r="158" spans="1:106" ht="15.75" customHeight="1" x14ac:dyDescent="0.25">
      <c r="C158" s="15" t="s">
        <v>290</v>
      </c>
      <c r="D158" s="55">
        <f>20000000+20000000+20000000+20000000+20000000+20000000+20000000+30000000+30000000+30000000+15000000+15000000+20000000+30000000</f>
        <v>310000000</v>
      </c>
      <c r="E158" s="55">
        <f>20000000+20000000+40000000+20000000+20000000+20000000+30000000+30000000+30000000+15000000+15000000+20000000</f>
        <v>280000000</v>
      </c>
      <c r="F158" s="55">
        <v>30000000</v>
      </c>
      <c r="G158" s="55"/>
      <c r="H158" s="55">
        <f t="shared" si="68"/>
        <v>310000000</v>
      </c>
      <c r="I158" s="55"/>
      <c r="J158" s="55"/>
      <c r="K158" s="55"/>
      <c r="L158" s="55"/>
      <c r="M158" s="55"/>
      <c r="N158" s="55">
        <f t="shared" si="69"/>
        <v>310000000</v>
      </c>
      <c r="O158" s="55">
        <v>0</v>
      </c>
      <c r="P158" s="55"/>
      <c r="Q158" s="55"/>
      <c r="R158" s="55">
        <f t="shared" si="67"/>
        <v>0</v>
      </c>
      <c r="S158" s="55"/>
      <c r="T158" s="55"/>
      <c r="U158" s="55"/>
      <c r="V158" s="55"/>
      <c r="W158" s="55"/>
      <c r="X158" s="55">
        <f t="shared" si="70"/>
        <v>0</v>
      </c>
      <c r="Y158" s="55">
        <f t="shared" si="71"/>
        <v>310000000</v>
      </c>
      <c r="Z158" s="55">
        <f t="shared" si="72"/>
        <v>0</v>
      </c>
      <c r="AA158" s="55"/>
      <c r="AB158" s="55">
        <f t="shared" si="73"/>
        <v>0</v>
      </c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</row>
    <row r="159" spans="1:106" ht="15.75" customHeight="1" x14ac:dyDescent="0.25">
      <c r="A159" s="46"/>
      <c r="B159" s="34"/>
      <c r="C159" s="16" t="s">
        <v>256</v>
      </c>
      <c r="D159" s="72">
        <v>5000000</v>
      </c>
      <c r="E159" s="72">
        <v>5000000</v>
      </c>
      <c r="F159" s="70"/>
      <c r="G159" s="70"/>
      <c r="H159" s="67">
        <f t="shared" si="68"/>
        <v>5000000</v>
      </c>
      <c r="I159" s="70"/>
      <c r="J159" s="70"/>
      <c r="K159" s="70"/>
      <c r="L159" s="70"/>
      <c r="M159" s="70"/>
      <c r="N159" s="68">
        <f t="shared" si="69"/>
        <v>5000000</v>
      </c>
      <c r="O159" s="72">
        <f>2554800.01-2554800.01</f>
        <v>0</v>
      </c>
      <c r="P159" s="72"/>
      <c r="Q159" s="70"/>
      <c r="R159" s="68">
        <f t="shared" si="67"/>
        <v>0</v>
      </c>
      <c r="S159" s="70"/>
      <c r="T159" s="70"/>
      <c r="U159" s="68"/>
      <c r="V159" s="68"/>
      <c r="W159" s="68"/>
      <c r="X159" s="68">
        <f t="shared" si="70"/>
        <v>0</v>
      </c>
      <c r="Y159" s="69">
        <f t="shared" si="71"/>
        <v>5000000</v>
      </c>
      <c r="Z159" s="68">
        <f t="shared" si="72"/>
        <v>0</v>
      </c>
      <c r="AA159" s="68"/>
      <c r="AB159" s="69">
        <f t="shared" si="73"/>
        <v>0</v>
      </c>
      <c r="BL159" s="4"/>
    </row>
    <row r="160" spans="1:106" x14ac:dyDescent="0.25">
      <c r="A160" s="46"/>
      <c r="B160" s="34"/>
      <c r="C160" s="15" t="s">
        <v>167</v>
      </c>
      <c r="D160" s="72">
        <v>1125000</v>
      </c>
      <c r="E160" s="67"/>
      <c r="F160" s="67"/>
      <c r="G160" s="67"/>
      <c r="H160" s="67">
        <f t="shared" si="68"/>
        <v>0</v>
      </c>
      <c r="I160" s="67"/>
      <c r="J160" s="67"/>
      <c r="K160" s="67"/>
      <c r="L160" s="67"/>
      <c r="M160" s="67"/>
      <c r="N160" s="68">
        <f t="shared" si="69"/>
        <v>0</v>
      </c>
      <c r="O160" s="67">
        <v>0</v>
      </c>
      <c r="P160" s="67"/>
      <c r="Q160" s="67"/>
      <c r="R160" s="68">
        <f t="shared" si="67"/>
        <v>0</v>
      </c>
      <c r="S160" s="67"/>
      <c r="T160" s="67"/>
      <c r="U160" s="68"/>
      <c r="V160" s="68"/>
      <c r="W160" s="68"/>
      <c r="X160" s="68">
        <f t="shared" si="70"/>
        <v>0</v>
      </c>
      <c r="Y160" s="69">
        <f t="shared" si="71"/>
        <v>0</v>
      </c>
      <c r="Z160" s="68">
        <f t="shared" si="72"/>
        <v>1125000</v>
      </c>
      <c r="AA160" s="68"/>
      <c r="AB160" s="69">
        <f t="shared" si="73"/>
        <v>1125000</v>
      </c>
      <c r="BF160" s="4"/>
      <c r="BG160" s="4"/>
      <c r="BH160" s="4"/>
      <c r="BI160" s="4"/>
      <c r="BJ160" s="4"/>
      <c r="BK160" s="4"/>
    </row>
    <row r="161" spans="1:57" x14ac:dyDescent="0.25">
      <c r="A161" s="46"/>
      <c r="B161" s="34"/>
      <c r="C161" s="13"/>
      <c r="D161" s="70" t="s">
        <v>40</v>
      </c>
      <c r="E161" s="70" t="s">
        <v>40</v>
      </c>
      <c r="F161" s="70" t="s">
        <v>40</v>
      </c>
      <c r="G161" s="70"/>
      <c r="H161" s="70" t="s">
        <v>40</v>
      </c>
      <c r="I161" s="70" t="s">
        <v>40</v>
      </c>
      <c r="J161" s="70" t="s">
        <v>40</v>
      </c>
      <c r="K161" s="70" t="s">
        <v>40</v>
      </c>
      <c r="L161" s="70" t="s">
        <v>40</v>
      </c>
      <c r="M161" s="70"/>
      <c r="N161" s="70" t="s">
        <v>40</v>
      </c>
      <c r="O161" s="70" t="s">
        <v>40</v>
      </c>
      <c r="P161" s="70" t="s">
        <v>40</v>
      </c>
      <c r="Q161" s="70"/>
      <c r="R161" s="70" t="s">
        <v>40</v>
      </c>
      <c r="S161" s="70" t="s">
        <v>40</v>
      </c>
      <c r="T161" s="70" t="s">
        <v>40</v>
      </c>
      <c r="U161" s="70" t="s">
        <v>40</v>
      </c>
      <c r="V161" s="70" t="s">
        <v>40</v>
      </c>
      <c r="W161" s="70"/>
      <c r="X161" s="70" t="s">
        <v>40</v>
      </c>
      <c r="Y161" s="70" t="s">
        <v>40</v>
      </c>
      <c r="Z161" s="70" t="s">
        <v>40</v>
      </c>
      <c r="AA161" s="70" t="s">
        <v>40</v>
      </c>
      <c r="AB161" s="71" t="s">
        <v>165</v>
      </c>
      <c r="BB161" s="4"/>
      <c r="BC161" s="4"/>
      <c r="BD161" s="4"/>
      <c r="BE161" s="4"/>
    </row>
    <row r="162" spans="1:57" x14ac:dyDescent="0.25">
      <c r="A162" s="46"/>
      <c r="B162" s="23"/>
      <c r="C162" s="15"/>
      <c r="D162" s="73">
        <f>SUM(D153:D160)</f>
        <v>378571968.55000001</v>
      </c>
      <c r="E162" s="73">
        <f>SUM(E153:E160)</f>
        <v>298042630</v>
      </c>
      <c r="F162" s="73">
        <f>SUM(F153:F160)</f>
        <v>30000000</v>
      </c>
      <c r="G162" s="73"/>
      <c r="H162" s="73">
        <f>SUM(H153:H160)</f>
        <v>328042630</v>
      </c>
      <c r="I162" s="73">
        <f>SUM(I153:I160)</f>
        <v>0</v>
      </c>
      <c r="J162" s="73">
        <f>SUM(J153:J160)</f>
        <v>0</v>
      </c>
      <c r="K162" s="73">
        <f>SUM(K153:K160)</f>
        <v>0</v>
      </c>
      <c r="L162" s="73">
        <f>SUM(L153:L160)</f>
        <v>0</v>
      </c>
      <c r="M162" s="73"/>
      <c r="N162" s="73">
        <f>SUM(N153:N160)</f>
        <v>328042630</v>
      </c>
      <c r="O162" s="73">
        <f>SUM(O153:O160)</f>
        <v>42541995.780000001</v>
      </c>
      <c r="P162" s="73">
        <f>SUM(P153:P160)</f>
        <v>0</v>
      </c>
      <c r="Q162" s="73"/>
      <c r="R162" s="73">
        <f>SUM(R153:R160)</f>
        <v>42541995.780000001</v>
      </c>
      <c r="S162" s="73">
        <f>SUM(S153:S160)</f>
        <v>0</v>
      </c>
      <c r="T162" s="73">
        <f>SUM(T153:T160)</f>
        <v>0</v>
      </c>
      <c r="U162" s="73">
        <f>SUM(U153:U160)</f>
        <v>0</v>
      </c>
      <c r="V162" s="73">
        <f>SUM(V153:V160)</f>
        <v>0</v>
      </c>
      <c r="W162" s="73"/>
      <c r="X162" s="73">
        <f>SUM(X153:X160)</f>
        <v>42541995.780000001</v>
      </c>
      <c r="Y162" s="73">
        <f>SUM(Y153:Y160)</f>
        <v>370584625.77999997</v>
      </c>
      <c r="Z162" s="73">
        <f>SUM(Z153:Z160)</f>
        <v>7987342.7699999958</v>
      </c>
      <c r="AA162" s="73">
        <f>SUM(AA153:AA160)</f>
        <v>0</v>
      </c>
      <c r="AB162" s="73">
        <f>SUM(AB153:AB160)</f>
        <v>7987342.7699999958</v>
      </c>
      <c r="BA162" s="4"/>
    </row>
    <row r="163" spans="1:57" x14ac:dyDescent="0.25">
      <c r="A163" s="46"/>
      <c r="B163" s="23"/>
      <c r="C163" s="15"/>
      <c r="D163" s="70" t="s">
        <v>40</v>
      </c>
      <c r="E163" s="70" t="s">
        <v>40</v>
      </c>
      <c r="F163" s="70" t="s">
        <v>40</v>
      </c>
      <c r="G163" s="70"/>
      <c r="H163" s="70" t="s">
        <v>40</v>
      </c>
      <c r="I163" s="70" t="s">
        <v>40</v>
      </c>
      <c r="J163" s="70" t="s">
        <v>40</v>
      </c>
      <c r="K163" s="70" t="s">
        <v>40</v>
      </c>
      <c r="L163" s="70" t="s">
        <v>40</v>
      </c>
      <c r="M163" s="70"/>
      <c r="N163" s="70" t="s">
        <v>40</v>
      </c>
      <c r="O163" s="70" t="s">
        <v>40</v>
      </c>
      <c r="P163" s="70" t="s">
        <v>40</v>
      </c>
      <c r="Q163" s="70"/>
      <c r="R163" s="70" t="s">
        <v>40</v>
      </c>
      <c r="S163" s="70" t="s">
        <v>40</v>
      </c>
      <c r="T163" s="70" t="s">
        <v>40</v>
      </c>
      <c r="U163" s="70" t="s">
        <v>40</v>
      </c>
      <c r="V163" s="70" t="s">
        <v>40</v>
      </c>
      <c r="W163" s="70"/>
      <c r="X163" s="70" t="s">
        <v>40</v>
      </c>
      <c r="Y163" s="70" t="s">
        <v>40</v>
      </c>
      <c r="Z163" s="70" t="s">
        <v>40</v>
      </c>
      <c r="AA163" s="70" t="s">
        <v>40</v>
      </c>
      <c r="AB163" s="71" t="s">
        <v>165</v>
      </c>
    </row>
    <row r="164" spans="1:57" x14ac:dyDescent="0.25">
      <c r="A164" s="46"/>
      <c r="B164" s="112"/>
      <c r="C164" s="15"/>
      <c r="D164" s="159"/>
      <c r="E164" s="128"/>
      <c r="F164" s="69"/>
      <c r="G164" s="69"/>
      <c r="H164" s="128"/>
      <c r="I164" s="69"/>
      <c r="J164" s="69"/>
      <c r="K164" s="128"/>
      <c r="L164" s="69"/>
      <c r="M164" s="69"/>
      <c r="N164" s="128"/>
      <c r="O164" s="69"/>
      <c r="P164" s="69"/>
      <c r="Q164" s="69"/>
      <c r="R164" s="69"/>
      <c r="S164" s="67"/>
      <c r="T164" s="67"/>
      <c r="U164" s="68"/>
      <c r="V164" s="68"/>
      <c r="W164" s="68"/>
      <c r="X164" s="68"/>
      <c r="Y164" s="68"/>
      <c r="Z164" s="68"/>
      <c r="AA164" s="68"/>
      <c r="AB164" s="68"/>
      <c r="AW164" s="4"/>
      <c r="AX164" s="4"/>
      <c r="AY164" s="4"/>
      <c r="AZ164" s="4"/>
    </row>
    <row r="165" spans="1:57" x14ac:dyDescent="0.25">
      <c r="A165" s="46">
        <v>15</v>
      </c>
      <c r="B165" s="23" t="s">
        <v>172</v>
      </c>
      <c r="C165" s="2" t="s">
        <v>35</v>
      </c>
      <c r="D165" s="73">
        <v>0</v>
      </c>
      <c r="E165" s="68"/>
      <c r="F165" s="67"/>
      <c r="G165" s="67"/>
      <c r="H165" s="67">
        <f>+E165+F165</f>
        <v>0</v>
      </c>
      <c r="I165" s="67"/>
      <c r="J165" s="68"/>
      <c r="K165" s="68"/>
      <c r="L165" s="67"/>
      <c r="M165" s="67"/>
      <c r="N165" s="68">
        <f>+H165+L165</f>
        <v>0</v>
      </c>
      <c r="O165" s="67"/>
      <c r="P165" s="67"/>
      <c r="Q165" s="67"/>
      <c r="R165" s="67">
        <f>+O165+P165</f>
        <v>0</v>
      </c>
      <c r="S165" s="67"/>
      <c r="T165" s="67"/>
      <c r="U165" s="68"/>
      <c r="V165" s="68"/>
      <c r="W165" s="68"/>
      <c r="X165" s="68">
        <f>+R165+V165</f>
        <v>0</v>
      </c>
      <c r="Y165" s="69">
        <f>+R165+H165</f>
        <v>0</v>
      </c>
      <c r="Z165" s="68">
        <f>+D165-Y165</f>
        <v>0</v>
      </c>
      <c r="AA165" s="68"/>
      <c r="AB165" s="69">
        <f>+D165-N165-X165</f>
        <v>0</v>
      </c>
    </row>
    <row r="166" spans="1:57" x14ac:dyDescent="0.25">
      <c r="A166" s="46"/>
      <c r="B166" s="35"/>
      <c r="C166" s="17" t="s">
        <v>36</v>
      </c>
      <c r="D166" s="72">
        <v>4428422</v>
      </c>
      <c r="E166" s="68">
        <v>4428422</v>
      </c>
      <c r="F166" s="67"/>
      <c r="G166" s="67"/>
      <c r="H166" s="67">
        <f>+E166+F166</f>
        <v>4428422</v>
      </c>
      <c r="I166" s="67"/>
      <c r="J166" s="68"/>
      <c r="K166" s="68"/>
      <c r="L166" s="67"/>
      <c r="M166" s="67"/>
      <c r="N166" s="68">
        <f>+H166+L166</f>
        <v>4428422</v>
      </c>
      <c r="O166" s="67"/>
      <c r="P166" s="67"/>
      <c r="Q166" s="67"/>
      <c r="R166" s="67">
        <f>+O166+P166</f>
        <v>0</v>
      </c>
      <c r="S166" s="67"/>
      <c r="T166" s="67"/>
      <c r="U166" s="68"/>
      <c r="V166" s="68"/>
      <c r="W166" s="68"/>
      <c r="X166" s="68">
        <f>+R166+V166</f>
        <v>0</v>
      </c>
      <c r="Y166" s="69">
        <f>+R166+H166</f>
        <v>4428422</v>
      </c>
      <c r="Z166" s="68">
        <f>+D166-Y166</f>
        <v>0</v>
      </c>
      <c r="AA166" s="68"/>
      <c r="AB166" s="69">
        <f>+D166-N166-X166</f>
        <v>0</v>
      </c>
      <c r="AT166" s="4"/>
      <c r="AU166" s="4"/>
      <c r="AV166" s="4"/>
    </row>
    <row r="167" spans="1:57" x14ac:dyDescent="0.25">
      <c r="A167" s="46"/>
      <c r="B167" s="35"/>
      <c r="C167" s="17" t="s">
        <v>54</v>
      </c>
      <c r="D167" s="72">
        <v>1336696.6599999999</v>
      </c>
      <c r="E167" s="68"/>
      <c r="F167" s="67"/>
      <c r="G167" s="67"/>
      <c r="H167" s="67">
        <f>+E167+F167</f>
        <v>0</v>
      </c>
      <c r="I167" s="67"/>
      <c r="J167" s="68"/>
      <c r="K167" s="68"/>
      <c r="L167" s="67"/>
      <c r="M167" s="67"/>
      <c r="N167" s="68">
        <f>+H167+L167</f>
        <v>0</v>
      </c>
      <c r="O167" s="67"/>
      <c r="P167" s="67"/>
      <c r="Q167" s="67"/>
      <c r="R167" s="67">
        <f>+O167+P167</f>
        <v>0</v>
      </c>
      <c r="S167" s="67"/>
      <c r="T167" s="67"/>
      <c r="U167" s="68"/>
      <c r="V167" s="68"/>
      <c r="W167" s="68"/>
      <c r="X167" s="68">
        <f>+R167+V167</f>
        <v>0</v>
      </c>
      <c r="Y167" s="69">
        <f>+R167+H167</f>
        <v>0</v>
      </c>
      <c r="Z167" s="68">
        <f>+D167-Y167</f>
        <v>1336696.6599999999</v>
      </c>
      <c r="AA167" s="68"/>
      <c r="AB167" s="69">
        <f>+D167-N167-X167</f>
        <v>1336696.6599999999</v>
      </c>
      <c r="AS167" s="4"/>
    </row>
    <row r="168" spans="1:57" x14ac:dyDescent="0.25">
      <c r="A168" s="46"/>
      <c r="B168" s="34"/>
      <c r="C168" s="16" t="s">
        <v>53</v>
      </c>
      <c r="D168" s="72">
        <f>11417832.11+4491257.87</f>
        <v>15909089.98</v>
      </c>
      <c r="E168" s="70"/>
      <c r="F168" s="70"/>
      <c r="G168" s="70"/>
      <c r="H168" s="67">
        <f>+E168+F168</f>
        <v>0</v>
      </c>
      <c r="I168" s="70"/>
      <c r="J168" s="70"/>
      <c r="K168" s="70"/>
      <c r="L168" s="70"/>
      <c r="M168" s="70"/>
      <c r="N168" s="68">
        <f>+H168+L168</f>
        <v>0</v>
      </c>
      <c r="O168" s="72">
        <v>15909089.98</v>
      </c>
      <c r="P168" s="70"/>
      <c r="Q168" s="70"/>
      <c r="R168" s="67">
        <f>+O168+P168</f>
        <v>15909089.98</v>
      </c>
      <c r="S168" s="70"/>
      <c r="T168" s="70"/>
      <c r="U168" s="68"/>
      <c r="V168" s="68"/>
      <c r="W168" s="68"/>
      <c r="X168" s="68">
        <f>+R168+V168</f>
        <v>15909089.98</v>
      </c>
      <c r="Y168" s="69">
        <f>+R168+H168</f>
        <v>15909089.98</v>
      </c>
      <c r="Z168" s="68">
        <f>+D168-Y168</f>
        <v>0</v>
      </c>
      <c r="AA168" s="68"/>
      <c r="AB168" s="69">
        <f>+D168-N168-X168</f>
        <v>0</v>
      </c>
      <c r="AR168" s="4"/>
    </row>
    <row r="169" spans="1:57" x14ac:dyDescent="0.25">
      <c r="A169" s="46"/>
      <c r="B169" s="34"/>
      <c r="C169" s="15" t="s">
        <v>173</v>
      </c>
      <c r="D169" s="72">
        <v>4181290.31</v>
      </c>
      <c r="E169" s="67">
        <v>4181290.31</v>
      </c>
      <c r="F169" s="67"/>
      <c r="G169" s="67"/>
      <c r="H169" s="67">
        <f>+E169+F169</f>
        <v>4181290.31</v>
      </c>
      <c r="I169" s="67"/>
      <c r="J169" s="67"/>
      <c r="K169" s="67"/>
      <c r="L169" s="67"/>
      <c r="M169" s="67"/>
      <c r="N169" s="68">
        <f>+H169+L169</f>
        <v>4181290.31</v>
      </c>
      <c r="O169" s="67"/>
      <c r="P169" s="67"/>
      <c r="Q169" s="67"/>
      <c r="R169" s="67">
        <f>+O169+P169</f>
        <v>0</v>
      </c>
      <c r="S169" s="67"/>
      <c r="T169" s="67"/>
      <c r="U169" s="68"/>
      <c r="V169" s="68"/>
      <c r="W169" s="68"/>
      <c r="X169" s="68">
        <f>+R169+V169</f>
        <v>0</v>
      </c>
      <c r="Y169" s="69">
        <f>+R169+H169</f>
        <v>4181290.31</v>
      </c>
      <c r="Z169" s="68">
        <f>+D169-Y169</f>
        <v>0</v>
      </c>
      <c r="AA169" s="68"/>
      <c r="AB169" s="69">
        <f>+D169-N169-X169</f>
        <v>0</v>
      </c>
    </row>
    <row r="170" spans="1:57" x14ac:dyDescent="0.25">
      <c r="A170" s="46"/>
      <c r="B170" s="34"/>
      <c r="C170" s="13"/>
      <c r="D170" s="70" t="s">
        <v>40</v>
      </c>
      <c r="E170" s="70" t="s">
        <v>40</v>
      </c>
      <c r="F170" s="70" t="s">
        <v>40</v>
      </c>
      <c r="G170" s="70"/>
      <c r="H170" s="70" t="s">
        <v>40</v>
      </c>
      <c r="I170" s="70" t="s">
        <v>40</v>
      </c>
      <c r="J170" s="70" t="s">
        <v>40</v>
      </c>
      <c r="K170" s="70" t="s">
        <v>40</v>
      </c>
      <c r="L170" s="70" t="s">
        <v>40</v>
      </c>
      <c r="M170" s="70"/>
      <c r="N170" s="70" t="s">
        <v>40</v>
      </c>
      <c r="O170" s="70" t="s">
        <v>40</v>
      </c>
      <c r="P170" s="70" t="s">
        <v>40</v>
      </c>
      <c r="Q170" s="70"/>
      <c r="R170" s="70" t="s">
        <v>40</v>
      </c>
      <c r="S170" s="70" t="s">
        <v>40</v>
      </c>
      <c r="T170" s="70" t="s">
        <v>40</v>
      </c>
      <c r="U170" s="70" t="s">
        <v>40</v>
      </c>
      <c r="V170" s="70" t="s">
        <v>40</v>
      </c>
      <c r="W170" s="70"/>
      <c r="X170" s="70" t="s">
        <v>40</v>
      </c>
      <c r="Y170" s="70" t="s">
        <v>40</v>
      </c>
      <c r="Z170" s="70" t="s">
        <v>40</v>
      </c>
      <c r="AA170" s="70" t="s">
        <v>40</v>
      </c>
      <c r="AB170" s="71" t="s">
        <v>165</v>
      </c>
    </row>
    <row r="171" spans="1:57" x14ac:dyDescent="0.25">
      <c r="A171" s="46"/>
      <c r="B171" s="23"/>
      <c r="C171" s="15"/>
      <c r="D171" s="73">
        <f>SUM(D165:D169)</f>
        <v>25855498.949999999</v>
      </c>
      <c r="E171" s="73">
        <f t="shared" ref="E171:AB171" si="74">SUM(E165:E169)</f>
        <v>8609712.3100000005</v>
      </c>
      <c r="F171" s="73">
        <f t="shared" si="74"/>
        <v>0</v>
      </c>
      <c r="G171" s="73"/>
      <c r="H171" s="73">
        <f t="shared" si="74"/>
        <v>8609712.3100000005</v>
      </c>
      <c r="I171" s="73">
        <f t="shared" si="74"/>
        <v>0</v>
      </c>
      <c r="J171" s="73">
        <f t="shared" si="74"/>
        <v>0</v>
      </c>
      <c r="K171" s="73">
        <f t="shared" si="74"/>
        <v>0</v>
      </c>
      <c r="L171" s="73">
        <f t="shared" si="74"/>
        <v>0</v>
      </c>
      <c r="M171" s="73"/>
      <c r="N171" s="73">
        <f t="shared" si="74"/>
        <v>8609712.3100000005</v>
      </c>
      <c r="O171" s="73">
        <f t="shared" si="74"/>
        <v>15909089.98</v>
      </c>
      <c r="P171" s="73">
        <f t="shared" si="74"/>
        <v>0</v>
      </c>
      <c r="Q171" s="73"/>
      <c r="R171" s="73">
        <f t="shared" si="74"/>
        <v>15909089.98</v>
      </c>
      <c r="S171" s="73">
        <f t="shared" si="74"/>
        <v>0</v>
      </c>
      <c r="T171" s="73">
        <f t="shared" si="74"/>
        <v>0</v>
      </c>
      <c r="U171" s="73">
        <f t="shared" si="74"/>
        <v>0</v>
      </c>
      <c r="V171" s="73">
        <f t="shared" si="74"/>
        <v>0</v>
      </c>
      <c r="W171" s="73"/>
      <c r="X171" s="73">
        <f t="shared" si="74"/>
        <v>15909089.98</v>
      </c>
      <c r="Y171" s="73">
        <f t="shared" si="74"/>
        <v>24518802.289999999</v>
      </c>
      <c r="Z171" s="73">
        <f t="shared" si="74"/>
        <v>1336696.6599999999</v>
      </c>
      <c r="AA171" s="73">
        <f t="shared" si="74"/>
        <v>0</v>
      </c>
      <c r="AB171" s="73">
        <f t="shared" si="74"/>
        <v>1336696.6599999999</v>
      </c>
    </row>
    <row r="172" spans="1:57" x14ac:dyDescent="0.25">
      <c r="A172" s="46"/>
      <c r="B172" s="23"/>
      <c r="C172" s="15"/>
      <c r="D172" s="70" t="s">
        <v>40</v>
      </c>
      <c r="E172" s="70" t="s">
        <v>40</v>
      </c>
      <c r="F172" s="70" t="s">
        <v>40</v>
      </c>
      <c r="G172" s="70"/>
      <c r="H172" s="70" t="s">
        <v>40</v>
      </c>
      <c r="I172" s="70" t="s">
        <v>40</v>
      </c>
      <c r="J172" s="70" t="s">
        <v>40</v>
      </c>
      <c r="K172" s="70" t="s">
        <v>40</v>
      </c>
      <c r="L172" s="70" t="s">
        <v>40</v>
      </c>
      <c r="M172" s="70"/>
      <c r="N172" s="70" t="s">
        <v>40</v>
      </c>
      <c r="O172" s="70" t="s">
        <v>40</v>
      </c>
      <c r="P172" s="70" t="s">
        <v>40</v>
      </c>
      <c r="Q172" s="70"/>
      <c r="R172" s="70" t="s">
        <v>40</v>
      </c>
      <c r="S172" s="70" t="s">
        <v>40</v>
      </c>
      <c r="T172" s="70" t="s">
        <v>40</v>
      </c>
      <c r="U172" s="70" t="s">
        <v>40</v>
      </c>
      <c r="V172" s="70" t="s">
        <v>40</v>
      </c>
      <c r="W172" s="70"/>
      <c r="X172" s="70" t="s">
        <v>40</v>
      </c>
      <c r="Y172" s="70" t="s">
        <v>40</v>
      </c>
      <c r="Z172" s="70" t="s">
        <v>40</v>
      </c>
      <c r="AA172" s="70" t="s">
        <v>40</v>
      </c>
      <c r="AB172" s="71" t="s">
        <v>165</v>
      </c>
    </row>
    <row r="173" spans="1:57" x14ac:dyDescent="0.25">
      <c r="A173" s="46"/>
      <c r="B173" s="23"/>
      <c r="C173" s="15"/>
      <c r="D173" s="73"/>
      <c r="E173" s="68"/>
      <c r="F173" s="67"/>
      <c r="G173" s="67"/>
      <c r="H173" s="68"/>
      <c r="I173" s="67"/>
      <c r="J173" s="67"/>
      <c r="K173" s="68"/>
      <c r="L173" s="67"/>
      <c r="M173" s="67"/>
      <c r="N173" s="67"/>
      <c r="O173" s="67"/>
      <c r="P173" s="67"/>
      <c r="Q173" s="67"/>
      <c r="R173" s="67"/>
      <c r="S173" s="67"/>
      <c r="T173" s="67"/>
      <c r="U173" s="68"/>
      <c r="V173" s="68"/>
      <c r="W173" s="68"/>
      <c r="X173" s="68"/>
      <c r="Y173" s="68"/>
      <c r="Z173" s="68"/>
      <c r="AA173" s="68"/>
      <c r="AB173" s="68"/>
    </row>
    <row r="174" spans="1:57" x14ac:dyDescent="0.25">
      <c r="A174" s="46">
        <v>16</v>
      </c>
      <c r="B174" s="23" t="s">
        <v>174</v>
      </c>
      <c r="C174" s="2" t="s">
        <v>35</v>
      </c>
      <c r="D174" s="73">
        <v>1157863.73</v>
      </c>
      <c r="E174" s="68">
        <f>1207870.27-1207870.27</f>
        <v>0</v>
      </c>
      <c r="F174" s="67"/>
      <c r="G174" s="67"/>
      <c r="H174" s="67">
        <f t="shared" ref="H174:H181" si="75">+E174+F174</f>
        <v>0</v>
      </c>
      <c r="I174" s="67"/>
      <c r="J174" s="67"/>
      <c r="K174" s="68"/>
      <c r="L174" s="67"/>
      <c r="M174" s="67"/>
      <c r="N174" s="68">
        <f t="shared" ref="N174:N181" si="76">+H174+L174</f>
        <v>0</v>
      </c>
      <c r="O174" s="67">
        <f>315744.64+117228.22</f>
        <v>432972.86</v>
      </c>
      <c r="P174" s="67"/>
      <c r="Q174" s="67"/>
      <c r="R174" s="67">
        <f t="shared" ref="R174:R181" si="77">+O174+P174</f>
        <v>432972.86</v>
      </c>
      <c r="S174" s="67"/>
      <c r="T174" s="67"/>
      <c r="U174" s="68"/>
      <c r="V174" s="68"/>
      <c r="W174" s="68"/>
      <c r="X174" s="68">
        <f t="shared" ref="X174:X181" si="78">+R174+V174</f>
        <v>432972.86</v>
      </c>
      <c r="Y174" s="69">
        <f t="shared" ref="Y174:Y181" si="79">+R174+H174</f>
        <v>432972.86</v>
      </c>
      <c r="Z174" s="68">
        <f t="shared" ref="Z174:Z181" si="80">+D174-Y174</f>
        <v>724890.87</v>
      </c>
      <c r="AA174" s="68"/>
      <c r="AB174" s="69">
        <f t="shared" ref="AB174:AB181" si="81">+D174-N174-X174</f>
        <v>724890.87</v>
      </c>
    </row>
    <row r="175" spans="1:57" ht="15.75" customHeight="1" x14ac:dyDescent="0.25">
      <c r="A175" s="46"/>
      <c r="B175" s="23"/>
      <c r="C175" s="15" t="s">
        <v>36</v>
      </c>
      <c r="D175" s="73">
        <v>2463241</v>
      </c>
      <c r="E175" s="68">
        <v>2463241</v>
      </c>
      <c r="F175" s="67"/>
      <c r="G175" s="67"/>
      <c r="H175" s="67">
        <f t="shared" si="75"/>
        <v>2463241</v>
      </c>
      <c r="I175" s="67"/>
      <c r="J175" s="68"/>
      <c r="K175" s="68"/>
      <c r="L175" s="67"/>
      <c r="M175" s="67"/>
      <c r="N175" s="68">
        <f t="shared" si="76"/>
        <v>2463241</v>
      </c>
      <c r="O175" s="67">
        <v>0</v>
      </c>
      <c r="P175" s="67"/>
      <c r="Q175" s="67"/>
      <c r="R175" s="67">
        <f t="shared" si="77"/>
        <v>0</v>
      </c>
      <c r="S175" s="67"/>
      <c r="T175" s="67"/>
      <c r="U175" s="68"/>
      <c r="V175" s="68"/>
      <c r="W175" s="68"/>
      <c r="X175" s="68">
        <f t="shared" si="78"/>
        <v>0</v>
      </c>
      <c r="Y175" s="69">
        <f t="shared" si="79"/>
        <v>2463241</v>
      </c>
      <c r="Z175" s="68">
        <f t="shared" si="80"/>
        <v>0</v>
      </c>
      <c r="AA175" s="68"/>
      <c r="AB175" s="69">
        <f t="shared" si="81"/>
        <v>0</v>
      </c>
    </row>
    <row r="176" spans="1:57" x14ac:dyDescent="0.25">
      <c r="A176" s="4"/>
      <c r="B176" s="4"/>
      <c r="C176" s="4" t="s">
        <v>298</v>
      </c>
      <c r="D176" s="55">
        <v>8000000</v>
      </c>
      <c r="E176" s="55">
        <v>8000000</v>
      </c>
      <c r="F176" s="55"/>
      <c r="G176" s="55"/>
      <c r="H176" s="55">
        <f t="shared" si="75"/>
        <v>8000000</v>
      </c>
      <c r="I176" s="55"/>
      <c r="J176" s="55"/>
      <c r="K176" s="55"/>
      <c r="L176" s="55"/>
      <c r="M176" s="55"/>
      <c r="N176" s="55">
        <f t="shared" si="76"/>
        <v>8000000</v>
      </c>
      <c r="O176" s="55">
        <v>0</v>
      </c>
      <c r="P176" s="55"/>
      <c r="Q176" s="55"/>
      <c r="R176" s="55">
        <f t="shared" si="77"/>
        <v>0</v>
      </c>
      <c r="S176" s="55"/>
      <c r="T176" s="55"/>
      <c r="U176" s="55"/>
      <c r="V176" s="55"/>
      <c r="W176" s="55"/>
      <c r="X176" s="55">
        <f t="shared" si="78"/>
        <v>0</v>
      </c>
      <c r="Y176" s="69">
        <f t="shared" si="79"/>
        <v>8000000</v>
      </c>
      <c r="Z176" s="68">
        <f t="shared" si="80"/>
        <v>0</v>
      </c>
      <c r="AA176" s="68"/>
      <c r="AB176" s="69">
        <f t="shared" si="81"/>
        <v>0</v>
      </c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5" ht="16.5" customHeight="1" x14ac:dyDescent="0.25">
      <c r="C177" s="15" t="s">
        <v>290</v>
      </c>
      <c r="D177" s="55">
        <f>17709379.04+25000000+25000000+20000000+20000000+25000000+22000000</f>
        <v>154709379.03999999</v>
      </c>
      <c r="E177" s="55">
        <f>17709379.04+25000000+25000000+20000000+20000000+25000000</f>
        <v>132709379.03999999</v>
      </c>
      <c r="F177" s="55">
        <v>22000000</v>
      </c>
      <c r="G177" s="55"/>
      <c r="H177" s="55">
        <f t="shared" si="75"/>
        <v>154709379.03999999</v>
      </c>
      <c r="I177" s="55"/>
      <c r="J177" s="55"/>
      <c r="K177" s="55"/>
      <c r="L177" s="55"/>
      <c r="M177" s="55"/>
      <c r="N177" s="55">
        <f t="shared" si="76"/>
        <v>154709379.03999999</v>
      </c>
      <c r="O177" s="55">
        <v>0</v>
      </c>
      <c r="P177" s="55"/>
      <c r="Q177" s="55"/>
      <c r="R177" s="55">
        <f t="shared" si="77"/>
        <v>0</v>
      </c>
      <c r="S177" s="55"/>
      <c r="T177" s="55"/>
      <c r="U177" s="55"/>
      <c r="V177" s="55"/>
      <c r="W177" s="55"/>
      <c r="X177" s="55">
        <f t="shared" si="78"/>
        <v>0</v>
      </c>
      <c r="Y177" s="69">
        <f t="shared" si="79"/>
        <v>154709379.03999999</v>
      </c>
      <c r="Z177" s="68">
        <f t="shared" si="80"/>
        <v>0</v>
      </c>
      <c r="AA177" s="68"/>
      <c r="AB177" s="69">
        <f t="shared" si="81"/>
        <v>0</v>
      </c>
    </row>
    <row r="178" spans="1:45" ht="15.75" customHeight="1" x14ac:dyDescent="0.25">
      <c r="C178" s="15" t="s">
        <v>329</v>
      </c>
      <c r="D178" s="55">
        <v>1207870.27</v>
      </c>
      <c r="E178" s="55">
        <v>1207870.27</v>
      </c>
      <c r="F178" s="55"/>
      <c r="G178" s="55"/>
      <c r="H178" s="55">
        <f t="shared" si="75"/>
        <v>1207870.27</v>
      </c>
      <c r="I178" s="55"/>
      <c r="J178" s="55"/>
      <c r="K178" s="55"/>
      <c r="L178" s="55"/>
      <c r="M178" s="55"/>
      <c r="N178" s="55">
        <f t="shared" si="76"/>
        <v>1207870.27</v>
      </c>
      <c r="O178" s="55">
        <v>0</v>
      </c>
      <c r="P178" s="55"/>
      <c r="Q178" s="55"/>
      <c r="R178" s="55">
        <f t="shared" si="77"/>
        <v>0</v>
      </c>
      <c r="S178" s="55"/>
      <c r="T178" s="55"/>
      <c r="U178" s="55"/>
      <c r="V178" s="55"/>
      <c r="W178" s="55"/>
      <c r="X178" s="55">
        <f t="shared" si="78"/>
        <v>0</v>
      </c>
      <c r="Y178" s="55">
        <f t="shared" si="79"/>
        <v>1207870.27</v>
      </c>
      <c r="Z178" s="68">
        <f t="shared" si="80"/>
        <v>0</v>
      </c>
      <c r="AA178" s="68"/>
      <c r="AB178" s="69">
        <f t="shared" si="81"/>
        <v>0</v>
      </c>
    </row>
    <row r="179" spans="1:45" ht="15.75" customHeight="1" x14ac:dyDescent="0.25">
      <c r="A179" s="46"/>
      <c r="B179" s="34"/>
      <c r="C179" s="16" t="s">
        <v>53</v>
      </c>
      <c r="D179" s="72">
        <f>890474.01+77356+17841128.51</f>
        <v>18808958.520000003</v>
      </c>
      <c r="E179" s="70"/>
      <c r="F179" s="70"/>
      <c r="G179" s="70"/>
      <c r="H179" s="67">
        <f t="shared" si="75"/>
        <v>0</v>
      </c>
      <c r="I179" s="70"/>
      <c r="J179" s="70"/>
      <c r="K179" s="70"/>
      <c r="L179" s="70"/>
      <c r="M179" s="70"/>
      <c r="N179" s="68">
        <f t="shared" si="76"/>
        <v>0</v>
      </c>
      <c r="O179" s="72">
        <f>18731602.52+77356</f>
        <v>18808958.52</v>
      </c>
      <c r="P179" s="72"/>
      <c r="Q179" s="70"/>
      <c r="R179" s="67">
        <f t="shared" si="77"/>
        <v>18808958.52</v>
      </c>
      <c r="S179" s="70"/>
      <c r="T179" s="70"/>
      <c r="U179" s="68"/>
      <c r="V179" s="68"/>
      <c r="W179" s="68"/>
      <c r="X179" s="68">
        <f t="shared" si="78"/>
        <v>18808958.52</v>
      </c>
      <c r="Y179" s="69">
        <f t="shared" si="79"/>
        <v>18808958.52</v>
      </c>
      <c r="Z179" s="68">
        <f t="shared" si="80"/>
        <v>0</v>
      </c>
      <c r="AA179" s="68"/>
      <c r="AB179" s="69">
        <f t="shared" si="81"/>
        <v>0</v>
      </c>
      <c r="AS179" s="94"/>
    </row>
    <row r="180" spans="1:45" x14ac:dyDescent="0.25">
      <c r="A180" s="46"/>
      <c r="B180" s="34"/>
      <c r="C180" s="15" t="s">
        <v>54</v>
      </c>
      <c r="D180" s="72">
        <v>6700073.0199999996</v>
      </c>
      <c r="E180" s="67"/>
      <c r="F180" s="67"/>
      <c r="G180" s="67"/>
      <c r="H180" s="67">
        <f t="shared" si="75"/>
        <v>0</v>
      </c>
      <c r="I180" s="67"/>
      <c r="J180" s="67"/>
      <c r="K180" s="67"/>
      <c r="L180" s="67"/>
      <c r="M180" s="67"/>
      <c r="N180" s="68">
        <f t="shared" si="76"/>
        <v>0</v>
      </c>
      <c r="O180" s="72">
        <f>5603896.26+374163.86</f>
        <v>5978060.1200000001</v>
      </c>
      <c r="P180" s="67"/>
      <c r="Q180" s="67"/>
      <c r="R180" s="67">
        <f t="shared" si="77"/>
        <v>5978060.1200000001</v>
      </c>
      <c r="S180" s="67"/>
      <c r="T180" s="67"/>
      <c r="U180" s="68"/>
      <c r="V180" s="68"/>
      <c r="W180" s="68"/>
      <c r="X180" s="68">
        <f t="shared" si="78"/>
        <v>5978060.1200000001</v>
      </c>
      <c r="Y180" s="69">
        <f t="shared" si="79"/>
        <v>5978060.1200000001</v>
      </c>
      <c r="Z180" s="68">
        <f t="shared" si="80"/>
        <v>722012.89999999944</v>
      </c>
      <c r="AA180" s="68"/>
      <c r="AB180" s="69">
        <f t="shared" si="81"/>
        <v>722012.89999999944</v>
      </c>
      <c r="AR180" s="94"/>
    </row>
    <row r="181" spans="1:45" x14ac:dyDescent="0.25">
      <c r="A181" s="46"/>
      <c r="B181" s="34"/>
      <c r="C181" s="18" t="s">
        <v>245</v>
      </c>
      <c r="D181" s="72">
        <v>434405</v>
      </c>
      <c r="E181" s="70"/>
      <c r="F181" s="70"/>
      <c r="G181" s="70"/>
      <c r="H181" s="67">
        <f t="shared" si="75"/>
        <v>0</v>
      </c>
      <c r="I181" s="70"/>
      <c r="J181" s="70"/>
      <c r="K181" s="70"/>
      <c r="L181" s="70"/>
      <c r="M181" s="70"/>
      <c r="N181" s="68">
        <f t="shared" si="76"/>
        <v>0</v>
      </c>
      <c r="O181" s="72"/>
      <c r="P181" s="70"/>
      <c r="Q181" s="70"/>
      <c r="R181" s="67">
        <f t="shared" si="77"/>
        <v>0</v>
      </c>
      <c r="S181" s="70"/>
      <c r="T181" s="70"/>
      <c r="U181" s="68"/>
      <c r="V181" s="68"/>
      <c r="W181" s="68"/>
      <c r="X181" s="68">
        <f t="shared" si="78"/>
        <v>0</v>
      </c>
      <c r="Y181" s="69">
        <f t="shared" si="79"/>
        <v>0</v>
      </c>
      <c r="Z181" s="68">
        <f t="shared" si="80"/>
        <v>434405</v>
      </c>
      <c r="AA181" s="68"/>
      <c r="AB181" s="69">
        <f t="shared" si="81"/>
        <v>434405</v>
      </c>
    </row>
    <row r="182" spans="1:45" ht="15.75" customHeight="1" x14ac:dyDescent="0.25">
      <c r="A182" s="46"/>
      <c r="B182" s="23"/>
      <c r="C182" s="18"/>
      <c r="D182" s="70" t="s">
        <v>40</v>
      </c>
      <c r="E182" s="70" t="s">
        <v>40</v>
      </c>
      <c r="F182" s="70" t="s">
        <v>40</v>
      </c>
      <c r="G182" s="70"/>
      <c r="H182" s="70" t="s">
        <v>40</v>
      </c>
      <c r="I182" s="70" t="s">
        <v>40</v>
      </c>
      <c r="J182" s="70" t="s">
        <v>40</v>
      </c>
      <c r="K182" s="70" t="s">
        <v>40</v>
      </c>
      <c r="L182" s="70" t="s">
        <v>40</v>
      </c>
      <c r="M182" s="70"/>
      <c r="N182" s="70" t="s">
        <v>40</v>
      </c>
      <c r="O182" s="70" t="s">
        <v>40</v>
      </c>
      <c r="P182" s="70" t="s">
        <v>40</v>
      </c>
      <c r="Q182" s="70"/>
      <c r="R182" s="70" t="s">
        <v>40</v>
      </c>
      <c r="S182" s="70" t="s">
        <v>40</v>
      </c>
      <c r="T182" s="70" t="s">
        <v>40</v>
      </c>
      <c r="U182" s="70" t="s">
        <v>40</v>
      </c>
      <c r="V182" s="70" t="s">
        <v>40</v>
      </c>
      <c r="W182" s="70"/>
      <c r="X182" s="70" t="s">
        <v>40</v>
      </c>
      <c r="Y182" s="70" t="s">
        <v>40</v>
      </c>
      <c r="Z182" s="70" t="s">
        <v>40</v>
      </c>
      <c r="AA182" s="70" t="s">
        <v>40</v>
      </c>
      <c r="AB182" s="71" t="s">
        <v>165</v>
      </c>
    </row>
    <row r="183" spans="1:45" x14ac:dyDescent="0.25">
      <c r="A183" s="46"/>
      <c r="B183" s="23"/>
      <c r="C183" s="18"/>
      <c r="D183" s="73">
        <f>SUM(D174:D181)</f>
        <v>193481790.58000001</v>
      </c>
      <c r="E183" s="73">
        <f>SUM(E174:E181)</f>
        <v>144380490.31</v>
      </c>
      <c r="F183" s="73">
        <f>SUM(F174:F181)</f>
        <v>22000000</v>
      </c>
      <c r="G183" s="73"/>
      <c r="H183" s="73">
        <f>SUM(H174:H181)</f>
        <v>166380490.31</v>
      </c>
      <c r="I183" s="73">
        <f>SUM(I174:I181)</f>
        <v>0</v>
      </c>
      <c r="J183" s="73">
        <f>SUM(J174:J181)</f>
        <v>0</v>
      </c>
      <c r="K183" s="73">
        <f>SUM(K174:K181)</f>
        <v>0</v>
      </c>
      <c r="L183" s="73">
        <f>SUM(L174:L181)</f>
        <v>0</v>
      </c>
      <c r="M183" s="73"/>
      <c r="N183" s="73">
        <f>SUM(N174:N181)</f>
        <v>166380490.31</v>
      </c>
      <c r="O183" s="73">
        <f>SUM(O174:O181)</f>
        <v>25219991.5</v>
      </c>
      <c r="P183" s="73">
        <f>SUM(P174:P181)</f>
        <v>0</v>
      </c>
      <c r="Q183" s="73"/>
      <c r="R183" s="73">
        <f>SUM(R174:R181)</f>
        <v>25219991.5</v>
      </c>
      <c r="S183" s="73">
        <f>SUM(S174:S181)</f>
        <v>0</v>
      </c>
      <c r="T183" s="73">
        <f>SUM(T174:T181)</f>
        <v>0</v>
      </c>
      <c r="U183" s="73">
        <f>SUM(U174:U181)</f>
        <v>0</v>
      </c>
      <c r="V183" s="73">
        <f>SUM(V174:V181)</f>
        <v>0</v>
      </c>
      <c r="W183" s="73"/>
      <c r="X183" s="73">
        <f>SUM(X174:X181)</f>
        <v>25219991.5</v>
      </c>
      <c r="Y183" s="73">
        <f>SUM(Y174:Y181)</f>
        <v>191600481.81</v>
      </c>
      <c r="Z183" s="73">
        <f>SUM(Z174:Z181)</f>
        <v>1881308.7699999996</v>
      </c>
      <c r="AA183" s="73">
        <f>SUM(AA174:AA181)</f>
        <v>0</v>
      </c>
      <c r="AB183" s="73">
        <f>SUM(AB174:AB181)</f>
        <v>1881308.7699999996</v>
      </c>
    </row>
    <row r="184" spans="1:45" x14ac:dyDescent="0.25">
      <c r="A184" s="46"/>
      <c r="B184" s="23"/>
      <c r="C184" s="18"/>
      <c r="D184" s="70" t="s">
        <v>40</v>
      </c>
      <c r="E184" s="70" t="s">
        <v>40</v>
      </c>
      <c r="F184" s="70" t="s">
        <v>40</v>
      </c>
      <c r="G184" s="70"/>
      <c r="H184" s="70" t="s">
        <v>40</v>
      </c>
      <c r="I184" s="70" t="s">
        <v>40</v>
      </c>
      <c r="J184" s="70" t="s">
        <v>40</v>
      </c>
      <c r="K184" s="70" t="s">
        <v>40</v>
      </c>
      <c r="L184" s="70" t="s">
        <v>40</v>
      </c>
      <c r="M184" s="70"/>
      <c r="N184" s="70" t="s">
        <v>40</v>
      </c>
      <c r="O184" s="70" t="s">
        <v>40</v>
      </c>
      <c r="P184" s="70" t="s">
        <v>40</v>
      </c>
      <c r="Q184" s="70"/>
      <c r="R184" s="70" t="s">
        <v>40</v>
      </c>
      <c r="S184" s="70" t="s">
        <v>40</v>
      </c>
      <c r="T184" s="70" t="s">
        <v>40</v>
      </c>
      <c r="U184" s="70" t="s">
        <v>40</v>
      </c>
      <c r="V184" s="70" t="s">
        <v>40</v>
      </c>
      <c r="W184" s="70"/>
      <c r="X184" s="70" t="s">
        <v>40</v>
      </c>
      <c r="Y184" s="70" t="s">
        <v>40</v>
      </c>
      <c r="Z184" s="70" t="s">
        <v>40</v>
      </c>
      <c r="AA184" s="70" t="s">
        <v>40</v>
      </c>
      <c r="AB184" s="71" t="s">
        <v>165</v>
      </c>
    </row>
    <row r="185" spans="1:45" x14ac:dyDescent="0.25">
      <c r="A185" s="46"/>
      <c r="B185" s="34"/>
      <c r="C185" s="18"/>
      <c r="D185" s="72"/>
      <c r="E185" s="70"/>
      <c r="F185" s="104"/>
      <c r="G185" s="105"/>
      <c r="H185" s="119"/>
      <c r="I185" s="105"/>
      <c r="J185" s="105"/>
      <c r="K185" s="105"/>
      <c r="L185" s="119"/>
      <c r="M185" s="105"/>
      <c r="N185" s="70"/>
      <c r="O185" s="72"/>
      <c r="P185" s="70"/>
      <c r="Q185" s="70"/>
      <c r="R185" s="70"/>
      <c r="S185" s="70"/>
      <c r="T185" s="70"/>
      <c r="U185" s="68"/>
      <c r="V185" s="68"/>
      <c r="W185" s="68"/>
      <c r="X185" s="68"/>
      <c r="Y185" s="68"/>
      <c r="Z185" s="68"/>
      <c r="AA185" s="68"/>
      <c r="AB185" s="68"/>
    </row>
    <row r="186" spans="1:45" x14ac:dyDescent="0.25">
      <c r="A186" s="46">
        <v>17</v>
      </c>
      <c r="B186" s="34" t="s">
        <v>175</v>
      </c>
      <c r="C186" s="2" t="s">
        <v>35</v>
      </c>
      <c r="D186" s="72">
        <f>14635606.72-3556595</f>
        <v>11079011.720000001</v>
      </c>
      <c r="E186" s="67"/>
      <c r="F186" s="67"/>
      <c r="G186" s="67"/>
      <c r="H186" s="67">
        <f>+E186+F186</f>
        <v>0</v>
      </c>
      <c r="I186" s="67"/>
      <c r="J186" s="67"/>
      <c r="K186" s="67"/>
      <c r="L186" s="67"/>
      <c r="M186" s="67"/>
      <c r="N186" s="68">
        <f>+H186+L186</f>
        <v>0</v>
      </c>
      <c r="O186" s="72"/>
      <c r="P186" s="67"/>
      <c r="Q186" s="67"/>
      <c r="R186" s="67">
        <f>+O186+P186</f>
        <v>0</v>
      </c>
      <c r="S186" s="67"/>
      <c r="T186" s="67"/>
      <c r="U186" s="68"/>
      <c r="V186" s="68"/>
      <c r="W186" s="68"/>
      <c r="X186" s="68">
        <f>+R186+V186</f>
        <v>0</v>
      </c>
      <c r="Y186" s="69">
        <f>+R186+H186</f>
        <v>0</v>
      </c>
      <c r="Z186" s="68">
        <f>+D186-Y186</f>
        <v>11079011.720000001</v>
      </c>
      <c r="AA186" s="68"/>
      <c r="AB186" s="69">
        <f>+D186-N186-X186</f>
        <v>11079011.720000001</v>
      </c>
    </row>
    <row r="187" spans="1:45" x14ac:dyDescent="0.25">
      <c r="A187" s="46"/>
      <c r="B187" s="34"/>
      <c r="C187" s="42" t="s">
        <v>255</v>
      </c>
      <c r="D187" s="72">
        <f>3411360+1686386</f>
        <v>5097746</v>
      </c>
      <c r="E187" s="67">
        <v>5097746</v>
      </c>
      <c r="F187" s="67"/>
      <c r="G187" s="67"/>
      <c r="H187" s="67">
        <f>+E187+F187</f>
        <v>5097746</v>
      </c>
      <c r="I187" s="67"/>
      <c r="J187" s="67"/>
      <c r="K187" s="67"/>
      <c r="L187" s="67"/>
      <c r="M187" s="67"/>
      <c r="N187" s="68">
        <f>+H187+L187</f>
        <v>5097746</v>
      </c>
      <c r="O187" s="72"/>
      <c r="P187" s="67"/>
      <c r="Q187" s="67"/>
      <c r="R187" s="67">
        <f>+O187+P187</f>
        <v>0</v>
      </c>
      <c r="S187" s="67"/>
      <c r="T187" s="67"/>
      <c r="U187" s="68"/>
      <c r="V187" s="68"/>
      <c r="W187" s="68"/>
      <c r="X187" s="68">
        <f>+R187+V187</f>
        <v>0</v>
      </c>
      <c r="Y187" s="69">
        <f>+R187+H187</f>
        <v>5097746</v>
      </c>
      <c r="Z187" s="68">
        <f>+D187-Y187</f>
        <v>0</v>
      </c>
      <c r="AA187" s="68"/>
      <c r="AB187" s="69">
        <f>+D187-N187-X187</f>
        <v>0</v>
      </c>
    </row>
    <row r="188" spans="1:45" x14ac:dyDescent="0.25">
      <c r="C188" s="4" t="s">
        <v>317</v>
      </c>
      <c r="D188" s="55">
        <v>3556595</v>
      </c>
      <c r="E188" s="55">
        <v>3556595</v>
      </c>
      <c r="F188" s="55"/>
      <c r="G188" s="55"/>
      <c r="H188" s="55">
        <f>+E188+F188</f>
        <v>3556595</v>
      </c>
      <c r="I188" s="55"/>
      <c r="J188" s="55"/>
      <c r="K188" s="55"/>
      <c r="L188" s="55"/>
      <c r="M188" s="55"/>
      <c r="N188" s="55">
        <f>+H188+L188</f>
        <v>3556595</v>
      </c>
      <c r="O188" s="55"/>
      <c r="P188" s="55"/>
      <c r="Q188" s="55"/>
      <c r="R188" s="55">
        <f>+O188+P188</f>
        <v>0</v>
      </c>
      <c r="S188" s="55"/>
      <c r="T188" s="55"/>
      <c r="U188" s="55"/>
      <c r="V188" s="55"/>
      <c r="W188" s="55"/>
      <c r="X188" s="55">
        <f>+R188+V188</f>
        <v>0</v>
      </c>
      <c r="Y188" s="69">
        <f>+R188+H188</f>
        <v>3556595</v>
      </c>
      <c r="Z188" s="68">
        <f>+D188-Y188</f>
        <v>0</v>
      </c>
      <c r="AA188" s="68"/>
      <c r="AB188" s="69">
        <f>+D188-N188-X188</f>
        <v>0</v>
      </c>
    </row>
    <row r="189" spans="1:45" x14ac:dyDescent="0.25">
      <c r="A189" s="46"/>
      <c r="B189" s="34"/>
      <c r="C189" s="18" t="s">
        <v>53</v>
      </c>
      <c r="D189" s="72">
        <v>10893520.539999999</v>
      </c>
      <c r="E189" s="70"/>
      <c r="F189" s="70"/>
      <c r="G189" s="70"/>
      <c r="H189" s="67">
        <f>+E189+F189</f>
        <v>0</v>
      </c>
      <c r="I189" s="70"/>
      <c r="J189" s="70"/>
      <c r="K189" s="70"/>
      <c r="L189" s="70"/>
      <c r="M189" s="70"/>
      <c r="N189" s="68">
        <f>+H189+L189</f>
        <v>0</v>
      </c>
      <c r="O189" s="72">
        <f>4510070.69+973968.41-973968.41+1019932.5</f>
        <v>5530003.1900000004</v>
      </c>
      <c r="P189" s="72"/>
      <c r="Q189" s="70"/>
      <c r="R189" s="67">
        <f>+O189+P189</f>
        <v>5530003.1900000004</v>
      </c>
      <c r="S189" s="70"/>
      <c r="T189" s="70"/>
      <c r="U189" s="68"/>
      <c r="V189" s="68"/>
      <c r="W189" s="68"/>
      <c r="X189" s="68">
        <f>+R189+V189</f>
        <v>5530003.1900000004</v>
      </c>
      <c r="Y189" s="69">
        <f>+R189+H189</f>
        <v>5530003.1900000004</v>
      </c>
      <c r="Z189" s="68">
        <f>+D189-Y189</f>
        <v>5363517.3499999987</v>
      </c>
      <c r="AA189" s="68"/>
      <c r="AB189" s="69">
        <f>+D189-N189-X189</f>
        <v>5363517.3499999987</v>
      </c>
      <c r="AC189" s="49" t="s">
        <v>317</v>
      </c>
      <c r="AD189" s="94">
        <f>+D188+D157+D144+D197</f>
        <v>21641742.059999999</v>
      </c>
      <c r="AE189" s="94">
        <f>+E188+E157+E144+E197</f>
        <v>21375197.156000003</v>
      </c>
      <c r="AF189" s="94">
        <f>+F188+F157+F144+F197</f>
        <v>0</v>
      </c>
      <c r="AG189" s="94">
        <f t="shared" ref="AG189:AG196" si="82">+AE189+AF189</f>
        <v>21375197.156000003</v>
      </c>
      <c r="AH189" s="94">
        <f>+L188+L157+L144+L197</f>
        <v>0</v>
      </c>
      <c r="AI189" s="94">
        <f t="shared" ref="AI189:AI196" si="83">+AG189+AH189</f>
        <v>21375197.156000003</v>
      </c>
      <c r="AJ189" s="94">
        <f>+O188+O157+O144+O197</f>
        <v>0</v>
      </c>
      <c r="AK189" s="94">
        <f>+P157+P188+P144+P197</f>
        <v>0</v>
      </c>
      <c r="AL189" s="94">
        <f t="shared" ref="AL189:AL196" si="84">+AJ189+AK189</f>
        <v>0</v>
      </c>
      <c r="AM189" s="94">
        <f>+V188+V157+V144+V197</f>
        <v>0</v>
      </c>
      <c r="AN189" s="94">
        <f t="shared" ref="AN189:AN196" si="85">+AL189+AM189</f>
        <v>0</v>
      </c>
      <c r="AO189" s="94">
        <f t="shared" ref="AO189:AO195" si="86">+AG189+AL189</f>
        <v>21375197.156000003</v>
      </c>
      <c r="AP189" s="94">
        <f t="shared" ref="AP189:AP195" si="87">+AD189-AO189</f>
        <v>266544.90399999544</v>
      </c>
      <c r="AQ189" s="94">
        <f t="shared" ref="AQ189:AQ195" si="88">+AD189-AI189-AN189</f>
        <v>266544.90399999544</v>
      </c>
    </row>
    <row r="190" spans="1:45" x14ac:dyDescent="0.25">
      <c r="A190" s="46"/>
      <c r="B190" s="23"/>
      <c r="C190" s="18" t="s">
        <v>54</v>
      </c>
      <c r="D190" s="73">
        <v>5603896.2599999998</v>
      </c>
      <c r="E190" s="68"/>
      <c r="F190" s="67"/>
      <c r="G190" s="67"/>
      <c r="H190" s="67">
        <f>+E190+F190</f>
        <v>0</v>
      </c>
      <c r="I190" s="67"/>
      <c r="J190" s="68"/>
      <c r="K190" s="68"/>
      <c r="L190" s="67"/>
      <c r="M190" s="67"/>
      <c r="N190" s="68">
        <f>+H190+L190</f>
        <v>0</v>
      </c>
      <c r="O190" s="72">
        <v>5603896.2599999998</v>
      </c>
      <c r="P190" s="67"/>
      <c r="Q190" s="67"/>
      <c r="R190" s="67">
        <f>+O190+P190</f>
        <v>5603896.2599999998</v>
      </c>
      <c r="S190" s="67"/>
      <c r="T190" s="67"/>
      <c r="U190" s="68"/>
      <c r="V190" s="68"/>
      <c r="W190" s="68"/>
      <c r="X190" s="68">
        <f>+R190+V190</f>
        <v>5603896.2599999998</v>
      </c>
      <c r="Y190" s="69">
        <f>+R190+H190</f>
        <v>5603896.2599999998</v>
      </c>
      <c r="Z190" s="68">
        <f>+D190-Y190</f>
        <v>0</v>
      </c>
      <c r="AA190" s="68"/>
      <c r="AB190" s="69">
        <f>+D190-N190-X190</f>
        <v>0</v>
      </c>
      <c r="AC190" s="49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</row>
    <row r="191" spans="1:45" x14ac:dyDescent="0.25">
      <c r="A191" s="46"/>
      <c r="B191" s="23"/>
      <c r="C191" s="18"/>
      <c r="D191" s="70" t="s">
        <v>40</v>
      </c>
      <c r="E191" s="70" t="s">
        <v>40</v>
      </c>
      <c r="F191" s="70" t="s">
        <v>40</v>
      </c>
      <c r="G191" s="70"/>
      <c r="H191" s="70" t="s">
        <v>40</v>
      </c>
      <c r="I191" s="70" t="s">
        <v>40</v>
      </c>
      <c r="J191" s="70" t="s">
        <v>40</v>
      </c>
      <c r="K191" s="70" t="s">
        <v>40</v>
      </c>
      <c r="L191" s="70" t="s">
        <v>40</v>
      </c>
      <c r="M191" s="70"/>
      <c r="N191" s="70" t="s">
        <v>40</v>
      </c>
      <c r="O191" s="70" t="s">
        <v>40</v>
      </c>
      <c r="P191" s="70" t="s">
        <v>40</v>
      </c>
      <c r="Q191" s="70"/>
      <c r="R191" s="70" t="s">
        <v>40</v>
      </c>
      <c r="S191" s="70" t="s">
        <v>40</v>
      </c>
      <c r="T191" s="70" t="s">
        <v>40</v>
      </c>
      <c r="U191" s="70" t="s">
        <v>40</v>
      </c>
      <c r="V191" s="70" t="s">
        <v>40</v>
      </c>
      <c r="W191" s="70"/>
      <c r="X191" s="70" t="s">
        <v>40</v>
      </c>
      <c r="Y191" s="70" t="s">
        <v>40</v>
      </c>
      <c r="Z191" s="70" t="s">
        <v>40</v>
      </c>
      <c r="AA191" s="70" t="s">
        <v>40</v>
      </c>
      <c r="AB191" s="71" t="s">
        <v>165</v>
      </c>
      <c r="AC191" s="124" t="s">
        <v>298</v>
      </c>
      <c r="AD191" s="94">
        <f>+D134+D176</f>
        <v>13389000</v>
      </c>
      <c r="AE191" s="94">
        <f>+E134+E176</f>
        <v>13389000</v>
      </c>
      <c r="AF191" s="94">
        <f>+F134+F176</f>
        <v>0</v>
      </c>
      <c r="AG191" s="94">
        <f t="shared" si="82"/>
        <v>13389000</v>
      </c>
      <c r="AH191" s="94">
        <f>+L134+L176+L526</f>
        <v>0</v>
      </c>
      <c r="AI191" s="94">
        <f t="shared" si="83"/>
        <v>13389000</v>
      </c>
      <c r="AJ191" s="94">
        <f>+O134+O176+O526</f>
        <v>0</v>
      </c>
      <c r="AK191" s="94">
        <f>+P134+P176+P526</f>
        <v>0</v>
      </c>
      <c r="AL191" s="94">
        <f t="shared" si="84"/>
        <v>0</v>
      </c>
      <c r="AM191" s="94">
        <f>+V134+V176+V526</f>
        <v>0</v>
      </c>
      <c r="AN191" s="94">
        <f t="shared" si="85"/>
        <v>0</v>
      </c>
      <c r="AO191" s="94">
        <f t="shared" si="86"/>
        <v>13389000</v>
      </c>
      <c r="AP191" s="94">
        <f t="shared" si="87"/>
        <v>0</v>
      </c>
      <c r="AQ191" s="94">
        <f t="shared" si="88"/>
        <v>0</v>
      </c>
    </row>
    <row r="192" spans="1:45" x14ac:dyDescent="0.25">
      <c r="A192" s="46"/>
      <c r="B192" s="34"/>
      <c r="C192" s="18"/>
      <c r="D192" s="72">
        <f>SUM(D186:D190)</f>
        <v>36230769.519999996</v>
      </c>
      <c r="E192" s="72">
        <f>SUM(E186:E190)</f>
        <v>8654341</v>
      </c>
      <c r="F192" s="72">
        <f>SUM(F186:F190)</f>
        <v>0</v>
      </c>
      <c r="G192" s="72"/>
      <c r="H192" s="72">
        <f>SUM(H186:H190)</f>
        <v>8654341</v>
      </c>
      <c r="I192" s="72">
        <f>SUM(I186:I190)</f>
        <v>0</v>
      </c>
      <c r="J192" s="72">
        <f>SUM(J186:J190)</f>
        <v>0</v>
      </c>
      <c r="K192" s="72">
        <f>SUM(K186:K190)</f>
        <v>0</v>
      </c>
      <c r="L192" s="72">
        <f>SUM(L186:L190)</f>
        <v>0</v>
      </c>
      <c r="M192" s="72"/>
      <c r="N192" s="72">
        <f>SUM(N186:N190)</f>
        <v>8654341</v>
      </c>
      <c r="O192" s="72">
        <f>SUM(O186:O190)</f>
        <v>11133899.449999999</v>
      </c>
      <c r="P192" s="72">
        <f>SUM(P186:P190)</f>
        <v>0</v>
      </c>
      <c r="Q192" s="72"/>
      <c r="R192" s="72">
        <f>SUM(R186:R190)</f>
        <v>11133899.449999999</v>
      </c>
      <c r="S192" s="72">
        <f>SUM(S186:S190)</f>
        <v>0</v>
      </c>
      <c r="T192" s="72">
        <f>SUM(T186:T190)</f>
        <v>0</v>
      </c>
      <c r="U192" s="72">
        <f>SUM(U186:U190)</f>
        <v>0</v>
      </c>
      <c r="V192" s="72">
        <f>SUM(V186:V190)</f>
        <v>0</v>
      </c>
      <c r="W192" s="72"/>
      <c r="X192" s="72">
        <f>SUM(X186:X190)</f>
        <v>11133899.449999999</v>
      </c>
      <c r="Y192" s="72">
        <f>SUM(Y186:Y190)</f>
        <v>19788240.450000003</v>
      </c>
      <c r="Z192" s="72">
        <f>SUM(Z186:Z190)</f>
        <v>16442529.07</v>
      </c>
      <c r="AA192" s="72">
        <f>SUM(AA186:AA190)</f>
        <v>0</v>
      </c>
      <c r="AB192" s="72">
        <f>SUM(AB186:AB190)</f>
        <v>16442529.07</v>
      </c>
      <c r="AC192" s="49" t="s">
        <v>47</v>
      </c>
      <c r="AD192" s="94">
        <f>D132+D143+D153+D165+D174+D186+D195</f>
        <v>106783260.78000002</v>
      </c>
      <c r="AE192" s="94">
        <f>E132+E143+E153+E165+E174+E186+E195</f>
        <v>0</v>
      </c>
      <c r="AF192" s="94">
        <f>F132+F143+F153+F165+F174+F186+F195</f>
        <v>0</v>
      </c>
      <c r="AG192" s="94">
        <f t="shared" si="82"/>
        <v>0</v>
      </c>
      <c r="AH192" s="94">
        <f>L132+L143+L153+L165+L174+L186+L195</f>
        <v>0</v>
      </c>
      <c r="AI192" s="94">
        <f t="shared" si="83"/>
        <v>0</v>
      </c>
      <c r="AJ192" s="94">
        <f>O132+O143+O153+O165+O174+O186+O195</f>
        <v>3171420.6799999997</v>
      </c>
      <c r="AK192" s="94">
        <f>P132+P143+P153+P165+P174+P186+P195</f>
        <v>0</v>
      </c>
      <c r="AL192" s="94">
        <f t="shared" si="84"/>
        <v>3171420.6799999997</v>
      </c>
      <c r="AM192" s="94">
        <f>V132+V143+V153+V165+V174+V186+V195</f>
        <v>0</v>
      </c>
      <c r="AN192" s="94">
        <f t="shared" si="85"/>
        <v>3171420.6799999997</v>
      </c>
      <c r="AO192" s="94">
        <f t="shared" si="86"/>
        <v>3171420.6799999997</v>
      </c>
      <c r="AP192" s="94">
        <f t="shared" si="87"/>
        <v>103611840.10000002</v>
      </c>
      <c r="AQ192" s="94">
        <f t="shared" si="88"/>
        <v>103611840.10000002</v>
      </c>
    </row>
    <row r="193" spans="1:55" ht="16.5" customHeight="1" x14ac:dyDescent="0.25">
      <c r="A193" s="46"/>
      <c r="B193" s="34"/>
      <c r="C193" s="18"/>
      <c r="D193" s="70" t="s">
        <v>40</v>
      </c>
      <c r="E193" s="70" t="s">
        <v>40</v>
      </c>
      <c r="F193" s="70" t="s">
        <v>40</v>
      </c>
      <c r="G193" s="70"/>
      <c r="H193" s="70" t="s">
        <v>40</v>
      </c>
      <c r="I193" s="70" t="s">
        <v>40</v>
      </c>
      <c r="J193" s="70" t="s">
        <v>40</v>
      </c>
      <c r="K193" s="70" t="s">
        <v>40</v>
      </c>
      <c r="L193" s="70" t="s">
        <v>40</v>
      </c>
      <c r="M193" s="70"/>
      <c r="N193" s="70" t="s">
        <v>40</v>
      </c>
      <c r="O193" s="70" t="s">
        <v>40</v>
      </c>
      <c r="P193" s="70" t="s">
        <v>40</v>
      </c>
      <c r="Q193" s="70"/>
      <c r="R193" s="70" t="s">
        <v>40</v>
      </c>
      <c r="S193" s="70" t="s">
        <v>40</v>
      </c>
      <c r="T193" s="70" t="s">
        <v>40</v>
      </c>
      <c r="U193" s="70" t="s">
        <v>40</v>
      </c>
      <c r="V193" s="70" t="s">
        <v>40</v>
      </c>
      <c r="W193" s="70"/>
      <c r="X193" s="70" t="s">
        <v>40</v>
      </c>
      <c r="Y193" s="70" t="s">
        <v>40</v>
      </c>
      <c r="Z193" s="70" t="s">
        <v>40</v>
      </c>
      <c r="AA193" s="70" t="s">
        <v>40</v>
      </c>
      <c r="AB193" s="71" t="s">
        <v>165</v>
      </c>
      <c r="AC193" s="49" t="s">
        <v>36</v>
      </c>
      <c r="AD193" s="94">
        <f>D133+D154+D166+D175</f>
        <v>10560642</v>
      </c>
      <c r="AE193" s="94">
        <f>E133+E154+E166+E175</f>
        <v>10560642</v>
      </c>
      <c r="AF193" s="94">
        <f>F133+F154+F166+F175</f>
        <v>0</v>
      </c>
      <c r="AG193" s="94">
        <f t="shared" si="82"/>
        <v>10560642</v>
      </c>
      <c r="AH193" s="94">
        <f>L133+L154+L166+L175</f>
        <v>0</v>
      </c>
      <c r="AI193" s="94">
        <f t="shared" si="83"/>
        <v>10560642</v>
      </c>
      <c r="AJ193" s="94">
        <f>O133+O154+O166+O175</f>
        <v>0</v>
      </c>
      <c r="AK193" s="94">
        <f>P133+P154+P166+P175</f>
        <v>0</v>
      </c>
      <c r="AL193" s="94">
        <f t="shared" si="84"/>
        <v>0</v>
      </c>
      <c r="AM193" s="94">
        <f>V133+V154+V166+V175</f>
        <v>0</v>
      </c>
      <c r="AN193" s="94">
        <f t="shared" si="85"/>
        <v>0</v>
      </c>
      <c r="AO193" s="94">
        <f t="shared" si="86"/>
        <v>10560642</v>
      </c>
      <c r="AP193" s="94">
        <f t="shared" si="87"/>
        <v>0</v>
      </c>
      <c r="AQ193" s="94">
        <f t="shared" si="88"/>
        <v>0</v>
      </c>
    </row>
    <row r="194" spans="1:55" ht="18" customHeight="1" x14ac:dyDescent="0.25">
      <c r="A194" s="46"/>
      <c r="B194" s="34"/>
      <c r="C194" s="18"/>
      <c r="D194" s="72"/>
      <c r="E194" s="70"/>
      <c r="F194" s="70"/>
      <c r="G194" s="70"/>
      <c r="H194" s="67"/>
      <c r="I194" s="70"/>
      <c r="J194" s="70"/>
      <c r="K194" s="70"/>
      <c r="L194" s="70"/>
      <c r="M194" s="70"/>
      <c r="N194" s="68"/>
      <c r="O194" s="72"/>
      <c r="P194" s="70"/>
      <c r="Q194" s="70"/>
      <c r="R194" s="70"/>
      <c r="S194" s="70"/>
      <c r="T194" s="70"/>
      <c r="U194" s="68"/>
      <c r="V194" s="68"/>
      <c r="W194" s="68"/>
      <c r="X194" s="68"/>
      <c r="Y194" s="68"/>
      <c r="Z194" s="68"/>
      <c r="AA194" s="68"/>
      <c r="AB194" s="68"/>
      <c r="AC194" s="49" t="s">
        <v>53</v>
      </c>
      <c r="AD194" s="94">
        <f>D136+D145+D155+D168+D179+D189</f>
        <v>99623061.99000001</v>
      </c>
      <c r="AE194" s="94">
        <f>E136+E145+E155+E168+E179+E189</f>
        <v>0</v>
      </c>
      <c r="AF194" s="94">
        <f>F136+F145+F155+F168+F179+F189</f>
        <v>0</v>
      </c>
      <c r="AG194" s="94">
        <f t="shared" si="82"/>
        <v>0</v>
      </c>
      <c r="AH194" s="94">
        <f>L136+L145+L155+L168+L179+L189</f>
        <v>0</v>
      </c>
      <c r="AI194" s="94">
        <f t="shared" si="83"/>
        <v>0</v>
      </c>
      <c r="AJ194" s="94">
        <f>O136+O145+O155+O168+O179+O189</f>
        <v>89252103.229999989</v>
      </c>
      <c r="AK194" s="94">
        <f>P136+P145+P155+P168+P179+P189</f>
        <v>0</v>
      </c>
      <c r="AL194" s="94">
        <f t="shared" si="84"/>
        <v>89252103.229999989</v>
      </c>
      <c r="AM194" s="94">
        <f>V136+V145+V155+V168+V179+V189</f>
        <v>0</v>
      </c>
      <c r="AN194" s="94">
        <f t="shared" si="85"/>
        <v>89252103.229999989</v>
      </c>
      <c r="AO194" s="94">
        <f t="shared" si="86"/>
        <v>89252103.229999989</v>
      </c>
      <c r="AP194" s="94">
        <f t="shared" si="87"/>
        <v>10370958.76000002</v>
      </c>
      <c r="AQ194" s="94">
        <f t="shared" si="88"/>
        <v>10370958.76000002</v>
      </c>
      <c r="AR194" s="94"/>
    </row>
    <row r="195" spans="1:55" x14ac:dyDescent="0.25">
      <c r="A195" s="46">
        <v>18</v>
      </c>
      <c r="B195" s="34" t="s">
        <v>176</v>
      </c>
      <c r="C195" s="2" t="s">
        <v>35</v>
      </c>
      <c r="D195" s="73">
        <v>36311.56</v>
      </c>
      <c r="E195" s="68"/>
      <c r="F195" s="68"/>
      <c r="G195" s="68"/>
      <c r="H195" s="67">
        <f>+E195+F195</f>
        <v>0</v>
      </c>
      <c r="I195" s="68"/>
      <c r="J195" s="68"/>
      <c r="K195" s="68"/>
      <c r="L195" s="68"/>
      <c r="M195" s="68"/>
      <c r="N195" s="68">
        <f>+H195+L195</f>
        <v>0</v>
      </c>
      <c r="O195" s="73"/>
      <c r="P195" s="68"/>
      <c r="Q195" s="68"/>
      <c r="R195" s="67">
        <f>+O195+P195</f>
        <v>0</v>
      </c>
      <c r="S195" s="68"/>
      <c r="T195" s="68"/>
      <c r="U195" s="68"/>
      <c r="V195" s="68"/>
      <c r="W195" s="68"/>
      <c r="X195" s="68">
        <f>+R195+V195</f>
        <v>0</v>
      </c>
      <c r="Y195" s="64">
        <f>+R195+H195</f>
        <v>0</v>
      </c>
      <c r="Z195" s="55">
        <f>+D195-Y195</f>
        <v>36311.56</v>
      </c>
      <c r="AA195" s="55"/>
      <c r="AB195" s="64">
        <f>+D195-N195-X195</f>
        <v>36311.56</v>
      </c>
      <c r="AC195" s="49" t="s">
        <v>54</v>
      </c>
      <c r="AD195" s="94">
        <f>D138+D147+D156+D167+D180+D190</f>
        <v>27620491.449999996</v>
      </c>
      <c r="AE195" s="94">
        <f>E138+E147+E156+E167+E180+E190</f>
        <v>0</v>
      </c>
      <c r="AF195" s="94">
        <f>F138+F147+F156+F167+F180+F190</f>
        <v>0</v>
      </c>
      <c r="AG195" s="94">
        <f t="shared" si="82"/>
        <v>0</v>
      </c>
      <c r="AH195" s="94">
        <f>L138+L147+L156+L167+L180+L190</f>
        <v>0</v>
      </c>
      <c r="AI195" s="94">
        <f t="shared" si="83"/>
        <v>0</v>
      </c>
      <c r="AJ195" s="94">
        <f>O138+O147+O156+O167+O180+O190</f>
        <v>22282219.409999996</v>
      </c>
      <c r="AK195" s="94">
        <f>P138+P147+P156+P167+P180+P190</f>
        <v>0</v>
      </c>
      <c r="AL195" s="94">
        <f t="shared" si="84"/>
        <v>22282219.409999996</v>
      </c>
      <c r="AM195" s="94">
        <f>V138+V147+V156+V167+V180+V190</f>
        <v>0</v>
      </c>
      <c r="AN195" s="94">
        <f t="shared" si="85"/>
        <v>22282219.409999996</v>
      </c>
      <c r="AO195" s="94">
        <f t="shared" si="86"/>
        <v>22282219.409999996</v>
      </c>
      <c r="AP195" s="94">
        <f t="shared" si="87"/>
        <v>5338272.0399999991</v>
      </c>
      <c r="AQ195" s="94">
        <f t="shared" si="88"/>
        <v>5338272.0399999991</v>
      </c>
    </row>
    <row r="196" spans="1:55" x14ac:dyDescent="0.25">
      <c r="C196" s="4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64"/>
      <c r="Z196" s="55"/>
      <c r="AA196" s="55"/>
      <c r="AB196" s="64"/>
      <c r="AC196" s="49" t="s">
        <v>329</v>
      </c>
      <c r="AD196" s="94">
        <f>+D178</f>
        <v>1207870.27</v>
      </c>
      <c r="AE196" s="94">
        <f>+E178</f>
        <v>1207870.27</v>
      </c>
      <c r="AF196" s="94">
        <f>+F178</f>
        <v>0</v>
      </c>
      <c r="AG196" s="94">
        <f t="shared" si="82"/>
        <v>1207870.27</v>
      </c>
      <c r="AH196" s="94">
        <f>+L178</f>
        <v>0</v>
      </c>
      <c r="AI196" s="94">
        <f t="shared" si="83"/>
        <v>1207870.27</v>
      </c>
      <c r="AJ196" s="94">
        <f>+O178</f>
        <v>0</v>
      </c>
      <c r="AK196" s="94">
        <f>+P178</f>
        <v>0</v>
      </c>
      <c r="AL196" s="94">
        <f t="shared" si="84"/>
        <v>0</v>
      </c>
      <c r="AM196" s="94">
        <f>+V178</f>
        <v>0</v>
      </c>
      <c r="AN196" s="94">
        <f t="shared" si="85"/>
        <v>0</v>
      </c>
      <c r="AO196" s="94">
        <f t="shared" ref="AO196:AO201" si="89">+AG196+AL196</f>
        <v>1207870.27</v>
      </c>
      <c r="AP196" s="94">
        <f>+AD196-AO196</f>
        <v>0</v>
      </c>
      <c r="AQ196" s="94">
        <f>+AD196-AI196-AN196</f>
        <v>0</v>
      </c>
    </row>
    <row r="197" spans="1:55" x14ac:dyDescent="0.25">
      <c r="C197" s="4" t="s">
        <v>317</v>
      </c>
      <c r="D197" s="55">
        <f>733455.1+266544.9</f>
        <v>1000000</v>
      </c>
      <c r="E197" s="55">
        <v>733455.1</v>
      </c>
      <c r="F197" s="55"/>
      <c r="G197" s="55"/>
      <c r="H197" s="55">
        <f>+E197+F197</f>
        <v>733455.1</v>
      </c>
      <c r="I197" s="55"/>
      <c r="J197" s="55"/>
      <c r="K197" s="55"/>
      <c r="L197" s="55"/>
      <c r="M197" s="55"/>
      <c r="N197" s="55">
        <f>+H197+L197</f>
        <v>733455.1</v>
      </c>
      <c r="O197" s="55"/>
      <c r="P197" s="55"/>
      <c r="Q197" s="55"/>
      <c r="R197" s="55">
        <f>+O197+P197</f>
        <v>0</v>
      </c>
      <c r="S197" s="55"/>
      <c r="T197" s="55"/>
      <c r="U197" s="55"/>
      <c r="V197" s="55"/>
      <c r="W197" s="55"/>
      <c r="X197" s="55">
        <f>+R197+V197</f>
        <v>0</v>
      </c>
      <c r="Y197" s="69">
        <f>+R197+H197</f>
        <v>733455.1</v>
      </c>
      <c r="Z197" s="68">
        <f>+D197-Y197</f>
        <v>266544.90000000002</v>
      </c>
      <c r="AA197" s="68"/>
      <c r="AB197" s="69">
        <f>+D197-N197-X197</f>
        <v>266544.90000000002</v>
      </c>
      <c r="AC197" s="49" t="s">
        <v>303</v>
      </c>
      <c r="AD197" s="94">
        <f>+D177+D196+D158+D135</f>
        <v>644709379.03999996</v>
      </c>
      <c r="AE197" s="94">
        <f>+E177+E196+E158+E135</f>
        <v>562709379.03999996</v>
      </c>
      <c r="AF197" s="94">
        <f>+F177+F196+F158+F135</f>
        <v>82000000</v>
      </c>
      <c r="AG197" s="94">
        <f>+AE197+AF197</f>
        <v>644709379.03999996</v>
      </c>
      <c r="AH197" s="94">
        <f>+L177+L196+L158+L135</f>
        <v>0</v>
      </c>
      <c r="AI197" s="94">
        <f>+AG197+AH197</f>
        <v>644709379.03999996</v>
      </c>
      <c r="AJ197" s="94">
        <f>+O177+O196+O158+O135</f>
        <v>0</v>
      </c>
      <c r="AK197" s="94">
        <f>+P177+P196+P158+P135</f>
        <v>0</v>
      </c>
      <c r="AL197" s="94">
        <f>+AJ197+AK197</f>
        <v>0</v>
      </c>
      <c r="AM197" s="94">
        <f>+V177+V196+V158+V135</f>
        <v>0</v>
      </c>
      <c r="AN197" s="94">
        <f>+AL197+AM197</f>
        <v>0</v>
      </c>
      <c r="AO197" s="94">
        <f t="shared" si="89"/>
        <v>644709379.03999996</v>
      </c>
      <c r="AP197" s="94">
        <f>+AH197+AM197</f>
        <v>0</v>
      </c>
      <c r="AQ197" s="94">
        <f>+AE197-AP197</f>
        <v>562709379.03999996</v>
      </c>
    </row>
    <row r="198" spans="1:55" x14ac:dyDescent="0.25">
      <c r="A198" s="46"/>
      <c r="B198" s="23"/>
      <c r="C198" s="18" t="s">
        <v>38</v>
      </c>
      <c r="D198" s="72">
        <v>500000</v>
      </c>
      <c r="E198" s="67"/>
      <c r="F198" s="67"/>
      <c r="G198" s="67"/>
      <c r="H198" s="67">
        <f>+E198+F198</f>
        <v>0</v>
      </c>
      <c r="I198" s="67"/>
      <c r="J198" s="67"/>
      <c r="K198" s="67"/>
      <c r="L198" s="67"/>
      <c r="M198" s="67"/>
      <c r="N198" s="68">
        <f>+H198+L198</f>
        <v>0</v>
      </c>
      <c r="O198" s="72"/>
      <c r="P198" s="67"/>
      <c r="Q198" s="67"/>
      <c r="R198" s="67">
        <f>+O198+P198</f>
        <v>0</v>
      </c>
      <c r="S198" s="67"/>
      <c r="T198" s="67"/>
      <c r="U198" s="68"/>
      <c r="V198" s="68"/>
      <c r="W198" s="68"/>
      <c r="X198" s="68">
        <f>+R198+V198</f>
        <v>0</v>
      </c>
      <c r="Y198" s="69">
        <f>+R198+H198</f>
        <v>0</v>
      </c>
      <c r="Z198" s="68">
        <f>+D198-Y198</f>
        <v>500000</v>
      </c>
      <c r="AA198" s="68"/>
      <c r="AB198" s="69">
        <f>+D198-N198-X198</f>
        <v>500000</v>
      </c>
      <c r="AC198" s="49" t="s">
        <v>38</v>
      </c>
      <c r="AD198" s="94">
        <f>D137+D146+D198</f>
        <v>14721000</v>
      </c>
      <c r="AE198" s="94">
        <f>E137+E146+E198</f>
        <v>0</v>
      </c>
      <c r="AF198" s="94">
        <f>F137+F146+F198</f>
        <v>0</v>
      </c>
      <c r="AG198" s="94">
        <f>+AE198+AF198</f>
        <v>0</v>
      </c>
      <c r="AH198" s="94">
        <f>L137+L146+L198</f>
        <v>0</v>
      </c>
      <c r="AI198" s="94">
        <f>+AG198+AH198</f>
        <v>0</v>
      </c>
      <c r="AJ198" s="94">
        <f>O137+O146+O198</f>
        <v>0</v>
      </c>
      <c r="AK198" s="94">
        <f>P137+P146+P198</f>
        <v>0</v>
      </c>
      <c r="AL198" s="94">
        <f>+AJ198+AK198</f>
        <v>0</v>
      </c>
      <c r="AM198" s="94">
        <f>V137+V146+V198</f>
        <v>0</v>
      </c>
      <c r="AN198" s="94">
        <f>+AL198+AM198</f>
        <v>0</v>
      </c>
      <c r="AO198" s="94">
        <f t="shared" si="89"/>
        <v>0</v>
      </c>
      <c r="AP198" s="94">
        <f>+AD198-AO198</f>
        <v>14721000</v>
      </c>
      <c r="AQ198" s="94">
        <f>+AD198-AI198-AN198</f>
        <v>14721000</v>
      </c>
    </row>
    <row r="199" spans="1:55" x14ac:dyDescent="0.25">
      <c r="A199" s="46"/>
      <c r="B199" s="34"/>
      <c r="C199" s="18"/>
      <c r="D199" s="70" t="s">
        <v>40</v>
      </c>
      <c r="E199" s="70" t="s">
        <v>40</v>
      </c>
      <c r="F199" s="70" t="s">
        <v>40</v>
      </c>
      <c r="G199" s="70"/>
      <c r="H199" s="70" t="s">
        <v>40</v>
      </c>
      <c r="I199" s="70" t="s">
        <v>40</v>
      </c>
      <c r="J199" s="70" t="s">
        <v>40</v>
      </c>
      <c r="K199" s="70" t="s">
        <v>40</v>
      </c>
      <c r="L199" s="70" t="s">
        <v>40</v>
      </c>
      <c r="M199" s="70"/>
      <c r="N199" s="70" t="s">
        <v>40</v>
      </c>
      <c r="O199" s="70" t="s">
        <v>40</v>
      </c>
      <c r="P199" s="70" t="s">
        <v>40</v>
      </c>
      <c r="Q199" s="70"/>
      <c r="R199" s="70" t="s">
        <v>40</v>
      </c>
      <c r="S199" s="70" t="s">
        <v>40</v>
      </c>
      <c r="T199" s="70" t="s">
        <v>40</v>
      </c>
      <c r="U199" s="70" t="s">
        <v>40</v>
      </c>
      <c r="V199" s="70" t="s">
        <v>40</v>
      </c>
      <c r="W199" s="70"/>
      <c r="X199" s="70" t="s">
        <v>40</v>
      </c>
      <c r="Y199" s="70" t="s">
        <v>40</v>
      </c>
      <c r="Z199" s="70" t="s">
        <v>40</v>
      </c>
      <c r="AA199" s="70" t="s">
        <v>40</v>
      </c>
      <c r="AB199" s="71" t="s">
        <v>165</v>
      </c>
      <c r="AC199" s="49" t="s">
        <v>255</v>
      </c>
      <c r="AD199" s="94">
        <f>D159+D169+D187</f>
        <v>14279036.310000001</v>
      </c>
      <c r="AE199" s="94">
        <f>E159+E169+E187</f>
        <v>14279036.310000001</v>
      </c>
      <c r="AF199" s="94">
        <f>F159+F169+F187</f>
        <v>0</v>
      </c>
      <c r="AG199" s="94">
        <f>+AE199+AF199</f>
        <v>14279036.310000001</v>
      </c>
      <c r="AH199" s="94">
        <f>L159+L169+L187</f>
        <v>0</v>
      </c>
      <c r="AI199" s="94">
        <f>+AG199+AH199</f>
        <v>14279036.310000001</v>
      </c>
      <c r="AJ199" s="94">
        <f>O159+O169+O187</f>
        <v>0</v>
      </c>
      <c r="AK199" s="94">
        <f>P159+P169+P187</f>
        <v>0</v>
      </c>
      <c r="AL199" s="94">
        <f>+AJ199+AK199</f>
        <v>0</v>
      </c>
      <c r="AM199" s="94">
        <f>V159+V169+V187</f>
        <v>0</v>
      </c>
      <c r="AN199" s="94">
        <f>+AL199+AM199</f>
        <v>0</v>
      </c>
      <c r="AO199" s="94">
        <f t="shared" si="89"/>
        <v>14279036.310000001</v>
      </c>
      <c r="AP199" s="94">
        <f>+AD199-AO199</f>
        <v>0</v>
      </c>
      <c r="AQ199" s="94">
        <f>+AD199-AI199-AN199</f>
        <v>0</v>
      </c>
    </row>
    <row r="200" spans="1:55" x14ac:dyDescent="0.25">
      <c r="A200" s="46"/>
      <c r="B200" s="34"/>
      <c r="C200" s="19"/>
      <c r="D200" s="73">
        <f>SUM(D195:D198)</f>
        <v>1536311.56</v>
      </c>
      <c r="E200" s="73">
        <f>SUM(E195:E198)</f>
        <v>733455.1</v>
      </c>
      <c r="F200" s="73">
        <f>SUM(F195:F198)</f>
        <v>0</v>
      </c>
      <c r="G200" s="73"/>
      <c r="H200" s="73">
        <f>SUM(H195:H198)</f>
        <v>733455.1</v>
      </c>
      <c r="I200" s="73">
        <f>SUM(I195:I198)</f>
        <v>0</v>
      </c>
      <c r="J200" s="73">
        <f>SUM(J195:J198)</f>
        <v>0</v>
      </c>
      <c r="K200" s="73">
        <f>SUM(K195:K198)</f>
        <v>0</v>
      </c>
      <c r="L200" s="73">
        <f>SUM(L195:L198)</f>
        <v>0</v>
      </c>
      <c r="M200" s="73"/>
      <c r="N200" s="73">
        <f>SUM(N195:N198)</f>
        <v>733455.1</v>
      </c>
      <c r="O200" s="73">
        <f>SUM(O195:O198)</f>
        <v>0</v>
      </c>
      <c r="P200" s="73">
        <f>SUM(P195:P198)</f>
        <v>0</v>
      </c>
      <c r="Q200" s="73"/>
      <c r="R200" s="73">
        <f>SUM(R195:R198)</f>
        <v>0</v>
      </c>
      <c r="S200" s="73">
        <f>SUM(S195:S198)</f>
        <v>0</v>
      </c>
      <c r="T200" s="73">
        <f>SUM(T195:T198)</f>
        <v>0</v>
      </c>
      <c r="U200" s="73">
        <f>SUM(U195:U198)</f>
        <v>0</v>
      </c>
      <c r="V200" s="73">
        <f>SUM(V195:V198)</f>
        <v>0</v>
      </c>
      <c r="W200" s="73"/>
      <c r="X200" s="73">
        <f>SUM(X195:X198)</f>
        <v>0</v>
      </c>
      <c r="Y200" s="73">
        <f>SUM(Y195:Y198)</f>
        <v>733455.1</v>
      </c>
      <c r="Z200" s="73">
        <f>SUM(Z195:Z198)</f>
        <v>802856.46</v>
      </c>
      <c r="AA200" s="73">
        <f>SUM(AA195:AA198)</f>
        <v>0</v>
      </c>
      <c r="AB200" s="73">
        <f>SUM(AB195:AB198)</f>
        <v>802856.46</v>
      </c>
      <c r="AC200" s="49" t="s">
        <v>245</v>
      </c>
      <c r="AD200" s="94">
        <f>+D181</f>
        <v>434405</v>
      </c>
      <c r="AE200" s="94">
        <f>+E181</f>
        <v>0</v>
      </c>
      <c r="AF200" s="94">
        <f>+F181</f>
        <v>0</v>
      </c>
      <c r="AG200" s="94">
        <f>+AE200+AF200</f>
        <v>0</v>
      </c>
      <c r="AH200" s="94">
        <f>+L181</f>
        <v>0</v>
      </c>
      <c r="AI200" s="94">
        <f>+AG200+AH200</f>
        <v>0</v>
      </c>
      <c r="AJ200" s="94">
        <f>+O181</f>
        <v>0</v>
      </c>
      <c r="AK200" s="94">
        <f>+P181</f>
        <v>0</v>
      </c>
      <c r="AL200" s="94">
        <f>+AJ200+AK200</f>
        <v>0</v>
      </c>
      <c r="AM200" s="94">
        <f>+V181</f>
        <v>0</v>
      </c>
      <c r="AN200" s="94">
        <f>+AL200+AM200</f>
        <v>0</v>
      </c>
      <c r="AO200" s="94">
        <f t="shared" si="89"/>
        <v>0</v>
      </c>
      <c r="AP200" s="94">
        <f>+AD200-AO200</f>
        <v>434405</v>
      </c>
      <c r="AQ200" s="94">
        <f>+AD200-AI200-AN200</f>
        <v>434405</v>
      </c>
    </row>
    <row r="201" spans="1:55" x14ac:dyDescent="0.25">
      <c r="A201" s="46"/>
      <c r="B201" s="34"/>
      <c r="C201" s="19"/>
      <c r="D201" s="70" t="s">
        <v>40</v>
      </c>
      <c r="E201" s="70" t="s">
        <v>40</v>
      </c>
      <c r="F201" s="70" t="s">
        <v>40</v>
      </c>
      <c r="G201" s="70"/>
      <c r="H201" s="70" t="s">
        <v>40</v>
      </c>
      <c r="I201" s="70" t="s">
        <v>40</v>
      </c>
      <c r="J201" s="70" t="s">
        <v>40</v>
      </c>
      <c r="K201" s="70" t="s">
        <v>40</v>
      </c>
      <c r="L201" s="70" t="s">
        <v>40</v>
      </c>
      <c r="M201" s="70"/>
      <c r="N201" s="70" t="s">
        <v>40</v>
      </c>
      <c r="O201" s="70" t="s">
        <v>40</v>
      </c>
      <c r="P201" s="70" t="s">
        <v>40</v>
      </c>
      <c r="Q201" s="70"/>
      <c r="R201" s="70" t="s">
        <v>40</v>
      </c>
      <c r="S201" s="70" t="s">
        <v>40</v>
      </c>
      <c r="T201" s="70" t="s">
        <v>40</v>
      </c>
      <c r="U201" s="70" t="s">
        <v>40</v>
      </c>
      <c r="V201" s="70" t="s">
        <v>40</v>
      </c>
      <c r="W201" s="70"/>
      <c r="X201" s="70" t="s">
        <v>40</v>
      </c>
      <c r="Y201" s="70" t="s">
        <v>40</v>
      </c>
      <c r="Z201" s="70" t="s">
        <v>40</v>
      </c>
      <c r="AA201" s="70" t="s">
        <v>40</v>
      </c>
      <c r="AB201" s="71" t="s">
        <v>165</v>
      </c>
      <c r="AC201" s="49" t="s">
        <v>167</v>
      </c>
      <c r="AD201" s="94">
        <f>+D160+D148</f>
        <v>4625000</v>
      </c>
      <c r="AE201" s="94">
        <f>+E160+E148</f>
        <v>0</v>
      </c>
      <c r="AF201" s="94">
        <f>+F160+F148</f>
        <v>0</v>
      </c>
      <c r="AG201" s="94">
        <f>+AE201+AF201</f>
        <v>0</v>
      </c>
      <c r="AH201" s="94">
        <f>+L160+L148</f>
        <v>0</v>
      </c>
      <c r="AI201" s="94">
        <f>+AG201+AH201</f>
        <v>0</v>
      </c>
      <c r="AJ201" s="94">
        <f>+O160+O148</f>
        <v>0</v>
      </c>
      <c r="AK201" s="94">
        <f>+P160+P148</f>
        <v>0</v>
      </c>
      <c r="AL201" s="94">
        <f>+AJ201+AK201</f>
        <v>0</v>
      </c>
      <c r="AM201" s="94">
        <f>+V160+V148</f>
        <v>0</v>
      </c>
      <c r="AN201" s="94">
        <f>+AL201+AM201</f>
        <v>0</v>
      </c>
      <c r="AO201" s="94">
        <f t="shared" si="89"/>
        <v>0</v>
      </c>
      <c r="AP201" s="94">
        <f>+AD201-AO201</f>
        <v>4625000</v>
      </c>
      <c r="AQ201" s="94">
        <f>+AD201-AI201-AN201</f>
        <v>4625000</v>
      </c>
    </row>
    <row r="202" spans="1:55" x14ac:dyDescent="0.25">
      <c r="A202" s="46"/>
      <c r="B202" s="36" t="s">
        <v>177</v>
      </c>
      <c r="C202" s="19" t="s">
        <v>168</v>
      </c>
      <c r="D202" s="73">
        <f>D140+D150+D162+D171+D183+D192+D200</f>
        <v>959594888.89999998</v>
      </c>
      <c r="E202" s="73">
        <f>E140+E150+E162+E171+E183+E192+E200</f>
        <v>623521124.77600002</v>
      </c>
      <c r="F202" s="73">
        <f>F140+F150+F162+F171+F183+F192+F200</f>
        <v>82000000</v>
      </c>
      <c r="G202" s="73"/>
      <c r="H202" s="73">
        <f>H140+H150+H162+H171+H183+H192+H200</f>
        <v>705521124.77600002</v>
      </c>
      <c r="I202" s="73">
        <f>I140+I150+I162+I171+I183+I192+I200</f>
        <v>0</v>
      </c>
      <c r="J202" s="73">
        <f>J140+J150+J162+J171+J183+J192+J200</f>
        <v>0</v>
      </c>
      <c r="K202" s="73">
        <f>K140+K150+K162+K171+K183+K192+K200</f>
        <v>0</v>
      </c>
      <c r="L202" s="73">
        <f>L140+L150+L162+L171+L183+L192+L200</f>
        <v>0</v>
      </c>
      <c r="M202" s="73"/>
      <c r="N202" s="73">
        <f>N140+N150+N162+N171+N183+N192+N200</f>
        <v>705521124.77600002</v>
      </c>
      <c r="O202" s="73">
        <f>O140+O150+O162+O171+O183+O192+O200</f>
        <v>114705743.32000001</v>
      </c>
      <c r="P202" s="73">
        <f>P140+P150+P162+P171+P183+P192+P200</f>
        <v>0</v>
      </c>
      <c r="Q202" s="73"/>
      <c r="R202" s="73">
        <f>R140+R150+R162+R171+R183+R192+R200</f>
        <v>114705743.32000001</v>
      </c>
      <c r="S202" s="73">
        <f>S140+S150+S162+S171+S183+S192+S200</f>
        <v>0</v>
      </c>
      <c r="T202" s="73">
        <f>T140+T150+T162+T171+T183+T192+T200</f>
        <v>0</v>
      </c>
      <c r="U202" s="73">
        <f>U140+U150+U162+U171+U183+U192+U200</f>
        <v>0</v>
      </c>
      <c r="V202" s="73">
        <f>V140+V150+V162+V171+V183+V192+V200</f>
        <v>0</v>
      </c>
      <c r="W202" s="73"/>
      <c r="X202" s="73">
        <f>X140+X150+X162+X171+X183+X192+X200</f>
        <v>114705743.32000001</v>
      </c>
      <c r="Y202" s="73">
        <f>Y140+Y150+Y162+Y171+Y183+Y192+Y200</f>
        <v>820226868.09600008</v>
      </c>
      <c r="Z202" s="73">
        <f>Z140+Z150+Z162+Z171+Z183+Z192+Z200</f>
        <v>139368020.80399999</v>
      </c>
      <c r="AA202" s="73">
        <f>AA140+AA150+AA162+AA171+AA183+AA192+AA200</f>
        <v>0</v>
      </c>
      <c r="AB202" s="73">
        <f>AB140+AB150+AB162+AB171+AB183+AB192+AB200</f>
        <v>139368020.80399999</v>
      </c>
      <c r="AD202" s="95">
        <f t="shared" ref="AD202:AQ202" si="90">SUM(AD189:AD201)</f>
        <v>959594888.89999986</v>
      </c>
      <c r="AE202" s="95">
        <f t="shared" si="90"/>
        <v>623521124.7759999</v>
      </c>
      <c r="AF202" s="95">
        <f t="shared" si="90"/>
        <v>82000000</v>
      </c>
      <c r="AG202" s="95">
        <f t="shared" si="90"/>
        <v>705521124.7759999</v>
      </c>
      <c r="AH202" s="95">
        <f t="shared" si="90"/>
        <v>0</v>
      </c>
      <c r="AI202" s="95">
        <f t="shared" si="90"/>
        <v>705521124.7759999</v>
      </c>
      <c r="AJ202" s="95">
        <f t="shared" si="90"/>
        <v>114705743.31999999</v>
      </c>
      <c r="AK202" s="95">
        <f t="shared" si="90"/>
        <v>0</v>
      </c>
      <c r="AL202" s="95">
        <f t="shared" si="90"/>
        <v>114705743.31999999</v>
      </c>
      <c r="AM202" s="95">
        <f t="shared" si="90"/>
        <v>0</v>
      </c>
      <c r="AN202" s="95">
        <f t="shared" si="90"/>
        <v>114705743.31999999</v>
      </c>
      <c r="AO202" s="95">
        <f t="shared" si="90"/>
        <v>820226868.09599996</v>
      </c>
      <c r="AP202" s="95">
        <f t="shared" si="90"/>
        <v>139368020.80400005</v>
      </c>
      <c r="AQ202" s="95">
        <f t="shared" si="90"/>
        <v>702077399.84399998</v>
      </c>
      <c r="BC202" s="1" t="s">
        <v>63</v>
      </c>
    </row>
    <row r="203" spans="1:55" ht="22.5" customHeight="1" x14ac:dyDescent="0.25">
      <c r="A203" s="46"/>
      <c r="B203" s="31"/>
      <c r="D203" s="74" t="s">
        <v>166</v>
      </c>
      <c r="E203" s="74" t="s">
        <v>166</v>
      </c>
      <c r="F203" s="74" t="s">
        <v>166</v>
      </c>
      <c r="G203" s="74"/>
      <c r="H203" s="74" t="s">
        <v>166</v>
      </c>
      <c r="I203" s="68"/>
      <c r="J203" s="68"/>
      <c r="K203" s="68"/>
      <c r="L203" s="74" t="s">
        <v>166</v>
      </c>
      <c r="M203" s="74"/>
      <c r="N203" s="74" t="s">
        <v>166</v>
      </c>
      <c r="O203" s="74" t="s">
        <v>166</v>
      </c>
      <c r="P203" s="74" t="s">
        <v>166</v>
      </c>
      <c r="Q203" s="74"/>
      <c r="R203" s="74" t="s">
        <v>166</v>
      </c>
      <c r="S203" s="68"/>
      <c r="T203" s="68"/>
      <c r="U203" s="68"/>
      <c r="V203" s="74" t="s">
        <v>166</v>
      </c>
      <c r="W203" s="74"/>
      <c r="X203" s="74" t="s">
        <v>166</v>
      </c>
      <c r="Y203" s="74" t="s">
        <v>166</v>
      </c>
      <c r="Z203" s="74" t="s">
        <v>166</v>
      </c>
      <c r="AA203" s="68"/>
      <c r="AB203" s="74" t="s">
        <v>166</v>
      </c>
      <c r="AO203" s="94"/>
      <c r="BC203" s="1"/>
    </row>
    <row r="204" spans="1:55" x14ac:dyDescent="0.25">
      <c r="A204" s="46"/>
      <c r="B204" s="34"/>
      <c r="C204" s="20"/>
      <c r="D204" s="75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73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</row>
    <row r="205" spans="1:55" ht="16.5" customHeight="1" x14ac:dyDescent="0.25">
      <c r="A205" s="46"/>
      <c r="B205" s="26"/>
      <c r="C205" s="4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73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Q205">
        <f>+AQ202-AB202</f>
        <v>562709379.03999996</v>
      </c>
    </row>
    <row r="206" spans="1:55" ht="19.5" x14ac:dyDescent="0.35">
      <c r="A206" s="46"/>
      <c r="B206" s="47" t="s">
        <v>58</v>
      </c>
      <c r="C206" s="4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73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</row>
    <row r="207" spans="1:55" ht="15.75" customHeight="1" x14ac:dyDescent="0.25">
      <c r="A207" s="46"/>
      <c r="B207" s="26"/>
      <c r="C207" s="4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73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</row>
    <row r="208" spans="1:55" ht="15.75" customHeight="1" x14ac:dyDescent="0.25">
      <c r="A208" s="46">
        <v>19</v>
      </c>
      <c r="B208" s="35" t="s">
        <v>59</v>
      </c>
      <c r="C208" s="3" t="s">
        <v>35</v>
      </c>
      <c r="D208" s="67">
        <f>22273876.77+1500000-8000000</f>
        <v>15773876.77</v>
      </c>
      <c r="E208" s="67">
        <v>1500000</v>
      </c>
      <c r="F208" s="68"/>
      <c r="G208" s="55"/>
      <c r="H208" s="67">
        <f>E208+F208</f>
        <v>1500000</v>
      </c>
      <c r="I208" s="68"/>
      <c r="J208" s="68"/>
      <c r="K208" s="68"/>
      <c r="L208" s="67"/>
      <c r="M208" s="67"/>
      <c r="N208" s="67">
        <f>H208+L208</f>
        <v>1500000</v>
      </c>
      <c r="O208" s="72">
        <f>508901.08+741457.66</f>
        <v>1250358.74</v>
      </c>
      <c r="P208" s="68"/>
      <c r="Q208" s="68"/>
      <c r="R208" s="67">
        <f>O208+P208</f>
        <v>1250358.74</v>
      </c>
      <c r="S208" s="68"/>
      <c r="T208" s="68"/>
      <c r="U208" s="68"/>
      <c r="V208" s="67"/>
      <c r="W208" s="67"/>
      <c r="X208" s="67">
        <f>R208+V208</f>
        <v>1250358.74</v>
      </c>
      <c r="Y208" s="67">
        <f t="shared" ref="Y208:Y214" si="91">R208+H208</f>
        <v>2750358.74</v>
      </c>
      <c r="Z208" s="67">
        <f t="shared" ref="Z208:Z214" si="92">D208-Y208</f>
        <v>13023518.029999999</v>
      </c>
      <c r="AA208" s="67">
        <f t="shared" ref="AA208:AA214" si="93">N208+X208</f>
        <v>2750358.74</v>
      </c>
      <c r="AB208" s="69">
        <f t="shared" ref="AB208:AB214" si="94">+D208-N208-X208</f>
        <v>13023518.029999999</v>
      </c>
    </row>
    <row r="209" spans="1:28" ht="15.75" customHeight="1" x14ac:dyDescent="0.25">
      <c r="A209" s="46"/>
      <c r="B209" s="26"/>
      <c r="C209" s="3" t="s">
        <v>36</v>
      </c>
      <c r="D209" s="67">
        <v>6001800</v>
      </c>
      <c r="E209" s="67">
        <v>6001800</v>
      </c>
      <c r="F209" s="68"/>
      <c r="G209" s="68"/>
      <c r="H209" s="67">
        <f>E209+F209</f>
        <v>6001800</v>
      </c>
      <c r="I209" s="68"/>
      <c r="J209" s="68"/>
      <c r="K209" s="68"/>
      <c r="L209" s="67"/>
      <c r="M209" s="67"/>
      <c r="N209" s="67">
        <f>H209+L209</f>
        <v>6001800</v>
      </c>
      <c r="O209" s="72">
        <v>0</v>
      </c>
      <c r="P209" s="68"/>
      <c r="Q209" s="68"/>
      <c r="R209" s="67">
        <f>O209+P209</f>
        <v>0</v>
      </c>
      <c r="S209" s="68"/>
      <c r="T209" s="68"/>
      <c r="U209" s="68"/>
      <c r="V209" s="67"/>
      <c r="W209" s="67"/>
      <c r="X209" s="67">
        <f>R209+V209</f>
        <v>0</v>
      </c>
      <c r="Y209" s="67">
        <f t="shared" si="91"/>
        <v>6001800</v>
      </c>
      <c r="Z209" s="67">
        <f t="shared" si="92"/>
        <v>0</v>
      </c>
      <c r="AA209" s="67">
        <f t="shared" si="93"/>
        <v>6001800</v>
      </c>
      <c r="AB209" s="69">
        <f t="shared" si="94"/>
        <v>0</v>
      </c>
    </row>
    <row r="210" spans="1:28" x14ac:dyDescent="0.25">
      <c r="C210" s="4" t="s">
        <v>324</v>
      </c>
      <c r="D210" s="55">
        <v>8000000</v>
      </c>
      <c r="E210" s="55">
        <v>7986192.0499999998</v>
      </c>
      <c r="F210" s="55"/>
      <c r="G210" s="55"/>
      <c r="H210" s="55">
        <f>+E210+F210</f>
        <v>7986192.0499999998</v>
      </c>
      <c r="I210" s="55"/>
      <c r="J210" s="55"/>
      <c r="K210" s="55"/>
      <c r="L210" s="55"/>
      <c r="M210" s="55"/>
      <c r="N210" s="55">
        <f>+H210+L210</f>
        <v>7986192.0499999998</v>
      </c>
      <c r="O210" s="55">
        <v>0</v>
      </c>
      <c r="P210" s="55"/>
      <c r="Q210" s="55"/>
      <c r="R210" s="55">
        <f>+O210+P210</f>
        <v>0</v>
      </c>
      <c r="S210" s="55"/>
      <c r="T210" s="55"/>
      <c r="U210" s="55"/>
      <c r="V210" s="55"/>
      <c r="W210" s="55"/>
      <c r="X210" s="55">
        <f>+R210+V210</f>
        <v>0</v>
      </c>
      <c r="Y210" s="67">
        <f t="shared" si="91"/>
        <v>7986192.0499999998</v>
      </c>
      <c r="Z210" s="67">
        <f t="shared" si="92"/>
        <v>13807.950000000186</v>
      </c>
      <c r="AA210" s="67">
        <f t="shared" si="93"/>
        <v>7986192.0499999998</v>
      </c>
      <c r="AB210" s="69">
        <f t="shared" si="94"/>
        <v>13807.950000000186</v>
      </c>
    </row>
    <row r="211" spans="1:28" ht="15.75" customHeight="1" x14ac:dyDescent="0.25">
      <c r="C211" s="4" t="s">
        <v>344</v>
      </c>
      <c r="D211" s="55">
        <f>1511756.25-10</f>
        <v>1511746.25</v>
      </c>
      <c r="E211" s="55">
        <f>1511756.25-10</f>
        <v>1511746.25</v>
      </c>
      <c r="F211" s="55"/>
      <c r="G211" s="55"/>
      <c r="H211" s="55">
        <f>+E211+F211</f>
        <v>1511746.25</v>
      </c>
      <c r="I211" s="55"/>
      <c r="J211" s="55"/>
      <c r="K211" s="55"/>
      <c r="L211" s="55"/>
      <c r="M211" s="55"/>
      <c r="N211" s="55">
        <f>+H211+L211</f>
        <v>1511746.25</v>
      </c>
      <c r="O211" s="55">
        <v>0</v>
      </c>
      <c r="P211" s="55"/>
      <c r="Q211" s="55"/>
      <c r="R211" s="55">
        <f>+O211+P211</f>
        <v>0</v>
      </c>
      <c r="S211" s="55"/>
      <c r="T211" s="55"/>
      <c r="U211" s="55"/>
      <c r="V211" s="55"/>
      <c r="W211" s="55"/>
      <c r="X211" s="55">
        <f>+R211+V211</f>
        <v>0</v>
      </c>
      <c r="Y211" s="67">
        <f t="shared" si="91"/>
        <v>1511746.25</v>
      </c>
      <c r="Z211" s="67">
        <f t="shared" si="92"/>
        <v>0</v>
      </c>
      <c r="AA211" s="67">
        <f t="shared" si="93"/>
        <v>1511746.25</v>
      </c>
      <c r="AB211" s="69">
        <f t="shared" si="94"/>
        <v>0</v>
      </c>
    </row>
    <row r="212" spans="1:28" x14ac:dyDescent="0.25">
      <c r="A212" s="46"/>
      <c r="B212" s="26"/>
      <c r="C212" s="3" t="s">
        <v>37</v>
      </c>
      <c r="D212" s="67">
        <v>0</v>
      </c>
      <c r="E212" s="67">
        <v>0</v>
      </c>
      <c r="F212" s="68"/>
      <c r="G212" s="68"/>
      <c r="H212" s="67">
        <f>E212+F212</f>
        <v>0</v>
      </c>
      <c r="I212" s="68"/>
      <c r="J212" s="68"/>
      <c r="K212" s="68"/>
      <c r="L212" s="67"/>
      <c r="M212" s="67"/>
      <c r="N212" s="67">
        <f>H212+L212</f>
        <v>0</v>
      </c>
      <c r="O212" s="72">
        <v>0</v>
      </c>
      <c r="P212" s="68"/>
      <c r="Q212" s="68"/>
      <c r="R212" s="67">
        <f>O212+P212</f>
        <v>0</v>
      </c>
      <c r="S212" s="68"/>
      <c r="T212" s="68"/>
      <c r="U212" s="68"/>
      <c r="V212" s="67"/>
      <c r="W212" s="67"/>
      <c r="X212" s="67">
        <f>R212+V212</f>
        <v>0</v>
      </c>
      <c r="Y212" s="67">
        <f t="shared" si="91"/>
        <v>0</v>
      </c>
      <c r="Z212" s="67">
        <f t="shared" si="92"/>
        <v>0</v>
      </c>
      <c r="AA212" s="67">
        <f t="shared" si="93"/>
        <v>0</v>
      </c>
      <c r="AB212" s="69">
        <f t="shared" si="94"/>
        <v>0</v>
      </c>
    </row>
    <row r="213" spans="1:28" x14ac:dyDescent="0.25">
      <c r="A213" s="46"/>
      <c r="B213" s="26"/>
      <c r="C213" s="3" t="s">
        <v>38</v>
      </c>
      <c r="D213" s="67">
        <v>12185690</v>
      </c>
      <c r="E213" s="67">
        <v>0</v>
      </c>
      <c r="F213" s="68"/>
      <c r="G213" s="68"/>
      <c r="H213" s="67">
        <f>E213+F213</f>
        <v>0</v>
      </c>
      <c r="I213" s="68"/>
      <c r="J213" s="68"/>
      <c r="K213" s="68"/>
      <c r="L213" s="67"/>
      <c r="M213" s="67"/>
      <c r="N213" s="67">
        <f>H213+L213</f>
        <v>0</v>
      </c>
      <c r="O213" s="72">
        <v>141345.20000000001</v>
      </c>
      <c r="P213" s="68"/>
      <c r="Q213" s="68"/>
      <c r="R213" s="67">
        <f>O213+P213</f>
        <v>141345.20000000001</v>
      </c>
      <c r="S213" s="68"/>
      <c r="T213" s="68"/>
      <c r="U213" s="68"/>
      <c r="V213" s="67"/>
      <c r="W213" s="67"/>
      <c r="X213" s="67">
        <f>R213+V213</f>
        <v>141345.20000000001</v>
      </c>
      <c r="Y213" s="67">
        <f t="shared" si="91"/>
        <v>141345.20000000001</v>
      </c>
      <c r="Z213" s="67">
        <f t="shared" si="92"/>
        <v>12044344.800000001</v>
      </c>
      <c r="AA213" s="67">
        <f t="shared" si="93"/>
        <v>141345.20000000001</v>
      </c>
      <c r="AB213" s="69">
        <f t="shared" si="94"/>
        <v>12044344.800000001</v>
      </c>
    </row>
    <row r="214" spans="1:28" x14ac:dyDescent="0.25">
      <c r="A214" s="46"/>
      <c r="B214" s="26"/>
      <c r="C214" s="9" t="s">
        <v>39</v>
      </c>
      <c r="D214" s="67">
        <v>549233.9</v>
      </c>
      <c r="E214" s="67">
        <v>0</v>
      </c>
      <c r="F214" s="68"/>
      <c r="G214" s="68"/>
      <c r="H214" s="67">
        <f>E214+F214</f>
        <v>0</v>
      </c>
      <c r="I214" s="68"/>
      <c r="J214" s="68"/>
      <c r="K214" s="68"/>
      <c r="L214" s="67"/>
      <c r="M214" s="67"/>
      <c r="N214" s="67">
        <f>H214+L214</f>
        <v>0</v>
      </c>
      <c r="O214" s="67">
        <v>0</v>
      </c>
      <c r="P214" s="68"/>
      <c r="Q214" s="68"/>
      <c r="R214" s="67">
        <f>O214+P214</f>
        <v>0</v>
      </c>
      <c r="S214" s="68"/>
      <c r="T214" s="68"/>
      <c r="U214" s="68"/>
      <c r="V214" s="67"/>
      <c r="W214" s="67"/>
      <c r="X214" s="67">
        <f>R214+V214</f>
        <v>0</v>
      </c>
      <c r="Y214" s="67">
        <f t="shared" si="91"/>
        <v>0</v>
      </c>
      <c r="Z214" s="67">
        <f t="shared" si="92"/>
        <v>549233.9</v>
      </c>
      <c r="AA214" s="67">
        <f t="shared" si="93"/>
        <v>0</v>
      </c>
      <c r="AB214" s="69">
        <f t="shared" si="94"/>
        <v>549233.9</v>
      </c>
    </row>
    <row r="215" spans="1:28" ht="15.75" customHeight="1" x14ac:dyDescent="0.25">
      <c r="A215" s="46"/>
      <c r="B215" s="26"/>
      <c r="C215" s="4"/>
      <c r="D215" s="70" t="s">
        <v>40</v>
      </c>
      <c r="E215" s="70" t="s">
        <v>40</v>
      </c>
      <c r="F215" s="70" t="s">
        <v>40</v>
      </c>
      <c r="G215" s="70"/>
      <c r="H215" s="70" t="s">
        <v>40</v>
      </c>
      <c r="I215" s="70" t="s">
        <v>40</v>
      </c>
      <c r="J215" s="70" t="s">
        <v>40</v>
      </c>
      <c r="K215" s="70" t="s">
        <v>40</v>
      </c>
      <c r="L215" s="70" t="s">
        <v>40</v>
      </c>
      <c r="M215" s="70"/>
      <c r="N215" s="70" t="s">
        <v>40</v>
      </c>
      <c r="O215" s="70" t="s">
        <v>40</v>
      </c>
      <c r="P215" s="70" t="s">
        <v>40</v>
      </c>
      <c r="Q215" s="70"/>
      <c r="R215" s="70" t="s">
        <v>40</v>
      </c>
      <c r="S215" s="70" t="s">
        <v>40</v>
      </c>
      <c r="T215" s="70" t="s">
        <v>40</v>
      </c>
      <c r="U215" s="70" t="s">
        <v>40</v>
      </c>
      <c r="V215" s="70" t="s">
        <v>40</v>
      </c>
      <c r="W215" s="70"/>
      <c r="X215" s="70" t="s">
        <v>40</v>
      </c>
      <c r="Y215" s="70" t="s">
        <v>40</v>
      </c>
      <c r="Z215" s="70" t="s">
        <v>40</v>
      </c>
      <c r="AA215" s="70" t="s">
        <v>40</v>
      </c>
      <c r="AB215" s="70" t="s">
        <v>40</v>
      </c>
    </row>
    <row r="216" spans="1:28" x14ac:dyDescent="0.25">
      <c r="A216" s="46"/>
      <c r="B216" s="26"/>
      <c r="C216" s="4"/>
      <c r="D216" s="67">
        <f>SUM(D208:D214)</f>
        <v>44022346.919999994</v>
      </c>
      <c r="E216" s="67">
        <f>SUM(E208:E214)</f>
        <v>16999738.300000001</v>
      </c>
      <c r="F216" s="67">
        <f>SUM(F208:F214)</f>
        <v>0</v>
      </c>
      <c r="G216" s="67"/>
      <c r="H216" s="67">
        <f>SUM(H208:H214)</f>
        <v>16999738.300000001</v>
      </c>
      <c r="I216" s="67">
        <f>SUM(I208:I214)</f>
        <v>0</v>
      </c>
      <c r="J216" s="67">
        <f>SUM(J208:J214)</f>
        <v>0</v>
      </c>
      <c r="K216" s="67">
        <f>SUM(K208:K214)</f>
        <v>0</v>
      </c>
      <c r="L216" s="67">
        <f>SUM(L208:L214)</f>
        <v>0</v>
      </c>
      <c r="M216" s="67"/>
      <c r="N216" s="67">
        <f>SUM(N208:N214)</f>
        <v>16999738.300000001</v>
      </c>
      <c r="O216" s="67">
        <f>SUM(O208:O214)</f>
        <v>1391703.94</v>
      </c>
      <c r="P216" s="67">
        <f>SUM(P208:P214)</f>
        <v>0</v>
      </c>
      <c r="Q216" s="67"/>
      <c r="R216" s="67">
        <f>SUM(R208:R214)</f>
        <v>1391703.94</v>
      </c>
      <c r="S216" s="67">
        <f>SUM(S208:S214)</f>
        <v>0</v>
      </c>
      <c r="T216" s="67">
        <f>SUM(T208:T214)</f>
        <v>0</v>
      </c>
      <c r="U216" s="67">
        <f>SUM(U208:U214)</f>
        <v>0</v>
      </c>
      <c r="V216" s="67">
        <f>SUM(V208:V214)</f>
        <v>0</v>
      </c>
      <c r="W216" s="67"/>
      <c r="X216" s="67">
        <f>SUM(X208:X214)</f>
        <v>1391703.94</v>
      </c>
      <c r="Y216" s="67">
        <f>SUM(Y208:Y214)</f>
        <v>18391442.239999998</v>
      </c>
      <c r="Z216" s="67">
        <f>SUM(Z208:Z214)</f>
        <v>25630904.68</v>
      </c>
      <c r="AA216" s="67">
        <f>SUM(AA208:AA214)</f>
        <v>18391442.239999998</v>
      </c>
      <c r="AB216" s="67">
        <f>SUM(AB208:AB214)</f>
        <v>25630904.68</v>
      </c>
    </row>
    <row r="217" spans="1:28" x14ac:dyDescent="0.25">
      <c r="A217" s="46"/>
      <c r="B217" s="26"/>
      <c r="C217" s="4"/>
      <c r="D217" s="70" t="s">
        <v>40</v>
      </c>
      <c r="E217" s="70" t="s">
        <v>40</v>
      </c>
      <c r="F217" s="70" t="s">
        <v>40</v>
      </c>
      <c r="G217" s="70"/>
      <c r="H217" s="70" t="s">
        <v>40</v>
      </c>
      <c r="I217" s="70" t="s">
        <v>40</v>
      </c>
      <c r="J217" s="70" t="s">
        <v>40</v>
      </c>
      <c r="K217" s="70" t="s">
        <v>40</v>
      </c>
      <c r="L217" s="70" t="s">
        <v>40</v>
      </c>
      <c r="M217" s="70"/>
      <c r="N217" s="70" t="s">
        <v>40</v>
      </c>
      <c r="O217" s="70" t="s">
        <v>40</v>
      </c>
      <c r="P217" s="70" t="s">
        <v>40</v>
      </c>
      <c r="Q217" s="70"/>
      <c r="R217" s="70" t="s">
        <v>40</v>
      </c>
      <c r="S217" s="70" t="s">
        <v>40</v>
      </c>
      <c r="T217" s="70" t="s">
        <v>40</v>
      </c>
      <c r="U217" s="70" t="s">
        <v>40</v>
      </c>
      <c r="V217" s="70" t="s">
        <v>40</v>
      </c>
      <c r="W217" s="70"/>
      <c r="X217" s="70" t="s">
        <v>40</v>
      </c>
      <c r="Y217" s="70" t="s">
        <v>40</v>
      </c>
      <c r="Z217" s="70" t="s">
        <v>40</v>
      </c>
      <c r="AA217" s="70" t="s">
        <v>40</v>
      </c>
      <c r="AB217" s="70" t="s">
        <v>40</v>
      </c>
    </row>
    <row r="218" spans="1:28" ht="15.75" customHeight="1" x14ac:dyDescent="0.25">
      <c r="A218" s="46"/>
      <c r="B218" s="26"/>
      <c r="C218" s="4"/>
      <c r="D218" s="70"/>
      <c r="F218" s="63"/>
      <c r="G218" s="105"/>
      <c r="H218" s="119"/>
      <c r="I218" s="105"/>
      <c r="J218" s="105"/>
      <c r="K218" s="105"/>
      <c r="L218" s="119"/>
      <c r="M218" s="105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15.75" customHeight="1" x14ac:dyDescent="0.25">
      <c r="A219" s="46">
        <v>20</v>
      </c>
      <c r="B219" s="23" t="s">
        <v>60</v>
      </c>
      <c r="C219" s="2" t="s">
        <v>35</v>
      </c>
      <c r="D219" s="67">
        <v>8363348.5300000003</v>
      </c>
      <c r="E219" s="67">
        <v>0</v>
      </c>
      <c r="F219" s="68"/>
      <c r="G219" s="68"/>
      <c r="H219" s="67">
        <f t="shared" ref="H219:H224" si="95">E219+F219</f>
        <v>0</v>
      </c>
      <c r="I219" s="68"/>
      <c r="J219" s="68"/>
      <c r="K219" s="68"/>
      <c r="L219" s="67"/>
      <c r="M219" s="67"/>
      <c r="N219" s="67">
        <f t="shared" ref="N219:N224" si="96">H219+L219</f>
        <v>0</v>
      </c>
      <c r="O219" s="67">
        <f>6079107.92-238665.99</f>
        <v>5840441.9299999997</v>
      </c>
      <c r="P219" s="68"/>
      <c r="Q219" s="68"/>
      <c r="R219" s="67">
        <f t="shared" ref="R219:R224" si="97">O219+P219</f>
        <v>5840441.9299999997</v>
      </c>
      <c r="S219" s="68"/>
      <c r="T219" s="68"/>
      <c r="U219" s="68"/>
      <c r="V219" s="67"/>
      <c r="W219" s="67"/>
      <c r="X219" s="67">
        <f t="shared" ref="X219:X224" si="98">R219+V219</f>
        <v>5840441.9299999997</v>
      </c>
      <c r="Y219" s="67">
        <f t="shared" ref="Y219:Y224" si="99">R219+H219</f>
        <v>5840441.9299999997</v>
      </c>
      <c r="Z219" s="67">
        <f t="shared" ref="Z219:Z224" si="100">D219-Y219</f>
        <v>2522906.6000000006</v>
      </c>
      <c r="AA219" s="67">
        <f t="shared" ref="AA219:AA224" si="101">N219+X219</f>
        <v>5840441.9299999997</v>
      </c>
      <c r="AB219" s="69">
        <f t="shared" ref="AB219:AB224" si="102">+D219-N219-X219</f>
        <v>2522906.6000000006</v>
      </c>
    </row>
    <row r="220" spans="1:28" ht="15.75" customHeight="1" x14ac:dyDescent="0.25">
      <c r="A220" s="46"/>
      <c r="B220" s="35" t="s">
        <v>61</v>
      </c>
      <c r="C220" s="3" t="s">
        <v>36</v>
      </c>
      <c r="D220" s="67">
        <v>2002111.68</v>
      </c>
      <c r="E220" s="67">
        <v>2002111.68</v>
      </c>
      <c r="F220" s="68"/>
      <c r="G220" s="68"/>
      <c r="H220" s="67">
        <f t="shared" si="95"/>
        <v>2002111.68</v>
      </c>
      <c r="I220" s="68"/>
      <c r="J220" s="68"/>
      <c r="K220" s="68"/>
      <c r="L220" s="67"/>
      <c r="M220" s="67"/>
      <c r="N220" s="67">
        <f t="shared" si="96"/>
        <v>2002111.68</v>
      </c>
      <c r="O220" s="67">
        <v>0</v>
      </c>
      <c r="P220" s="68"/>
      <c r="Q220" s="68"/>
      <c r="R220" s="67">
        <f t="shared" si="97"/>
        <v>0</v>
      </c>
      <c r="S220" s="68"/>
      <c r="T220" s="68"/>
      <c r="U220" s="68"/>
      <c r="V220" s="67"/>
      <c r="W220" s="67"/>
      <c r="X220" s="67">
        <f t="shared" si="98"/>
        <v>0</v>
      </c>
      <c r="Y220" s="67">
        <f t="shared" si="99"/>
        <v>2002111.68</v>
      </c>
      <c r="Z220" s="67">
        <f t="shared" si="100"/>
        <v>0</v>
      </c>
      <c r="AA220" s="67">
        <f t="shared" si="101"/>
        <v>2002111.68</v>
      </c>
      <c r="AB220" s="69">
        <f t="shared" si="102"/>
        <v>0</v>
      </c>
    </row>
    <row r="221" spans="1:28" x14ac:dyDescent="0.25">
      <c r="A221" s="46"/>
      <c r="B221" s="26"/>
      <c r="C221" s="3" t="s">
        <v>44</v>
      </c>
      <c r="D221" s="67">
        <f>57543000+9100000</f>
        <v>66643000</v>
      </c>
      <c r="E221" s="67">
        <f>57543000+9100000</f>
        <v>66643000</v>
      </c>
      <c r="F221" s="68"/>
      <c r="G221" s="68"/>
      <c r="H221" s="67">
        <f t="shared" si="95"/>
        <v>66643000</v>
      </c>
      <c r="I221" s="68"/>
      <c r="J221" s="68"/>
      <c r="K221" s="68"/>
      <c r="L221" s="67"/>
      <c r="M221" s="67"/>
      <c r="N221" s="67">
        <f t="shared" si="96"/>
        <v>66643000</v>
      </c>
      <c r="O221" s="67">
        <v>0</v>
      </c>
      <c r="P221" s="68"/>
      <c r="Q221" s="68"/>
      <c r="R221" s="67">
        <f t="shared" si="97"/>
        <v>0</v>
      </c>
      <c r="S221" s="68"/>
      <c r="T221" s="68"/>
      <c r="U221" s="68"/>
      <c r="V221" s="67"/>
      <c r="W221" s="67"/>
      <c r="X221" s="67">
        <f t="shared" si="98"/>
        <v>0</v>
      </c>
      <c r="Y221" s="67">
        <f t="shared" si="99"/>
        <v>66643000</v>
      </c>
      <c r="Z221" s="67">
        <f t="shared" si="100"/>
        <v>0</v>
      </c>
      <c r="AA221" s="67">
        <f t="shared" si="101"/>
        <v>66643000</v>
      </c>
      <c r="AB221" s="69">
        <f t="shared" si="102"/>
        <v>0</v>
      </c>
    </row>
    <row r="222" spans="1:28" x14ac:dyDescent="0.25">
      <c r="A222" s="46"/>
      <c r="B222" s="26"/>
      <c r="C222" s="9" t="s">
        <v>62</v>
      </c>
      <c r="D222" s="67">
        <v>3358890.77</v>
      </c>
      <c r="E222" s="67">
        <v>3358890.77</v>
      </c>
      <c r="F222" s="68"/>
      <c r="G222" s="68"/>
      <c r="H222" s="67">
        <f t="shared" si="95"/>
        <v>3358890.77</v>
      </c>
      <c r="I222" s="68"/>
      <c r="J222" s="68"/>
      <c r="K222" s="68"/>
      <c r="L222" s="67"/>
      <c r="M222" s="67"/>
      <c r="N222" s="67">
        <f t="shared" si="96"/>
        <v>3358890.77</v>
      </c>
      <c r="O222" s="67">
        <v>0</v>
      </c>
      <c r="P222" s="68"/>
      <c r="Q222" s="68"/>
      <c r="R222" s="67">
        <f t="shared" si="97"/>
        <v>0</v>
      </c>
      <c r="S222" s="68"/>
      <c r="T222" s="68"/>
      <c r="U222" s="68"/>
      <c r="V222" s="67"/>
      <c r="W222" s="67"/>
      <c r="X222" s="67">
        <f t="shared" si="98"/>
        <v>0</v>
      </c>
      <c r="Y222" s="67">
        <f t="shared" si="99"/>
        <v>3358890.77</v>
      </c>
      <c r="Z222" s="67">
        <f t="shared" si="100"/>
        <v>0</v>
      </c>
      <c r="AA222" s="67">
        <f t="shared" si="101"/>
        <v>3358890.77</v>
      </c>
      <c r="AB222" s="69">
        <f t="shared" si="102"/>
        <v>0</v>
      </c>
    </row>
    <row r="223" spans="1:28" x14ac:dyDescent="0.25">
      <c r="A223" s="46"/>
      <c r="B223" s="26"/>
      <c r="C223" s="2" t="s">
        <v>53</v>
      </c>
      <c r="D223" s="67">
        <v>30402912.289999999</v>
      </c>
      <c r="E223" s="67">
        <v>0</v>
      </c>
      <c r="F223" s="68"/>
      <c r="G223" s="68"/>
      <c r="H223" s="67">
        <f t="shared" si="95"/>
        <v>0</v>
      </c>
      <c r="I223" s="68"/>
      <c r="J223" s="68"/>
      <c r="K223" s="68"/>
      <c r="L223" s="67"/>
      <c r="M223" s="67"/>
      <c r="N223" s="67">
        <f t="shared" si="96"/>
        <v>0</v>
      </c>
      <c r="O223" s="67">
        <f>19428532.86+3643101.06+6662541.27-16526800.01+2563028.5</f>
        <v>15770403.679999998</v>
      </c>
      <c r="P223" s="67"/>
      <c r="Q223" s="67"/>
      <c r="R223" s="67">
        <f t="shared" si="97"/>
        <v>15770403.679999998</v>
      </c>
      <c r="S223" s="68"/>
      <c r="T223" s="68"/>
      <c r="U223" s="68"/>
      <c r="V223" s="67"/>
      <c r="W223" s="67"/>
      <c r="X223" s="67">
        <f t="shared" si="98"/>
        <v>15770403.679999998</v>
      </c>
      <c r="Y223" s="67">
        <f t="shared" si="99"/>
        <v>15770403.679999998</v>
      </c>
      <c r="Z223" s="67">
        <f t="shared" si="100"/>
        <v>14632508.610000001</v>
      </c>
      <c r="AA223" s="67">
        <f t="shared" si="101"/>
        <v>15770403.679999998</v>
      </c>
      <c r="AB223" s="69">
        <f t="shared" si="102"/>
        <v>14632508.610000001</v>
      </c>
    </row>
    <row r="224" spans="1:28" x14ac:dyDescent="0.25">
      <c r="A224" s="46"/>
      <c r="B224" s="26"/>
      <c r="C224" s="2" t="s">
        <v>54</v>
      </c>
      <c r="D224" s="67">
        <f>3401219.54+18063365.33</f>
        <v>21464584.869999997</v>
      </c>
      <c r="E224" s="67">
        <v>0</v>
      </c>
      <c r="F224" s="68"/>
      <c r="G224" s="68"/>
      <c r="H224" s="67">
        <f t="shared" si="95"/>
        <v>0</v>
      </c>
      <c r="I224" s="68"/>
      <c r="J224" s="68"/>
      <c r="K224" s="68"/>
      <c r="L224" s="67"/>
      <c r="M224" s="67"/>
      <c r="N224" s="67">
        <f t="shared" si="96"/>
        <v>0</v>
      </c>
      <c r="O224" s="67">
        <f>21464584.87</f>
        <v>21464584.870000001</v>
      </c>
      <c r="P224" s="68"/>
      <c r="Q224" s="68"/>
      <c r="R224" s="67">
        <f t="shared" si="97"/>
        <v>21464584.870000001</v>
      </c>
      <c r="S224" s="68"/>
      <c r="T224" s="68"/>
      <c r="U224" s="68"/>
      <c r="V224" s="67"/>
      <c r="W224" s="67"/>
      <c r="X224" s="67">
        <f t="shared" si="98"/>
        <v>21464584.870000001</v>
      </c>
      <c r="Y224" s="67">
        <f t="shared" si="99"/>
        <v>21464584.870000001</v>
      </c>
      <c r="Z224" s="67">
        <f t="shared" si="100"/>
        <v>0</v>
      </c>
      <c r="AA224" s="67">
        <f t="shared" si="101"/>
        <v>21464584.870000001</v>
      </c>
      <c r="AB224" s="69">
        <f t="shared" si="102"/>
        <v>0</v>
      </c>
    </row>
    <row r="225" spans="1:28" ht="15.75" customHeight="1" x14ac:dyDescent="0.25">
      <c r="A225" s="46"/>
      <c r="B225" s="26"/>
      <c r="C225" s="4"/>
      <c r="D225" s="70" t="s">
        <v>40</v>
      </c>
      <c r="E225" s="70" t="s">
        <v>40</v>
      </c>
      <c r="F225" s="70" t="s">
        <v>40</v>
      </c>
      <c r="G225" s="70"/>
      <c r="H225" s="70" t="s">
        <v>40</v>
      </c>
      <c r="I225" s="70" t="s">
        <v>40</v>
      </c>
      <c r="J225" s="70" t="s">
        <v>40</v>
      </c>
      <c r="K225" s="70" t="s">
        <v>40</v>
      </c>
      <c r="L225" s="70" t="s">
        <v>40</v>
      </c>
      <c r="M225" s="70"/>
      <c r="N225" s="70" t="s">
        <v>40</v>
      </c>
      <c r="O225" s="70" t="s">
        <v>40</v>
      </c>
      <c r="P225" s="70" t="s">
        <v>40</v>
      </c>
      <c r="Q225" s="70"/>
      <c r="R225" s="70" t="s">
        <v>40</v>
      </c>
      <c r="S225" s="70" t="s">
        <v>40</v>
      </c>
      <c r="T225" s="70" t="s">
        <v>40</v>
      </c>
      <c r="U225" s="70" t="s">
        <v>40</v>
      </c>
      <c r="V225" s="70" t="s">
        <v>40</v>
      </c>
      <c r="W225" s="70"/>
      <c r="X225" s="70" t="s">
        <v>40</v>
      </c>
      <c r="Y225" s="70" t="s">
        <v>40</v>
      </c>
      <c r="Z225" s="70" t="s">
        <v>40</v>
      </c>
      <c r="AA225" s="70" t="s">
        <v>40</v>
      </c>
      <c r="AB225" s="70" t="s">
        <v>40</v>
      </c>
    </row>
    <row r="226" spans="1:28" ht="14.25" customHeight="1" x14ac:dyDescent="0.25">
      <c r="A226" s="46"/>
      <c r="B226" s="26"/>
      <c r="C226" s="4"/>
      <c r="D226" s="67">
        <f t="shared" ref="D226:AB226" si="103">SUM(D219:D224)</f>
        <v>132234848.14000002</v>
      </c>
      <c r="E226" s="67">
        <f t="shared" si="103"/>
        <v>72004002.450000003</v>
      </c>
      <c r="F226" s="67">
        <f t="shared" si="103"/>
        <v>0</v>
      </c>
      <c r="G226" s="67"/>
      <c r="H226" s="67">
        <f t="shared" si="103"/>
        <v>72004002.450000003</v>
      </c>
      <c r="I226" s="67">
        <f t="shared" si="103"/>
        <v>0</v>
      </c>
      <c r="J226" s="67">
        <f t="shared" si="103"/>
        <v>0</v>
      </c>
      <c r="K226" s="67">
        <f t="shared" si="103"/>
        <v>0</v>
      </c>
      <c r="L226" s="67">
        <f t="shared" si="103"/>
        <v>0</v>
      </c>
      <c r="M226" s="67"/>
      <c r="N226" s="67">
        <f t="shared" si="103"/>
        <v>72004002.450000003</v>
      </c>
      <c r="O226" s="67">
        <f t="shared" si="103"/>
        <v>43075430.480000004</v>
      </c>
      <c r="P226" s="67">
        <f t="shared" si="103"/>
        <v>0</v>
      </c>
      <c r="Q226" s="67"/>
      <c r="R226" s="67">
        <f t="shared" si="103"/>
        <v>43075430.480000004</v>
      </c>
      <c r="S226" s="67">
        <f t="shared" si="103"/>
        <v>0</v>
      </c>
      <c r="T226" s="67">
        <f t="shared" si="103"/>
        <v>0</v>
      </c>
      <c r="U226" s="67">
        <f t="shared" si="103"/>
        <v>0</v>
      </c>
      <c r="V226" s="67">
        <f t="shared" si="103"/>
        <v>0</v>
      </c>
      <c r="W226" s="67"/>
      <c r="X226" s="67">
        <f t="shared" si="103"/>
        <v>43075430.480000004</v>
      </c>
      <c r="Y226" s="67">
        <f t="shared" si="103"/>
        <v>115079432.92999999</v>
      </c>
      <c r="Z226" s="67">
        <f t="shared" si="103"/>
        <v>17155415.210000001</v>
      </c>
      <c r="AA226" s="67">
        <f t="shared" si="103"/>
        <v>115079432.92999999</v>
      </c>
      <c r="AB226" s="67">
        <f t="shared" si="103"/>
        <v>17155415.210000001</v>
      </c>
    </row>
    <row r="227" spans="1:28" x14ac:dyDescent="0.25">
      <c r="A227" s="46"/>
      <c r="B227" s="4" t="s">
        <v>309</v>
      </c>
      <c r="C227" s="4"/>
      <c r="D227" s="70" t="s">
        <v>40</v>
      </c>
      <c r="E227" s="70" t="s">
        <v>40</v>
      </c>
      <c r="F227" s="70" t="s">
        <v>40</v>
      </c>
      <c r="G227" s="70"/>
      <c r="H227" s="70" t="s">
        <v>40</v>
      </c>
      <c r="I227" s="70" t="s">
        <v>40</v>
      </c>
      <c r="J227" s="70" t="s">
        <v>40</v>
      </c>
      <c r="K227" s="70" t="s">
        <v>40</v>
      </c>
      <c r="L227" s="70" t="s">
        <v>40</v>
      </c>
      <c r="M227" s="70"/>
      <c r="N227" s="70" t="s">
        <v>40</v>
      </c>
      <c r="O227" s="70" t="s">
        <v>40</v>
      </c>
      <c r="P227" s="70" t="s">
        <v>40</v>
      </c>
      <c r="Q227" s="70"/>
      <c r="R227" s="70" t="s">
        <v>40</v>
      </c>
      <c r="S227" s="70" t="s">
        <v>40</v>
      </c>
      <c r="T227" s="70" t="s">
        <v>40</v>
      </c>
      <c r="U227" s="70" t="s">
        <v>40</v>
      </c>
      <c r="V227" s="70" t="s">
        <v>40</v>
      </c>
      <c r="W227" s="70"/>
      <c r="X227" s="70" t="s">
        <v>40</v>
      </c>
      <c r="Y227" s="70" t="s">
        <v>40</v>
      </c>
      <c r="Z227" s="70" t="s">
        <v>40</v>
      </c>
      <c r="AA227" s="70" t="s">
        <v>40</v>
      </c>
      <c r="AB227" s="70" t="s">
        <v>40</v>
      </c>
    </row>
    <row r="228" spans="1:28" ht="15.75" customHeight="1" thickBot="1" x14ac:dyDescent="0.3">
      <c r="A228" s="46"/>
      <c r="B228" s="112" t="s">
        <v>292</v>
      </c>
      <c r="C228" s="4"/>
      <c r="D228" s="113">
        <v>181752.55</v>
      </c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113">
        <v>181752.55</v>
      </c>
      <c r="P228" s="70"/>
      <c r="Q228" s="70"/>
      <c r="R228" s="113">
        <f>+O228+P228</f>
        <v>181752.55</v>
      </c>
      <c r="S228" s="70"/>
      <c r="T228" s="70"/>
      <c r="U228" s="70"/>
      <c r="V228" s="70"/>
      <c r="W228" s="70"/>
      <c r="X228" s="70"/>
      <c r="Y228" s="72"/>
      <c r="Z228" s="70"/>
      <c r="AA228" s="70"/>
      <c r="AB228" s="70"/>
    </row>
    <row r="229" spans="1:28" ht="55.5" customHeight="1" thickTop="1" x14ac:dyDescent="0.25">
      <c r="A229" s="46">
        <v>21</v>
      </c>
      <c r="B229" s="23" t="s">
        <v>64</v>
      </c>
      <c r="C229" s="2" t="s">
        <v>35</v>
      </c>
      <c r="D229" s="67">
        <f>24737584.67-6525670.25</f>
        <v>18211914.420000002</v>
      </c>
      <c r="E229" s="67">
        <v>0</v>
      </c>
      <c r="F229" s="68"/>
      <c r="G229" s="68"/>
      <c r="H229" s="67">
        <f>E229+F229</f>
        <v>0</v>
      </c>
      <c r="I229" s="68"/>
      <c r="J229" s="68"/>
      <c r="K229" s="68"/>
      <c r="L229" s="67"/>
      <c r="M229" s="67"/>
      <c r="N229" s="67">
        <f>H229+L229</f>
        <v>0</v>
      </c>
      <c r="O229" s="67">
        <v>0</v>
      </c>
      <c r="P229" s="68"/>
      <c r="Q229" s="68"/>
      <c r="R229" s="67">
        <f>O229+P229</f>
        <v>0</v>
      </c>
      <c r="S229" s="68"/>
      <c r="T229" s="68"/>
      <c r="U229" s="68"/>
      <c r="V229" s="67"/>
      <c r="W229" s="67"/>
      <c r="X229" s="67">
        <f>R229+V229</f>
        <v>0</v>
      </c>
      <c r="Y229" s="67">
        <f t="shared" ref="Y229:Y235" si="104">R229+H229</f>
        <v>0</v>
      </c>
      <c r="Z229" s="67">
        <f t="shared" ref="Z229:Z235" si="105">D229-Y229</f>
        <v>18211914.420000002</v>
      </c>
      <c r="AA229" s="67">
        <f t="shared" ref="AA229:AA235" si="106">N229+X229</f>
        <v>0</v>
      </c>
      <c r="AB229" s="69">
        <f t="shared" ref="AB229:AB235" si="107">+D229-N229-X229</f>
        <v>18211914.420000002</v>
      </c>
    </row>
    <row r="230" spans="1:28" x14ac:dyDescent="0.25">
      <c r="C230" s="4" t="s">
        <v>317</v>
      </c>
      <c r="D230" s="55">
        <v>6525670.25</v>
      </c>
      <c r="E230" s="55">
        <v>6525670.25</v>
      </c>
      <c r="F230" s="55"/>
      <c r="G230" s="55"/>
      <c r="H230" s="55">
        <f>+E230+F230</f>
        <v>6525670.25</v>
      </c>
      <c r="I230" s="55"/>
      <c r="J230" s="55"/>
      <c r="K230" s="55"/>
      <c r="L230" s="55"/>
      <c r="M230" s="55"/>
      <c r="N230" s="55">
        <f>+H230+L230</f>
        <v>6525670.25</v>
      </c>
      <c r="O230" s="55">
        <v>0</v>
      </c>
      <c r="P230" s="55"/>
      <c r="Q230" s="55"/>
      <c r="R230" s="55">
        <f>+O230+P230</f>
        <v>0</v>
      </c>
      <c r="S230" s="55"/>
      <c r="T230" s="55"/>
      <c r="U230" s="55"/>
      <c r="V230" s="55"/>
      <c r="W230" s="55"/>
      <c r="X230" s="55">
        <f>+R230+V230</f>
        <v>0</v>
      </c>
      <c r="Y230" s="67">
        <f t="shared" si="104"/>
        <v>6525670.25</v>
      </c>
      <c r="Z230" s="67">
        <f t="shared" si="105"/>
        <v>0</v>
      </c>
      <c r="AA230" s="67">
        <f t="shared" si="106"/>
        <v>6525670.25</v>
      </c>
      <c r="AB230" s="69">
        <f t="shared" si="107"/>
        <v>0</v>
      </c>
    </row>
    <row r="231" spans="1:28" ht="16.5" customHeight="1" x14ac:dyDescent="0.25">
      <c r="A231" s="46"/>
      <c r="B231" s="26"/>
      <c r="C231" s="3" t="s">
        <v>36</v>
      </c>
      <c r="D231" s="67">
        <v>1918446.35</v>
      </c>
      <c r="E231" s="67">
        <v>1918446.35</v>
      </c>
      <c r="F231" s="68"/>
      <c r="G231" s="68"/>
      <c r="H231" s="67">
        <f>E231+F231</f>
        <v>1918446.35</v>
      </c>
      <c r="I231" s="68"/>
      <c r="J231" s="68"/>
      <c r="K231" s="68"/>
      <c r="L231" s="67"/>
      <c r="M231" s="67"/>
      <c r="N231" s="67">
        <f>H231+L231</f>
        <v>1918446.35</v>
      </c>
      <c r="O231" s="67">
        <v>0</v>
      </c>
      <c r="P231" s="68"/>
      <c r="Q231" s="68"/>
      <c r="R231" s="67">
        <f>O231+P231</f>
        <v>0</v>
      </c>
      <c r="S231" s="68"/>
      <c r="T231" s="68"/>
      <c r="U231" s="68"/>
      <c r="V231" s="67"/>
      <c r="W231" s="67"/>
      <c r="X231" s="67">
        <f>R231+V231</f>
        <v>0</v>
      </c>
      <c r="Y231" s="67">
        <f t="shared" si="104"/>
        <v>1918446.35</v>
      </c>
      <c r="Z231" s="67">
        <f t="shared" si="105"/>
        <v>0</v>
      </c>
      <c r="AA231" s="67">
        <f t="shared" si="106"/>
        <v>1918446.35</v>
      </c>
      <c r="AB231" s="69">
        <f t="shared" si="107"/>
        <v>0</v>
      </c>
    </row>
    <row r="232" spans="1:28" x14ac:dyDescent="0.25">
      <c r="A232" s="46"/>
      <c r="B232" s="26"/>
      <c r="C232" s="3" t="s">
        <v>65</v>
      </c>
      <c r="D232" s="67">
        <v>53471000</v>
      </c>
      <c r="E232" s="67">
        <v>53471000</v>
      </c>
      <c r="F232" s="68"/>
      <c r="G232" s="68"/>
      <c r="H232" s="67">
        <f>E232+F232</f>
        <v>53471000</v>
      </c>
      <c r="I232" s="68"/>
      <c r="J232" s="68"/>
      <c r="K232" s="68"/>
      <c r="L232" s="67"/>
      <c r="M232" s="67"/>
      <c r="N232" s="67">
        <f>H232+L232</f>
        <v>53471000</v>
      </c>
      <c r="O232" s="67">
        <v>0</v>
      </c>
      <c r="P232" s="68"/>
      <c r="Q232" s="68"/>
      <c r="R232" s="67">
        <f>O232+P232</f>
        <v>0</v>
      </c>
      <c r="S232" s="68"/>
      <c r="T232" s="68"/>
      <c r="U232" s="68"/>
      <c r="V232" s="67"/>
      <c r="W232" s="67"/>
      <c r="X232" s="67">
        <f>R232+V232</f>
        <v>0</v>
      </c>
      <c r="Y232" s="67">
        <f t="shared" si="104"/>
        <v>53471000</v>
      </c>
      <c r="Z232" s="67">
        <f t="shared" si="105"/>
        <v>0</v>
      </c>
      <c r="AA232" s="67">
        <f t="shared" si="106"/>
        <v>53471000</v>
      </c>
      <c r="AB232" s="69">
        <f t="shared" si="107"/>
        <v>0</v>
      </c>
    </row>
    <row r="233" spans="1:28" x14ac:dyDescent="0.25">
      <c r="A233" s="46"/>
      <c r="B233" s="26"/>
      <c r="C233" s="9" t="s">
        <v>62</v>
      </c>
      <c r="D233" s="67">
        <v>10740906.75</v>
      </c>
      <c r="E233" s="67">
        <v>10740906.75</v>
      </c>
      <c r="F233" s="68"/>
      <c r="G233" s="68"/>
      <c r="H233" s="67">
        <f>E233+F233</f>
        <v>10740906.75</v>
      </c>
      <c r="I233" s="68"/>
      <c r="J233" s="68"/>
      <c r="K233" s="68"/>
      <c r="L233" s="67"/>
      <c r="M233" s="67"/>
      <c r="N233" s="67">
        <f>H233+L233</f>
        <v>10740906.75</v>
      </c>
      <c r="O233" s="67">
        <v>0</v>
      </c>
      <c r="P233" s="68"/>
      <c r="Q233" s="68"/>
      <c r="R233" s="67">
        <f>O233+P233</f>
        <v>0</v>
      </c>
      <c r="S233" s="68"/>
      <c r="T233" s="68"/>
      <c r="U233" s="68"/>
      <c r="V233" s="67"/>
      <c r="W233" s="67"/>
      <c r="X233" s="67">
        <f>R233+V233</f>
        <v>0</v>
      </c>
      <c r="Y233" s="67">
        <f t="shared" si="104"/>
        <v>10740906.75</v>
      </c>
      <c r="Z233" s="67">
        <f t="shared" si="105"/>
        <v>0</v>
      </c>
      <c r="AA233" s="67">
        <f t="shared" si="106"/>
        <v>10740906.75</v>
      </c>
      <c r="AB233" s="69">
        <f t="shared" si="107"/>
        <v>0</v>
      </c>
    </row>
    <row r="234" spans="1:28" x14ac:dyDescent="0.25">
      <c r="A234" s="46"/>
      <c r="B234" s="26"/>
      <c r="C234" s="2" t="s">
        <v>53</v>
      </c>
      <c r="D234" s="67">
        <v>14772311.01</v>
      </c>
      <c r="E234" s="67">
        <v>0</v>
      </c>
      <c r="F234" s="68"/>
      <c r="G234" s="68"/>
      <c r="H234" s="67">
        <f>E234+F234</f>
        <v>0</v>
      </c>
      <c r="I234" s="68"/>
      <c r="J234" s="68"/>
      <c r="K234" s="68"/>
      <c r="L234" s="67"/>
      <c r="M234" s="67"/>
      <c r="N234" s="67">
        <f>H234+L234</f>
        <v>0</v>
      </c>
      <c r="O234" s="67">
        <v>7001934.4500000002</v>
      </c>
      <c r="P234" s="68"/>
      <c r="Q234" s="68"/>
      <c r="R234" s="67">
        <f>O234+P234</f>
        <v>7001934.4500000002</v>
      </c>
      <c r="S234" s="68"/>
      <c r="T234" s="68"/>
      <c r="U234" s="68"/>
      <c r="V234" s="67"/>
      <c r="W234" s="67"/>
      <c r="X234" s="67">
        <f>R234+V234</f>
        <v>7001934.4500000002</v>
      </c>
      <c r="Y234" s="67">
        <f t="shared" si="104"/>
        <v>7001934.4500000002</v>
      </c>
      <c r="Z234" s="67">
        <f t="shared" si="105"/>
        <v>7770376.5599999996</v>
      </c>
      <c r="AA234" s="67">
        <f t="shared" si="106"/>
        <v>7001934.4500000002</v>
      </c>
      <c r="AB234" s="69">
        <f t="shared" si="107"/>
        <v>7770376.5599999996</v>
      </c>
    </row>
    <row r="235" spans="1:28" x14ac:dyDescent="0.25">
      <c r="A235" s="46"/>
      <c r="B235" s="26"/>
      <c r="C235" s="2" t="s">
        <v>54</v>
      </c>
      <c r="D235" s="67">
        <f>70773.37+10629489.66</f>
        <v>10700263.029999999</v>
      </c>
      <c r="E235" s="67">
        <v>0</v>
      </c>
      <c r="F235" s="68"/>
      <c r="G235" s="68"/>
      <c r="H235" s="67">
        <f>E235+F235</f>
        <v>0</v>
      </c>
      <c r="I235" s="68"/>
      <c r="J235" s="68"/>
      <c r="K235" s="68"/>
      <c r="L235" s="67"/>
      <c r="M235" s="67"/>
      <c r="N235" s="67">
        <f>H235+L235</f>
        <v>0</v>
      </c>
      <c r="O235" s="67">
        <v>10700263.029999999</v>
      </c>
      <c r="P235" s="68"/>
      <c r="Q235" s="68"/>
      <c r="R235" s="67">
        <f>O235+P235</f>
        <v>10700263.029999999</v>
      </c>
      <c r="S235" s="68"/>
      <c r="T235" s="68"/>
      <c r="U235" s="68"/>
      <c r="V235" s="67"/>
      <c r="W235" s="67"/>
      <c r="X235" s="67">
        <f>R235+V235</f>
        <v>10700263.029999999</v>
      </c>
      <c r="Y235" s="67">
        <f t="shared" si="104"/>
        <v>10700263.029999999</v>
      </c>
      <c r="Z235" s="67">
        <f t="shared" si="105"/>
        <v>0</v>
      </c>
      <c r="AA235" s="67">
        <f t="shared" si="106"/>
        <v>10700263.029999999</v>
      </c>
      <c r="AB235" s="69">
        <f t="shared" si="107"/>
        <v>0</v>
      </c>
    </row>
    <row r="236" spans="1:28" x14ac:dyDescent="0.25">
      <c r="A236" s="46"/>
      <c r="B236" s="26"/>
      <c r="C236" s="4"/>
      <c r="D236" s="70" t="s">
        <v>40</v>
      </c>
      <c r="E236" s="70" t="s">
        <v>40</v>
      </c>
      <c r="F236" s="70" t="s">
        <v>40</v>
      </c>
      <c r="G236" s="70"/>
      <c r="H236" s="70" t="s">
        <v>40</v>
      </c>
      <c r="I236" s="70" t="s">
        <v>40</v>
      </c>
      <c r="J236" s="70" t="s">
        <v>40</v>
      </c>
      <c r="K236" s="70" t="s">
        <v>40</v>
      </c>
      <c r="L236" s="70" t="s">
        <v>40</v>
      </c>
      <c r="M236" s="70"/>
      <c r="N236" s="70" t="s">
        <v>40</v>
      </c>
      <c r="O236" s="70" t="s">
        <v>40</v>
      </c>
      <c r="P236" s="70" t="s">
        <v>40</v>
      </c>
      <c r="Q236" s="70"/>
      <c r="R236" s="70" t="s">
        <v>40</v>
      </c>
      <c r="S236" s="70" t="s">
        <v>40</v>
      </c>
      <c r="T236" s="70" t="s">
        <v>40</v>
      </c>
      <c r="U236" s="70" t="s">
        <v>40</v>
      </c>
      <c r="V236" s="70" t="s">
        <v>40</v>
      </c>
      <c r="W236" s="70"/>
      <c r="X236" s="70" t="s">
        <v>40</v>
      </c>
      <c r="Y236" s="70" t="s">
        <v>40</v>
      </c>
      <c r="Z236" s="70" t="s">
        <v>40</v>
      </c>
      <c r="AA236" s="70" t="s">
        <v>40</v>
      </c>
      <c r="AB236" s="70" t="s">
        <v>40</v>
      </c>
    </row>
    <row r="237" spans="1:28" x14ac:dyDescent="0.25">
      <c r="A237" s="46"/>
      <c r="B237" s="26"/>
      <c r="C237" s="4"/>
      <c r="D237" s="67">
        <f>SUM(D229:D235)</f>
        <v>116340511.81000002</v>
      </c>
      <c r="E237" s="67">
        <f>SUM(E229:E235)</f>
        <v>72656023.349999994</v>
      </c>
      <c r="F237" s="67">
        <f>SUM(F229:F235)</f>
        <v>0</v>
      </c>
      <c r="G237" s="67"/>
      <c r="H237" s="67">
        <f>SUM(H229:H235)</f>
        <v>72656023.349999994</v>
      </c>
      <c r="I237" s="67">
        <f>SUM(I229:I235)</f>
        <v>0</v>
      </c>
      <c r="J237" s="67">
        <f>SUM(J229:J235)</f>
        <v>0</v>
      </c>
      <c r="K237" s="67">
        <f>SUM(K229:K235)</f>
        <v>0</v>
      </c>
      <c r="L237" s="67">
        <f>SUM(L229:L235)</f>
        <v>0</v>
      </c>
      <c r="M237" s="67"/>
      <c r="N237" s="67">
        <f>SUM(N229:N235)</f>
        <v>72656023.349999994</v>
      </c>
      <c r="O237" s="67">
        <f>SUM(O229:O235)</f>
        <v>17702197.48</v>
      </c>
      <c r="P237" s="67">
        <f>SUM(P229:P235)</f>
        <v>0</v>
      </c>
      <c r="Q237" s="67"/>
      <c r="R237" s="67">
        <f>SUM(R229:R235)</f>
        <v>17702197.48</v>
      </c>
      <c r="S237" s="67">
        <f>SUM(S229:S235)</f>
        <v>0</v>
      </c>
      <c r="T237" s="67">
        <f>SUM(T229:T235)</f>
        <v>0</v>
      </c>
      <c r="U237" s="67">
        <f>SUM(U229:U235)</f>
        <v>0</v>
      </c>
      <c r="V237" s="67">
        <f>SUM(V229:V235)</f>
        <v>0</v>
      </c>
      <c r="W237" s="67"/>
      <c r="X237" s="67">
        <f>SUM(X229:X235)</f>
        <v>17702197.48</v>
      </c>
      <c r="Y237" s="67">
        <f>SUM(Y229:Y235)</f>
        <v>90358220.829999998</v>
      </c>
      <c r="Z237" s="67">
        <f>SUM(Z229:Z235)</f>
        <v>25982290.98</v>
      </c>
      <c r="AA237" s="67">
        <f>SUM(AA229:AA235)</f>
        <v>90358220.829999998</v>
      </c>
      <c r="AB237" s="67">
        <f>SUM(AB229:AB235)</f>
        <v>25982290.98</v>
      </c>
    </row>
    <row r="238" spans="1:28" x14ac:dyDescent="0.25">
      <c r="A238" s="46"/>
      <c r="B238" s="30"/>
      <c r="C238" s="4"/>
      <c r="D238" s="70" t="s">
        <v>40</v>
      </c>
      <c r="E238" s="70" t="s">
        <v>40</v>
      </c>
      <c r="F238" s="70" t="s">
        <v>40</v>
      </c>
      <c r="G238" s="70"/>
      <c r="H238" s="70" t="s">
        <v>40</v>
      </c>
      <c r="I238" s="70" t="s">
        <v>40</v>
      </c>
      <c r="J238" s="70" t="s">
        <v>40</v>
      </c>
      <c r="K238" s="70" t="s">
        <v>40</v>
      </c>
      <c r="L238" s="70" t="s">
        <v>40</v>
      </c>
      <c r="M238" s="70"/>
      <c r="N238" s="70" t="s">
        <v>40</v>
      </c>
      <c r="O238" s="70" t="s">
        <v>40</v>
      </c>
      <c r="P238" s="70" t="s">
        <v>40</v>
      </c>
      <c r="Q238" s="70"/>
      <c r="R238" s="70" t="s">
        <v>40</v>
      </c>
      <c r="S238" s="70" t="s">
        <v>40</v>
      </c>
      <c r="T238" s="70" t="s">
        <v>40</v>
      </c>
      <c r="U238" s="70" t="s">
        <v>40</v>
      </c>
      <c r="V238" s="70" t="s">
        <v>40</v>
      </c>
      <c r="W238" s="70"/>
      <c r="X238" s="70" t="s">
        <v>40</v>
      </c>
      <c r="Y238" s="70" t="s">
        <v>40</v>
      </c>
      <c r="Z238" s="70" t="s">
        <v>40</v>
      </c>
      <c r="AA238" s="70" t="s">
        <v>40</v>
      </c>
      <c r="AB238" s="70" t="s">
        <v>40</v>
      </c>
    </row>
    <row r="239" spans="1:28" x14ac:dyDescent="0.25">
      <c r="A239" s="46"/>
      <c r="B239" s="30"/>
      <c r="C239" s="4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</row>
    <row r="240" spans="1:28" x14ac:dyDescent="0.25">
      <c r="A240" s="46">
        <v>22</v>
      </c>
      <c r="B240" s="23" t="s">
        <v>66</v>
      </c>
      <c r="C240" s="2" t="s">
        <v>35</v>
      </c>
      <c r="D240" s="67">
        <f>43569226.71-16471819.57-4998998</f>
        <v>22098409.140000001</v>
      </c>
      <c r="E240" s="67">
        <f>7500000+2000000</f>
        <v>9500000</v>
      </c>
      <c r="F240" s="68"/>
      <c r="G240" s="68"/>
      <c r="H240" s="67">
        <f>E240+F240</f>
        <v>9500000</v>
      </c>
      <c r="I240" s="68"/>
      <c r="J240" s="68"/>
      <c r="K240" s="68"/>
      <c r="L240" s="67"/>
      <c r="M240" s="67"/>
      <c r="N240" s="67">
        <f>H240+L240</f>
        <v>9500000</v>
      </c>
      <c r="O240" s="67">
        <v>3310521.7</v>
      </c>
      <c r="P240" s="68"/>
      <c r="Q240" s="68"/>
      <c r="R240" s="67">
        <f>O240+P240</f>
        <v>3310521.7</v>
      </c>
      <c r="S240" s="68"/>
      <c r="T240" s="68"/>
      <c r="U240" s="68"/>
      <c r="V240" s="67"/>
      <c r="W240" s="67"/>
      <c r="X240" s="67">
        <f>R240+V240</f>
        <v>3310521.7</v>
      </c>
      <c r="Y240" s="67">
        <f t="shared" ref="Y240:Y246" si="108">R240+H240</f>
        <v>12810521.699999999</v>
      </c>
      <c r="Z240" s="67">
        <f t="shared" ref="Z240:Z246" si="109">D240-Y240</f>
        <v>9287887.4400000013</v>
      </c>
      <c r="AA240" s="67">
        <f t="shared" ref="AA240:AA246" si="110">N240+X240</f>
        <v>12810521.699999999</v>
      </c>
      <c r="AB240" s="69">
        <f t="shared" ref="AB240:AB246" si="111">+D240-N240-X240</f>
        <v>9287887.4400000013</v>
      </c>
    </row>
    <row r="241" spans="1:106" x14ac:dyDescent="0.25">
      <c r="C241" s="4" t="s">
        <v>317</v>
      </c>
      <c r="D241" s="55">
        <v>4998998</v>
      </c>
      <c r="E241" s="55">
        <v>4998998</v>
      </c>
      <c r="F241" s="55"/>
      <c r="G241" s="55"/>
      <c r="H241" s="55">
        <f>+E241+F241</f>
        <v>4998998</v>
      </c>
      <c r="I241" s="55"/>
      <c r="J241" s="55"/>
      <c r="K241" s="55"/>
      <c r="L241" s="55"/>
      <c r="M241" s="55"/>
      <c r="N241" s="55">
        <f>+H241+L241</f>
        <v>4998998</v>
      </c>
      <c r="O241" s="55">
        <v>0</v>
      </c>
      <c r="P241" s="55"/>
      <c r="Q241" s="55"/>
      <c r="R241" s="55">
        <f>+O241+P241</f>
        <v>0</v>
      </c>
      <c r="S241" s="55"/>
      <c r="T241" s="55"/>
      <c r="U241" s="55"/>
      <c r="V241" s="55"/>
      <c r="W241" s="55"/>
      <c r="X241" s="55">
        <f>+R241+V241</f>
        <v>0</v>
      </c>
      <c r="Y241" s="67">
        <f t="shared" si="108"/>
        <v>4998998</v>
      </c>
      <c r="Z241" s="67">
        <f t="shared" si="109"/>
        <v>0</v>
      </c>
      <c r="AA241" s="67">
        <f t="shared" si="110"/>
        <v>4998998</v>
      </c>
      <c r="AB241" s="69">
        <f t="shared" si="111"/>
        <v>0</v>
      </c>
    </row>
    <row r="242" spans="1:106" x14ac:dyDescent="0.25">
      <c r="A242" s="46"/>
      <c r="B242" s="26"/>
      <c r="C242" s="3" t="s">
        <v>36</v>
      </c>
      <c r="D242" s="67">
        <f>3298016+3000000+6607277.8</f>
        <v>12905293.800000001</v>
      </c>
      <c r="E242" s="67">
        <f>3298016+3000000+6607277.8</f>
        <v>12905293.800000001</v>
      </c>
      <c r="F242" s="68"/>
      <c r="G242" s="68"/>
      <c r="H242" s="67">
        <f>E242+F242</f>
        <v>12905293.800000001</v>
      </c>
      <c r="I242" s="68"/>
      <c r="J242" s="68"/>
      <c r="K242" s="68"/>
      <c r="L242" s="67"/>
      <c r="M242" s="67"/>
      <c r="N242" s="67">
        <f>H242+L242</f>
        <v>12905293.800000001</v>
      </c>
      <c r="O242" s="67">
        <v>0</v>
      </c>
      <c r="P242" s="68"/>
      <c r="Q242" s="68"/>
      <c r="R242" s="67">
        <f>O242+P242</f>
        <v>0</v>
      </c>
      <c r="S242" s="68"/>
      <c r="T242" s="68"/>
      <c r="U242" s="68"/>
      <c r="V242" s="67"/>
      <c r="W242" s="67"/>
      <c r="X242" s="67">
        <f>R242+V242</f>
        <v>0</v>
      </c>
      <c r="Y242" s="67">
        <f t="shared" si="108"/>
        <v>12905293.800000001</v>
      </c>
      <c r="Z242" s="67">
        <f t="shared" si="109"/>
        <v>0</v>
      </c>
      <c r="AA242" s="67">
        <f t="shared" si="110"/>
        <v>12905293.800000001</v>
      </c>
      <c r="AB242" s="69">
        <f t="shared" si="111"/>
        <v>0</v>
      </c>
    </row>
    <row r="243" spans="1:106" x14ac:dyDescent="0.25">
      <c r="A243" s="46"/>
      <c r="B243" s="26"/>
      <c r="C243" s="3" t="s">
        <v>65</v>
      </c>
      <c r="D243" s="67">
        <v>65638000</v>
      </c>
      <c r="E243" s="67">
        <v>65638000</v>
      </c>
      <c r="F243" s="68"/>
      <c r="G243" s="68"/>
      <c r="H243" s="67">
        <f>E243+F243</f>
        <v>65638000</v>
      </c>
      <c r="I243" s="68"/>
      <c r="J243" s="68"/>
      <c r="K243" s="68"/>
      <c r="L243" s="67"/>
      <c r="M243" s="67"/>
      <c r="N243" s="67">
        <f>H243+L243</f>
        <v>65638000</v>
      </c>
      <c r="O243" s="67">
        <v>0</v>
      </c>
      <c r="P243" s="68"/>
      <c r="Q243" s="68"/>
      <c r="R243" s="67">
        <f>O243+P243</f>
        <v>0</v>
      </c>
      <c r="S243" s="68"/>
      <c r="T243" s="68"/>
      <c r="U243" s="68"/>
      <c r="V243" s="67"/>
      <c r="W243" s="67"/>
      <c r="X243" s="67">
        <f>R243+V243</f>
        <v>0</v>
      </c>
      <c r="Y243" s="67">
        <f t="shared" si="108"/>
        <v>65638000</v>
      </c>
      <c r="Z243" s="67">
        <f t="shared" si="109"/>
        <v>0</v>
      </c>
      <c r="AA243" s="67">
        <f t="shared" si="110"/>
        <v>65638000</v>
      </c>
      <c r="AB243" s="69">
        <f t="shared" si="111"/>
        <v>0</v>
      </c>
    </row>
    <row r="244" spans="1:106" x14ac:dyDescent="0.25">
      <c r="A244" s="46"/>
      <c r="B244" s="26"/>
      <c r="C244" s="9" t="s">
        <v>62</v>
      </c>
      <c r="D244" s="67">
        <v>2082100.44</v>
      </c>
      <c r="E244" s="67">
        <v>2082100.44</v>
      </c>
      <c r="F244" s="68"/>
      <c r="G244" s="68"/>
      <c r="H244" s="67">
        <f>E244+F244</f>
        <v>2082100.44</v>
      </c>
      <c r="I244" s="68"/>
      <c r="J244" s="68"/>
      <c r="K244" s="68"/>
      <c r="L244" s="67"/>
      <c r="M244" s="67"/>
      <c r="N244" s="67">
        <f>H244+L244</f>
        <v>2082100.44</v>
      </c>
      <c r="O244" s="67">
        <v>0</v>
      </c>
      <c r="P244" s="68"/>
      <c r="Q244" s="68"/>
      <c r="R244" s="67">
        <f>O244+P244</f>
        <v>0</v>
      </c>
      <c r="S244" s="68"/>
      <c r="T244" s="68"/>
      <c r="U244" s="68"/>
      <c r="V244" s="67"/>
      <c r="W244" s="67"/>
      <c r="X244" s="67">
        <f>R244+V244</f>
        <v>0</v>
      </c>
      <c r="Y244" s="67">
        <f t="shared" si="108"/>
        <v>2082100.44</v>
      </c>
      <c r="Z244" s="67">
        <f t="shared" si="109"/>
        <v>0</v>
      </c>
      <c r="AA244" s="67">
        <f t="shared" si="110"/>
        <v>2082100.44</v>
      </c>
      <c r="AB244" s="69">
        <f t="shared" si="111"/>
        <v>0</v>
      </c>
    </row>
    <row r="245" spans="1:106" x14ac:dyDescent="0.25">
      <c r="A245" s="46"/>
      <c r="B245" s="26"/>
      <c r="C245" s="3" t="s">
        <v>53</v>
      </c>
      <c r="D245" s="67">
        <f>-11027231.05+1899932.63+16471819.57</f>
        <v>7344521.1499999985</v>
      </c>
      <c r="E245" s="67">
        <v>0</v>
      </c>
      <c r="F245" s="68"/>
      <c r="G245" s="68"/>
      <c r="H245" s="67">
        <f>E245+F245</f>
        <v>0</v>
      </c>
      <c r="I245" s="68"/>
      <c r="J245" s="68"/>
      <c r="K245" s="68"/>
      <c r="L245" s="67"/>
      <c r="M245" s="67"/>
      <c r="N245" s="67">
        <f>H245+L245</f>
        <v>0</v>
      </c>
      <c r="O245" s="67">
        <f>5444588.52+1899932.63</f>
        <v>7344521.1499999994</v>
      </c>
      <c r="P245" s="68"/>
      <c r="Q245" s="68"/>
      <c r="R245" s="67">
        <f>O245+P245</f>
        <v>7344521.1499999994</v>
      </c>
      <c r="S245" s="68"/>
      <c r="T245" s="68"/>
      <c r="U245" s="68"/>
      <c r="V245" s="67"/>
      <c r="W245" s="67"/>
      <c r="X245" s="67">
        <f>R245+V245</f>
        <v>7344521.1499999994</v>
      </c>
      <c r="Y245" s="67">
        <f t="shared" si="108"/>
        <v>7344521.1499999994</v>
      </c>
      <c r="Z245" s="67">
        <f t="shared" si="109"/>
        <v>0</v>
      </c>
      <c r="AA245" s="67">
        <f t="shared" si="110"/>
        <v>7344521.1499999994</v>
      </c>
      <c r="AB245" s="69">
        <f t="shared" si="111"/>
        <v>0</v>
      </c>
    </row>
    <row r="246" spans="1:106" x14ac:dyDescent="0.25">
      <c r="A246" s="46"/>
      <c r="B246" s="26"/>
      <c r="C246" s="2" t="s">
        <v>54</v>
      </c>
      <c r="D246" s="67">
        <v>8977927.5</v>
      </c>
      <c r="E246" s="67">
        <v>0</v>
      </c>
      <c r="F246" s="68"/>
      <c r="G246" s="68"/>
      <c r="H246" s="67">
        <f>E246+F246</f>
        <v>0</v>
      </c>
      <c r="I246" s="68"/>
      <c r="J246" s="68"/>
      <c r="K246" s="68"/>
      <c r="L246" s="67"/>
      <c r="M246" s="67"/>
      <c r="N246" s="67">
        <f>H246+L246</f>
        <v>0</v>
      </c>
      <c r="O246" s="67">
        <v>5603896.2599999998</v>
      </c>
      <c r="P246" s="68"/>
      <c r="Q246" s="68"/>
      <c r="R246" s="67">
        <f>O246+P246</f>
        <v>5603896.2599999998</v>
      </c>
      <c r="S246" s="68"/>
      <c r="T246" s="68"/>
      <c r="U246" s="68"/>
      <c r="V246" s="67"/>
      <c r="W246" s="67"/>
      <c r="X246" s="67">
        <f>R246+V246</f>
        <v>5603896.2599999998</v>
      </c>
      <c r="Y246" s="67">
        <f t="shared" si="108"/>
        <v>5603896.2599999998</v>
      </c>
      <c r="Z246" s="67">
        <f t="shared" si="109"/>
        <v>3374031.24</v>
      </c>
      <c r="AA246" s="67">
        <f t="shared" si="110"/>
        <v>5603896.2599999998</v>
      </c>
      <c r="AB246" s="69">
        <f t="shared" si="111"/>
        <v>3374031.24</v>
      </c>
    </row>
    <row r="247" spans="1:106" x14ac:dyDescent="0.25">
      <c r="A247" s="46"/>
      <c r="B247" s="26"/>
      <c r="C247" s="4"/>
      <c r="D247" s="70" t="s">
        <v>40</v>
      </c>
      <c r="E247" s="70" t="s">
        <v>40</v>
      </c>
      <c r="F247" s="70" t="s">
        <v>40</v>
      </c>
      <c r="G247" s="70"/>
      <c r="H247" s="70" t="s">
        <v>40</v>
      </c>
      <c r="I247" s="70" t="s">
        <v>40</v>
      </c>
      <c r="J247" s="70" t="s">
        <v>40</v>
      </c>
      <c r="K247" s="70" t="s">
        <v>40</v>
      </c>
      <c r="L247" s="70" t="s">
        <v>40</v>
      </c>
      <c r="M247" s="70"/>
      <c r="N247" s="70" t="s">
        <v>40</v>
      </c>
      <c r="O247" s="70" t="s">
        <v>40</v>
      </c>
      <c r="P247" s="70" t="s">
        <v>40</v>
      </c>
      <c r="Q247" s="70"/>
      <c r="R247" s="70" t="s">
        <v>40</v>
      </c>
      <c r="S247" s="70" t="s">
        <v>40</v>
      </c>
      <c r="T247" s="70" t="s">
        <v>40</v>
      </c>
      <c r="U247" s="70" t="s">
        <v>40</v>
      </c>
      <c r="V247" s="70" t="s">
        <v>40</v>
      </c>
      <c r="W247" s="70"/>
      <c r="X247" s="70" t="s">
        <v>40</v>
      </c>
      <c r="Y247" s="70" t="s">
        <v>40</v>
      </c>
      <c r="Z247" s="70" t="s">
        <v>40</v>
      </c>
      <c r="AA247" s="70" t="s">
        <v>40</v>
      </c>
      <c r="AB247" s="70" t="s">
        <v>40</v>
      </c>
    </row>
    <row r="248" spans="1:106" x14ac:dyDescent="0.25">
      <c r="A248" s="46"/>
      <c r="B248" s="26"/>
      <c r="C248" s="4"/>
      <c r="D248" s="67">
        <f>SUM(D240:D246)</f>
        <v>124045250.03</v>
      </c>
      <c r="E248" s="67">
        <f>SUM(E240:E246)</f>
        <v>95124392.239999995</v>
      </c>
      <c r="F248" s="67">
        <f>SUM(F240:F246)</f>
        <v>0</v>
      </c>
      <c r="G248" s="67"/>
      <c r="H248" s="67">
        <f>SUM(H240:H246)</f>
        <v>95124392.239999995</v>
      </c>
      <c r="I248" s="67">
        <f>SUM(I240:I246)</f>
        <v>0</v>
      </c>
      <c r="J248" s="67">
        <f>SUM(J240:J246)</f>
        <v>0</v>
      </c>
      <c r="K248" s="67">
        <f>SUM(K240:K246)</f>
        <v>0</v>
      </c>
      <c r="L248" s="67">
        <f>SUM(L240:L246)</f>
        <v>0</v>
      </c>
      <c r="M248" s="67"/>
      <c r="N248" s="67">
        <f>SUM(N240:N246)</f>
        <v>95124392.239999995</v>
      </c>
      <c r="O248" s="67">
        <f>SUM(O240:O246)</f>
        <v>16258939.109999999</v>
      </c>
      <c r="P248" s="67">
        <f>SUM(P240:P246)</f>
        <v>0</v>
      </c>
      <c r="Q248" s="67"/>
      <c r="R248" s="67">
        <f>SUM(R240:R246)</f>
        <v>16258939.109999999</v>
      </c>
      <c r="S248" s="67">
        <f>SUM(S240:S246)</f>
        <v>0</v>
      </c>
      <c r="T248" s="67">
        <f>SUM(T240:T246)</f>
        <v>0</v>
      </c>
      <c r="U248" s="67">
        <f>SUM(U240:U246)</f>
        <v>0</v>
      </c>
      <c r="V248" s="67">
        <f>SUM(V240:V246)</f>
        <v>0</v>
      </c>
      <c r="W248" s="67"/>
      <c r="X248" s="67">
        <f>SUM(X240:X246)</f>
        <v>16258939.109999999</v>
      </c>
      <c r="Y248" s="67">
        <f>SUM(Y240:Y246)</f>
        <v>111383331.35000001</v>
      </c>
      <c r="Z248" s="67">
        <f>SUM(Z240:Z246)</f>
        <v>12661918.680000002</v>
      </c>
      <c r="AA248" s="67">
        <f>SUM(AA240:AA246)</f>
        <v>111383331.35000001</v>
      </c>
      <c r="AB248" s="67">
        <f>SUM(AB240:AB246)</f>
        <v>12661918.680000002</v>
      </c>
    </row>
    <row r="249" spans="1:106" x14ac:dyDescent="0.25">
      <c r="A249" s="46"/>
      <c r="B249" s="26"/>
      <c r="C249" s="4"/>
      <c r="D249" s="70" t="s">
        <v>40</v>
      </c>
      <c r="E249" s="70" t="s">
        <v>40</v>
      </c>
      <c r="F249" s="70" t="s">
        <v>40</v>
      </c>
      <c r="G249" s="70"/>
      <c r="H249" s="70" t="s">
        <v>40</v>
      </c>
      <c r="I249" s="70" t="s">
        <v>40</v>
      </c>
      <c r="J249" s="70" t="s">
        <v>40</v>
      </c>
      <c r="K249" s="70" t="s">
        <v>40</v>
      </c>
      <c r="L249" s="70" t="s">
        <v>40</v>
      </c>
      <c r="M249" s="70"/>
      <c r="N249" s="70" t="s">
        <v>40</v>
      </c>
      <c r="O249" s="70" t="s">
        <v>40</v>
      </c>
      <c r="P249" s="70" t="s">
        <v>40</v>
      </c>
      <c r="Q249" s="70"/>
      <c r="R249" s="70" t="s">
        <v>40</v>
      </c>
      <c r="S249" s="70" t="s">
        <v>40</v>
      </c>
      <c r="T249" s="70" t="s">
        <v>40</v>
      </c>
      <c r="U249" s="70" t="s">
        <v>40</v>
      </c>
      <c r="V249" s="70" t="s">
        <v>40</v>
      </c>
      <c r="W249" s="70"/>
      <c r="X249" s="70" t="s">
        <v>40</v>
      </c>
      <c r="Y249" s="70" t="s">
        <v>40</v>
      </c>
      <c r="Z249" s="70" t="s">
        <v>40</v>
      </c>
      <c r="AA249" s="70" t="s">
        <v>40</v>
      </c>
      <c r="AB249" s="70" t="s">
        <v>40</v>
      </c>
    </row>
    <row r="250" spans="1:106" s="4" customFormat="1" ht="15.75" customHeight="1" x14ac:dyDescent="0.25">
      <c r="A250" s="46"/>
      <c r="B250" s="26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</row>
    <row r="251" spans="1:106" x14ac:dyDescent="0.25">
      <c r="A251" s="46">
        <v>23</v>
      </c>
      <c r="B251" s="23" t="s">
        <v>67</v>
      </c>
      <c r="C251" s="2" t="s">
        <v>35</v>
      </c>
      <c r="D251" s="67">
        <f>81495373.9+1679973.84-3347773.75</f>
        <v>79827573.99000001</v>
      </c>
      <c r="E251" s="67">
        <v>2000000</v>
      </c>
      <c r="F251" s="68"/>
      <c r="G251" s="68"/>
      <c r="H251" s="67">
        <f>E251+F251</f>
        <v>2000000</v>
      </c>
      <c r="I251" s="68"/>
      <c r="J251" s="68"/>
      <c r="K251" s="68"/>
      <c r="L251" s="67"/>
      <c r="M251" s="67"/>
      <c r="N251" s="67">
        <f>H251+L251</f>
        <v>2000000</v>
      </c>
      <c r="O251" s="67">
        <f>2772751.74+1679973.84+2817962.84+586712.75</f>
        <v>7857401.1699999999</v>
      </c>
      <c r="P251" s="68"/>
      <c r="Q251" s="68"/>
      <c r="R251" s="67">
        <f>O251+P251</f>
        <v>7857401.1699999999</v>
      </c>
      <c r="S251" s="67"/>
      <c r="T251" s="68"/>
      <c r="U251" s="67"/>
      <c r="V251" s="67"/>
      <c r="W251" s="67"/>
      <c r="X251" s="67">
        <f>R251+V251</f>
        <v>7857401.1699999999</v>
      </c>
      <c r="Y251" s="67">
        <f t="shared" ref="Y251:Y258" si="112">R251+H251</f>
        <v>9857401.1699999999</v>
      </c>
      <c r="Z251" s="67">
        <f t="shared" ref="Z251:Z258" si="113">D251-Y251</f>
        <v>69970172.820000008</v>
      </c>
      <c r="AA251" s="67">
        <f t="shared" ref="AA251:AA258" si="114">N251+X251</f>
        <v>9857401.1699999999</v>
      </c>
      <c r="AB251" s="69">
        <f t="shared" ref="AB251:AB258" si="115">+D251-N251-X251</f>
        <v>69970172.820000008</v>
      </c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</row>
    <row r="252" spans="1:106" x14ac:dyDescent="0.25">
      <c r="A252" s="46"/>
      <c r="B252" s="26"/>
      <c r="C252" s="3" t="s">
        <v>36</v>
      </c>
      <c r="D252" s="67">
        <f>2084000+500</f>
        <v>2084500</v>
      </c>
      <c r="E252" s="67">
        <v>2084500</v>
      </c>
      <c r="F252" s="68"/>
      <c r="G252" s="68"/>
      <c r="H252" s="67">
        <f>E252+F252</f>
        <v>2084500</v>
      </c>
      <c r="I252" s="68"/>
      <c r="J252" s="68"/>
      <c r="K252" s="68"/>
      <c r="L252" s="67"/>
      <c r="M252" s="67"/>
      <c r="N252" s="67">
        <f>H252+L252</f>
        <v>2084500</v>
      </c>
      <c r="O252" s="67">
        <v>0</v>
      </c>
      <c r="P252" s="68"/>
      <c r="Q252" s="68"/>
      <c r="R252" s="67">
        <f>O252+P252</f>
        <v>0</v>
      </c>
      <c r="S252" s="67"/>
      <c r="T252" s="68"/>
      <c r="U252" s="67"/>
      <c r="V252" s="67"/>
      <c r="W252" s="67"/>
      <c r="X252" s="67">
        <f>R252+V252</f>
        <v>0</v>
      </c>
      <c r="Y252" s="67">
        <f t="shared" si="112"/>
        <v>2084500</v>
      </c>
      <c r="Z252" s="67">
        <f t="shared" si="113"/>
        <v>0</v>
      </c>
      <c r="AA252" s="67">
        <f t="shared" si="114"/>
        <v>2084500</v>
      </c>
      <c r="AB252" s="69">
        <f t="shared" si="115"/>
        <v>0</v>
      </c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</row>
    <row r="253" spans="1:106" x14ac:dyDescent="0.25">
      <c r="A253" s="46"/>
      <c r="B253" s="26"/>
      <c r="C253" s="3" t="s">
        <v>65</v>
      </c>
      <c r="D253" s="67">
        <v>20736000</v>
      </c>
      <c r="E253" s="67">
        <v>20736000</v>
      </c>
      <c r="F253" s="68"/>
      <c r="G253" s="68"/>
      <c r="H253" s="67">
        <f>E253+F253</f>
        <v>20736000</v>
      </c>
      <c r="I253" s="68"/>
      <c r="J253" s="68"/>
      <c r="K253" s="68"/>
      <c r="L253" s="67"/>
      <c r="M253" s="67"/>
      <c r="N253" s="67">
        <f>H253+L253</f>
        <v>20736000</v>
      </c>
      <c r="O253" s="67">
        <v>0</v>
      </c>
      <c r="P253" s="68"/>
      <c r="Q253" s="68"/>
      <c r="R253" s="67">
        <f>O253+P253</f>
        <v>0</v>
      </c>
      <c r="S253" s="67"/>
      <c r="T253" s="68"/>
      <c r="U253" s="67"/>
      <c r="V253" s="67"/>
      <c r="W253" s="67"/>
      <c r="X253" s="67">
        <f>R253+V253</f>
        <v>0</v>
      </c>
      <c r="Y253" s="67">
        <f t="shared" si="112"/>
        <v>20736000</v>
      </c>
      <c r="Z253" s="67">
        <f t="shared" si="113"/>
        <v>0</v>
      </c>
      <c r="AA253" s="67">
        <f t="shared" si="114"/>
        <v>20736000</v>
      </c>
      <c r="AB253" s="69">
        <f t="shared" si="115"/>
        <v>0</v>
      </c>
      <c r="BL253" s="4"/>
    </row>
    <row r="254" spans="1:106" x14ac:dyDescent="0.25">
      <c r="C254" s="4" t="s">
        <v>317</v>
      </c>
      <c r="D254" s="55">
        <v>3347773.75</v>
      </c>
      <c r="E254" s="55">
        <v>3347773</v>
      </c>
      <c r="F254" s="55"/>
      <c r="G254" s="55"/>
      <c r="H254" s="55">
        <f>+E254+F254</f>
        <v>3347773</v>
      </c>
      <c r="I254" s="55"/>
      <c r="J254" s="55"/>
      <c r="K254" s="55"/>
      <c r="L254" s="55"/>
      <c r="M254" s="55"/>
      <c r="N254" s="55">
        <f>+H254+L254</f>
        <v>3347773</v>
      </c>
      <c r="O254" s="55">
        <v>0</v>
      </c>
      <c r="P254" s="55"/>
      <c r="Q254" s="55"/>
      <c r="R254" s="55">
        <f>+O254+P254</f>
        <v>0</v>
      </c>
      <c r="S254" s="55"/>
      <c r="T254" s="55"/>
      <c r="U254" s="55"/>
      <c r="V254" s="55"/>
      <c r="W254" s="55"/>
      <c r="X254" s="55">
        <f>+R254+V254</f>
        <v>0</v>
      </c>
      <c r="Y254" s="67">
        <f t="shared" si="112"/>
        <v>3347773</v>
      </c>
      <c r="Z254" s="67">
        <f t="shared" si="113"/>
        <v>0.75</v>
      </c>
      <c r="AA254" s="67">
        <f t="shared" si="114"/>
        <v>3347773</v>
      </c>
      <c r="AB254" s="69">
        <f t="shared" si="115"/>
        <v>0.75</v>
      </c>
      <c r="BF254" s="4"/>
      <c r="BG254" s="4"/>
      <c r="BH254" s="4"/>
      <c r="BI254" s="4"/>
      <c r="BJ254" s="4"/>
      <c r="BK254" s="4"/>
    </row>
    <row r="255" spans="1:106" x14ac:dyDescent="0.25">
      <c r="C255" s="4" t="s">
        <v>298</v>
      </c>
      <c r="D255" s="55">
        <v>6720000</v>
      </c>
      <c r="E255" s="55">
        <v>6720000</v>
      </c>
      <c r="F255" s="55"/>
      <c r="G255" s="55"/>
      <c r="H255" s="55">
        <f>+E255+F255</f>
        <v>6720000</v>
      </c>
      <c r="I255" s="55"/>
      <c r="J255" s="55"/>
      <c r="K255" s="55"/>
      <c r="L255" s="55"/>
      <c r="M255" s="55"/>
      <c r="N255" s="55">
        <f>+H255+L255</f>
        <v>6720000</v>
      </c>
      <c r="O255" s="55">
        <v>0</v>
      </c>
      <c r="P255" s="55"/>
      <c r="Q255" s="55"/>
      <c r="R255" s="55">
        <f>+O255+P255</f>
        <v>0</v>
      </c>
      <c r="S255" s="55"/>
      <c r="T255" s="55"/>
      <c r="U255" s="55"/>
      <c r="V255" s="55"/>
      <c r="W255" s="55"/>
      <c r="X255" s="55">
        <f>+R255+V255</f>
        <v>0</v>
      </c>
      <c r="Y255" s="67">
        <f t="shared" si="112"/>
        <v>6720000</v>
      </c>
      <c r="Z255" s="67">
        <f t="shared" si="113"/>
        <v>0</v>
      </c>
      <c r="AA255" s="67">
        <f t="shared" si="114"/>
        <v>6720000</v>
      </c>
      <c r="AB255" s="69">
        <f t="shared" si="115"/>
        <v>0</v>
      </c>
      <c r="BC255" s="4"/>
      <c r="BD255" s="4"/>
      <c r="BE255" s="4"/>
    </row>
    <row r="256" spans="1:106" x14ac:dyDescent="0.25">
      <c r="A256" s="46"/>
      <c r="B256" s="26"/>
      <c r="C256" s="9" t="s">
        <v>62</v>
      </c>
      <c r="D256" s="67">
        <v>6697870</v>
      </c>
      <c r="E256" s="67">
        <v>6697870</v>
      </c>
      <c r="F256" s="68"/>
      <c r="G256" s="68"/>
      <c r="H256" s="67">
        <f>E256+F256</f>
        <v>6697870</v>
      </c>
      <c r="I256" s="68"/>
      <c r="J256" s="68"/>
      <c r="K256" s="68"/>
      <c r="L256" s="67"/>
      <c r="M256" s="67"/>
      <c r="N256" s="67">
        <f>H256+L256</f>
        <v>6697870</v>
      </c>
      <c r="O256" s="67">
        <v>0</v>
      </c>
      <c r="P256" s="68"/>
      <c r="Q256" s="68"/>
      <c r="R256" s="67">
        <f>O256+P256</f>
        <v>0</v>
      </c>
      <c r="S256" s="67"/>
      <c r="T256" s="68"/>
      <c r="U256" s="67"/>
      <c r="V256" s="67"/>
      <c r="W256" s="67"/>
      <c r="X256" s="67">
        <f>R256+V256</f>
        <v>0</v>
      </c>
      <c r="Y256" s="67">
        <f t="shared" si="112"/>
        <v>6697870</v>
      </c>
      <c r="Z256" s="67">
        <f t="shared" si="113"/>
        <v>0</v>
      </c>
      <c r="AA256" s="67">
        <f t="shared" si="114"/>
        <v>6697870</v>
      </c>
      <c r="AB256" s="69">
        <f t="shared" si="115"/>
        <v>0</v>
      </c>
      <c r="BB256" s="4"/>
    </row>
    <row r="257" spans="1:106" x14ac:dyDescent="0.25">
      <c r="A257" s="46"/>
      <c r="B257" s="26"/>
      <c r="C257" s="2" t="s">
        <v>37</v>
      </c>
      <c r="D257" s="67">
        <f>27499179.74-2699156.87</f>
        <v>24800022.869999997</v>
      </c>
      <c r="E257" s="67">
        <v>0</v>
      </c>
      <c r="F257" s="68"/>
      <c r="G257" s="68"/>
      <c r="H257" s="67">
        <f>E257+F257</f>
        <v>0</v>
      </c>
      <c r="I257" s="68"/>
      <c r="J257" s="68"/>
      <c r="K257" s="68"/>
      <c r="L257" s="67"/>
      <c r="M257" s="67"/>
      <c r="N257" s="67">
        <f>H257+L257</f>
        <v>0</v>
      </c>
      <c r="O257" s="67">
        <f>829987.6+413833.35+5502</f>
        <v>1249322.95</v>
      </c>
      <c r="P257" s="68"/>
      <c r="Q257" s="68"/>
      <c r="R257" s="67">
        <f>O257+P257</f>
        <v>1249322.95</v>
      </c>
      <c r="S257" s="67"/>
      <c r="T257" s="68"/>
      <c r="U257" s="68"/>
      <c r="V257" s="67"/>
      <c r="W257" s="67"/>
      <c r="X257" s="67">
        <f>R257+V257</f>
        <v>1249322.95</v>
      </c>
      <c r="Y257" s="67">
        <f t="shared" si="112"/>
        <v>1249322.95</v>
      </c>
      <c r="Z257" s="67">
        <f t="shared" si="113"/>
        <v>23550699.919999998</v>
      </c>
      <c r="AA257" s="67">
        <f t="shared" si="114"/>
        <v>1249322.95</v>
      </c>
      <c r="AB257" s="69">
        <f t="shared" si="115"/>
        <v>23550699.919999998</v>
      </c>
    </row>
    <row r="258" spans="1:106" x14ac:dyDescent="0.25">
      <c r="A258" s="46"/>
      <c r="B258" s="26"/>
      <c r="C258" s="2" t="s">
        <v>39</v>
      </c>
      <c r="D258" s="67">
        <v>5654204.3700000001</v>
      </c>
      <c r="E258" s="67">
        <v>0</v>
      </c>
      <c r="F258" s="68"/>
      <c r="G258" s="68"/>
      <c r="H258" s="67">
        <f>E258+F258</f>
        <v>0</v>
      </c>
      <c r="I258" s="68"/>
      <c r="J258" s="68"/>
      <c r="K258" s="68"/>
      <c r="L258" s="67"/>
      <c r="M258" s="67"/>
      <c r="N258" s="67">
        <f>H258+L258</f>
        <v>0</v>
      </c>
      <c r="O258" s="67">
        <v>0</v>
      </c>
      <c r="P258" s="68"/>
      <c r="Q258" s="68"/>
      <c r="R258" s="67">
        <f>O258+P258</f>
        <v>0</v>
      </c>
      <c r="S258" s="68"/>
      <c r="T258" s="68"/>
      <c r="U258" s="68"/>
      <c r="V258" s="67"/>
      <c r="W258" s="67"/>
      <c r="X258" s="67">
        <f>R258+V258</f>
        <v>0</v>
      </c>
      <c r="Y258" s="67">
        <f t="shared" si="112"/>
        <v>0</v>
      </c>
      <c r="Z258" s="67">
        <f t="shared" si="113"/>
        <v>5654204.3700000001</v>
      </c>
      <c r="AA258" s="67">
        <f t="shared" si="114"/>
        <v>0</v>
      </c>
      <c r="AB258" s="69">
        <f t="shared" si="115"/>
        <v>5654204.3700000001</v>
      </c>
      <c r="BA258" s="4"/>
    </row>
    <row r="259" spans="1:106" ht="15.75" customHeight="1" x14ac:dyDescent="0.25">
      <c r="A259" s="46"/>
      <c r="B259" s="26"/>
      <c r="C259" s="4"/>
      <c r="D259" s="70" t="s">
        <v>40</v>
      </c>
      <c r="E259" s="70" t="s">
        <v>40</v>
      </c>
      <c r="F259" s="70" t="s">
        <v>40</v>
      </c>
      <c r="G259" s="70"/>
      <c r="H259" s="70" t="s">
        <v>40</v>
      </c>
      <c r="I259" s="70" t="s">
        <v>40</v>
      </c>
      <c r="J259" s="70" t="s">
        <v>40</v>
      </c>
      <c r="K259" s="70" t="s">
        <v>40</v>
      </c>
      <c r="L259" s="70" t="s">
        <v>40</v>
      </c>
      <c r="M259" s="70"/>
      <c r="N259" s="70" t="s">
        <v>40</v>
      </c>
      <c r="O259" s="70" t="s">
        <v>40</v>
      </c>
      <c r="P259" s="70" t="s">
        <v>40</v>
      </c>
      <c r="Q259" s="70"/>
      <c r="R259" s="70" t="s">
        <v>40</v>
      </c>
      <c r="S259" s="70" t="s">
        <v>40</v>
      </c>
      <c r="T259" s="70" t="s">
        <v>40</v>
      </c>
      <c r="U259" s="70" t="s">
        <v>40</v>
      </c>
      <c r="V259" s="70" t="s">
        <v>40</v>
      </c>
      <c r="W259" s="70"/>
      <c r="X259" s="70" t="s">
        <v>40</v>
      </c>
      <c r="Y259" s="70" t="s">
        <v>40</v>
      </c>
      <c r="Z259" s="70" t="s">
        <v>40</v>
      </c>
      <c r="AA259" s="70" t="s">
        <v>40</v>
      </c>
      <c r="AB259" s="70" t="s">
        <v>40</v>
      </c>
    </row>
    <row r="260" spans="1:106" x14ac:dyDescent="0.25">
      <c r="A260" s="46"/>
      <c r="B260" s="26"/>
      <c r="C260" s="4"/>
      <c r="D260" s="67">
        <f>SUM(D251:D258)</f>
        <v>149867944.98000002</v>
      </c>
      <c r="E260" s="67">
        <f>SUM(E251:E258)</f>
        <v>41586143</v>
      </c>
      <c r="F260" s="67">
        <f>SUM(F251:F258)</f>
        <v>0</v>
      </c>
      <c r="G260" s="67"/>
      <c r="H260" s="67">
        <f>SUM(H251:H258)</f>
        <v>41586143</v>
      </c>
      <c r="I260" s="67">
        <f>SUM(I251:I258)</f>
        <v>0</v>
      </c>
      <c r="J260" s="67">
        <f>SUM(J251:J258)</f>
        <v>0</v>
      </c>
      <c r="K260" s="67">
        <f>SUM(K251:K258)</f>
        <v>0</v>
      </c>
      <c r="L260" s="67">
        <f>SUM(L251:L258)</f>
        <v>0</v>
      </c>
      <c r="M260" s="67"/>
      <c r="N260" s="67">
        <f>SUM(N251:N258)</f>
        <v>41586143</v>
      </c>
      <c r="O260" s="67">
        <f>SUM(O251:O258)</f>
        <v>9106724.1199999992</v>
      </c>
      <c r="P260" s="67">
        <f>SUM(P251:P258)</f>
        <v>0</v>
      </c>
      <c r="Q260" s="67"/>
      <c r="R260" s="67">
        <f>SUM(R251:R258)</f>
        <v>9106724.1199999992</v>
      </c>
      <c r="S260" s="67">
        <f>SUM(S251:S258)</f>
        <v>0</v>
      </c>
      <c r="T260" s="67">
        <f>SUM(T251:T258)</f>
        <v>0</v>
      </c>
      <c r="U260" s="67">
        <f>SUM(U251:U258)</f>
        <v>0</v>
      </c>
      <c r="V260" s="67">
        <f>SUM(V251:V258)</f>
        <v>0</v>
      </c>
      <c r="W260" s="67"/>
      <c r="X260" s="67">
        <f>SUM(X251:X258)</f>
        <v>9106724.1199999992</v>
      </c>
      <c r="Y260" s="67">
        <f>SUM(Y251:Y258)</f>
        <v>50692867.120000005</v>
      </c>
      <c r="Z260" s="67">
        <f>SUM(Z251:Z258)</f>
        <v>99175077.860000014</v>
      </c>
      <c r="AA260" s="67">
        <f>SUM(AA251:AA258)</f>
        <v>50692867.120000005</v>
      </c>
      <c r="AB260" s="67">
        <f>SUM(AB251:AB258)</f>
        <v>99175077.860000014</v>
      </c>
    </row>
    <row r="261" spans="1:106" ht="16.5" customHeight="1" x14ac:dyDescent="0.25">
      <c r="A261" s="46"/>
      <c r="B261" s="26"/>
      <c r="C261" s="4"/>
      <c r="D261" s="70" t="s">
        <v>40</v>
      </c>
      <c r="E261" s="70" t="s">
        <v>40</v>
      </c>
      <c r="F261" s="70" t="s">
        <v>40</v>
      </c>
      <c r="G261" s="70"/>
      <c r="H261" s="70" t="s">
        <v>40</v>
      </c>
      <c r="I261" s="70" t="s">
        <v>40</v>
      </c>
      <c r="J261" s="70" t="s">
        <v>40</v>
      </c>
      <c r="K261" s="70" t="s">
        <v>40</v>
      </c>
      <c r="L261" s="70" t="s">
        <v>40</v>
      </c>
      <c r="M261" s="70"/>
      <c r="N261" s="70" t="s">
        <v>40</v>
      </c>
      <c r="O261" s="70" t="s">
        <v>40</v>
      </c>
      <c r="P261" s="70" t="s">
        <v>40</v>
      </c>
      <c r="Q261" s="70"/>
      <c r="R261" s="70" t="s">
        <v>40</v>
      </c>
      <c r="S261" s="70" t="s">
        <v>40</v>
      </c>
      <c r="T261" s="70" t="s">
        <v>40</v>
      </c>
      <c r="U261" s="70" t="s">
        <v>40</v>
      </c>
      <c r="V261" s="70" t="s">
        <v>40</v>
      </c>
      <c r="W261" s="70"/>
      <c r="X261" s="70" t="s">
        <v>40</v>
      </c>
      <c r="Y261" s="70" t="s">
        <v>40</v>
      </c>
      <c r="Z261" s="70" t="s">
        <v>40</v>
      </c>
      <c r="AA261" s="70" t="s">
        <v>40</v>
      </c>
      <c r="AB261" s="70" t="s">
        <v>40</v>
      </c>
      <c r="AW261" s="4"/>
      <c r="AX261" s="4"/>
      <c r="AY261" s="4"/>
      <c r="AZ261" s="4"/>
    </row>
    <row r="262" spans="1:106" ht="16.5" thickBot="1" x14ac:dyDescent="0.3">
      <c r="A262" s="46"/>
      <c r="B262" s="26"/>
      <c r="C262" s="4"/>
      <c r="D262" s="148" t="s">
        <v>355</v>
      </c>
      <c r="E262" s="148"/>
      <c r="F262" s="148"/>
      <c r="G262" s="148"/>
      <c r="H262" s="148"/>
      <c r="I262" s="70"/>
      <c r="J262" s="70"/>
      <c r="K262" s="70"/>
      <c r="L262" s="70"/>
      <c r="M262" s="70"/>
      <c r="N262" s="70"/>
      <c r="O262" s="119"/>
      <c r="P262" s="105"/>
      <c r="Q262" s="117"/>
      <c r="R262" s="117"/>
      <c r="S262" s="70"/>
      <c r="T262" s="70"/>
      <c r="U262" s="70"/>
      <c r="W262" s="70"/>
      <c r="X262" s="70"/>
      <c r="Y262" s="70"/>
      <c r="Z262" s="70"/>
      <c r="AA262" s="70"/>
      <c r="AB262" s="70"/>
    </row>
    <row r="263" spans="1:106" ht="16.5" thickTop="1" x14ac:dyDescent="0.25">
      <c r="A263" s="46"/>
      <c r="B263" s="26"/>
      <c r="C263" s="4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U263" s="4"/>
      <c r="AV263" s="4"/>
    </row>
    <row r="264" spans="1:106" ht="40.5" customHeight="1" x14ac:dyDescent="0.25">
      <c r="A264" s="46">
        <v>24</v>
      </c>
      <c r="B264" s="23" t="s">
        <v>68</v>
      </c>
      <c r="C264" s="2" t="s">
        <v>35</v>
      </c>
      <c r="D264" s="67">
        <v>254173.54</v>
      </c>
      <c r="E264" s="67">
        <v>0</v>
      </c>
      <c r="F264" s="68"/>
      <c r="G264" s="68"/>
      <c r="H264" s="67">
        <f>E264+F264</f>
        <v>0</v>
      </c>
      <c r="I264" s="68"/>
      <c r="J264" s="68"/>
      <c r="K264" s="68"/>
      <c r="L264" s="67"/>
      <c r="M264" s="67"/>
      <c r="N264" s="67">
        <f>H264+L264</f>
        <v>0</v>
      </c>
      <c r="O264" s="67">
        <v>0</v>
      </c>
      <c r="P264" s="68"/>
      <c r="Q264" s="68"/>
      <c r="R264" s="67">
        <f>O264+P264</f>
        <v>0</v>
      </c>
      <c r="S264" s="68"/>
      <c r="T264" s="68"/>
      <c r="U264" s="68"/>
      <c r="V264" s="67"/>
      <c r="W264" s="67"/>
      <c r="X264" s="67">
        <f>R264+V264</f>
        <v>0</v>
      </c>
      <c r="Y264" s="67">
        <f>R264+H264</f>
        <v>0</v>
      </c>
      <c r="Z264" s="67">
        <f>D264-Y264</f>
        <v>254173.54</v>
      </c>
      <c r="AA264" s="67">
        <f>N264+X264</f>
        <v>0</v>
      </c>
      <c r="AB264" s="69">
        <f>+D264-N264-X264</f>
        <v>254173.54</v>
      </c>
    </row>
    <row r="265" spans="1:106" x14ac:dyDescent="0.25">
      <c r="C265" s="4" t="s">
        <v>298</v>
      </c>
      <c r="D265" s="55">
        <v>3882200</v>
      </c>
      <c r="E265" s="55">
        <v>3882200</v>
      </c>
      <c r="F265" s="55"/>
      <c r="G265" s="55"/>
      <c r="H265" s="55">
        <f>+E265+F265</f>
        <v>3882200</v>
      </c>
      <c r="I265" s="55"/>
      <c r="J265" s="55"/>
      <c r="K265" s="55"/>
      <c r="L265" s="55"/>
      <c r="M265" s="55"/>
      <c r="N265" s="55">
        <f>+H265+L265</f>
        <v>3882200</v>
      </c>
      <c r="O265" s="55">
        <v>0</v>
      </c>
      <c r="P265" s="55"/>
      <c r="Q265" s="55"/>
      <c r="R265" s="55">
        <f>+O265+P265</f>
        <v>0</v>
      </c>
      <c r="S265" s="55"/>
      <c r="T265" s="55"/>
      <c r="U265" s="55"/>
      <c r="V265" s="55"/>
      <c r="W265" s="55"/>
      <c r="X265" s="55">
        <f>+R265+V265</f>
        <v>0</v>
      </c>
      <c r="Y265" s="67">
        <f>R265+H265</f>
        <v>3882200</v>
      </c>
      <c r="Z265" s="67">
        <f>D265-Y265</f>
        <v>0</v>
      </c>
      <c r="AA265" s="67">
        <f>N265+X265</f>
        <v>3882200</v>
      </c>
      <c r="AB265" s="69">
        <f>+D265-N265-X265</f>
        <v>0</v>
      </c>
      <c r="AT265" s="4"/>
    </row>
    <row r="266" spans="1:106" x14ac:dyDescent="0.25">
      <c r="A266" s="46"/>
      <c r="B266" s="26"/>
      <c r="C266" s="9" t="s">
        <v>62</v>
      </c>
      <c r="D266" s="67">
        <v>2917000</v>
      </c>
      <c r="E266" s="67">
        <v>2917000</v>
      </c>
      <c r="F266" s="68"/>
      <c r="G266" s="68"/>
      <c r="H266" s="67">
        <f>E266+F266</f>
        <v>2917000</v>
      </c>
      <c r="I266" s="68"/>
      <c r="J266" s="68"/>
      <c r="K266" s="68"/>
      <c r="L266" s="67"/>
      <c r="M266" s="67"/>
      <c r="N266" s="67">
        <f>H266+L266</f>
        <v>2917000</v>
      </c>
      <c r="O266" s="67">
        <v>0</v>
      </c>
      <c r="P266" s="68"/>
      <c r="Q266" s="68"/>
      <c r="R266" s="67">
        <f>O266+P266</f>
        <v>0</v>
      </c>
      <c r="S266" s="68"/>
      <c r="T266" s="68"/>
      <c r="U266" s="68"/>
      <c r="V266" s="67"/>
      <c r="W266" s="67"/>
      <c r="X266" s="67">
        <f>R266+V266</f>
        <v>0</v>
      </c>
      <c r="Y266" s="67">
        <f>R266+H266</f>
        <v>2917000</v>
      </c>
      <c r="Z266" s="67">
        <f>D266-Y266</f>
        <v>0</v>
      </c>
      <c r="AA266" s="67">
        <f>N266+X266</f>
        <v>2917000</v>
      </c>
      <c r="AB266" s="69">
        <f>+D266-N266-X266</f>
        <v>0</v>
      </c>
    </row>
    <row r="267" spans="1:106" x14ac:dyDescent="0.25">
      <c r="A267" s="46"/>
      <c r="B267" s="26"/>
      <c r="C267" s="4"/>
      <c r="D267" s="70" t="s">
        <v>40</v>
      </c>
      <c r="E267" s="70" t="s">
        <v>40</v>
      </c>
      <c r="F267" s="70" t="s">
        <v>40</v>
      </c>
      <c r="G267" s="70"/>
      <c r="H267" s="70" t="s">
        <v>40</v>
      </c>
      <c r="I267" s="70" t="s">
        <v>40</v>
      </c>
      <c r="J267" s="70" t="s">
        <v>40</v>
      </c>
      <c r="K267" s="70" t="s">
        <v>40</v>
      </c>
      <c r="L267" s="70" t="s">
        <v>40</v>
      </c>
      <c r="M267" s="70"/>
      <c r="N267" s="70" t="s">
        <v>40</v>
      </c>
      <c r="O267" s="70" t="s">
        <v>40</v>
      </c>
      <c r="P267" s="70" t="s">
        <v>40</v>
      </c>
      <c r="Q267" s="70"/>
      <c r="R267" s="70" t="s">
        <v>40</v>
      </c>
      <c r="S267" s="70" t="s">
        <v>40</v>
      </c>
      <c r="T267" s="70" t="s">
        <v>40</v>
      </c>
      <c r="U267" s="70" t="s">
        <v>40</v>
      </c>
      <c r="V267" s="70" t="s">
        <v>40</v>
      </c>
      <c r="W267" s="70"/>
      <c r="X267" s="70" t="s">
        <v>40</v>
      </c>
      <c r="Y267" s="70" t="s">
        <v>40</v>
      </c>
      <c r="Z267" s="70" t="s">
        <v>40</v>
      </c>
      <c r="AA267" s="70" t="s">
        <v>40</v>
      </c>
      <c r="AB267" s="70" t="s">
        <v>40</v>
      </c>
    </row>
    <row r="268" spans="1:106" x14ac:dyDescent="0.25">
      <c r="A268" s="46"/>
      <c r="B268" s="26"/>
      <c r="C268" s="4"/>
      <c r="D268" s="67">
        <f>SUM(D264:D266)</f>
        <v>7053373.54</v>
      </c>
      <c r="E268" s="67">
        <f t="shared" ref="E268:AB268" si="116">SUM(E264:E266)</f>
        <v>6799200</v>
      </c>
      <c r="F268" s="67">
        <f t="shared" si="116"/>
        <v>0</v>
      </c>
      <c r="G268" s="67"/>
      <c r="H268" s="67">
        <f t="shared" si="116"/>
        <v>6799200</v>
      </c>
      <c r="I268" s="67">
        <f t="shared" si="116"/>
        <v>0</v>
      </c>
      <c r="J268" s="67">
        <f t="shared" si="116"/>
        <v>0</v>
      </c>
      <c r="K268" s="67">
        <f t="shared" si="116"/>
        <v>0</v>
      </c>
      <c r="L268" s="67">
        <f t="shared" si="116"/>
        <v>0</v>
      </c>
      <c r="M268" s="67"/>
      <c r="N268" s="67">
        <f t="shared" si="116"/>
        <v>6799200</v>
      </c>
      <c r="O268" s="67">
        <f t="shared" si="116"/>
        <v>0</v>
      </c>
      <c r="P268" s="67">
        <f t="shared" si="116"/>
        <v>0</v>
      </c>
      <c r="Q268" s="67"/>
      <c r="R268" s="67">
        <f t="shared" si="116"/>
        <v>0</v>
      </c>
      <c r="S268" s="67">
        <f t="shared" si="116"/>
        <v>0</v>
      </c>
      <c r="T268" s="67">
        <f t="shared" si="116"/>
        <v>0</v>
      </c>
      <c r="U268" s="67">
        <f t="shared" si="116"/>
        <v>0</v>
      </c>
      <c r="V268" s="67">
        <f t="shared" si="116"/>
        <v>0</v>
      </c>
      <c r="W268" s="67"/>
      <c r="X268" s="67">
        <f t="shared" si="116"/>
        <v>0</v>
      </c>
      <c r="Y268" s="67">
        <f t="shared" si="116"/>
        <v>6799200</v>
      </c>
      <c r="Z268" s="67">
        <f t="shared" si="116"/>
        <v>254173.54</v>
      </c>
      <c r="AA268" s="67">
        <f t="shared" si="116"/>
        <v>6799200</v>
      </c>
      <c r="AB268" s="67">
        <f t="shared" si="116"/>
        <v>254173.54</v>
      </c>
      <c r="AS268" s="4"/>
    </row>
    <row r="269" spans="1:106" x14ac:dyDescent="0.25">
      <c r="A269" s="46"/>
      <c r="B269" s="26"/>
      <c r="C269" s="4"/>
      <c r="D269" s="70" t="s">
        <v>40</v>
      </c>
      <c r="E269" s="70" t="s">
        <v>40</v>
      </c>
      <c r="F269" s="70" t="s">
        <v>40</v>
      </c>
      <c r="G269" s="70"/>
      <c r="H269" s="70" t="s">
        <v>40</v>
      </c>
      <c r="I269" s="70" t="s">
        <v>40</v>
      </c>
      <c r="J269" s="70" t="s">
        <v>40</v>
      </c>
      <c r="K269" s="70" t="s">
        <v>40</v>
      </c>
      <c r="L269" s="70" t="s">
        <v>40</v>
      </c>
      <c r="M269" s="70"/>
      <c r="N269" s="70" t="s">
        <v>40</v>
      </c>
      <c r="O269" s="70" t="s">
        <v>40</v>
      </c>
      <c r="P269" s="70" t="s">
        <v>40</v>
      </c>
      <c r="Q269" s="70"/>
      <c r="R269" s="70" t="s">
        <v>40</v>
      </c>
      <c r="S269" s="70" t="s">
        <v>40</v>
      </c>
      <c r="T269" s="70" t="s">
        <v>40</v>
      </c>
      <c r="U269" s="70" t="s">
        <v>40</v>
      </c>
      <c r="V269" s="70" t="s">
        <v>40</v>
      </c>
      <c r="W269" s="70"/>
      <c r="X269" s="70" t="s">
        <v>40</v>
      </c>
      <c r="Y269" s="70" t="s">
        <v>40</v>
      </c>
      <c r="Z269" s="70" t="s">
        <v>40</v>
      </c>
      <c r="AA269" s="70" t="s">
        <v>40</v>
      </c>
      <c r="AB269" s="70" t="s">
        <v>40</v>
      </c>
    </row>
    <row r="270" spans="1:106" s="4" customFormat="1" x14ac:dyDescent="0.25">
      <c r="A270" s="46"/>
      <c r="B270" s="26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</row>
    <row r="271" spans="1:106" ht="19.5" x14ac:dyDescent="0.35">
      <c r="A271" s="46">
        <v>25</v>
      </c>
      <c r="B271" s="23" t="s">
        <v>246</v>
      </c>
      <c r="C271" s="4" t="str">
        <f>+C264</f>
        <v>RURAL ELEC.</v>
      </c>
      <c r="D271" s="67">
        <f>9346.03+6372273.4</f>
        <v>6381619.4300000006</v>
      </c>
      <c r="E271" s="67">
        <v>0</v>
      </c>
      <c r="F271" s="68"/>
      <c r="G271" s="68"/>
      <c r="H271" s="67">
        <f>E271+F271</f>
        <v>0</v>
      </c>
      <c r="I271" s="68"/>
      <c r="J271" s="68"/>
      <c r="K271" s="68"/>
      <c r="L271" s="67"/>
      <c r="M271" s="67"/>
      <c r="N271" s="67">
        <f>H271+L271</f>
        <v>0</v>
      </c>
      <c r="O271" s="67">
        <f>6381619.43+307098.4+210246.6</f>
        <v>6898964.4299999997</v>
      </c>
      <c r="P271" s="67"/>
      <c r="Q271" s="67"/>
      <c r="R271" s="67">
        <f>O271+P271</f>
        <v>6898964.4299999997</v>
      </c>
      <c r="S271" s="67">
        <f>916399.84-307098.4-399054.84</f>
        <v>210246.59999999992</v>
      </c>
      <c r="T271" s="68">
        <v>210246.6</v>
      </c>
      <c r="U271" s="67"/>
      <c r="V271" s="67"/>
      <c r="W271" s="67"/>
      <c r="X271" s="67">
        <f>R271+V271</f>
        <v>6898964.4299999997</v>
      </c>
      <c r="Y271" s="67">
        <f>R271+H271</f>
        <v>6898964.4299999997</v>
      </c>
      <c r="Z271" s="67">
        <f>D271-Y271</f>
        <v>-517344.99999999907</v>
      </c>
      <c r="AA271" s="67">
        <f>N271+X271</f>
        <v>6898964.4299999997</v>
      </c>
      <c r="AB271" s="69">
        <f>+D271-N271-X271</f>
        <v>-517344.99999999907</v>
      </c>
      <c r="AC271" s="48" t="s">
        <v>321</v>
      </c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</row>
    <row r="272" spans="1:106" x14ac:dyDescent="0.25">
      <c r="A272" s="46"/>
      <c r="B272" s="26"/>
      <c r="C272" s="3" t="s">
        <v>36</v>
      </c>
      <c r="D272" s="67">
        <v>2708365.92</v>
      </c>
      <c r="E272" s="67">
        <v>2708365.92</v>
      </c>
      <c r="F272" s="68"/>
      <c r="G272" s="68"/>
      <c r="H272" s="67">
        <f>E272+F272</f>
        <v>2708365.92</v>
      </c>
      <c r="I272" s="68"/>
      <c r="J272" s="68"/>
      <c r="K272" s="68"/>
      <c r="L272" s="67"/>
      <c r="M272" s="67"/>
      <c r="N272" s="67">
        <f>H272+L272</f>
        <v>2708365.92</v>
      </c>
      <c r="O272" s="67">
        <v>0</v>
      </c>
      <c r="P272" s="68"/>
      <c r="Q272" s="68"/>
      <c r="R272" s="67">
        <f>O272+P272</f>
        <v>0</v>
      </c>
      <c r="S272" s="67"/>
      <c r="T272" s="68"/>
      <c r="U272" s="67"/>
      <c r="V272" s="67"/>
      <c r="W272" s="67"/>
      <c r="X272" s="67">
        <f>R272+V272</f>
        <v>0</v>
      </c>
      <c r="Y272" s="67">
        <f>R272+H272</f>
        <v>2708365.92</v>
      </c>
      <c r="Z272" s="67">
        <f>D272-Y272</f>
        <v>0</v>
      </c>
      <c r="AA272" s="67">
        <f>N272+X272</f>
        <v>2708365.92</v>
      </c>
      <c r="AB272" s="69">
        <f>+D272-N272-X272</f>
        <v>0</v>
      </c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</row>
    <row r="273" spans="1:106" x14ac:dyDescent="0.25">
      <c r="A273" s="46"/>
      <c r="B273" s="26"/>
      <c r="C273" s="3" t="s">
        <v>65</v>
      </c>
      <c r="D273" s="67">
        <v>49855000</v>
      </c>
      <c r="E273" s="67">
        <v>49855000</v>
      </c>
      <c r="F273" s="68"/>
      <c r="G273" s="68"/>
      <c r="H273" s="67">
        <f>E273+F273</f>
        <v>49855000</v>
      </c>
      <c r="I273" s="68"/>
      <c r="J273" s="68"/>
      <c r="K273" s="68"/>
      <c r="L273" s="67"/>
      <c r="M273" s="67"/>
      <c r="N273" s="67">
        <f>H273+L273</f>
        <v>49855000</v>
      </c>
      <c r="O273" s="67">
        <v>0</v>
      </c>
      <c r="P273" s="68"/>
      <c r="Q273" s="68"/>
      <c r="R273" s="67">
        <f>O273+P273</f>
        <v>0</v>
      </c>
      <c r="S273" s="68"/>
      <c r="T273" s="68"/>
      <c r="U273" s="68"/>
      <c r="V273" s="67"/>
      <c r="W273" s="67"/>
      <c r="X273" s="67">
        <f>R273+V273</f>
        <v>0</v>
      </c>
      <c r="Y273" s="67">
        <f>R273+H273</f>
        <v>49855000</v>
      </c>
      <c r="Z273" s="67">
        <f>D273-Y273</f>
        <v>0</v>
      </c>
      <c r="AA273" s="67">
        <f>N273+X273</f>
        <v>49855000</v>
      </c>
      <c r="AB273" s="69">
        <f>+D273-N273-X273</f>
        <v>0</v>
      </c>
      <c r="BL273" s="4"/>
    </row>
    <row r="274" spans="1:106" s="49" customFormat="1" ht="15" customHeight="1" x14ac:dyDescent="0.25">
      <c r="A274" s="46"/>
      <c r="B274" s="26"/>
      <c r="C274" s="3" t="s">
        <v>54</v>
      </c>
      <c r="D274" s="67">
        <v>10256792.35</v>
      </c>
      <c r="E274" s="67">
        <v>0</v>
      </c>
      <c r="F274" s="68"/>
      <c r="G274" s="68"/>
      <c r="H274" s="67">
        <f>E274+F274</f>
        <v>0</v>
      </c>
      <c r="I274" s="68"/>
      <c r="J274" s="68"/>
      <c r="K274" s="68"/>
      <c r="L274" s="67"/>
      <c r="M274" s="67"/>
      <c r="N274" s="67">
        <f>H274+L274</f>
        <v>0</v>
      </c>
      <c r="O274" s="67">
        <v>10256792.35</v>
      </c>
      <c r="P274" s="67"/>
      <c r="Q274" s="67"/>
      <c r="R274" s="67">
        <f>O274+P274</f>
        <v>10256792.35</v>
      </c>
      <c r="S274" s="67"/>
      <c r="T274" s="68"/>
      <c r="U274" s="67"/>
      <c r="V274" s="67"/>
      <c r="W274" s="67"/>
      <c r="X274" s="67">
        <f>R274+V274</f>
        <v>10256792.35</v>
      </c>
      <c r="Y274" s="67">
        <f>R274+H274</f>
        <v>10256792.35</v>
      </c>
      <c r="Z274" s="67">
        <f>D274-Y274</f>
        <v>0</v>
      </c>
      <c r="AA274" s="67">
        <f>N274+X274</f>
        <v>10256792.35</v>
      </c>
      <c r="AB274" s="69">
        <f>+D274-N274-X274</f>
        <v>0</v>
      </c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 s="4"/>
      <c r="BG274" s="4"/>
      <c r="BH274" s="4"/>
      <c r="BI274" s="4"/>
      <c r="BJ274" s="4"/>
      <c r="BK274" s="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</row>
    <row r="275" spans="1:106" ht="19.5" customHeight="1" x14ac:dyDescent="0.25">
      <c r="A275" s="46"/>
      <c r="B275" s="26"/>
      <c r="C275" s="4"/>
      <c r="D275" s="70" t="s">
        <v>40</v>
      </c>
      <c r="E275" s="70" t="s">
        <v>40</v>
      </c>
      <c r="F275" s="70" t="s">
        <v>40</v>
      </c>
      <c r="G275" s="70"/>
      <c r="H275" s="70" t="s">
        <v>40</v>
      </c>
      <c r="I275" s="70" t="s">
        <v>40</v>
      </c>
      <c r="J275" s="70" t="s">
        <v>40</v>
      </c>
      <c r="K275" s="70" t="s">
        <v>40</v>
      </c>
      <c r="L275" s="70" t="s">
        <v>40</v>
      </c>
      <c r="M275" s="70"/>
      <c r="N275" s="70" t="s">
        <v>40</v>
      </c>
      <c r="O275" s="70" t="s">
        <v>40</v>
      </c>
      <c r="P275" s="70" t="s">
        <v>40</v>
      </c>
      <c r="Q275" s="70"/>
      <c r="R275" s="70" t="s">
        <v>40</v>
      </c>
      <c r="S275" s="70" t="s">
        <v>40</v>
      </c>
      <c r="T275" s="70" t="s">
        <v>40</v>
      </c>
      <c r="U275" s="70" t="s">
        <v>40</v>
      </c>
      <c r="V275" s="70" t="s">
        <v>40</v>
      </c>
      <c r="W275" s="70"/>
      <c r="X275" s="70" t="s">
        <v>40</v>
      </c>
      <c r="Y275" s="70" t="s">
        <v>40</v>
      </c>
      <c r="Z275" s="70" t="s">
        <v>40</v>
      </c>
      <c r="AA275" s="70" t="s">
        <v>40</v>
      </c>
      <c r="AB275" s="70" t="s">
        <v>40</v>
      </c>
      <c r="BC275" s="4"/>
      <c r="BD275" s="4"/>
      <c r="BE275" s="4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</row>
    <row r="276" spans="1:106" ht="15.75" customHeight="1" x14ac:dyDescent="0.25">
      <c r="A276" s="46"/>
      <c r="B276" s="26"/>
      <c r="C276" s="4"/>
      <c r="D276" s="67">
        <f t="shared" ref="D276:AB276" si="117">SUM(D271:D274)</f>
        <v>69201777.700000003</v>
      </c>
      <c r="E276" s="67">
        <f t="shared" si="117"/>
        <v>52563365.920000002</v>
      </c>
      <c r="F276" s="67">
        <f t="shared" si="117"/>
        <v>0</v>
      </c>
      <c r="G276" s="67"/>
      <c r="H276" s="67">
        <f t="shared" si="117"/>
        <v>52563365.920000002</v>
      </c>
      <c r="I276" s="67">
        <f t="shared" si="117"/>
        <v>0</v>
      </c>
      <c r="J276" s="67">
        <f t="shared" si="117"/>
        <v>0</v>
      </c>
      <c r="K276" s="67">
        <f t="shared" si="117"/>
        <v>0</v>
      </c>
      <c r="L276" s="67">
        <f t="shared" si="117"/>
        <v>0</v>
      </c>
      <c r="M276" s="67"/>
      <c r="N276" s="67">
        <f t="shared" si="117"/>
        <v>52563365.920000002</v>
      </c>
      <c r="O276" s="67">
        <f t="shared" si="117"/>
        <v>17155756.780000001</v>
      </c>
      <c r="P276" s="67">
        <f t="shared" si="117"/>
        <v>0</v>
      </c>
      <c r="Q276" s="67"/>
      <c r="R276" s="67">
        <f t="shared" si="117"/>
        <v>17155756.780000001</v>
      </c>
      <c r="S276" s="67">
        <f t="shared" si="117"/>
        <v>210246.59999999992</v>
      </c>
      <c r="T276" s="67">
        <f t="shared" si="117"/>
        <v>210246.6</v>
      </c>
      <c r="U276" s="67">
        <f t="shared" si="117"/>
        <v>0</v>
      </c>
      <c r="V276" s="67">
        <f t="shared" si="117"/>
        <v>0</v>
      </c>
      <c r="W276" s="67"/>
      <c r="X276" s="67">
        <f t="shared" si="117"/>
        <v>17155756.780000001</v>
      </c>
      <c r="Y276" s="67">
        <f t="shared" si="117"/>
        <v>69719122.700000003</v>
      </c>
      <c r="Z276" s="67">
        <f t="shared" si="117"/>
        <v>-517344.99999999907</v>
      </c>
      <c r="AA276" s="67">
        <f t="shared" si="117"/>
        <v>69719122.700000003</v>
      </c>
      <c r="AB276" s="67">
        <f t="shared" si="117"/>
        <v>-517344.99999999907</v>
      </c>
      <c r="BB276" s="4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</row>
    <row r="277" spans="1:106" ht="17.25" customHeight="1" x14ac:dyDescent="0.25">
      <c r="A277" s="46"/>
      <c r="B277" s="26"/>
      <c r="C277" s="4"/>
      <c r="D277" s="70" t="s">
        <v>40</v>
      </c>
      <c r="E277" s="70" t="s">
        <v>40</v>
      </c>
      <c r="F277" s="70" t="s">
        <v>40</v>
      </c>
      <c r="G277" s="70"/>
      <c r="H277" s="70" t="s">
        <v>40</v>
      </c>
      <c r="I277" s="70" t="s">
        <v>40</v>
      </c>
      <c r="J277" s="70" t="s">
        <v>40</v>
      </c>
      <c r="K277" s="70" t="s">
        <v>40</v>
      </c>
      <c r="L277" s="70" t="s">
        <v>40</v>
      </c>
      <c r="M277" s="70"/>
      <c r="N277" s="70" t="s">
        <v>40</v>
      </c>
      <c r="O277" s="70" t="s">
        <v>40</v>
      </c>
      <c r="P277" s="70" t="s">
        <v>40</v>
      </c>
      <c r="Q277" s="70"/>
      <c r="R277" s="70" t="s">
        <v>40</v>
      </c>
      <c r="S277" s="70" t="s">
        <v>40</v>
      </c>
      <c r="T277" s="70" t="s">
        <v>40</v>
      </c>
      <c r="U277" s="70" t="s">
        <v>40</v>
      </c>
      <c r="V277" s="70" t="s">
        <v>40</v>
      </c>
      <c r="W277" s="70"/>
      <c r="X277" s="70" t="s">
        <v>40</v>
      </c>
      <c r="Y277" s="70" t="s">
        <v>40</v>
      </c>
      <c r="Z277" s="70" t="s">
        <v>40</v>
      </c>
      <c r="AA277" s="70" t="s">
        <v>40</v>
      </c>
      <c r="AB277" s="70" t="s">
        <v>40</v>
      </c>
      <c r="BL277" s="49"/>
    </row>
    <row r="278" spans="1:106" ht="15.75" customHeight="1" thickBot="1" x14ac:dyDescent="0.3">
      <c r="A278" s="46"/>
      <c r="B278" s="26"/>
      <c r="C278" s="4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Z278" s="147" t="s">
        <v>326</v>
      </c>
      <c r="AA278" s="70"/>
      <c r="AB278" s="70"/>
      <c r="BA278" s="4"/>
      <c r="BF278" s="49"/>
      <c r="BG278" s="49"/>
      <c r="BH278" s="49"/>
      <c r="BI278" s="49"/>
      <c r="BJ278" s="49"/>
      <c r="BK278" s="49"/>
    </row>
    <row r="279" spans="1:106" ht="15.75" customHeight="1" thickTop="1" x14ac:dyDescent="0.25">
      <c r="BC279" s="49"/>
      <c r="BD279" s="49"/>
      <c r="BE279" s="49"/>
    </row>
    <row r="280" spans="1:106" x14ac:dyDescent="0.25">
      <c r="A280" s="46">
        <v>26</v>
      </c>
      <c r="B280" s="23" t="s">
        <v>325</v>
      </c>
      <c r="C280" s="2" t="s">
        <v>35</v>
      </c>
      <c r="D280" s="67">
        <f>44322892.05-3024977.75-4816155.25</f>
        <v>36481759.049999997</v>
      </c>
      <c r="E280" s="67">
        <v>0</v>
      </c>
      <c r="F280" s="68"/>
      <c r="G280" s="68"/>
      <c r="H280" s="67">
        <f>E280+F280</f>
        <v>0</v>
      </c>
      <c r="I280" s="68"/>
      <c r="J280" s="68"/>
      <c r="K280" s="68"/>
      <c r="L280" s="67"/>
      <c r="M280" s="67"/>
      <c r="N280" s="67">
        <f>H280+L280</f>
        <v>0</v>
      </c>
      <c r="O280" s="67">
        <v>0</v>
      </c>
      <c r="P280" s="68"/>
      <c r="Q280" s="68"/>
      <c r="R280" s="67">
        <f>O280+P280</f>
        <v>0</v>
      </c>
      <c r="S280" s="68"/>
      <c r="T280" s="68"/>
      <c r="U280" s="68"/>
      <c r="V280" s="67"/>
      <c r="W280" s="67"/>
      <c r="X280" s="67">
        <f>R280+V280</f>
        <v>0</v>
      </c>
      <c r="Y280" s="67">
        <f>R280+H280</f>
        <v>0</v>
      </c>
      <c r="Z280" s="67">
        <f>D280-Y280</f>
        <v>36481759.049999997</v>
      </c>
      <c r="AA280" s="67">
        <f>N280+X280</f>
        <v>0</v>
      </c>
      <c r="AB280" s="69">
        <f>+D280-N280-X280</f>
        <v>36481759.049999997</v>
      </c>
      <c r="BB280" s="49"/>
    </row>
    <row r="281" spans="1:106" ht="15.75" customHeight="1" x14ac:dyDescent="0.25">
      <c r="A281" s="46"/>
      <c r="B281" s="26"/>
      <c r="C281" s="3" t="s">
        <v>36</v>
      </c>
      <c r="D281" s="67">
        <v>1244396.24</v>
      </c>
      <c r="E281" s="67">
        <v>1244396.24</v>
      </c>
      <c r="F281" s="68"/>
      <c r="G281" s="68"/>
      <c r="H281" s="67">
        <f>E281+F281</f>
        <v>1244396.24</v>
      </c>
      <c r="I281" s="68"/>
      <c r="J281" s="68"/>
      <c r="K281" s="68"/>
      <c r="L281" s="67"/>
      <c r="M281" s="67"/>
      <c r="N281" s="67">
        <f>H281+L281</f>
        <v>1244396.24</v>
      </c>
      <c r="O281" s="67">
        <v>0</v>
      </c>
      <c r="P281" s="68"/>
      <c r="Q281" s="68"/>
      <c r="R281" s="67">
        <f>O281+P281</f>
        <v>0</v>
      </c>
      <c r="S281" s="68"/>
      <c r="T281" s="68"/>
      <c r="U281" s="68"/>
      <c r="V281" s="67"/>
      <c r="W281" s="67"/>
      <c r="X281" s="67">
        <f>R281+V281</f>
        <v>0</v>
      </c>
      <c r="Y281" s="67">
        <f>R281+H281</f>
        <v>1244396.24</v>
      </c>
      <c r="Z281" s="67">
        <f>D281-Y281</f>
        <v>0</v>
      </c>
      <c r="AA281" s="67">
        <f>N281+X281</f>
        <v>1244396.24</v>
      </c>
      <c r="AB281" s="69">
        <f>+D281-N281-X281</f>
        <v>0</v>
      </c>
    </row>
    <row r="282" spans="1:106" ht="15.75" customHeight="1" x14ac:dyDescent="0.25">
      <c r="A282" s="4"/>
      <c r="B282" s="4"/>
      <c r="C282" s="22" t="s">
        <v>304</v>
      </c>
      <c r="D282" s="55">
        <v>20000000</v>
      </c>
      <c r="E282" s="55">
        <v>20000000</v>
      </c>
      <c r="F282" s="55"/>
      <c r="G282" s="55"/>
      <c r="H282" s="55">
        <f>+E282+F282</f>
        <v>20000000</v>
      </c>
      <c r="I282" s="55"/>
      <c r="J282" s="55"/>
      <c r="K282" s="55"/>
      <c r="L282" s="55"/>
      <c r="M282" s="55"/>
      <c r="N282" s="55">
        <f>+H282+L282</f>
        <v>20000000</v>
      </c>
      <c r="O282" s="55">
        <v>0</v>
      </c>
      <c r="P282" s="55"/>
      <c r="Q282" s="55"/>
      <c r="R282" s="55">
        <f>+O282+P282</f>
        <v>0</v>
      </c>
      <c r="S282" s="55"/>
      <c r="T282" s="55"/>
      <c r="U282" s="55"/>
      <c r="V282" s="55"/>
      <c r="W282" s="55"/>
      <c r="X282" s="55">
        <f>+R282+V282</f>
        <v>0</v>
      </c>
      <c r="Y282" s="67">
        <f>R282+H282</f>
        <v>20000000</v>
      </c>
      <c r="Z282" s="67">
        <f>D282-Y282</f>
        <v>0</v>
      </c>
      <c r="AA282" s="67">
        <f>N282+X282</f>
        <v>20000000</v>
      </c>
      <c r="AB282" s="69">
        <f>+D282-N282-X282</f>
        <v>0</v>
      </c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Z282" s="4"/>
      <c r="BA282" s="49"/>
    </row>
    <row r="283" spans="1:106" ht="15.75" customHeight="1" x14ac:dyDescent="0.25">
      <c r="C283" s="4" t="s">
        <v>317</v>
      </c>
      <c r="D283" s="55">
        <f>3024977.75+4816155.25</f>
        <v>7841133</v>
      </c>
      <c r="E283" s="55">
        <f>3024977.75+4816155.25</f>
        <v>7841133</v>
      </c>
      <c r="F283" s="55"/>
      <c r="G283" s="55"/>
      <c r="H283" s="55">
        <f>+E283+F283</f>
        <v>7841133</v>
      </c>
      <c r="I283" s="55"/>
      <c r="J283" s="55"/>
      <c r="K283" s="55"/>
      <c r="L283" s="55"/>
      <c r="M283" s="55"/>
      <c r="N283" s="55">
        <f>+H283+L283</f>
        <v>7841133</v>
      </c>
      <c r="O283" s="55">
        <v>0</v>
      </c>
      <c r="P283" s="55"/>
      <c r="Q283" s="55"/>
      <c r="R283" s="55">
        <f>+O283+P283</f>
        <v>0</v>
      </c>
      <c r="S283" s="55"/>
      <c r="T283" s="55"/>
      <c r="U283" s="55"/>
      <c r="V283" s="55"/>
      <c r="W283" s="55"/>
      <c r="X283" s="55">
        <f>+R283+V283</f>
        <v>0</v>
      </c>
      <c r="Y283" s="67">
        <f>R283+H283</f>
        <v>7841133</v>
      </c>
      <c r="Z283" s="67">
        <f>D283-Y283</f>
        <v>0</v>
      </c>
      <c r="AA283" s="67">
        <f>N283+X283</f>
        <v>7841133</v>
      </c>
      <c r="AB283" s="69">
        <f>+D283-N283-X283</f>
        <v>0</v>
      </c>
      <c r="AY283" s="4"/>
    </row>
    <row r="284" spans="1:106" s="4" customFormat="1" ht="14.25" customHeight="1" x14ac:dyDescent="0.25">
      <c r="A284"/>
      <c r="B284"/>
      <c r="C284" s="4" t="s">
        <v>290</v>
      </c>
      <c r="D284" s="55">
        <f>30000000+30000000+30000000+30000000+30000000+30000000+30000000+30000000+30000000+10000000+13160933.16</f>
        <v>293160933.16000003</v>
      </c>
      <c r="E284" s="55">
        <f>30000000+30000000+30000000+30000000+30000000+30000000+30000000+30000000+30000000+10000000</f>
        <v>280000000</v>
      </c>
      <c r="F284" s="55">
        <v>13160933.16</v>
      </c>
      <c r="G284" s="55"/>
      <c r="H284" s="55">
        <f>+E284+F284</f>
        <v>293160933.16000003</v>
      </c>
      <c r="I284" s="55"/>
      <c r="J284" s="55"/>
      <c r="K284" s="55"/>
      <c r="L284" s="55"/>
      <c r="M284" s="55"/>
      <c r="N284" s="55">
        <f>+H284+L284</f>
        <v>293160933.16000003</v>
      </c>
      <c r="O284" s="55">
        <v>0</v>
      </c>
      <c r="P284" s="55"/>
      <c r="Q284" s="55"/>
      <c r="R284" s="55">
        <f>+O284+P284</f>
        <v>0</v>
      </c>
      <c r="S284" s="55"/>
      <c r="T284" s="55"/>
      <c r="U284" s="55"/>
      <c r="V284" s="55"/>
      <c r="W284" s="55"/>
      <c r="X284" s="55">
        <f>+R284+V284</f>
        <v>0</v>
      </c>
      <c r="Y284" s="67">
        <f t="shared" ref="Y284:Y289" si="118">R284+H284</f>
        <v>293160933.16000003</v>
      </c>
      <c r="Z284" s="67">
        <f t="shared" ref="Z284:Z289" si="119">D284-Y284</f>
        <v>0</v>
      </c>
      <c r="AA284" s="67">
        <f t="shared" ref="AA284:AA289" si="120">N284+X284</f>
        <v>293160933.16000003</v>
      </c>
      <c r="AB284" s="69">
        <f t="shared" ref="AB284:AB289" si="121">+D284-N284-X284</f>
        <v>0</v>
      </c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</row>
    <row r="285" spans="1:106" ht="16.5" customHeight="1" x14ac:dyDescent="0.25">
      <c r="A285" s="46"/>
      <c r="B285" s="26"/>
      <c r="C285" s="3" t="s">
        <v>44</v>
      </c>
      <c r="D285" s="67">
        <v>32258000</v>
      </c>
      <c r="E285" s="67">
        <v>32258000</v>
      </c>
      <c r="F285" s="68"/>
      <c r="G285" s="68"/>
      <c r="H285" s="67">
        <f>E285+F285</f>
        <v>32258000</v>
      </c>
      <c r="I285" s="68"/>
      <c r="J285" s="68"/>
      <c r="K285" s="68"/>
      <c r="L285" s="67"/>
      <c r="M285" s="67"/>
      <c r="N285" s="67">
        <f>H285+L285</f>
        <v>32258000</v>
      </c>
      <c r="O285" s="67">
        <v>0</v>
      </c>
      <c r="P285" s="68"/>
      <c r="Q285" s="68"/>
      <c r="R285" s="67">
        <f>O285+P285</f>
        <v>0</v>
      </c>
      <c r="S285" s="68"/>
      <c r="T285" s="68"/>
      <c r="U285" s="68"/>
      <c r="V285" s="67"/>
      <c r="W285" s="67"/>
      <c r="X285" s="67">
        <f>R285+V285</f>
        <v>0</v>
      </c>
      <c r="Y285" s="67">
        <f t="shared" si="118"/>
        <v>32258000</v>
      </c>
      <c r="Z285" s="67">
        <f t="shared" si="119"/>
        <v>0</v>
      </c>
      <c r="AA285" s="67">
        <f t="shared" si="120"/>
        <v>32258000</v>
      </c>
      <c r="AB285" s="69">
        <f t="shared" si="121"/>
        <v>0</v>
      </c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</row>
    <row r="286" spans="1:106" ht="15" customHeight="1" x14ac:dyDescent="0.25">
      <c r="A286" s="46"/>
      <c r="B286" s="26"/>
      <c r="C286" s="3" t="s">
        <v>48</v>
      </c>
      <c r="D286" s="67">
        <v>966136.01</v>
      </c>
      <c r="E286" s="67">
        <v>966136.01</v>
      </c>
      <c r="F286" s="68"/>
      <c r="G286" s="68"/>
      <c r="H286" s="67">
        <f>E286+F286</f>
        <v>966136.01</v>
      </c>
      <c r="I286" s="68"/>
      <c r="J286" s="68"/>
      <c r="K286" s="68"/>
      <c r="L286" s="67"/>
      <c r="M286" s="67"/>
      <c r="N286" s="67">
        <f>H286+L286</f>
        <v>966136.01</v>
      </c>
      <c r="O286" s="67">
        <v>0</v>
      </c>
      <c r="P286" s="68"/>
      <c r="Q286" s="68"/>
      <c r="R286" s="67">
        <f>O286+P286</f>
        <v>0</v>
      </c>
      <c r="S286" s="68"/>
      <c r="T286" s="68"/>
      <c r="U286" s="68"/>
      <c r="V286" s="67"/>
      <c r="W286" s="67"/>
      <c r="X286" s="67">
        <f>R286+V286</f>
        <v>0</v>
      </c>
      <c r="Y286" s="67">
        <f t="shared" si="118"/>
        <v>966136.01</v>
      </c>
      <c r="Z286" s="67">
        <f t="shared" si="119"/>
        <v>0</v>
      </c>
      <c r="AA286" s="67">
        <f t="shared" si="120"/>
        <v>966136.01</v>
      </c>
      <c r="AB286" s="69">
        <f t="shared" si="121"/>
        <v>0</v>
      </c>
      <c r="AU286" s="4"/>
      <c r="AV286" s="4"/>
      <c r="AY286" s="49"/>
      <c r="AZ286" s="49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</row>
    <row r="287" spans="1:106" ht="15.75" customHeight="1" x14ac:dyDescent="0.25">
      <c r="A287" s="46"/>
      <c r="B287" s="26"/>
      <c r="C287" s="2" t="s">
        <v>53</v>
      </c>
      <c r="D287" s="67">
        <f>51080910.92+1019932.5+4379740.63</f>
        <v>56480584.050000004</v>
      </c>
      <c r="E287" s="67">
        <v>0</v>
      </c>
      <c r="F287" s="68"/>
      <c r="G287" s="68"/>
      <c r="H287" s="67">
        <f>E287+F287</f>
        <v>0</v>
      </c>
      <c r="I287" s="68"/>
      <c r="J287" s="68"/>
      <c r="K287" s="68"/>
      <c r="L287" s="67"/>
      <c r="M287" s="67"/>
      <c r="N287" s="67">
        <f>H287+L287</f>
        <v>0</v>
      </c>
      <c r="O287" s="67">
        <f>3123881.9+17566973.03+4379740.63</f>
        <v>25070595.559999999</v>
      </c>
      <c r="P287" s="68"/>
      <c r="Q287" s="68"/>
      <c r="R287" s="67">
        <f>O287+P287</f>
        <v>25070595.559999999</v>
      </c>
      <c r="S287" s="68"/>
      <c r="T287" s="68"/>
      <c r="U287" s="68"/>
      <c r="V287" s="67"/>
      <c r="W287" s="67"/>
      <c r="X287" s="67">
        <f>R287+V287</f>
        <v>25070595.559999999</v>
      </c>
      <c r="Y287" s="67">
        <f t="shared" si="118"/>
        <v>25070595.559999999</v>
      </c>
      <c r="Z287" s="67">
        <f t="shared" si="119"/>
        <v>31409988.490000006</v>
      </c>
      <c r="AA287" s="67">
        <f t="shared" si="120"/>
        <v>25070595.559999999</v>
      </c>
      <c r="AB287" s="69">
        <f t="shared" si="121"/>
        <v>31409988.490000006</v>
      </c>
      <c r="AW287" s="49"/>
      <c r="AX287" s="49"/>
      <c r="BL287" s="4"/>
    </row>
    <row r="288" spans="1:106" x14ac:dyDescent="0.25">
      <c r="A288" s="46"/>
      <c r="B288" s="26"/>
      <c r="C288" s="2" t="s">
        <v>54</v>
      </c>
      <c r="D288" s="67">
        <f>11247164.13+4549465.67</f>
        <v>15796629.800000001</v>
      </c>
      <c r="E288" s="67">
        <v>0</v>
      </c>
      <c r="F288" s="68"/>
      <c r="G288" s="68"/>
      <c r="H288" s="67">
        <f>E288+F288</f>
        <v>0</v>
      </c>
      <c r="I288" s="68"/>
      <c r="J288" s="68"/>
      <c r="K288" s="68"/>
      <c r="L288" s="67"/>
      <c r="M288" s="67"/>
      <c r="N288" s="67">
        <f>H288+L288</f>
        <v>0</v>
      </c>
      <c r="O288" s="67">
        <v>15796629.800000001</v>
      </c>
      <c r="P288" s="67"/>
      <c r="Q288" s="67"/>
      <c r="R288" s="67">
        <f>O288+P288</f>
        <v>15796629.800000001</v>
      </c>
      <c r="S288" s="68"/>
      <c r="T288" s="68"/>
      <c r="U288" s="68"/>
      <c r="V288" s="67"/>
      <c r="W288" s="67"/>
      <c r="X288" s="67">
        <f>R288+V288</f>
        <v>15796629.800000001</v>
      </c>
      <c r="Y288" s="67">
        <f t="shared" si="118"/>
        <v>15796629.800000001</v>
      </c>
      <c r="Z288" s="67">
        <f t="shared" si="119"/>
        <v>0</v>
      </c>
      <c r="AA288" s="67">
        <f t="shared" si="120"/>
        <v>15796629.800000001</v>
      </c>
      <c r="AB288" s="69">
        <f t="shared" si="121"/>
        <v>0</v>
      </c>
      <c r="AT288" s="4"/>
      <c r="BF288" s="4"/>
      <c r="BG288" s="4"/>
      <c r="BH288" s="4"/>
      <c r="BI288" s="4"/>
      <c r="BJ288" s="4"/>
      <c r="BK288" s="4"/>
    </row>
    <row r="289" spans="1:106" ht="15.75" customHeight="1" x14ac:dyDescent="0.25">
      <c r="A289" s="46"/>
      <c r="B289" s="26"/>
      <c r="C289" s="2" t="s">
        <v>143</v>
      </c>
      <c r="D289" s="67">
        <v>837838.57</v>
      </c>
      <c r="E289" s="67">
        <v>837838.57</v>
      </c>
      <c r="F289" s="68"/>
      <c r="G289" s="68"/>
      <c r="H289" s="67">
        <f>E289+F289</f>
        <v>837838.57</v>
      </c>
      <c r="I289" s="68"/>
      <c r="J289" s="68"/>
      <c r="K289" s="68"/>
      <c r="L289" s="67"/>
      <c r="M289" s="67"/>
      <c r="N289" s="67">
        <f>H289+L289</f>
        <v>837838.57</v>
      </c>
      <c r="O289" s="67">
        <v>0</v>
      </c>
      <c r="P289" s="67"/>
      <c r="Q289" s="67"/>
      <c r="R289" s="67">
        <f>O289+P289</f>
        <v>0</v>
      </c>
      <c r="S289" s="68"/>
      <c r="T289" s="68"/>
      <c r="U289" s="68"/>
      <c r="V289" s="67"/>
      <c r="W289" s="67"/>
      <c r="X289" s="67">
        <f>R289+V289</f>
        <v>0</v>
      </c>
      <c r="Y289" s="67">
        <f t="shared" si="118"/>
        <v>837838.57</v>
      </c>
      <c r="Z289" s="67">
        <f t="shared" si="119"/>
        <v>0</v>
      </c>
      <c r="AA289" s="67">
        <f t="shared" si="120"/>
        <v>837838.57</v>
      </c>
      <c r="AB289" s="69">
        <f t="shared" si="121"/>
        <v>0</v>
      </c>
      <c r="AU289" s="49"/>
      <c r="AV289" s="49"/>
      <c r="BC289" s="4"/>
      <c r="BD289" s="4"/>
      <c r="BE289" s="4"/>
    </row>
    <row r="290" spans="1:106" ht="15.75" customHeight="1" x14ac:dyDescent="0.25">
      <c r="A290" s="46"/>
      <c r="B290" s="26"/>
      <c r="C290" s="4"/>
      <c r="D290" s="70" t="s">
        <v>40</v>
      </c>
      <c r="E290" s="70" t="s">
        <v>40</v>
      </c>
      <c r="F290" s="70" t="s">
        <v>40</v>
      </c>
      <c r="G290" s="70"/>
      <c r="H290" s="70" t="s">
        <v>40</v>
      </c>
      <c r="I290" s="70" t="s">
        <v>40</v>
      </c>
      <c r="J290" s="70" t="s">
        <v>40</v>
      </c>
      <c r="K290" s="70" t="s">
        <v>40</v>
      </c>
      <c r="L290" s="70" t="s">
        <v>40</v>
      </c>
      <c r="M290" s="70"/>
      <c r="N290" s="70" t="s">
        <v>40</v>
      </c>
      <c r="O290" s="70" t="s">
        <v>40</v>
      </c>
      <c r="P290" s="70" t="s">
        <v>40</v>
      </c>
      <c r="Q290" s="70"/>
      <c r="R290" s="70" t="s">
        <v>40</v>
      </c>
      <c r="S290" s="70" t="s">
        <v>40</v>
      </c>
      <c r="T290" s="70" t="s">
        <v>40</v>
      </c>
      <c r="U290" s="70" t="s">
        <v>40</v>
      </c>
      <c r="V290" s="70" t="s">
        <v>40</v>
      </c>
      <c r="W290" s="70"/>
      <c r="X290" s="70" t="s">
        <v>40</v>
      </c>
      <c r="Y290" s="70" t="s">
        <v>40</v>
      </c>
      <c r="Z290" s="70" t="s">
        <v>40</v>
      </c>
      <c r="AA290" s="70" t="s">
        <v>40</v>
      </c>
      <c r="AB290" s="70" t="s">
        <v>40</v>
      </c>
      <c r="BB290" s="4"/>
    </row>
    <row r="291" spans="1:106" ht="16.5" customHeight="1" x14ac:dyDescent="0.25">
      <c r="A291" s="46"/>
      <c r="B291" s="26"/>
      <c r="C291" s="4"/>
      <c r="D291" s="67">
        <f>SUM(D280:D289)</f>
        <v>465067409.88000005</v>
      </c>
      <c r="E291" s="67">
        <f>SUM(E280:E289)</f>
        <v>343147503.81999999</v>
      </c>
      <c r="F291" s="67">
        <f>SUM(F280:F289)</f>
        <v>13160933.16</v>
      </c>
      <c r="G291" s="67"/>
      <c r="H291" s="67">
        <f>SUM(H280:H289)</f>
        <v>356308436.98000002</v>
      </c>
      <c r="I291" s="67">
        <f>SUM(I280:I289)</f>
        <v>0</v>
      </c>
      <c r="J291" s="67">
        <f>SUM(J280:J289)</f>
        <v>0</v>
      </c>
      <c r="K291" s="67">
        <f>SUM(K280:K289)</f>
        <v>0</v>
      </c>
      <c r="L291" s="67">
        <f>SUM(L280:L289)</f>
        <v>0</v>
      </c>
      <c r="M291" s="67"/>
      <c r="N291" s="67">
        <f>SUM(N280:N289)</f>
        <v>356308436.98000002</v>
      </c>
      <c r="O291" s="67">
        <f>SUM(O280:O289)</f>
        <v>40867225.359999999</v>
      </c>
      <c r="P291" s="67">
        <f>SUM(P280:P289)</f>
        <v>0</v>
      </c>
      <c r="Q291" s="67"/>
      <c r="R291" s="67">
        <f>SUM(R280:R289)</f>
        <v>40867225.359999999</v>
      </c>
      <c r="S291" s="67">
        <f>SUM(S280:S289)</f>
        <v>0</v>
      </c>
      <c r="T291" s="67">
        <f>SUM(T280:T289)</f>
        <v>0</v>
      </c>
      <c r="U291" s="67">
        <f>SUM(U280:U289)</f>
        <v>0</v>
      </c>
      <c r="V291" s="67">
        <f>SUM(V280:V289)</f>
        <v>0</v>
      </c>
      <c r="W291" s="67"/>
      <c r="X291" s="67">
        <f>SUM(X280:X289)</f>
        <v>40867225.359999999</v>
      </c>
      <c r="Y291" s="67">
        <f>SUM(Y280:Y289)</f>
        <v>397175662.34000003</v>
      </c>
      <c r="Z291" s="67">
        <f>SUM(Z280:Z289)</f>
        <v>67891747.540000007</v>
      </c>
      <c r="AA291" s="67">
        <f>SUM(AA280:AA289)</f>
        <v>397175662.34000003</v>
      </c>
      <c r="AB291" s="67">
        <f>SUM(AB280:AB289)</f>
        <v>67891747.540000007</v>
      </c>
      <c r="AT291" s="49"/>
    </row>
    <row r="292" spans="1:106" s="4" customFormat="1" x14ac:dyDescent="0.25">
      <c r="A292" s="46"/>
      <c r="B292" s="26"/>
      <c r="D292" s="70" t="s">
        <v>40</v>
      </c>
      <c r="E292" s="70" t="s">
        <v>40</v>
      </c>
      <c r="F292" s="70" t="s">
        <v>40</v>
      </c>
      <c r="G292" s="70"/>
      <c r="H292" s="70" t="s">
        <v>40</v>
      </c>
      <c r="I292" s="70" t="s">
        <v>40</v>
      </c>
      <c r="J292" s="70" t="s">
        <v>40</v>
      </c>
      <c r="K292" s="70" t="s">
        <v>40</v>
      </c>
      <c r="L292" s="70" t="s">
        <v>40</v>
      </c>
      <c r="M292" s="70"/>
      <c r="N292" s="70" t="s">
        <v>40</v>
      </c>
      <c r="O292" s="70" t="s">
        <v>40</v>
      </c>
      <c r="P292" s="70" t="s">
        <v>40</v>
      </c>
      <c r="Q292" s="70"/>
      <c r="R292" s="70" t="s">
        <v>40</v>
      </c>
      <c r="S292" s="70" t="s">
        <v>40</v>
      </c>
      <c r="T292" s="70" t="s">
        <v>40</v>
      </c>
      <c r="U292" s="70" t="s">
        <v>40</v>
      </c>
      <c r="V292" s="70" t="s">
        <v>40</v>
      </c>
      <c r="W292" s="70"/>
      <c r="X292" s="70" t="s">
        <v>40</v>
      </c>
      <c r="Y292" s="70" t="s">
        <v>40</v>
      </c>
      <c r="Z292" s="70" t="s">
        <v>40</v>
      </c>
      <c r="AA292" s="70" t="s">
        <v>40</v>
      </c>
      <c r="AB292" s="70" t="s">
        <v>40</v>
      </c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T292"/>
      <c r="AU292"/>
      <c r="AV292"/>
      <c r="AW292"/>
      <c r="AX292"/>
      <c r="AY292"/>
      <c r="AZ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</row>
    <row r="293" spans="1:106" ht="15.75" customHeight="1" x14ac:dyDescent="0.25">
      <c r="A293" s="46"/>
      <c r="B293" s="26"/>
      <c r="C293" s="4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</row>
    <row r="294" spans="1:106" ht="15.75" customHeight="1" x14ac:dyDescent="0.25">
      <c r="A294" s="46">
        <v>27</v>
      </c>
      <c r="B294" s="23" t="s">
        <v>69</v>
      </c>
      <c r="C294" s="2" t="s">
        <v>35</v>
      </c>
      <c r="D294" s="67">
        <v>26635000</v>
      </c>
      <c r="E294" s="67">
        <v>0</v>
      </c>
      <c r="F294" s="68"/>
      <c r="G294" s="68"/>
      <c r="H294" s="67">
        <f>E294+F294</f>
        <v>0</v>
      </c>
      <c r="I294" s="68"/>
      <c r="J294" s="68"/>
      <c r="K294" s="68"/>
      <c r="L294" s="67"/>
      <c r="M294" s="67"/>
      <c r="N294" s="67">
        <f>H294+L294</f>
        <v>0</v>
      </c>
      <c r="O294" s="67">
        <v>0</v>
      </c>
      <c r="P294" s="68"/>
      <c r="Q294" s="68"/>
      <c r="R294" s="67">
        <f>O294+P294</f>
        <v>0</v>
      </c>
      <c r="S294" s="68"/>
      <c r="T294" s="68"/>
      <c r="U294" s="68"/>
      <c r="V294" s="67"/>
      <c r="W294" s="67"/>
      <c r="X294" s="67">
        <f>R294+V294</f>
        <v>0</v>
      </c>
      <c r="Y294" s="67">
        <f>R294+H294</f>
        <v>0</v>
      </c>
      <c r="Z294" s="67">
        <f>D294-Y294</f>
        <v>26635000</v>
      </c>
      <c r="AA294" s="67">
        <f>N294+X294</f>
        <v>0</v>
      </c>
      <c r="AB294" s="69">
        <f>+D294-N294-X294</f>
        <v>26635000</v>
      </c>
      <c r="AR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</row>
    <row r="295" spans="1:106" ht="15.75" customHeight="1" x14ac:dyDescent="0.25">
      <c r="A295" s="46"/>
      <c r="B295" s="26"/>
      <c r="C295" s="2" t="s">
        <v>37</v>
      </c>
      <c r="D295" s="67">
        <v>43698000</v>
      </c>
      <c r="E295" s="67">
        <v>0</v>
      </c>
      <c r="F295" s="68"/>
      <c r="G295" s="68"/>
      <c r="H295" s="67">
        <f>E295+F295</f>
        <v>0</v>
      </c>
      <c r="I295" s="68"/>
      <c r="J295" s="68"/>
      <c r="K295" s="68"/>
      <c r="L295" s="67"/>
      <c r="M295" s="67"/>
      <c r="N295" s="67">
        <f>H295+L295</f>
        <v>0</v>
      </c>
      <c r="O295" s="67">
        <v>0</v>
      </c>
      <c r="P295" s="68"/>
      <c r="Q295" s="68"/>
      <c r="R295" s="67">
        <f>O295+P295</f>
        <v>0</v>
      </c>
      <c r="S295" s="68"/>
      <c r="T295" s="68"/>
      <c r="U295" s="68"/>
      <c r="V295" s="67"/>
      <c r="W295" s="67"/>
      <c r="X295" s="67">
        <f>R295+V295</f>
        <v>0</v>
      </c>
      <c r="Y295" s="67">
        <f>R295+H295</f>
        <v>0</v>
      </c>
      <c r="Z295" s="67">
        <f>D295-Y295</f>
        <v>43698000</v>
      </c>
      <c r="AA295" s="67">
        <f>N295+X295</f>
        <v>0</v>
      </c>
      <c r="AB295" s="69">
        <f>+D295-N295-X295</f>
        <v>43698000</v>
      </c>
      <c r="AS295" s="49"/>
      <c r="BL295" s="4"/>
    </row>
    <row r="296" spans="1:106" ht="15" customHeight="1" x14ac:dyDescent="0.25">
      <c r="A296" s="46"/>
      <c r="B296" s="26"/>
      <c r="C296" s="2" t="s">
        <v>38</v>
      </c>
      <c r="D296" s="67">
        <v>6594000</v>
      </c>
      <c r="E296" s="67">
        <v>0</v>
      </c>
      <c r="F296" s="68"/>
      <c r="G296" s="68"/>
      <c r="H296" s="67">
        <f>E296+F296</f>
        <v>0</v>
      </c>
      <c r="I296" s="68"/>
      <c r="J296" s="68"/>
      <c r="K296" s="68"/>
      <c r="L296" s="67"/>
      <c r="M296" s="67"/>
      <c r="N296" s="67">
        <f>H296+L296</f>
        <v>0</v>
      </c>
      <c r="O296" s="67">
        <v>0</v>
      </c>
      <c r="P296" s="68"/>
      <c r="Q296" s="68"/>
      <c r="R296" s="67">
        <f>O296+P296</f>
        <v>0</v>
      </c>
      <c r="S296" s="68"/>
      <c r="T296" s="68"/>
      <c r="U296" s="68"/>
      <c r="V296" s="67"/>
      <c r="W296" s="67"/>
      <c r="X296" s="67">
        <f>R296+V296</f>
        <v>0</v>
      </c>
      <c r="Y296" s="67">
        <f>R296+H296</f>
        <v>0</v>
      </c>
      <c r="Z296" s="67">
        <f>D296-Y296</f>
        <v>6594000</v>
      </c>
      <c r="AA296" s="67">
        <f>N296+X296</f>
        <v>0</v>
      </c>
      <c r="AB296" s="69">
        <f>+D296-N296-X296</f>
        <v>6594000</v>
      </c>
      <c r="AY296" s="4"/>
      <c r="AZ296" s="4"/>
      <c r="BF296" s="4"/>
      <c r="BG296" s="4"/>
      <c r="BH296" s="4"/>
      <c r="BI296" s="4"/>
      <c r="BJ296" s="4"/>
      <c r="BK296" s="4"/>
    </row>
    <row r="297" spans="1:106" x14ac:dyDescent="0.25">
      <c r="A297" s="46"/>
      <c r="B297" s="26"/>
      <c r="C297" s="8" t="s">
        <v>39</v>
      </c>
      <c r="D297" s="67">
        <v>6302000</v>
      </c>
      <c r="E297" s="67">
        <v>0</v>
      </c>
      <c r="F297" s="68"/>
      <c r="G297" s="68"/>
      <c r="H297" s="67">
        <f>E297+F297</f>
        <v>0</v>
      </c>
      <c r="I297" s="68"/>
      <c r="J297" s="68"/>
      <c r="K297" s="68"/>
      <c r="L297" s="67"/>
      <c r="M297" s="67"/>
      <c r="N297" s="67">
        <f>H297+L297</f>
        <v>0</v>
      </c>
      <c r="O297" s="67">
        <v>0</v>
      </c>
      <c r="P297" s="68"/>
      <c r="Q297" s="68"/>
      <c r="R297" s="67">
        <f>O297+P297</f>
        <v>0</v>
      </c>
      <c r="S297" s="68"/>
      <c r="T297" s="68"/>
      <c r="U297" s="68"/>
      <c r="V297" s="67"/>
      <c r="W297" s="67"/>
      <c r="X297" s="67">
        <f>R297+V297</f>
        <v>0</v>
      </c>
      <c r="Y297" s="67">
        <f>R297+H297</f>
        <v>0</v>
      </c>
      <c r="Z297" s="67">
        <f>D297-Y297</f>
        <v>6302000</v>
      </c>
      <c r="AA297" s="67">
        <f>N297+X297</f>
        <v>0</v>
      </c>
      <c r="AB297" s="69">
        <f>+D297-N297-X297</f>
        <v>6302000</v>
      </c>
      <c r="AR297" s="49"/>
      <c r="AW297" s="4"/>
      <c r="AX297" s="4"/>
      <c r="BC297" s="4"/>
      <c r="BD297" s="4"/>
      <c r="BE297" s="4"/>
    </row>
    <row r="298" spans="1:106" ht="15.75" customHeight="1" x14ac:dyDescent="0.25">
      <c r="A298" s="46"/>
      <c r="B298" s="26"/>
      <c r="C298" s="4"/>
      <c r="D298" s="70" t="s">
        <v>40</v>
      </c>
      <c r="E298" s="70" t="s">
        <v>40</v>
      </c>
      <c r="F298" s="70" t="s">
        <v>40</v>
      </c>
      <c r="G298" s="70"/>
      <c r="H298" s="70" t="s">
        <v>40</v>
      </c>
      <c r="I298" s="70" t="s">
        <v>40</v>
      </c>
      <c r="J298" s="70" t="s">
        <v>40</v>
      </c>
      <c r="K298" s="70" t="s">
        <v>40</v>
      </c>
      <c r="L298" s="70" t="s">
        <v>40</v>
      </c>
      <c r="M298" s="70"/>
      <c r="N298" s="70" t="s">
        <v>40</v>
      </c>
      <c r="O298" s="70" t="s">
        <v>40</v>
      </c>
      <c r="P298" s="70" t="s">
        <v>40</v>
      </c>
      <c r="Q298" s="70"/>
      <c r="R298" s="70" t="s">
        <v>40</v>
      </c>
      <c r="S298" s="70" t="s">
        <v>40</v>
      </c>
      <c r="T298" s="70" t="s">
        <v>40</v>
      </c>
      <c r="U298" s="70" t="s">
        <v>40</v>
      </c>
      <c r="V298" s="70" t="s">
        <v>40</v>
      </c>
      <c r="W298" s="70"/>
      <c r="X298" s="70" t="s">
        <v>40</v>
      </c>
      <c r="Y298" s="70" t="s">
        <v>40</v>
      </c>
      <c r="Z298" s="70" t="s">
        <v>40</v>
      </c>
      <c r="AA298" s="70" t="s">
        <v>40</v>
      </c>
      <c r="AB298" s="70" t="s">
        <v>40</v>
      </c>
      <c r="BB298" s="4"/>
    </row>
    <row r="299" spans="1:106" ht="15.75" customHeight="1" x14ac:dyDescent="0.25">
      <c r="A299" s="46"/>
      <c r="B299" s="26"/>
      <c r="C299" s="4"/>
      <c r="D299" s="67">
        <f t="shared" ref="D299:AB299" si="122">SUM(D294:D297)</f>
        <v>83229000</v>
      </c>
      <c r="E299" s="67">
        <f t="shared" si="122"/>
        <v>0</v>
      </c>
      <c r="F299" s="67">
        <f t="shared" si="122"/>
        <v>0</v>
      </c>
      <c r="G299" s="67"/>
      <c r="H299" s="67">
        <f t="shared" si="122"/>
        <v>0</v>
      </c>
      <c r="I299" s="67">
        <f t="shared" si="122"/>
        <v>0</v>
      </c>
      <c r="J299" s="67">
        <f t="shared" si="122"/>
        <v>0</v>
      </c>
      <c r="K299" s="67">
        <f t="shared" si="122"/>
        <v>0</v>
      </c>
      <c r="L299" s="67">
        <f t="shared" si="122"/>
        <v>0</v>
      </c>
      <c r="M299" s="67"/>
      <c r="N299" s="67">
        <f t="shared" si="122"/>
        <v>0</v>
      </c>
      <c r="O299" s="67">
        <f t="shared" si="122"/>
        <v>0</v>
      </c>
      <c r="P299" s="67">
        <f t="shared" si="122"/>
        <v>0</v>
      </c>
      <c r="Q299" s="67"/>
      <c r="R299" s="67">
        <f t="shared" si="122"/>
        <v>0</v>
      </c>
      <c r="S299" s="67">
        <f t="shared" si="122"/>
        <v>0</v>
      </c>
      <c r="T299" s="67">
        <f t="shared" si="122"/>
        <v>0</v>
      </c>
      <c r="U299" s="67">
        <f t="shared" si="122"/>
        <v>0</v>
      </c>
      <c r="V299" s="67">
        <f t="shared" si="122"/>
        <v>0</v>
      </c>
      <c r="W299" s="67"/>
      <c r="X299" s="67">
        <f t="shared" si="122"/>
        <v>0</v>
      </c>
      <c r="Y299" s="67">
        <f t="shared" si="122"/>
        <v>0</v>
      </c>
      <c r="Z299" s="67">
        <f t="shared" si="122"/>
        <v>83229000</v>
      </c>
      <c r="AA299" s="67">
        <f t="shared" si="122"/>
        <v>0</v>
      </c>
      <c r="AB299" s="67">
        <f t="shared" si="122"/>
        <v>83229000</v>
      </c>
      <c r="AU299" s="4"/>
      <c r="AV299" s="4"/>
    </row>
    <row r="300" spans="1:106" ht="15.75" customHeight="1" x14ac:dyDescent="0.25">
      <c r="A300" s="46"/>
      <c r="B300" s="26"/>
      <c r="C300" s="4"/>
      <c r="D300" s="70" t="s">
        <v>40</v>
      </c>
      <c r="E300" s="70" t="s">
        <v>40</v>
      </c>
      <c r="F300" s="70" t="s">
        <v>40</v>
      </c>
      <c r="G300" s="70"/>
      <c r="H300" s="70" t="s">
        <v>40</v>
      </c>
      <c r="I300" s="70" t="s">
        <v>40</v>
      </c>
      <c r="J300" s="70" t="s">
        <v>40</v>
      </c>
      <c r="K300" s="70" t="s">
        <v>40</v>
      </c>
      <c r="L300" s="70" t="s">
        <v>40</v>
      </c>
      <c r="M300" s="70"/>
      <c r="N300" s="70" t="s">
        <v>40</v>
      </c>
      <c r="O300" s="70" t="s">
        <v>40</v>
      </c>
      <c r="P300" s="70" t="s">
        <v>40</v>
      </c>
      <c r="Q300" s="70"/>
      <c r="R300" s="70" t="s">
        <v>40</v>
      </c>
      <c r="S300" s="70" t="s">
        <v>40</v>
      </c>
      <c r="T300" s="70" t="s">
        <v>40</v>
      </c>
      <c r="U300" s="70" t="s">
        <v>40</v>
      </c>
      <c r="V300" s="70" t="s">
        <v>40</v>
      </c>
      <c r="W300" s="70"/>
      <c r="X300" s="70" t="s">
        <v>40</v>
      </c>
      <c r="Y300" s="70" t="s">
        <v>40</v>
      </c>
      <c r="Z300" s="70" t="s">
        <v>40</v>
      </c>
      <c r="AA300" s="70" t="s">
        <v>40</v>
      </c>
      <c r="AB300" s="70" t="s">
        <v>40</v>
      </c>
      <c r="BA300" s="4"/>
    </row>
    <row r="301" spans="1:106" ht="20.25" customHeight="1" x14ac:dyDescent="0.25">
      <c r="A301" s="46"/>
      <c r="B301" s="26"/>
      <c r="C301" s="4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T301" s="4"/>
    </row>
    <row r="302" spans="1:106" ht="15.75" customHeight="1" x14ac:dyDescent="0.25">
      <c r="A302" s="46">
        <v>28</v>
      </c>
      <c r="B302" s="23" t="s">
        <v>70</v>
      </c>
      <c r="C302" s="2" t="s">
        <v>35</v>
      </c>
      <c r="D302" s="67">
        <v>1456783.46</v>
      </c>
      <c r="E302" s="67">
        <v>0</v>
      </c>
      <c r="F302" s="68"/>
      <c r="G302" s="68"/>
      <c r="H302" s="67">
        <f t="shared" ref="H302:H307" si="123">E302+F302</f>
        <v>0</v>
      </c>
      <c r="I302" s="68"/>
      <c r="J302" s="68"/>
      <c r="K302" s="68"/>
      <c r="L302" s="67"/>
      <c r="M302" s="67"/>
      <c r="N302" s="67">
        <f t="shared" ref="N302:N307" si="124">H302+L302</f>
        <v>0</v>
      </c>
      <c r="O302" s="67">
        <f>484427.9+623198.59-623198.5</f>
        <v>484427.99</v>
      </c>
      <c r="P302" s="68"/>
      <c r="Q302" s="68"/>
      <c r="R302" s="67">
        <f t="shared" ref="R302:R307" si="125">O302+P302</f>
        <v>484427.99</v>
      </c>
      <c r="S302" s="68"/>
      <c r="T302" s="68"/>
      <c r="U302" s="68"/>
      <c r="V302" s="67"/>
      <c r="W302" s="67"/>
      <c r="X302" s="67">
        <f t="shared" ref="X302:X307" si="126">R302+V302</f>
        <v>484427.99</v>
      </c>
      <c r="Y302" s="67">
        <f t="shared" ref="Y302:Y307" si="127">R302+H302</f>
        <v>484427.99</v>
      </c>
      <c r="Z302" s="67">
        <f t="shared" ref="Z302:Z307" si="128">D302-Y302</f>
        <v>972355.47</v>
      </c>
      <c r="AA302" s="67">
        <f t="shared" ref="AA302:AA307" si="129">N302+X302</f>
        <v>484427.99</v>
      </c>
      <c r="AB302" s="69">
        <f t="shared" ref="AB302:AB307" si="130">+D302-N302-X302</f>
        <v>972355.47</v>
      </c>
    </row>
    <row r="303" spans="1:106" ht="15.75" customHeight="1" x14ac:dyDescent="0.25">
      <c r="A303" s="46"/>
      <c r="B303" s="26"/>
      <c r="C303" s="3" t="s">
        <v>36</v>
      </c>
      <c r="D303" s="67">
        <f>1767751.52+4544423.9</f>
        <v>6312175.4199999999</v>
      </c>
      <c r="E303" s="67">
        <f>1767751.52+4544423.9</f>
        <v>6312175.4199999999</v>
      </c>
      <c r="F303" s="68"/>
      <c r="G303" s="68"/>
      <c r="H303" s="67">
        <f t="shared" si="123"/>
        <v>6312175.4199999999</v>
      </c>
      <c r="I303" s="68"/>
      <c r="J303" s="68"/>
      <c r="K303" s="68"/>
      <c r="L303" s="67"/>
      <c r="M303" s="67"/>
      <c r="N303" s="67">
        <f t="shared" si="124"/>
        <v>6312175.4199999999</v>
      </c>
      <c r="O303" s="67">
        <v>0</v>
      </c>
      <c r="P303" s="68"/>
      <c r="Q303" s="68"/>
      <c r="R303" s="67">
        <f t="shared" si="125"/>
        <v>0</v>
      </c>
      <c r="S303" s="68"/>
      <c r="T303" s="68"/>
      <c r="U303" s="68"/>
      <c r="V303" s="67"/>
      <c r="W303" s="67"/>
      <c r="X303" s="67">
        <f t="shared" si="126"/>
        <v>0</v>
      </c>
      <c r="Y303" s="67">
        <f t="shared" si="127"/>
        <v>6312175.4199999999</v>
      </c>
      <c r="Z303" s="67">
        <f t="shared" si="128"/>
        <v>0</v>
      </c>
      <c r="AA303" s="67">
        <f t="shared" si="129"/>
        <v>6312175.4199999999</v>
      </c>
      <c r="AB303" s="69">
        <f t="shared" si="130"/>
        <v>0</v>
      </c>
    </row>
    <row r="304" spans="1:106" ht="16.5" customHeight="1" x14ac:dyDescent="0.25">
      <c r="A304" s="46"/>
      <c r="B304" s="26"/>
      <c r="C304" s="3" t="s">
        <v>44</v>
      </c>
      <c r="D304" s="67">
        <v>17130000</v>
      </c>
      <c r="E304" s="67">
        <v>17130000</v>
      </c>
      <c r="F304" s="68"/>
      <c r="G304" s="68"/>
      <c r="H304" s="67">
        <f t="shared" si="123"/>
        <v>17130000</v>
      </c>
      <c r="I304" s="68"/>
      <c r="J304" s="68"/>
      <c r="K304" s="68"/>
      <c r="L304" s="67"/>
      <c r="M304" s="67"/>
      <c r="N304" s="67">
        <f t="shared" si="124"/>
        <v>17130000</v>
      </c>
      <c r="O304" s="67">
        <v>0</v>
      </c>
      <c r="P304" s="68"/>
      <c r="Q304" s="68"/>
      <c r="R304" s="67">
        <f t="shared" si="125"/>
        <v>0</v>
      </c>
      <c r="S304" s="68"/>
      <c r="T304" s="68"/>
      <c r="U304" s="68"/>
      <c r="V304" s="67"/>
      <c r="W304" s="67"/>
      <c r="X304" s="67">
        <f t="shared" si="126"/>
        <v>0</v>
      </c>
      <c r="Y304" s="67">
        <f t="shared" si="127"/>
        <v>17130000</v>
      </c>
      <c r="Z304" s="67">
        <f t="shared" si="128"/>
        <v>0</v>
      </c>
      <c r="AA304" s="67">
        <f t="shared" si="129"/>
        <v>17130000</v>
      </c>
      <c r="AB304" s="69">
        <f t="shared" si="130"/>
        <v>0</v>
      </c>
      <c r="AY304" s="4"/>
      <c r="AZ304" s="4"/>
    </row>
    <row r="305" spans="1:50" x14ac:dyDescent="0.25">
      <c r="A305" s="46"/>
      <c r="B305" s="26"/>
      <c r="C305" s="2" t="s">
        <v>142</v>
      </c>
      <c r="D305" s="67">
        <f>1545852.28</f>
        <v>1545852.28</v>
      </c>
      <c r="E305" s="67">
        <v>0</v>
      </c>
      <c r="F305" s="68"/>
      <c r="G305" s="68"/>
      <c r="H305" s="67">
        <f t="shared" si="123"/>
        <v>0</v>
      </c>
      <c r="I305" s="68"/>
      <c r="J305" s="68"/>
      <c r="K305" s="68"/>
      <c r="L305" s="67"/>
      <c r="M305" s="98"/>
      <c r="N305" s="67">
        <f t="shared" si="124"/>
        <v>0</v>
      </c>
      <c r="O305" s="67">
        <f>1545852.28+98258.61+3977998.98-4076257.59</f>
        <v>1545852.2800000003</v>
      </c>
      <c r="P305" s="68"/>
      <c r="Q305" s="68"/>
      <c r="R305" s="67">
        <f t="shared" si="125"/>
        <v>1545852.2800000003</v>
      </c>
      <c r="S305" s="68"/>
      <c r="T305" s="68"/>
      <c r="U305" s="68"/>
      <c r="V305" s="67"/>
      <c r="W305" s="98"/>
      <c r="X305" s="67">
        <f t="shared" si="126"/>
        <v>1545852.2800000003</v>
      </c>
      <c r="Y305" s="67">
        <f t="shared" si="127"/>
        <v>1545852.2800000003</v>
      </c>
      <c r="Z305" s="67">
        <f t="shared" si="128"/>
        <v>0</v>
      </c>
      <c r="AA305" s="67">
        <f t="shared" si="129"/>
        <v>1545852.2800000003</v>
      </c>
      <c r="AB305" s="69">
        <f t="shared" si="130"/>
        <v>0</v>
      </c>
      <c r="AS305" s="4"/>
      <c r="AW305" s="4"/>
      <c r="AX305" s="4"/>
    </row>
    <row r="306" spans="1:50" x14ac:dyDescent="0.25">
      <c r="A306" s="46"/>
      <c r="B306" s="26"/>
      <c r="C306" s="2" t="s">
        <v>38</v>
      </c>
      <c r="D306" s="67">
        <v>13773200</v>
      </c>
      <c r="E306" s="67">
        <v>0</v>
      </c>
      <c r="F306" s="68"/>
      <c r="G306" s="68"/>
      <c r="H306" s="67">
        <f t="shared" si="123"/>
        <v>0</v>
      </c>
      <c r="I306" s="68"/>
      <c r="J306" s="68"/>
      <c r="K306" s="68"/>
      <c r="L306" s="67"/>
      <c r="M306" s="67"/>
      <c r="N306" s="67">
        <f t="shared" si="124"/>
        <v>0</v>
      </c>
      <c r="O306" s="67">
        <v>0</v>
      </c>
      <c r="P306" s="68"/>
      <c r="Q306" s="68"/>
      <c r="R306" s="67">
        <f t="shared" si="125"/>
        <v>0</v>
      </c>
      <c r="S306" s="68"/>
      <c r="T306" s="68"/>
      <c r="U306" s="68"/>
      <c r="V306" s="67"/>
      <c r="W306" s="67"/>
      <c r="X306" s="67">
        <f t="shared" si="126"/>
        <v>0</v>
      </c>
      <c r="Y306" s="67">
        <f t="shared" si="127"/>
        <v>0</v>
      </c>
      <c r="Z306" s="67">
        <f t="shared" si="128"/>
        <v>13773200</v>
      </c>
      <c r="AA306" s="67">
        <f t="shared" si="129"/>
        <v>0</v>
      </c>
      <c r="AB306" s="69">
        <f t="shared" si="130"/>
        <v>13773200</v>
      </c>
    </row>
    <row r="307" spans="1:50" ht="15.75" customHeight="1" x14ac:dyDescent="0.25">
      <c r="A307" s="46"/>
      <c r="B307" s="26"/>
      <c r="C307" s="8" t="s">
        <v>39</v>
      </c>
      <c r="D307" s="67">
        <v>3836055.49</v>
      </c>
      <c r="E307" s="67">
        <v>0</v>
      </c>
      <c r="F307" s="68"/>
      <c r="G307" s="68"/>
      <c r="H307" s="67">
        <f t="shared" si="123"/>
        <v>0</v>
      </c>
      <c r="I307" s="68"/>
      <c r="J307" s="68"/>
      <c r="K307" s="68"/>
      <c r="L307" s="67"/>
      <c r="M307" s="67"/>
      <c r="N307" s="67">
        <f t="shared" si="124"/>
        <v>0</v>
      </c>
      <c r="O307" s="67">
        <v>0</v>
      </c>
      <c r="P307" s="68"/>
      <c r="Q307" s="68"/>
      <c r="R307" s="67">
        <f t="shared" si="125"/>
        <v>0</v>
      </c>
      <c r="S307" s="68"/>
      <c r="T307" s="68"/>
      <c r="U307" s="68"/>
      <c r="V307" s="67"/>
      <c r="W307" s="67"/>
      <c r="X307" s="67">
        <f t="shared" si="126"/>
        <v>0</v>
      </c>
      <c r="Y307" s="67">
        <f t="shared" si="127"/>
        <v>0</v>
      </c>
      <c r="Z307" s="67">
        <f t="shared" si="128"/>
        <v>3836055.49</v>
      </c>
      <c r="AA307" s="67">
        <f t="shared" si="129"/>
        <v>0</v>
      </c>
      <c r="AB307" s="69">
        <f t="shared" si="130"/>
        <v>3836055.49</v>
      </c>
      <c r="AR307" s="4"/>
      <c r="AU307" s="4"/>
      <c r="AV307" s="4"/>
    </row>
    <row r="308" spans="1:50" ht="15.75" customHeight="1" x14ac:dyDescent="0.25">
      <c r="A308" s="46"/>
      <c r="B308" s="26"/>
      <c r="C308" s="25" t="str">
        <f>+C70</f>
        <v>WB-RERP- STNG. AREA</v>
      </c>
      <c r="D308" s="67">
        <v>9500000</v>
      </c>
      <c r="E308" s="67">
        <v>5549055.1900000004</v>
      </c>
      <c r="F308" s="68"/>
      <c r="G308" s="68"/>
      <c r="H308" s="67">
        <f>E308+F308</f>
        <v>5549055.1900000004</v>
      </c>
      <c r="I308" s="68"/>
      <c r="J308" s="68"/>
      <c r="K308" s="68"/>
      <c r="L308" s="67"/>
      <c r="M308" s="67"/>
      <c r="N308" s="67">
        <f>H308+L308</f>
        <v>5549055.1900000004</v>
      </c>
      <c r="O308" s="67">
        <v>835222.3</v>
      </c>
      <c r="P308" s="68"/>
      <c r="Q308" s="68"/>
      <c r="R308" s="67">
        <f>O308+P308</f>
        <v>835222.3</v>
      </c>
      <c r="S308" s="68"/>
      <c r="T308" s="68"/>
      <c r="U308" s="68"/>
      <c r="V308" s="67"/>
      <c r="W308" s="67"/>
      <c r="X308" s="67">
        <f>R308+V308</f>
        <v>835222.3</v>
      </c>
      <c r="Y308" s="67">
        <f>R308+H308</f>
        <v>6384277.4900000002</v>
      </c>
      <c r="Z308" s="67">
        <f>D308-Y308</f>
        <v>3115722.51</v>
      </c>
      <c r="AA308" s="67">
        <f>N308+X308</f>
        <v>6384277.4900000002</v>
      </c>
      <c r="AB308" s="69">
        <f>+D308-N308-X308</f>
        <v>3115722.51</v>
      </c>
    </row>
    <row r="309" spans="1:50" ht="16.5" customHeight="1" x14ac:dyDescent="0.25">
      <c r="A309" s="46"/>
      <c r="B309" s="26"/>
      <c r="C309" s="4"/>
      <c r="D309" s="70" t="s">
        <v>40</v>
      </c>
      <c r="E309" s="70" t="s">
        <v>40</v>
      </c>
      <c r="F309" s="70" t="s">
        <v>40</v>
      </c>
      <c r="G309" s="70"/>
      <c r="H309" s="70" t="s">
        <v>40</v>
      </c>
      <c r="I309" s="70" t="s">
        <v>40</v>
      </c>
      <c r="J309" s="70" t="s">
        <v>40</v>
      </c>
      <c r="K309" s="70" t="s">
        <v>40</v>
      </c>
      <c r="L309" s="70" t="s">
        <v>40</v>
      </c>
      <c r="M309" s="70"/>
      <c r="N309" s="70" t="s">
        <v>40</v>
      </c>
      <c r="O309" s="70" t="s">
        <v>40</v>
      </c>
      <c r="P309" s="70" t="s">
        <v>40</v>
      </c>
      <c r="Q309" s="70"/>
      <c r="R309" s="70" t="s">
        <v>40</v>
      </c>
      <c r="S309" s="70" t="s">
        <v>40</v>
      </c>
      <c r="T309" s="70" t="s">
        <v>40</v>
      </c>
      <c r="U309" s="70" t="s">
        <v>40</v>
      </c>
      <c r="V309" s="70" t="s">
        <v>40</v>
      </c>
      <c r="W309" s="70"/>
      <c r="X309" s="70" t="s">
        <v>40</v>
      </c>
      <c r="Y309" s="70" t="s">
        <v>40</v>
      </c>
      <c r="Z309" s="70" t="s">
        <v>40</v>
      </c>
      <c r="AA309" s="70" t="s">
        <v>40</v>
      </c>
      <c r="AB309" s="70" t="s">
        <v>40</v>
      </c>
      <c r="AR309" s="94"/>
      <c r="AT309" s="4"/>
    </row>
    <row r="310" spans="1:50" ht="15.75" customHeight="1" x14ac:dyDescent="0.25">
      <c r="A310" s="46"/>
      <c r="B310" s="26"/>
      <c r="C310" s="4"/>
      <c r="D310" s="67">
        <f>SUM(D302:D308)</f>
        <v>53554066.649999999</v>
      </c>
      <c r="E310" s="67">
        <f>SUM(E302:E308)</f>
        <v>28991230.610000003</v>
      </c>
      <c r="F310" s="67">
        <f>SUM(F302:F308)</f>
        <v>0</v>
      </c>
      <c r="G310" s="67"/>
      <c r="H310" s="67">
        <f>SUM(H302:H308)</f>
        <v>28991230.610000003</v>
      </c>
      <c r="I310" s="67">
        <f>SUM(I302:I308)</f>
        <v>0</v>
      </c>
      <c r="J310" s="67">
        <f>SUM(J302:J308)</f>
        <v>0</v>
      </c>
      <c r="K310" s="67">
        <f>SUM(K302:K308)</f>
        <v>0</v>
      </c>
      <c r="L310" s="67">
        <f>SUM(L302:L308)</f>
        <v>0</v>
      </c>
      <c r="M310" s="67"/>
      <c r="N310" s="67">
        <f>SUM(N302:N308)</f>
        <v>28991230.610000003</v>
      </c>
      <c r="O310" s="67">
        <f>SUM(O302:O308)</f>
        <v>2865502.5700000003</v>
      </c>
      <c r="P310" s="67">
        <f>SUM(P302:P308)</f>
        <v>0</v>
      </c>
      <c r="Q310" s="67"/>
      <c r="R310" s="67">
        <f>SUM(R302:R308)</f>
        <v>2865502.5700000003</v>
      </c>
      <c r="S310" s="67">
        <f>SUM(S302:S308)</f>
        <v>0</v>
      </c>
      <c r="T310" s="67">
        <f>SUM(T302:T308)</f>
        <v>0</v>
      </c>
      <c r="U310" s="67">
        <f>SUM(U302:U308)</f>
        <v>0</v>
      </c>
      <c r="V310" s="67">
        <f>SUM(V302:V308)</f>
        <v>0</v>
      </c>
      <c r="W310" s="67"/>
      <c r="X310" s="67">
        <f>SUM(X302:X308)</f>
        <v>2865502.5700000003</v>
      </c>
      <c r="Y310" s="67">
        <f>SUM(Y302:Y308)</f>
        <v>31856733.18</v>
      </c>
      <c r="Z310" s="67">
        <f>SUM(Z302:Z308)</f>
        <v>21697333.469999999</v>
      </c>
      <c r="AA310" s="67">
        <f>SUM(AA302:AA308)</f>
        <v>31856733.18</v>
      </c>
      <c r="AB310" s="67">
        <f>SUM(AB302:AB308)</f>
        <v>21697333.469999999</v>
      </c>
    </row>
    <row r="311" spans="1:50" ht="15.75" customHeight="1" x14ac:dyDescent="0.25">
      <c r="A311" s="46"/>
      <c r="B311" s="4" t="s">
        <v>70</v>
      </c>
      <c r="C311" s="4"/>
      <c r="D311" s="70" t="s">
        <v>40</v>
      </c>
      <c r="E311" s="70" t="s">
        <v>40</v>
      </c>
      <c r="F311" s="70" t="s">
        <v>40</v>
      </c>
      <c r="G311" s="70"/>
      <c r="H311" s="70" t="s">
        <v>40</v>
      </c>
      <c r="I311" s="70" t="s">
        <v>40</v>
      </c>
      <c r="J311" s="70" t="s">
        <v>40</v>
      </c>
      <c r="K311" s="70" t="s">
        <v>40</v>
      </c>
      <c r="L311" s="70" t="s">
        <v>40</v>
      </c>
      <c r="M311" s="70"/>
      <c r="N311" s="70" t="s">
        <v>40</v>
      </c>
      <c r="O311" s="70" t="s">
        <v>40</v>
      </c>
      <c r="P311" s="70" t="s">
        <v>40</v>
      </c>
      <c r="Q311" s="70"/>
      <c r="R311" s="70" t="s">
        <v>40</v>
      </c>
      <c r="S311" s="70" t="s">
        <v>40</v>
      </c>
      <c r="T311" s="70" t="s">
        <v>40</v>
      </c>
      <c r="U311" s="70" t="s">
        <v>40</v>
      </c>
      <c r="V311" s="70" t="s">
        <v>40</v>
      </c>
      <c r="W311" s="70"/>
      <c r="X311" s="70" t="s">
        <v>40</v>
      </c>
      <c r="Y311" s="70" t="s">
        <v>40</v>
      </c>
      <c r="Z311" s="70" t="s">
        <v>40</v>
      </c>
      <c r="AA311" s="70" t="s">
        <v>40</v>
      </c>
      <c r="AB311" s="70" t="s">
        <v>40</v>
      </c>
    </row>
    <row r="312" spans="1:50" ht="15.75" customHeight="1" thickBot="1" x14ac:dyDescent="0.3">
      <c r="A312" s="111"/>
      <c r="B312" s="112" t="s">
        <v>292</v>
      </c>
      <c r="C312" s="108"/>
      <c r="D312" s="113">
        <f>7719269.53+199977.84+3167997.92+3717686.14-3167997.72+167741.67+117202.59+326185.79+3120264.25-3633082.84</f>
        <v>11735245.169999998</v>
      </c>
      <c r="E312" s="72"/>
      <c r="F312" s="72"/>
      <c r="G312" s="72"/>
      <c r="H312" s="72"/>
      <c r="I312" s="72"/>
      <c r="J312" s="72"/>
      <c r="K312" s="72"/>
      <c r="L312" s="72"/>
      <c r="M312" s="109"/>
      <c r="N312" s="72"/>
      <c r="O312" s="113">
        <f>7719269.53+199977.84+3167997.92+3717686.14-3167997.72+611130.05+3120264.25-3633082.84</f>
        <v>11735245.17</v>
      </c>
      <c r="P312" s="104"/>
      <c r="Q312" s="110"/>
      <c r="R312" s="113">
        <f>+O312+P312</f>
        <v>11735245.17</v>
      </c>
      <c r="S312" s="72"/>
      <c r="T312" s="72"/>
      <c r="U312" s="72"/>
      <c r="V312" s="72"/>
      <c r="W312" s="110"/>
      <c r="X312" s="72"/>
      <c r="Y312" s="104"/>
      <c r="Z312" s="104"/>
      <c r="AA312" s="72"/>
      <c r="AB312" s="72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S312" s="4"/>
    </row>
    <row r="313" spans="1:50" ht="55.5" customHeight="1" thickTop="1" x14ac:dyDescent="0.25">
      <c r="A313" s="46">
        <v>29</v>
      </c>
      <c r="B313" s="23" t="s">
        <v>71</v>
      </c>
      <c r="C313" s="2" t="s">
        <v>35</v>
      </c>
      <c r="D313" s="67">
        <v>21059632.809999999</v>
      </c>
      <c r="E313" s="67">
        <v>0</v>
      </c>
      <c r="F313" s="68"/>
      <c r="G313" s="68"/>
      <c r="H313" s="67">
        <f>E313+F313</f>
        <v>0</v>
      </c>
      <c r="I313" s="68"/>
      <c r="J313" s="68"/>
      <c r="K313" s="68"/>
      <c r="L313" s="67"/>
      <c r="M313" s="67"/>
      <c r="N313" s="67">
        <f>H313+L313</f>
        <v>0</v>
      </c>
      <c r="O313" s="68">
        <v>103522.44</v>
      </c>
      <c r="P313" s="68"/>
      <c r="Q313" s="68"/>
      <c r="R313" s="67">
        <f>O313+P313</f>
        <v>103522.44</v>
      </c>
      <c r="S313" s="67"/>
      <c r="T313" s="68"/>
      <c r="U313" s="68"/>
      <c r="V313" s="67"/>
      <c r="W313" s="67"/>
      <c r="X313" s="67">
        <f>R313+V313</f>
        <v>103522.44</v>
      </c>
      <c r="Y313" s="67">
        <f>R313+H313</f>
        <v>103522.44</v>
      </c>
      <c r="Z313" s="67">
        <f>D313-Y313</f>
        <v>20956110.369999997</v>
      </c>
      <c r="AA313" s="67">
        <f>N313+X313</f>
        <v>103522.44</v>
      </c>
      <c r="AB313" s="69">
        <f>+D313-N313-X313</f>
        <v>20956110.369999997</v>
      </c>
    </row>
    <row r="314" spans="1:50" x14ac:dyDescent="0.25">
      <c r="A314" s="46"/>
      <c r="B314" s="26"/>
      <c r="C314" s="3" t="s">
        <v>36</v>
      </c>
      <c r="D314" s="67">
        <f>1488828+5711832+7139790.46</f>
        <v>14340450.460000001</v>
      </c>
      <c r="E314" s="67">
        <f>1488828+5711832+7139790.46</f>
        <v>14340450.460000001</v>
      </c>
      <c r="F314" s="68"/>
      <c r="G314" s="68"/>
      <c r="H314" s="67">
        <f>E314+F314</f>
        <v>14340450.460000001</v>
      </c>
      <c r="I314" s="68"/>
      <c r="J314" s="68"/>
      <c r="K314" s="68"/>
      <c r="L314" s="67"/>
      <c r="M314" s="67"/>
      <c r="N314" s="67">
        <f>H314+L314</f>
        <v>14340450.460000001</v>
      </c>
      <c r="O314" s="67">
        <v>0</v>
      </c>
      <c r="P314" s="68"/>
      <c r="Q314" s="68"/>
      <c r="R314" s="67">
        <f>O314+P314</f>
        <v>0</v>
      </c>
      <c r="S314" s="68"/>
      <c r="T314" s="68"/>
      <c r="U314" s="68"/>
      <c r="V314" s="67"/>
      <c r="W314" s="67"/>
      <c r="X314" s="67">
        <f>R314+V314</f>
        <v>0</v>
      </c>
      <c r="Y314" s="67">
        <f>R314+H314</f>
        <v>14340450.460000001</v>
      </c>
      <c r="Z314" s="67">
        <f>D314-Y314</f>
        <v>0</v>
      </c>
      <c r="AA314" s="67">
        <f>N314+X314</f>
        <v>14340450.460000001</v>
      </c>
      <c r="AB314" s="69">
        <f>+D314-N314-X314</f>
        <v>0</v>
      </c>
      <c r="AR314" s="4"/>
    </row>
    <row r="315" spans="1:50" x14ac:dyDescent="0.25">
      <c r="A315" s="46"/>
      <c r="B315" s="26"/>
      <c r="C315" s="3" t="s">
        <v>72</v>
      </c>
      <c r="D315" s="67">
        <v>8840000</v>
      </c>
      <c r="E315" s="67">
        <v>8840000</v>
      </c>
      <c r="F315" s="68"/>
      <c r="G315" s="68"/>
      <c r="H315" s="67">
        <f>E315+F315</f>
        <v>8840000</v>
      </c>
      <c r="I315" s="68"/>
      <c r="J315" s="68"/>
      <c r="K315" s="68"/>
      <c r="L315" s="67"/>
      <c r="M315" s="67"/>
      <c r="N315" s="67">
        <f>H315+L315</f>
        <v>8840000</v>
      </c>
      <c r="O315" s="67">
        <v>0</v>
      </c>
      <c r="P315" s="68"/>
      <c r="Q315" s="68"/>
      <c r="R315" s="67">
        <f>O315+P315</f>
        <v>0</v>
      </c>
      <c r="S315" s="68"/>
      <c r="T315" s="68"/>
      <c r="U315" s="68"/>
      <c r="V315" s="67"/>
      <c r="W315" s="67"/>
      <c r="X315" s="67">
        <f>R315+V315</f>
        <v>0</v>
      </c>
      <c r="Y315" s="67">
        <f>R315+H315</f>
        <v>8840000</v>
      </c>
      <c r="Z315" s="67">
        <f>D315-Y315</f>
        <v>0</v>
      </c>
      <c r="AA315" s="67">
        <f>N315+X315</f>
        <v>8840000</v>
      </c>
      <c r="AB315" s="69">
        <f>+D315-N315-X315</f>
        <v>0</v>
      </c>
    </row>
    <row r="316" spans="1:50" ht="15.75" customHeight="1" x14ac:dyDescent="0.25">
      <c r="A316" s="46"/>
      <c r="B316" s="26"/>
      <c r="C316" s="3" t="s">
        <v>48</v>
      </c>
      <c r="D316" s="67">
        <v>700971.62</v>
      </c>
      <c r="E316" s="67">
        <v>700971.62</v>
      </c>
      <c r="F316" s="68"/>
      <c r="G316" s="68"/>
      <c r="H316" s="67">
        <f>E316+F316</f>
        <v>700971.62</v>
      </c>
      <c r="I316" s="68"/>
      <c r="J316" s="68"/>
      <c r="K316" s="68"/>
      <c r="L316" s="67"/>
      <c r="M316" s="67"/>
      <c r="N316" s="67">
        <f>H316+L316</f>
        <v>700971.62</v>
      </c>
      <c r="O316" s="67">
        <v>0</v>
      </c>
      <c r="P316" s="68"/>
      <c r="Q316" s="68"/>
      <c r="R316" s="67">
        <f>O316+P316</f>
        <v>0</v>
      </c>
      <c r="S316" s="68"/>
      <c r="T316" s="68"/>
      <c r="U316" s="68"/>
      <c r="V316" s="67"/>
      <c r="W316" s="67"/>
      <c r="X316" s="67">
        <f>R316+V316</f>
        <v>0</v>
      </c>
      <c r="Y316" s="67">
        <f>R316+H316</f>
        <v>700971.62</v>
      </c>
      <c r="Z316" s="67">
        <f>D316-Y316</f>
        <v>0</v>
      </c>
      <c r="AA316" s="67">
        <f>N316+X316</f>
        <v>700971.62</v>
      </c>
      <c r="AB316" s="69">
        <f>+D316-N316-X316</f>
        <v>0</v>
      </c>
    </row>
    <row r="317" spans="1:50" x14ac:dyDescent="0.25">
      <c r="A317" s="46"/>
      <c r="B317" s="26"/>
      <c r="C317" s="4"/>
      <c r="D317" s="70" t="s">
        <v>40</v>
      </c>
      <c r="E317" s="70" t="s">
        <v>40</v>
      </c>
      <c r="F317" s="70" t="s">
        <v>40</v>
      </c>
      <c r="G317" s="70"/>
      <c r="H317" s="70" t="s">
        <v>40</v>
      </c>
      <c r="I317" s="70" t="s">
        <v>40</v>
      </c>
      <c r="J317" s="70" t="s">
        <v>40</v>
      </c>
      <c r="K317" s="70" t="s">
        <v>40</v>
      </c>
      <c r="L317" s="70" t="s">
        <v>40</v>
      </c>
      <c r="M317" s="70"/>
      <c r="N317" s="70" t="s">
        <v>40</v>
      </c>
      <c r="O317" s="70" t="s">
        <v>40</v>
      </c>
      <c r="P317" s="70" t="s">
        <v>40</v>
      </c>
      <c r="Q317" s="70"/>
      <c r="R317" s="70" t="s">
        <v>40</v>
      </c>
      <c r="S317" s="70" t="s">
        <v>40</v>
      </c>
      <c r="T317" s="70" t="s">
        <v>40</v>
      </c>
      <c r="U317" s="70" t="s">
        <v>40</v>
      </c>
      <c r="V317" s="70" t="s">
        <v>40</v>
      </c>
      <c r="W317" s="70"/>
      <c r="X317" s="70" t="s">
        <v>40</v>
      </c>
      <c r="Y317" s="70" t="s">
        <v>40</v>
      </c>
      <c r="Z317" s="70" t="s">
        <v>40</v>
      </c>
      <c r="AA317" s="70" t="s">
        <v>40</v>
      </c>
      <c r="AB317" s="70" t="s">
        <v>40</v>
      </c>
    </row>
    <row r="318" spans="1:50" ht="15.75" customHeight="1" x14ac:dyDescent="0.25">
      <c r="A318" s="46"/>
      <c r="B318" s="26"/>
      <c r="C318" s="4"/>
      <c r="D318" s="67">
        <f t="shared" ref="D318:AB318" si="131">SUM(D313:D316)</f>
        <v>44941054.889999993</v>
      </c>
      <c r="E318" s="67">
        <f t="shared" si="131"/>
        <v>23881422.080000002</v>
      </c>
      <c r="F318" s="67">
        <f t="shared" si="131"/>
        <v>0</v>
      </c>
      <c r="G318" s="67"/>
      <c r="H318" s="67">
        <f t="shared" si="131"/>
        <v>23881422.080000002</v>
      </c>
      <c r="I318" s="67">
        <f t="shared" si="131"/>
        <v>0</v>
      </c>
      <c r="J318" s="67">
        <f t="shared" si="131"/>
        <v>0</v>
      </c>
      <c r="K318" s="67">
        <f t="shared" si="131"/>
        <v>0</v>
      </c>
      <c r="L318" s="67">
        <f t="shared" si="131"/>
        <v>0</v>
      </c>
      <c r="M318" s="67"/>
      <c r="N318" s="67">
        <f t="shared" si="131"/>
        <v>23881422.080000002</v>
      </c>
      <c r="O318" s="67">
        <f t="shared" si="131"/>
        <v>103522.44</v>
      </c>
      <c r="P318" s="67">
        <f t="shared" si="131"/>
        <v>0</v>
      </c>
      <c r="Q318" s="67"/>
      <c r="R318" s="67">
        <f t="shared" si="131"/>
        <v>103522.44</v>
      </c>
      <c r="S318" s="67">
        <f t="shared" si="131"/>
        <v>0</v>
      </c>
      <c r="T318" s="67">
        <f t="shared" si="131"/>
        <v>0</v>
      </c>
      <c r="U318" s="67">
        <f t="shared" si="131"/>
        <v>0</v>
      </c>
      <c r="V318" s="67">
        <f t="shared" si="131"/>
        <v>0</v>
      </c>
      <c r="W318" s="67"/>
      <c r="X318" s="67">
        <f t="shared" si="131"/>
        <v>103522.44</v>
      </c>
      <c r="Y318" s="67">
        <f t="shared" si="131"/>
        <v>23984944.52</v>
      </c>
      <c r="Z318" s="67">
        <f t="shared" si="131"/>
        <v>20956110.369999997</v>
      </c>
      <c r="AA318" s="67">
        <f t="shared" si="131"/>
        <v>23984944.52</v>
      </c>
      <c r="AB318" s="67">
        <f t="shared" si="131"/>
        <v>20956110.369999997</v>
      </c>
    </row>
    <row r="319" spans="1:50" ht="18.75" customHeight="1" x14ac:dyDescent="0.25">
      <c r="A319" s="46"/>
      <c r="B319" s="4" t="s">
        <v>293</v>
      </c>
      <c r="C319" s="4"/>
      <c r="D319" s="70" t="s">
        <v>40</v>
      </c>
      <c r="E319" s="70" t="s">
        <v>40</v>
      </c>
      <c r="F319" s="70" t="s">
        <v>40</v>
      </c>
      <c r="G319" s="70"/>
      <c r="H319" s="70" t="s">
        <v>40</v>
      </c>
      <c r="I319" s="70" t="s">
        <v>40</v>
      </c>
      <c r="J319" s="70" t="s">
        <v>40</v>
      </c>
      <c r="K319" s="70" t="s">
        <v>40</v>
      </c>
      <c r="L319" s="70" t="s">
        <v>40</v>
      </c>
      <c r="M319" s="70"/>
      <c r="N319" s="70" t="s">
        <v>40</v>
      </c>
      <c r="O319" s="70" t="s">
        <v>40</v>
      </c>
      <c r="P319" s="70" t="s">
        <v>40</v>
      </c>
      <c r="Q319" s="70"/>
      <c r="R319" s="70" t="s">
        <v>40</v>
      </c>
      <c r="S319" s="70" t="s">
        <v>40</v>
      </c>
      <c r="T319" s="70" t="s">
        <v>40</v>
      </c>
      <c r="U319" s="70" t="s">
        <v>40</v>
      </c>
      <c r="V319" s="70" t="s">
        <v>40</v>
      </c>
      <c r="W319" s="70"/>
      <c r="X319" s="70" t="s">
        <v>40</v>
      </c>
      <c r="Y319" s="70" t="s">
        <v>40</v>
      </c>
      <c r="Z319" s="70" t="s">
        <v>40</v>
      </c>
      <c r="AA319" s="70" t="s">
        <v>40</v>
      </c>
      <c r="AB319" s="70" t="s">
        <v>40</v>
      </c>
    </row>
    <row r="320" spans="1:50" ht="16.5" customHeight="1" thickBot="1" x14ac:dyDescent="0.3">
      <c r="A320" s="46"/>
      <c r="B320" s="112" t="s">
        <v>292</v>
      </c>
      <c r="C320" s="108"/>
      <c r="D320" s="113">
        <v>181752.55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113">
        <v>181752.55</v>
      </c>
      <c r="P320" s="104"/>
      <c r="Q320" s="72"/>
      <c r="R320" s="113">
        <f>+O320+P320</f>
        <v>181752.55</v>
      </c>
      <c r="S320" s="72"/>
      <c r="T320" s="72"/>
      <c r="U320" s="72"/>
      <c r="V320" s="72"/>
      <c r="W320" s="72"/>
      <c r="X320" s="72"/>
      <c r="Y320" s="104"/>
      <c r="Z320" s="104"/>
      <c r="AA320" s="72"/>
      <c r="AB320" s="72"/>
    </row>
    <row r="321" spans="1:43" ht="55.5" customHeight="1" thickTop="1" x14ac:dyDescent="0.25">
      <c r="A321" s="46">
        <v>30</v>
      </c>
      <c r="B321" s="23" t="s">
        <v>73</v>
      </c>
      <c r="C321" s="2" t="s">
        <v>74</v>
      </c>
      <c r="D321" s="67">
        <f>9257922.5+99410.99-2937500</f>
        <v>6419833.4900000002</v>
      </c>
      <c r="E321" s="67">
        <v>0</v>
      </c>
      <c r="F321" s="68"/>
      <c r="G321" s="68"/>
      <c r="H321" s="67">
        <f>E321+F321</f>
        <v>0</v>
      </c>
      <c r="I321" s="68"/>
      <c r="J321" s="68"/>
      <c r="K321" s="68"/>
      <c r="L321" s="67"/>
      <c r="M321" s="67"/>
      <c r="N321" s="67">
        <f>H321+L321</f>
        <v>0</v>
      </c>
      <c r="O321" s="67">
        <f>9313274.49-3879315.3</f>
        <v>5433959.1900000004</v>
      </c>
      <c r="P321" s="67"/>
      <c r="Q321" s="67"/>
      <c r="R321" s="67">
        <f>O321+P321</f>
        <v>5433959.1900000004</v>
      </c>
      <c r="S321" s="67">
        <v>1479754</v>
      </c>
      <c r="T321" s="68"/>
      <c r="U321" s="68"/>
      <c r="V321" s="67"/>
      <c r="W321" s="67"/>
      <c r="X321" s="67">
        <f>R321+V321</f>
        <v>5433959.1900000004</v>
      </c>
      <c r="Y321" s="67">
        <f t="shared" ref="Y321:Y328" si="132">R321+H321</f>
        <v>5433959.1900000004</v>
      </c>
      <c r="Z321" s="67">
        <f t="shared" ref="Z321:Z328" si="133">D321-Y321</f>
        <v>985874.29999999981</v>
      </c>
      <c r="AA321" s="67">
        <f t="shared" ref="AA321:AA328" si="134">N321+X321</f>
        <v>5433959.1900000004</v>
      </c>
      <c r="AB321" s="69">
        <f t="shared" ref="AB321:AB328" si="135">+D321-N321-X321</f>
        <v>985874.29999999981</v>
      </c>
    </row>
    <row r="322" spans="1:43" ht="15.75" customHeight="1" x14ac:dyDescent="0.25">
      <c r="A322" s="46"/>
      <c r="B322" s="4"/>
      <c r="C322" s="4" t="s">
        <v>290</v>
      </c>
      <c r="D322" s="55">
        <f>11081000+3614640.14+11081000+8000000+5000000+6000000+17500000</f>
        <v>62276640.140000001</v>
      </c>
      <c r="E322" s="55">
        <f>3614640.14+11081000+11081000+8000000+11000000</f>
        <v>44776640.140000001</v>
      </c>
      <c r="F322" s="55">
        <v>17500000</v>
      </c>
      <c r="G322" s="55"/>
      <c r="H322" s="55">
        <f>+E322+F322</f>
        <v>62276640.140000001</v>
      </c>
      <c r="I322" s="55"/>
      <c r="J322" s="55"/>
      <c r="K322" s="55"/>
      <c r="L322" s="55"/>
      <c r="M322" s="55"/>
      <c r="N322" s="55">
        <f>+H322+L322</f>
        <v>62276640.140000001</v>
      </c>
      <c r="O322" s="55">
        <v>0</v>
      </c>
      <c r="P322" s="55"/>
      <c r="Q322" s="55"/>
      <c r="R322" s="55">
        <f>+O322+P322</f>
        <v>0</v>
      </c>
      <c r="S322" s="55"/>
      <c r="T322" s="55"/>
      <c r="U322" s="55"/>
      <c r="V322" s="55"/>
      <c r="W322" s="55"/>
      <c r="X322" s="55">
        <f>+R322+V322</f>
        <v>0</v>
      </c>
      <c r="Y322" s="67">
        <f t="shared" si="132"/>
        <v>62276640.140000001</v>
      </c>
      <c r="Z322" s="67">
        <f t="shared" si="133"/>
        <v>0</v>
      </c>
      <c r="AA322" s="67">
        <f t="shared" si="134"/>
        <v>62276640.140000001</v>
      </c>
      <c r="AB322" s="69">
        <f t="shared" si="135"/>
        <v>0</v>
      </c>
      <c r="AC322" s="50" t="s">
        <v>317</v>
      </c>
      <c r="AD322" s="97">
        <f>+D210+D323+D283+D241+D230+D254</f>
        <v>38651075</v>
      </c>
      <c r="AE322" s="94">
        <f>+E210+E323+E283+E241+E230+E254</f>
        <v>38637266.299999997</v>
      </c>
      <c r="AF322" s="94">
        <f>+F210+F323+F283+F241+F230+F254</f>
        <v>0</v>
      </c>
      <c r="AG322" s="94">
        <f t="shared" ref="AG322:AG327" si="136">+AE322+AF322</f>
        <v>38637266.299999997</v>
      </c>
      <c r="AH322" s="94">
        <f>+L210+L323+L283+L241+L230+L254</f>
        <v>0</v>
      </c>
      <c r="AI322" s="94">
        <f t="shared" ref="AI322:AI327" si="137">+AG322+AH322</f>
        <v>38637266.299999997</v>
      </c>
      <c r="AJ322" s="94">
        <f>+O210+O323+O283+O241+O230+O254</f>
        <v>0</v>
      </c>
      <c r="AK322" s="94">
        <f>+P210+P323+P283+P241+P230+P254</f>
        <v>0</v>
      </c>
      <c r="AL322" s="94">
        <f t="shared" ref="AL322:AN323" si="138">+AJ322+AK322</f>
        <v>0</v>
      </c>
      <c r="AM322" s="94">
        <f t="shared" si="138"/>
        <v>0</v>
      </c>
      <c r="AN322" s="94">
        <f t="shared" si="138"/>
        <v>0</v>
      </c>
      <c r="AO322" s="94">
        <f t="shared" ref="AO322:AO327" si="139">+AG322+AL322</f>
        <v>38637266.299999997</v>
      </c>
      <c r="AP322" s="94">
        <f t="shared" ref="AP322:AP327" si="140">+AD322-AO322</f>
        <v>13808.70000000298</v>
      </c>
      <c r="AQ322" s="94">
        <f t="shared" ref="AQ322:AQ327" si="141">+AD322-AI322-AN322</f>
        <v>13808.70000000298</v>
      </c>
    </row>
    <row r="323" spans="1:43" ht="13.5" customHeight="1" x14ac:dyDescent="0.25">
      <c r="A323" s="4"/>
      <c r="B323" s="4"/>
      <c r="C323" s="4" t="s">
        <v>317</v>
      </c>
      <c r="D323" s="55">
        <f>5000000+2937500</f>
        <v>7937500</v>
      </c>
      <c r="E323" s="55">
        <f>5000000+2937500</f>
        <v>7937500</v>
      </c>
      <c r="F323" s="55"/>
      <c r="G323" s="55"/>
      <c r="H323" s="55">
        <f>+E323+F323</f>
        <v>7937500</v>
      </c>
      <c r="I323" s="55"/>
      <c r="J323" s="55"/>
      <c r="K323" s="55"/>
      <c r="L323" s="55"/>
      <c r="M323" s="55"/>
      <c r="N323" s="55">
        <f>+H323+L323</f>
        <v>7937500</v>
      </c>
      <c r="O323" s="55">
        <v>0</v>
      </c>
      <c r="P323" s="55"/>
      <c r="Q323" s="55"/>
      <c r="R323" s="55">
        <f>+O323+P323</f>
        <v>0</v>
      </c>
      <c r="S323" s="55"/>
      <c r="T323" s="55"/>
      <c r="U323" s="55"/>
      <c r="V323" s="55"/>
      <c r="W323" s="55"/>
      <c r="X323" s="55">
        <f>+R323+V323</f>
        <v>0</v>
      </c>
      <c r="Y323" s="67">
        <f t="shared" si="132"/>
        <v>7937500</v>
      </c>
      <c r="Z323" s="67">
        <f t="shared" si="133"/>
        <v>0</v>
      </c>
      <c r="AA323" s="67">
        <f t="shared" si="134"/>
        <v>7937500</v>
      </c>
      <c r="AB323" s="69">
        <f t="shared" si="135"/>
        <v>0</v>
      </c>
      <c r="AC323" s="50" t="s">
        <v>298</v>
      </c>
      <c r="AD323" s="97">
        <f>+D265+D324+D255</f>
        <v>13343480</v>
      </c>
      <c r="AE323" s="94">
        <f>+E265+E324+E255</f>
        <v>13343480</v>
      </c>
      <c r="AF323" s="94">
        <f>+F255</f>
        <v>0</v>
      </c>
      <c r="AG323" s="94">
        <f t="shared" si="136"/>
        <v>13343480</v>
      </c>
      <c r="AH323" s="94">
        <f>+L265+L324+L255</f>
        <v>0</v>
      </c>
      <c r="AI323" s="94">
        <f t="shared" si="137"/>
        <v>13343480</v>
      </c>
      <c r="AJ323" s="94">
        <f>+O265+O324+O255</f>
        <v>0</v>
      </c>
      <c r="AK323" s="94">
        <f>+P265+P324+P255</f>
        <v>0</v>
      </c>
      <c r="AL323" s="94">
        <f t="shared" si="138"/>
        <v>0</v>
      </c>
      <c r="AM323" s="94">
        <f t="shared" si="138"/>
        <v>0</v>
      </c>
      <c r="AN323" s="94">
        <f t="shared" si="138"/>
        <v>0</v>
      </c>
      <c r="AO323" s="94">
        <f t="shared" si="139"/>
        <v>13343480</v>
      </c>
      <c r="AP323" s="94">
        <f t="shared" si="140"/>
        <v>0</v>
      </c>
      <c r="AQ323" s="94">
        <f t="shared" si="141"/>
        <v>0</v>
      </c>
    </row>
    <row r="324" spans="1:43" x14ac:dyDescent="0.25">
      <c r="C324" s="4" t="s">
        <v>298</v>
      </c>
      <c r="D324" s="55">
        <v>2741280</v>
      </c>
      <c r="E324" s="55">
        <v>2741280</v>
      </c>
      <c r="F324" s="55"/>
      <c r="G324" s="55"/>
      <c r="H324" s="55">
        <f>+E324+F324</f>
        <v>2741280</v>
      </c>
      <c r="I324" s="55"/>
      <c r="J324" s="55"/>
      <c r="K324" s="55"/>
      <c r="L324" s="55"/>
      <c r="M324" s="55"/>
      <c r="N324" s="55">
        <f>+H324+L324</f>
        <v>2741280</v>
      </c>
      <c r="O324" s="55">
        <v>0</v>
      </c>
      <c r="P324" s="55"/>
      <c r="Q324" s="55"/>
      <c r="R324" s="55">
        <f>+O324+P324</f>
        <v>0</v>
      </c>
      <c r="S324" s="55"/>
      <c r="T324" s="55"/>
      <c r="U324" s="55"/>
      <c r="V324" s="55"/>
      <c r="W324" s="55"/>
      <c r="X324" s="55">
        <f>+R324+V324</f>
        <v>0</v>
      </c>
      <c r="Y324" s="67">
        <f t="shared" si="132"/>
        <v>2741280</v>
      </c>
      <c r="Z324" s="67">
        <f t="shared" si="133"/>
        <v>0</v>
      </c>
      <c r="AA324" s="67">
        <f t="shared" si="134"/>
        <v>2741280</v>
      </c>
      <c r="AB324" s="69">
        <f t="shared" si="135"/>
        <v>0</v>
      </c>
      <c r="AC324" s="49" t="s">
        <v>329</v>
      </c>
      <c r="AD324" s="94">
        <f>+D211</f>
        <v>1511746.25</v>
      </c>
      <c r="AE324" s="94">
        <f>+E211</f>
        <v>1511746.25</v>
      </c>
      <c r="AF324" s="94">
        <f>+F211</f>
        <v>0</v>
      </c>
      <c r="AG324" s="94">
        <f t="shared" si="136"/>
        <v>1511746.25</v>
      </c>
      <c r="AH324" s="94">
        <f>+L211</f>
        <v>0</v>
      </c>
      <c r="AI324" s="94">
        <f t="shared" si="137"/>
        <v>1511746.25</v>
      </c>
      <c r="AJ324" s="94">
        <f>+O211</f>
        <v>0</v>
      </c>
      <c r="AK324" s="94">
        <f>+P211</f>
        <v>0</v>
      </c>
      <c r="AL324" s="94">
        <f>+AJ324+AK324</f>
        <v>0</v>
      </c>
      <c r="AM324" s="94">
        <f>+AK324+AL324</f>
        <v>0</v>
      </c>
      <c r="AN324" s="94"/>
      <c r="AO324" s="94">
        <f t="shared" si="139"/>
        <v>1511746.25</v>
      </c>
      <c r="AP324" s="94">
        <f t="shared" si="140"/>
        <v>0</v>
      </c>
      <c r="AQ324" s="94">
        <f t="shared" si="141"/>
        <v>0</v>
      </c>
    </row>
    <row r="325" spans="1:43" ht="19.5" customHeight="1" x14ac:dyDescent="0.25">
      <c r="A325" s="46"/>
      <c r="B325" s="26"/>
      <c r="C325" s="3" t="s">
        <v>36</v>
      </c>
      <c r="D325" s="67">
        <v>1484835.53</v>
      </c>
      <c r="E325" s="67">
        <v>1484835.53</v>
      </c>
      <c r="F325" s="68"/>
      <c r="G325" s="68"/>
      <c r="H325" s="67">
        <f>E325+F325</f>
        <v>1484835.53</v>
      </c>
      <c r="I325" s="68"/>
      <c r="J325" s="68"/>
      <c r="K325" s="68"/>
      <c r="L325" s="67"/>
      <c r="M325" s="67"/>
      <c r="N325" s="67">
        <f>H325+L325</f>
        <v>1484835.53</v>
      </c>
      <c r="O325" s="67">
        <v>0</v>
      </c>
      <c r="P325" s="68"/>
      <c r="Q325" s="68"/>
      <c r="R325" s="67">
        <f>O325+P325</f>
        <v>0</v>
      </c>
      <c r="S325" s="68"/>
      <c r="T325" s="68"/>
      <c r="U325" s="68"/>
      <c r="V325" s="67"/>
      <c r="W325" s="67"/>
      <c r="X325" s="67">
        <f>R325+V325</f>
        <v>0</v>
      </c>
      <c r="Y325" s="67">
        <f t="shared" si="132"/>
        <v>1484835.53</v>
      </c>
      <c r="Z325" s="67">
        <f t="shared" si="133"/>
        <v>0</v>
      </c>
      <c r="AA325" s="67">
        <f t="shared" si="134"/>
        <v>1484835.53</v>
      </c>
      <c r="AB325" s="69">
        <f t="shared" si="135"/>
        <v>0</v>
      </c>
      <c r="AC325" s="49" t="s">
        <v>305</v>
      </c>
      <c r="AD325" s="94">
        <f>+D282</f>
        <v>20000000</v>
      </c>
      <c r="AE325" s="94">
        <f>+E282</f>
        <v>20000000</v>
      </c>
      <c r="AF325" s="94">
        <f>+F282</f>
        <v>0</v>
      </c>
      <c r="AG325" s="94">
        <f t="shared" si="136"/>
        <v>20000000</v>
      </c>
      <c r="AH325" s="94">
        <f>+L282</f>
        <v>0</v>
      </c>
      <c r="AI325" s="94">
        <f t="shared" si="137"/>
        <v>20000000</v>
      </c>
      <c r="AJ325" s="94">
        <f>+O282</f>
        <v>0</v>
      </c>
      <c r="AK325" s="94">
        <f>+P282</f>
        <v>0</v>
      </c>
      <c r="AL325" s="94">
        <f>+AJ325+AK325</f>
        <v>0</v>
      </c>
      <c r="AM325" s="94">
        <f>+AJ282</f>
        <v>0</v>
      </c>
      <c r="AN325" s="94">
        <f>+AL325+AM325</f>
        <v>0</v>
      </c>
      <c r="AO325" s="94">
        <f t="shared" si="139"/>
        <v>20000000</v>
      </c>
      <c r="AP325" s="94">
        <f t="shared" si="140"/>
        <v>0</v>
      </c>
      <c r="AQ325" s="94">
        <f t="shared" si="141"/>
        <v>0</v>
      </c>
    </row>
    <row r="326" spans="1:43" ht="15.75" customHeight="1" x14ac:dyDescent="0.25">
      <c r="A326" s="46"/>
      <c r="B326" s="26"/>
      <c r="C326" s="2" t="s">
        <v>37</v>
      </c>
      <c r="D326" s="67">
        <v>53505179.850000001</v>
      </c>
      <c r="E326" s="67">
        <v>0</v>
      </c>
      <c r="F326" s="68"/>
      <c r="G326" s="68"/>
      <c r="H326" s="67">
        <f>E326+F326</f>
        <v>0</v>
      </c>
      <c r="I326" s="68"/>
      <c r="J326" s="68"/>
      <c r="K326" s="68"/>
      <c r="L326" s="67"/>
      <c r="M326" s="67"/>
      <c r="N326" s="67">
        <f>H326+L326</f>
        <v>0</v>
      </c>
      <c r="O326" s="67">
        <v>195860.51</v>
      </c>
      <c r="P326" s="68"/>
      <c r="Q326" s="68"/>
      <c r="R326" s="67">
        <f>O326+P326</f>
        <v>195860.51</v>
      </c>
      <c r="S326" s="67"/>
      <c r="T326" s="68"/>
      <c r="U326" s="68"/>
      <c r="V326" s="67"/>
      <c r="W326" s="67"/>
      <c r="X326" s="67">
        <f>R326+V326</f>
        <v>195860.51</v>
      </c>
      <c r="Y326" s="67">
        <f t="shared" si="132"/>
        <v>195860.51</v>
      </c>
      <c r="Z326" s="67">
        <f t="shared" si="133"/>
        <v>53309319.340000004</v>
      </c>
      <c r="AA326" s="67">
        <f t="shared" si="134"/>
        <v>195860.51</v>
      </c>
      <c r="AB326" s="69">
        <f t="shared" si="135"/>
        <v>53309319.340000004</v>
      </c>
      <c r="AC326" s="106" t="s">
        <v>290</v>
      </c>
      <c r="AD326" s="94">
        <f>+D322+D284</f>
        <v>355437573.30000001</v>
      </c>
      <c r="AE326" s="94">
        <f>+E322+E284</f>
        <v>324776640.13999999</v>
      </c>
      <c r="AF326" s="94">
        <f>+F322+F284</f>
        <v>30660933.16</v>
      </c>
      <c r="AG326" s="94">
        <f t="shared" si="136"/>
        <v>355437573.30000001</v>
      </c>
      <c r="AH326" s="94">
        <f>+L322+L284</f>
        <v>0</v>
      </c>
      <c r="AI326" s="94">
        <f t="shared" si="137"/>
        <v>355437573.30000001</v>
      </c>
      <c r="AJ326" s="94">
        <f>+O322+O284</f>
        <v>0</v>
      </c>
      <c r="AK326" s="94">
        <f>+P322+P284</f>
        <v>0</v>
      </c>
      <c r="AL326" s="94">
        <f>+AJ326+AK326</f>
        <v>0</v>
      </c>
      <c r="AM326" s="94">
        <f>+AJ322+AJ284</f>
        <v>0</v>
      </c>
      <c r="AN326" s="94">
        <f>+AL326+AM326</f>
        <v>0</v>
      </c>
      <c r="AO326" s="94">
        <f t="shared" si="139"/>
        <v>355437573.30000001</v>
      </c>
      <c r="AP326" s="94">
        <f t="shared" si="140"/>
        <v>0</v>
      </c>
      <c r="AQ326" s="94">
        <f t="shared" si="141"/>
        <v>0</v>
      </c>
    </row>
    <row r="327" spans="1:43" x14ac:dyDescent="0.25">
      <c r="A327" s="46"/>
      <c r="B327" s="26"/>
      <c r="C327" s="2" t="s">
        <v>38</v>
      </c>
      <c r="D327" s="67">
        <v>12000000</v>
      </c>
      <c r="E327" s="67">
        <v>0</v>
      </c>
      <c r="F327" s="68"/>
      <c r="G327" s="68"/>
      <c r="H327" s="67">
        <f>E327+F327</f>
        <v>0</v>
      </c>
      <c r="I327" s="68"/>
      <c r="J327" s="68"/>
      <c r="K327" s="68"/>
      <c r="L327" s="67"/>
      <c r="M327" s="67"/>
      <c r="N327" s="67">
        <f>H327+L327</f>
        <v>0</v>
      </c>
      <c r="O327" s="67">
        <v>0</v>
      </c>
      <c r="P327" s="68"/>
      <c r="Q327" s="68"/>
      <c r="R327" s="67">
        <f>O327+P327</f>
        <v>0</v>
      </c>
      <c r="S327" s="68"/>
      <c r="T327" s="68"/>
      <c r="U327" s="68"/>
      <c r="V327" s="67"/>
      <c r="W327" s="67"/>
      <c r="X327" s="67">
        <f>R327+V327</f>
        <v>0</v>
      </c>
      <c r="Y327" s="67">
        <f t="shared" si="132"/>
        <v>0</v>
      </c>
      <c r="Z327" s="67">
        <f t="shared" si="133"/>
        <v>12000000</v>
      </c>
      <c r="AA327" s="67">
        <f t="shared" si="134"/>
        <v>0</v>
      </c>
      <c r="AB327" s="69">
        <f t="shared" si="135"/>
        <v>12000000</v>
      </c>
      <c r="AC327" s="49" t="s">
        <v>47</v>
      </c>
      <c r="AD327" s="94">
        <f>D208+D219+D229+D240+D251+D264+D271+D280+D294+D302+D313+D321+D333</f>
        <v>297413105.21000004</v>
      </c>
      <c r="AE327" s="94">
        <f>E208+E219+E229+E240+E251+E264+E271+E280+E294+E302+E313+E321+E333</f>
        <v>13000000</v>
      </c>
      <c r="AF327" s="94">
        <f>+F240+F251</f>
        <v>0</v>
      </c>
      <c r="AG327" s="94">
        <f t="shared" si="136"/>
        <v>13000000</v>
      </c>
      <c r="AH327" s="94">
        <f>L208+L219+L229+L240+L251+L264+L271+L280+L294+L302+L313+L321+L333</f>
        <v>0</v>
      </c>
      <c r="AI327" s="94">
        <f t="shared" si="137"/>
        <v>13000000</v>
      </c>
      <c r="AJ327" s="94">
        <f>O208+O219+O229+O240+O251+O264+O271+O280+O294+O302+O313+O321+O333</f>
        <v>31179597.59</v>
      </c>
      <c r="AK327" s="94">
        <f>P208+P219+P229+P240+P251+P264+P271+P280+P294+P302+P313+P321+P333</f>
        <v>0</v>
      </c>
      <c r="AL327" s="94">
        <f>+AJ327+AK327</f>
        <v>31179597.59</v>
      </c>
      <c r="AM327" s="94">
        <f>V208+V219+V229+V240+V251+V264+V271+V280+V294+V302+V313+V321+V333</f>
        <v>0</v>
      </c>
      <c r="AN327" s="94">
        <f>+AL327+AM327</f>
        <v>31179597.59</v>
      </c>
      <c r="AO327" s="94">
        <f t="shared" si="139"/>
        <v>44179597.590000004</v>
      </c>
      <c r="AP327" s="94">
        <f t="shared" si="140"/>
        <v>253233507.62000003</v>
      </c>
      <c r="AQ327" s="94">
        <f t="shared" si="141"/>
        <v>253233507.62000003</v>
      </c>
    </row>
    <row r="328" spans="1:43" ht="15.75" customHeight="1" x14ac:dyDescent="0.25">
      <c r="A328" s="46"/>
      <c r="B328" s="26"/>
      <c r="C328" s="8" t="s">
        <v>39</v>
      </c>
      <c r="D328" s="67">
        <v>2868222.76</v>
      </c>
      <c r="E328" s="67">
        <v>0</v>
      </c>
      <c r="F328" s="68"/>
      <c r="G328" s="68"/>
      <c r="H328" s="67">
        <f>E328+F328</f>
        <v>0</v>
      </c>
      <c r="I328" s="68"/>
      <c r="J328" s="68"/>
      <c r="K328" s="68"/>
      <c r="L328" s="67"/>
      <c r="M328" s="67"/>
      <c r="N328" s="67">
        <f>H328+L328</f>
        <v>0</v>
      </c>
      <c r="O328" s="67">
        <v>626845.6</v>
      </c>
      <c r="P328" s="68"/>
      <c r="Q328" s="68"/>
      <c r="R328" s="67">
        <f>O328+P328</f>
        <v>626845.6</v>
      </c>
      <c r="S328" s="68"/>
      <c r="T328" s="68"/>
      <c r="U328" s="68"/>
      <c r="V328" s="67"/>
      <c r="W328" s="67"/>
      <c r="X328" s="67">
        <f>R328+V328</f>
        <v>626845.6</v>
      </c>
      <c r="Y328" s="67">
        <f t="shared" si="132"/>
        <v>626845.6</v>
      </c>
      <c r="Z328" s="67">
        <f t="shared" si="133"/>
        <v>2241377.1599999997</v>
      </c>
      <c r="AA328" s="67">
        <f t="shared" si="134"/>
        <v>626845.6</v>
      </c>
      <c r="AB328" s="69">
        <f t="shared" si="135"/>
        <v>2241377.1599999997</v>
      </c>
      <c r="AC328" s="49" t="s">
        <v>36</v>
      </c>
      <c r="AD328" s="94">
        <f>D209+D220+D231+D242+D252+D272+D281+D303+D314+D325</f>
        <v>51002375.399999999</v>
      </c>
      <c r="AE328" s="94">
        <f>E209+E220+E231+E242+E252+E272+E281+E303+E314+E325</f>
        <v>51002375.399999999</v>
      </c>
      <c r="AF328" s="94">
        <f>F208+F219+F229+F271+F280+F302+F313+F321</f>
        <v>0</v>
      </c>
      <c r="AG328" s="94">
        <f t="shared" ref="AG328:AG340" si="142">+AE328+AF328</f>
        <v>51002375.399999999</v>
      </c>
      <c r="AH328" s="94">
        <f>L209+L220+L231+L242+L252+L272+L281+L303+L314+L325</f>
        <v>0</v>
      </c>
      <c r="AI328" s="94">
        <f t="shared" ref="AI328:AI340" si="143">+AG328+AH328</f>
        <v>51002375.399999999</v>
      </c>
      <c r="AJ328" s="94">
        <f>O209+O220+O231+O242+O252+O272+O281+O303+O314+O325</f>
        <v>0</v>
      </c>
      <c r="AK328" s="94">
        <f>P209+P220+P231+P242+P252+P272+P281+P303+P314+P325</f>
        <v>0</v>
      </c>
      <c r="AL328" s="94">
        <f t="shared" ref="AL328:AL340" si="144">+AJ328+AK328</f>
        <v>0</v>
      </c>
      <c r="AM328" s="94">
        <f>V209+V220+V231+V242+V252+V272+V281+V303+V314+V325</f>
        <v>0</v>
      </c>
      <c r="AN328" s="94">
        <f t="shared" ref="AN328:AN340" si="145">+AL328+AM328</f>
        <v>0</v>
      </c>
      <c r="AO328" s="94">
        <f t="shared" ref="AO328:AO340" si="146">+AG328+AL328</f>
        <v>51002375.399999999</v>
      </c>
      <c r="AP328" s="94">
        <f t="shared" ref="AP328:AP340" si="147">+AD328-AO328</f>
        <v>0</v>
      </c>
      <c r="AQ328" s="94">
        <f t="shared" ref="AQ328:AQ340" si="148">+AD328-AI328-AN328</f>
        <v>0</v>
      </c>
    </row>
    <row r="329" spans="1:43" x14ac:dyDescent="0.25">
      <c r="A329" s="46"/>
      <c r="B329" s="30"/>
      <c r="C329" s="4"/>
      <c r="D329" s="70" t="s">
        <v>40</v>
      </c>
      <c r="E329" s="70" t="s">
        <v>40</v>
      </c>
      <c r="F329" s="70" t="s">
        <v>40</v>
      </c>
      <c r="G329" s="70"/>
      <c r="H329" s="70" t="s">
        <v>40</v>
      </c>
      <c r="I329" s="70" t="s">
        <v>40</v>
      </c>
      <c r="J329" s="70" t="s">
        <v>40</v>
      </c>
      <c r="K329" s="70" t="s">
        <v>40</v>
      </c>
      <c r="L329" s="70" t="s">
        <v>40</v>
      </c>
      <c r="M329" s="70"/>
      <c r="N329" s="70" t="s">
        <v>40</v>
      </c>
      <c r="O329" s="70" t="s">
        <v>40</v>
      </c>
      <c r="P329" s="70" t="s">
        <v>40</v>
      </c>
      <c r="Q329" s="70"/>
      <c r="R329" s="70" t="s">
        <v>40</v>
      </c>
      <c r="S329" s="70" t="s">
        <v>40</v>
      </c>
      <c r="T329" s="70" t="s">
        <v>40</v>
      </c>
      <c r="U329" s="70" t="s">
        <v>40</v>
      </c>
      <c r="V329" s="70" t="s">
        <v>40</v>
      </c>
      <c r="W329" s="70"/>
      <c r="X329" s="70" t="s">
        <v>40</v>
      </c>
      <c r="Y329" s="70" t="s">
        <v>40</v>
      </c>
      <c r="Z329" s="70" t="s">
        <v>40</v>
      </c>
      <c r="AA329" s="70" t="s">
        <v>40</v>
      </c>
      <c r="AB329" s="70" t="s">
        <v>40</v>
      </c>
      <c r="AC329" s="49" t="s">
        <v>183</v>
      </c>
      <c r="AD329" s="94">
        <f>D212+D257+D295+D305+D326+D335</f>
        <v>219475424.91</v>
      </c>
      <c r="AE329" s="94">
        <f>E212+E257+E295+E305+E326+E335</f>
        <v>0</v>
      </c>
      <c r="AF329" s="94">
        <f>F209+F256+F294+F304+F325+F334</f>
        <v>0</v>
      </c>
      <c r="AG329" s="94">
        <f t="shared" si="142"/>
        <v>0</v>
      </c>
      <c r="AH329" s="94">
        <f>L212+L257+L295+L305+L326+L335</f>
        <v>0</v>
      </c>
      <c r="AI329" s="94">
        <f t="shared" si="143"/>
        <v>0</v>
      </c>
      <c r="AJ329" s="94">
        <f>O212+O257+O295+O305+O326+O335</f>
        <v>3586437.9400000004</v>
      </c>
      <c r="AK329" s="94">
        <f>P212+P257+P295+P305+P326+P335</f>
        <v>0</v>
      </c>
      <c r="AL329" s="94">
        <f t="shared" si="144"/>
        <v>3586437.9400000004</v>
      </c>
      <c r="AM329" s="94">
        <f>V212+V257+V295+V305+V326+V335</f>
        <v>0</v>
      </c>
      <c r="AN329" s="94">
        <f t="shared" si="145"/>
        <v>3586437.9400000004</v>
      </c>
      <c r="AO329" s="94">
        <f t="shared" si="146"/>
        <v>3586437.9400000004</v>
      </c>
      <c r="AP329" s="94">
        <f t="shared" si="147"/>
        <v>215888986.97</v>
      </c>
      <c r="AQ329" s="94">
        <f t="shared" si="148"/>
        <v>215888986.97</v>
      </c>
    </row>
    <row r="330" spans="1:43" x14ac:dyDescent="0.25">
      <c r="A330" s="46"/>
      <c r="B330" s="26"/>
      <c r="C330" s="4"/>
      <c r="D330" s="67">
        <f>SUM(D321:D328)</f>
        <v>149233491.76999998</v>
      </c>
      <c r="E330" s="67">
        <f>SUM(E321:E328)</f>
        <v>56940255.670000002</v>
      </c>
      <c r="F330" s="67">
        <f>SUM(F321:F328)</f>
        <v>17500000</v>
      </c>
      <c r="G330" s="67"/>
      <c r="H330" s="67">
        <f>SUM(H321:H328)</f>
        <v>74440255.670000002</v>
      </c>
      <c r="I330" s="67">
        <f>SUM(I321:I328)</f>
        <v>0</v>
      </c>
      <c r="J330" s="67">
        <f>SUM(J321:J328)</f>
        <v>0</v>
      </c>
      <c r="K330" s="67">
        <f>SUM(K321:K328)</f>
        <v>0</v>
      </c>
      <c r="L330" s="67">
        <f>SUM(L321:L328)</f>
        <v>0</v>
      </c>
      <c r="M330" s="67"/>
      <c r="N330" s="67">
        <f>SUM(N321:N328)</f>
        <v>74440255.670000002</v>
      </c>
      <c r="O330" s="67">
        <f>SUM(O321:O328)</f>
        <v>6256665.2999999998</v>
      </c>
      <c r="P330" s="67">
        <f>SUM(P321:P328)</f>
        <v>0</v>
      </c>
      <c r="Q330" s="67"/>
      <c r="R330" s="67">
        <f>SUM(R321:R328)</f>
        <v>6256665.2999999998</v>
      </c>
      <c r="S330" s="67">
        <f>SUM(S321:S328)</f>
        <v>1479754</v>
      </c>
      <c r="T330" s="67">
        <f>SUM(T321:T328)</f>
        <v>0</v>
      </c>
      <c r="U330" s="67">
        <f>SUM(U321:U328)</f>
        <v>0</v>
      </c>
      <c r="V330" s="67">
        <f>SUM(V321:V328)</f>
        <v>0</v>
      </c>
      <c r="W330" s="67"/>
      <c r="X330" s="67">
        <f>SUM(X321:X328)</f>
        <v>6256665.2999999998</v>
      </c>
      <c r="Y330" s="67">
        <f>SUM(Y321:Y328)</f>
        <v>80696920.969999999</v>
      </c>
      <c r="Z330" s="67">
        <f>SUM(Z321:Z328)</f>
        <v>68536570.799999997</v>
      </c>
      <c r="AA330" s="67">
        <f>SUM(AA321:AA328)</f>
        <v>80696920.969999999</v>
      </c>
      <c r="AB330" s="67">
        <f>SUM(AB321:AB328)</f>
        <v>68536570.799999997</v>
      </c>
      <c r="AC330" s="49" t="s">
        <v>184</v>
      </c>
      <c r="AD330" s="94">
        <f>D214+D258+D297+D307+D328+D337</f>
        <v>49233684.68</v>
      </c>
      <c r="AE330" s="94">
        <f>E214+E258+E297+E307+E328+E337</f>
        <v>0</v>
      </c>
      <c r="AF330" s="94">
        <f>F213+F257+F296+F306+F327+F336</f>
        <v>0</v>
      </c>
      <c r="AG330" s="94">
        <f t="shared" si="142"/>
        <v>0</v>
      </c>
      <c r="AH330" s="94">
        <f>L214+L258+L297+L307+L328+L337</f>
        <v>0</v>
      </c>
      <c r="AI330" s="94">
        <f t="shared" si="143"/>
        <v>0</v>
      </c>
      <c r="AJ330" s="94">
        <f>O214+O258+O297+O307+O328+O337</f>
        <v>626845.6</v>
      </c>
      <c r="AK330" s="94">
        <f>P214+P258+P297+P307+P328+P337</f>
        <v>0</v>
      </c>
      <c r="AL330" s="94">
        <f t="shared" si="144"/>
        <v>626845.6</v>
      </c>
      <c r="AM330" s="94">
        <f>V214+V258+V297+V307+V328+V337</f>
        <v>0</v>
      </c>
      <c r="AN330" s="94">
        <f t="shared" si="145"/>
        <v>626845.6</v>
      </c>
      <c r="AO330" s="94">
        <f t="shared" si="146"/>
        <v>626845.6</v>
      </c>
      <c r="AP330" s="94">
        <f t="shared" si="147"/>
        <v>48606839.079999998</v>
      </c>
      <c r="AQ330" s="94">
        <f t="shared" si="148"/>
        <v>48606839.079999998</v>
      </c>
    </row>
    <row r="331" spans="1:43" x14ac:dyDescent="0.25">
      <c r="A331" s="46"/>
      <c r="B331" s="26"/>
      <c r="C331" s="4"/>
      <c r="D331" s="70" t="s">
        <v>40</v>
      </c>
      <c r="E331" s="70" t="s">
        <v>40</v>
      </c>
      <c r="F331" s="70" t="s">
        <v>40</v>
      </c>
      <c r="G331" s="70"/>
      <c r="H331" s="70" t="s">
        <v>40</v>
      </c>
      <c r="I331" s="70" t="s">
        <v>40</v>
      </c>
      <c r="J331" s="70" t="s">
        <v>40</v>
      </c>
      <c r="K331" s="70" t="s">
        <v>40</v>
      </c>
      <c r="L331" s="70" t="s">
        <v>40</v>
      </c>
      <c r="M331" s="70"/>
      <c r="N331" s="70" t="s">
        <v>40</v>
      </c>
      <c r="O331" s="70" t="s">
        <v>40</v>
      </c>
      <c r="P331" s="70" t="s">
        <v>40</v>
      </c>
      <c r="Q331" s="70"/>
      <c r="R331" s="70" t="s">
        <v>40</v>
      </c>
      <c r="S331" s="70" t="s">
        <v>40</v>
      </c>
      <c r="T331" s="70" t="s">
        <v>40</v>
      </c>
      <c r="U331" s="70" t="s">
        <v>40</v>
      </c>
      <c r="V331" s="70" t="s">
        <v>40</v>
      </c>
      <c r="W331" s="70"/>
      <c r="X331" s="70" t="s">
        <v>40</v>
      </c>
      <c r="Y331" s="70" t="s">
        <v>40</v>
      </c>
      <c r="Z331" s="70" t="s">
        <v>40</v>
      </c>
      <c r="AA331" s="70" t="s">
        <v>40</v>
      </c>
      <c r="AB331" s="70" t="s">
        <v>40</v>
      </c>
      <c r="AC331" s="49" t="s">
        <v>38</v>
      </c>
      <c r="AD331" s="94">
        <f>D213+D296+D306+D327+D336</f>
        <v>60391472.990000002</v>
      </c>
      <c r="AE331" s="94">
        <f>E213+E296+E306+E327+E336</f>
        <v>0</v>
      </c>
      <c r="AF331" s="94">
        <f>F212+F295+F305+F326+F335</f>
        <v>0</v>
      </c>
      <c r="AG331" s="94">
        <f t="shared" si="142"/>
        <v>0</v>
      </c>
      <c r="AH331" s="94">
        <f>L213+L296+L306+L327+L336</f>
        <v>0</v>
      </c>
      <c r="AI331" s="94">
        <f t="shared" si="143"/>
        <v>0</v>
      </c>
      <c r="AJ331" s="94">
        <f>O213+O296+O306+O327+O336</f>
        <v>141345.20000000001</v>
      </c>
      <c r="AK331" s="94">
        <f>P213+P296+P306+P327+P336</f>
        <v>0</v>
      </c>
      <c r="AL331" s="94">
        <f t="shared" si="144"/>
        <v>141345.20000000001</v>
      </c>
      <c r="AM331" s="94">
        <f>V213+V296+V306+V327+V336</f>
        <v>0</v>
      </c>
      <c r="AN331" s="94">
        <f t="shared" si="145"/>
        <v>141345.20000000001</v>
      </c>
      <c r="AO331" s="94">
        <f t="shared" si="146"/>
        <v>141345.20000000001</v>
      </c>
      <c r="AP331" s="94">
        <f t="shared" si="147"/>
        <v>60250127.789999999</v>
      </c>
      <c r="AQ331" s="94">
        <f t="shared" si="148"/>
        <v>60250127.789999999</v>
      </c>
    </row>
    <row r="332" spans="1:43" x14ac:dyDescent="0.25">
      <c r="C332" s="4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49" t="s">
        <v>72</v>
      </c>
      <c r="AD332" s="94">
        <f>+D315</f>
        <v>8840000</v>
      </c>
      <c r="AE332" s="94">
        <f>+E315</f>
        <v>8840000</v>
      </c>
      <c r="AF332" s="94">
        <f>+F314</f>
        <v>0</v>
      </c>
      <c r="AG332" s="94">
        <f t="shared" si="142"/>
        <v>8840000</v>
      </c>
      <c r="AH332" s="94">
        <f>+L315</f>
        <v>0</v>
      </c>
      <c r="AI332" s="94">
        <f t="shared" si="143"/>
        <v>8840000</v>
      </c>
      <c r="AJ332" s="94">
        <f>+O315</f>
        <v>0</v>
      </c>
      <c r="AK332" s="94">
        <f>+P315</f>
        <v>0</v>
      </c>
      <c r="AL332" s="94">
        <f t="shared" si="144"/>
        <v>0</v>
      </c>
      <c r="AM332" s="94">
        <f>+V315</f>
        <v>0</v>
      </c>
      <c r="AN332" s="94">
        <f t="shared" si="145"/>
        <v>0</v>
      </c>
      <c r="AO332" s="94">
        <f t="shared" si="146"/>
        <v>8840000</v>
      </c>
      <c r="AP332" s="94">
        <f t="shared" si="147"/>
        <v>0</v>
      </c>
      <c r="AQ332" s="94">
        <f t="shared" si="148"/>
        <v>0</v>
      </c>
    </row>
    <row r="333" spans="1:43" ht="24.75" customHeight="1" x14ac:dyDescent="0.25">
      <c r="A333" s="46">
        <v>31</v>
      </c>
      <c r="B333" s="23" t="s">
        <v>75</v>
      </c>
      <c r="C333" s="2" t="s">
        <v>35</v>
      </c>
      <c r="D333" s="67">
        <v>54449180.579999998</v>
      </c>
      <c r="E333" s="67">
        <v>0</v>
      </c>
      <c r="F333" s="68"/>
      <c r="G333" s="68"/>
      <c r="H333" s="67">
        <f>E333+F333</f>
        <v>0</v>
      </c>
      <c r="I333" s="68"/>
      <c r="J333" s="68"/>
      <c r="K333" s="68"/>
      <c r="L333" s="67"/>
      <c r="M333" s="67"/>
      <c r="N333" s="67">
        <f>H333+L333</f>
        <v>0</v>
      </c>
      <c r="O333" s="67">
        <v>0</v>
      </c>
      <c r="P333" s="68"/>
      <c r="Q333" s="68"/>
      <c r="R333" s="67">
        <f>O333+P333</f>
        <v>0</v>
      </c>
      <c r="S333" s="68"/>
      <c r="T333" s="68"/>
      <c r="U333" s="68"/>
      <c r="V333" s="67"/>
      <c r="W333" s="67"/>
      <c r="X333" s="67">
        <f>R333+V333</f>
        <v>0</v>
      </c>
      <c r="Y333" s="67">
        <f>R333+H333</f>
        <v>0</v>
      </c>
      <c r="Z333" s="67">
        <f>D333-Y333</f>
        <v>54449180.579999998</v>
      </c>
      <c r="AA333" s="67">
        <f>N333+X333</f>
        <v>0</v>
      </c>
      <c r="AB333" s="69">
        <f>+D333-N333-X333</f>
        <v>54449180.579999998</v>
      </c>
      <c r="AC333" s="49" t="s">
        <v>263</v>
      </c>
      <c r="AD333" s="94">
        <f>D222+D233+D244+D256+D266</f>
        <v>25796767.960000001</v>
      </c>
      <c r="AE333" s="94">
        <f>E222+E233+E244+E256+E266</f>
        <v>25796767.960000001</v>
      </c>
      <c r="AF333" s="94">
        <f>F221+F232+F243+F253+F264</f>
        <v>0</v>
      </c>
      <c r="AG333" s="94">
        <f t="shared" si="142"/>
        <v>25796767.960000001</v>
      </c>
      <c r="AH333" s="94">
        <f>L222+L233+L244+L256+L266</f>
        <v>0</v>
      </c>
      <c r="AI333" s="94">
        <f t="shared" si="143"/>
        <v>25796767.960000001</v>
      </c>
      <c r="AJ333" s="94">
        <f>O222+O233+O244+O256+O266</f>
        <v>0</v>
      </c>
      <c r="AK333" s="94">
        <f>P222+P233+P244+P256+P266</f>
        <v>0</v>
      </c>
      <c r="AL333" s="94">
        <f t="shared" si="144"/>
        <v>0</v>
      </c>
      <c r="AM333" s="94">
        <f>V222+V233+V244+V256+V266</f>
        <v>0</v>
      </c>
      <c r="AN333" s="94">
        <f t="shared" si="145"/>
        <v>0</v>
      </c>
      <c r="AO333" s="94">
        <f t="shared" si="146"/>
        <v>25796767.960000001</v>
      </c>
      <c r="AP333" s="94">
        <f t="shared" si="147"/>
        <v>0</v>
      </c>
      <c r="AQ333" s="94">
        <f t="shared" si="148"/>
        <v>0</v>
      </c>
    </row>
    <row r="334" spans="1:43" x14ac:dyDescent="0.25">
      <c r="A334" s="46"/>
      <c r="B334" s="26"/>
      <c r="C334" s="2" t="s">
        <v>76</v>
      </c>
      <c r="D334" s="67">
        <v>1872417.01</v>
      </c>
      <c r="E334" s="67">
        <v>0</v>
      </c>
      <c r="F334" s="68"/>
      <c r="G334" s="68"/>
      <c r="H334" s="67">
        <f>E334+F334</f>
        <v>0</v>
      </c>
      <c r="I334" s="68"/>
      <c r="J334" s="68"/>
      <c r="K334" s="68"/>
      <c r="L334" s="67"/>
      <c r="M334" s="67"/>
      <c r="N334" s="67">
        <f>H334+L334</f>
        <v>0</v>
      </c>
      <c r="O334" s="67">
        <v>0</v>
      </c>
      <c r="P334" s="68"/>
      <c r="Q334" s="68"/>
      <c r="R334" s="67">
        <f>O334+P334</f>
        <v>0</v>
      </c>
      <c r="S334" s="68"/>
      <c r="T334" s="68"/>
      <c r="U334" s="68"/>
      <c r="V334" s="67"/>
      <c r="W334" s="67"/>
      <c r="X334" s="67">
        <f>R334+V334</f>
        <v>0</v>
      </c>
      <c r="Y334" s="67">
        <f>R334+H334</f>
        <v>0</v>
      </c>
      <c r="Z334" s="67">
        <f>D334-Y334</f>
        <v>1872417.01</v>
      </c>
      <c r="AA334" s="67">
        <f>N334+X334</f>
        <v>0</v>
      </c>
      <c r="AB334" s="69">
        <f>+D334-N334-X334</f>
        <v>1872417.01</v>
      </c>
      <c r="AC334" s="49" t="s">
        <v>65</v>
      </c>
      <c r="AD334" s="94">
        <f>D232+D243+D253+D273+D286+D316</f>
        <v>191367107.63</v>
      </c>
      <c r="AE334" s="94">
        <f>E232+E243+E253+E273+E286+E316</f>
        <v>191367107.63</v>
      </c>
      <c r="AF334" s="94">
        <f>F231+F242+F252+F272+F285+F315</f>
        <v>0</v>
      </c>
      <c r="AG334" s="94">
        <f t="shared" si="142"/>
        <v>191367107.63</v>
      </c>
      <c r="AH334" s="94">
        <f>L232+L243+L253+L273+L286+L316</f>
        <v>0</v>
      </c>
      <c r="AI334" s="94">
        <f t="shared" si="143"/>
        <v>191367107.63</v>
      </c>
      <c r="AJ334" s="94">
        <f>O232+O243+O253+O273+O286+O316</f>
        <v>0</v>
      </c>
      <c r="AK334" s="94">
        <f>P232+P243+P253+P273+P286+P316</f>
        <v>0</v>
      </c>
      <c r="AL334" s="94">
        <f t="shared" si="144"/>
        <v>0</v>
      </c>
      <c r="AM334" s="94">
        <f>V232+V243+V253+V273+V286+V316</f>
        <v>0</v>
      </c>
      <c r="AN334" s="94">
        <f t="shared" si="145"/>
        <v>0</v>
      </c>
      <c r="AO334" s="94">
        <f t="shared" si="146"/>
        <v>191367107.63</v>
      </c>
      <c r="AP334" s="94">
        <f t="shared" si="147"/>
        <v>0</v>
      </c>
      <c r="AQ334" s="94">
        <f t="shared" si="148"/>
        <v>0</v>
      </c>
    </row>
    <row r="335" spans="1:43" x14ac:dyDescent="0.25">
      <c r="A335" s="46"/>
      <c r="B335" s="26"/>
      <c r="C335" s="2" t="s">
        <v>37</v>
      </c>
      <c r="D335" s="67">
        <v>95926369.909999996</v>
      </c>
      <c r="E335" s="67">
        <v>0</v>
      </c>
      <c r="F335" s="68"/>
      <c r="G335" s="68"/>
      <c r="H335" s="67">
        <f>E335+F335</f>
        <v>0</v>
      </c>
      <c r="I335" s="68"/>
      <c r="J335" s="68"/>
      <c r="K335" s="68"/>
      <c r="L335" s="67"/>
      <c r="M335" s="67"/>
      <c r="N335" s="67">
        <f>H335+L335</f>
        <v>0</v>
      </c>
      <c r="O335" s="68">
        <v>595402.19999999995</v>
      </c>
      <c r="P335" s="68"/>
      <c r="Q335" s="68"/>
      <c r="R335" s="67">
        <f>O335+P335</f>
        <v>595402.19999999995</v>
      </c>
      <c r="S335" s="68"/>
      <c r="T335" s="68"/>
      <c r="U335" s="68"/>
      <c r="V335" s="67"/>
      <c r="W335" s="67"/>
      <c r="X335" s="67">
        <f>R335+V335</f>
        <v>595402.19999999995</v>
      </c>
      <c r="Y335" s="67">
        <f>R335+H335</f>
        <v>595402.19999999995</v>
      </c>
      <c r="Z335" s="67">
        <f>D335-Y335</f>
        <v>95330967.709999993</v>
      </c>
      <c r="AA335" s="67">
        <f>N335+X335</f>
        <v>595402.19999999995</v>
      </c>
      <c r="AB335" s="69">
        <f>+D335-N335-X335</f>
        <v>95330967.709999993</v>
      </c>
      <c r="AC335" s="49" t="s">
        <v>262</v>
      </c>
      <c r="AD335" s="94">
        <f>D221+D285+D304</f>
        <v>116031000</v>
      </c>
      <c r="AE335" s="94">
        <f>E221+E285+E304</f>
        <v>116031000</v>
      </c>
      <c r="AF335" s="94">
        <f>F220+F281+F303</f>
        <v>0</v>
      </c>
      <c r="AG335" s="94">
        <f t="shared" si="142"/>
        <v>116031000</v>
      </c>
      <c r="AH335" s="94">
        <f>L221+L285+L304</f>
        <v>0</v>
      </c>
      <c r="AI335" s="94">
        <f t="shared" si="143"/>
        <v>116031000</v>
      </c>
      <c r="AJ335" s="94">
        <f>O221+O285+O304</f>
        <v>0</v>
      </c>
      <c r="AK335" s="94">
        <f>P221+P285+P304</f>
        <v>0</v>
      </c>
      <c r="AL335" s="94">
        <f t="shared" si="144"/>
        <v>0</v>
      </c>
      <c r="AM335" s="94">
        <f>V221+V285+V304</f>
        <v>0</v>
      </c>
      <c r="AN335" s="94">
        <f t="shared" si="145"/>
        <v>0</v>
      </c>
      <c r="AO335" s="94">
        <f t="shared" si="146"/>
        <v>116031000</v>
      </c>
      <c r="AP335" s="94">
        <f t="shared" si="147"/>
        <v>0</v>
      </c>
      <c r="AQ335" s="94">
        <f t="shared" si="148"/>
        <v>0</v>
      </c>
    </row>
    <row r="336" spans="1:43" x14ac:dyDescent="0.25">
      <c r="A336" s="46"/>
      <c r="B336" s="26"/>
      <c r="C336" s="2" t="s">
        <v>38</v>
      </c>
      <c r="D336" s="67">
        <v>15838582.99</v>
      </c>
      <c r="E336" s="67">
        <v>0</v>
      </c>
      <c r="F336" s="68"/>
      <c r="G336" s="68"/>
      <c r="H336" s="67">
        <f>E336+F336</f>
        <v>0</v>
      </c>
      <c r="I336" s="68"/>
      <c r="J336" s="68"/>
      <c r="K336" s="68"/>
      <c r="L336" s="67"/>
      <c r="M336" s="67"/>
      <c r="N336" s="67">
        <f>H336+L336</f>
        <v>0</v>
      </c>
      <c r="O336" s="67">
        <v>0</v>
      </c>
      <c r="P336" s="68"/>
      <c r="Q336" s="68"/>
      <c r="R336" s="67">
        <f>O336+P336</f>
        <v>0</v>
      </c>
      <c r="S336" s="68"/>
      <c r="T336" s="68"/>
      <c r="U336" s="68"/>
      <c r="V336" s="67"/>
      <c r="W336" s="67"/>
      <c r="X336" s="67">
        <f>R336+V336</f>
        <v>0</v>
      </c>
      <c r="Y336" s="67">
        <f>R336+H336</f>
        <v>0</v>
      </c>
      <c r="Z336" s="67">
        <f>D336-Y336</f>
        <v>15838582.99</v>
      </c>
      <c r="AA336" s="67">
        <f>N336+X336</f>
        <v>0</v>
      </c>
      <c r="AB336" s="69">
        <f>+D336-N336-X336</f>
        <v>15838582.99</v>
      </c>
      <c r="AC336" s="49" t="s">
        <v>259</v>
      </c>
      <c r="AD336" s="94">
        <f>+D308</f>
        <v>9500000</v>
      </c>
      <c r="AE336" s="94">
        <f>+E308</f>
        <v>5549055.1900000004</v>
      </c>
      <c r="AF336" s="94">
        <f>+F307</f>
        <v>0</v>
      </c>
      <c r="AG336" s="94">
        <f t="shared" si="142"/>
        <v>5549055.1900000004</v>
      </c>
      <c r="AH336" s="94">
        <f>+L308</f>
        <v>0</v>
      </c>
      <c r="AI336" s="94">
        <f t="shared" si="143"/>
        <v>5549055.1900000004</v>
      </c>
      <c r="AJ336" s="94">
        <f>+O308</f>
        <v>835222.3</v>
      </c>
      <c r="AK336" s="94">
        <f>+P308</f>
        <v>0</v>
      </c>
      <c r="AL336" s="94">
        <f t="shared" si="144"/>
        <v>835222.3</v>
      </c>
      <c r="AM336" s="94">
        <f>+V308</f>
        <v>0</v>
      </c>
      <c r="AN336" s="94">
        <f t="shared" si="145"/>
        <v>835222.3</v>
      </c>
      <c r="AO336" s="94">
        <f t="shared" si="146"/>
        <v>6384277.4900000002</v>
      </c>
      <c r="AP336" s="94">
        <f t="shared" si="147"/>
        <v>3115722.51</v>
      </c>
      <c r="AQ336" s="94">
        <f t="shared" si="148"/>
        <v>3115722.51</v>
      </c>
    </row>
    <row r="337" spans="1:43" x14ac:dyDescent="0.25">
      <c r="A337" s="46"/>
      <c r="B337" s="26"/>
      <c r="C337" s="8" t="s">
        <v>39</v>
      </c>
      <c r="D337" s="67">
        <v>30023968.16</v>
      </c>
      <c r="E337" s="67">
        <v>0</v>
      </c>
      <c r="F337" s="68"/>
      <c r="G337" s="68"/>
      <c r="H337" s="67">
        <f>E337+F337</f>
        <v>0</v>
      </c>
      <c r="I337" s="68"/>
      <c r="J337" s="68"/>
      <c r="K337" s="68"/>
      <c r="L337" s="67"/>
      <c r="M337" s="67"/>
      <c r="N337" s="67">
        <f>H337+L337</f>
        <v>0</v>
      </c>
      <c r="O337" s="67">
        <v>0</v>
      </c>
      <c r="P337" s="68"/>
      <c r="Q337" s="68"/>
      <c r="R337" s="67">
        <f>O337+P337</f>
        <v>0</v>
      </c>
      <c r="S337" s="68"/>
      <c r="T337" s="68"/>
      <c r="U337" s="68"/>
      <c r="V337" s="67"/>
      <c r="W337" s="67"/>
      <c r="X337" s="67">
        <f>R337+V337</f>
        <v>0</v>
      </c>
      <c r="Y337" s="67">
        <f>R337+H337</f>
        <v>0</v>
      </c>
      <c r="Z337" s="67">
        <f>D337-Y337</f>
        <v>30023968.16</v>
      </c>
      <c r="AA337" s="67">
        <f>N337+X337</f>
        <v>0</v>
      </c>
      <c r="AB337" s="69">
        <f>+D337-N337-X337</f>
        <v>30023968.16</v>
      </c>
      <c r="AC337" s="49" t="s">
        <v>53</v>
      </c>
      <c r="AD337" s="94">
        <f>D223+D234+D245+D287</f>
        <v>109000328.5</v>
      </c>
      <c r="AE337" s="94">
        <f>E223+E234+E245+E287</f>
        <v>0</v>
      </c>
      <c r="AF337" s="94">
        <f>F222+F233+F244+F286</f>
        <v>0</v>
      </c>
      <c r="AG337" s="94">
        <f>+AE337+AF337</f>
        <v>0</v>
      </c>
      <c r="AH337" s="94">
        <f>L223+L234+L245+L287</f>
        <v>0</v>
      </c>
      <c r="AI337" s="94">
        <f>+AG337+AH337</f>
        <v>0</v>
      </c>
      <c r="AJ337" s="94">
        <f>O223+O234+O245+O287</f>
        <v>55187454.839999996</v>
      </c>
      <c r="AK337" s="94">
        <f>P223+P234+P245+P287</f>
        <v>0</v>
      </c>
      <c r="AL337" s="94">
        <f>+AJ337+AK337</f>
        <v>55187454.839999996</v>
      </c>
      <c r="AM337" s="94">
        <f>+V245</f>
        <v>0</v>
      </c>
      <c r="AN337" s="94">
        <f>+AL337+AM337</f>
        <v>55187454.839999996</v>
      </c>
      <c r="AO337" s="94">
        <f>+AG337+AL337</f>
        <v>55187454.839999996</v>
      </c>
      <c r="AP337" s="94">
        <f>+AD337-AO337</f>
        <v>53812873.660000004</v>
      </c>
      <c r="AQ337" s="94">
        <f t="shared" si="148"/>
        <v>53812873.660000004</v>
      </c>
    </row>
    <row r="338" spans="1:43" ht="15.75" customHeight="1" x14ac:dyDescent="0.25">
      <c r="A338" s="46"/>
      <c r="B338" s="26"/>
      <c r="C338" s="4"/>
      <c r="D338" s="70" t="s">
        <v>40</v>
      </c>
      <c r="E338" s="70" t="s">
        <v>40</v>
      </c>
      <c r="F338" s="70" t="s">
        <v>40</v>
      </c>
      <c r="G338" s="70"/>
      <c r="H338" s="70" t="s">
        <v>40</v>
      </c>
      <c r="I338" s="70" t="s">
        <v>40</v>
      </c>
      <c r="J338" s="70" t="s">
        <v>40</v>
      </c>
      <c r="K338" s="70" t="s">
        <v>40</v>
      </c>
      <c r="L338" s="70" t="s">
        <v>40</v>
      </c>
      <c r="M338" s="70"/>
      <c r="N338" s="70" t="s">
        <v>40</v>
      </c>
      <c r="O338" s="70" t="s">
        <v>40</v>
      </c>
      <c r="P338" s="70" t="s">
        <v>40</v>
      </c>
      <c r="Q338" s="70"/>
      <c r="R338" s="70" t="s">
        <v>40</v>
      </c>
      <c r="S338" s="70" t="s">
        <v>40</v>
      </c>
      <c r="T338" s="70" t="s">
        <v>40</v>
      </c>
      <c r="U338" s="70" t="s">
        <v>40</v>
      </c>
      <c r="V338" s="70" t="s">
        <v>40</v>
      </c>
      <c r="W338" s="70"/>
      <c r="X338" s="70" t="s">
        <v>40</v>
      </c>
      <c r="Y338" s="70" t="s">
        <v>40</v>
      </c>
      <c r="Z338" s="70" t="s">
        <v>40</v>
      </c>
      <c r="AA338" s="70" t="s">
        <v>40</v>
      </c>
      <c r="AB338" s="70" t="s">
        <v>40</v>
      </c>
      <c r="AC338" s="49" t="s">
        <v>54</v>
      </c>
      <c r="AD338" s="94">
        <f>D224+D235+D246+D274+D288</f>
        <v>67196197.549999997</v>
      </c>
      <c r="AE338" s="94">
        <f>E224+E235+E246+E274+E288</f>
        <v>0</v>
      </c>
      <c r="AF338" s="94">
        <f>F223+F234+F245+F287</f>
        <v>0</v>
      </c>
      <c r="AG338" s="94">
        <f t="shared" si="142"/>
        <v>0</v>
      </c>
      <c r="AH338" s="94">
        <f>L224+L235+L246+L274+L288</f>
        <v>0</v>
      </c>
      <c r="AI338" s="94">
        <f t="shared" si="143"/>
        <v>0</v>
      </c>
      <c r="AJ338" s="94">
        <f>O224+O235+O246+O274+O288</f>
        <v>63822166.310000002</v>
      </c>
      <c r="AK338" s="94">
        <f>P224+P235+P246+P274+P288</f>
        <v>0</v>
      </c>
      <c r="AL338" s="94">
        <f>+AJ338+AK338</f>
        <v>63822166.310000002</v>
      </c>
      <c r="AM338" s="94">
        <f>V224+V235+V246+V274+V288</f>
        <v>0</v>
      </c>
      <c r="AN338" s="94">
        <f t="shared" si="145"/>
        <v>63822166.310000002</v>
      </c>
      <c r="AO338" s="94">
        <f t="shared" si="146"/>
        <v>63822166.310000002</v>
      </c>
      <c r="AP338" s="94">
        <f t="shared" si="147"/>
        <v>3374031.2399999946</v>
      </c>
      <c r="AQ338" s="94">
        <f t="shared" si="148"/>
        <v>3374031.2399999946</v>
      </c>
    </row>
    <row r="339" spans="1:43" ht="16.5" customHeight="1" x14ac:dyDescent="0.25">
      <c r="A339" s="46"/>
      <c r="B339" s="26"/>
      <c r="C339" s="4"/>
      <c r="D339" s="67">
        <f t="shared" ref="D339:AB339" si="149">SUM(D333:D337)</f>
        <v>198110518.65000001</v>
      </c>
      <c r="E339" s="67">
        <f t="shared" si="149"/>
        <v>0</v>
      </c>
      <c r="F339" s="67">
        <f t="shared" si="149"/>
        <v>0</v>
      </c>
      <c r="G339" s="67"/>
      <c r="H339" s="67">
        <f t="shared" si="149"/>
        <v>0</v>
      </c>
      <c r="I339" s="67">
        <f t="shared" si="149"/>
        <v>0</v>
      </c>
      <c r="J339" s="67">
        <f t="shared" si="149"/>
        <v>0</v>
      </c>
      <c r="K339" s="67">
        <f t="shared" si="149"/>
        <v>0</v>
      </c>
      <c r="L339" s="67">
        <f t="shared" si="149"/>
        <v>0</v>
      </c>
      <c r="M339" s="67"/>
      <c r="N339" s="67">
        <f t="shared" si="149"/>
        <v>0</v>
      </c>
      <c r="O339" s="67">
        <f t="shared" si="149"/>
        <v>595402.19999999995</v>
      </c>
      <c r="P339" s="67">
        <f t="shared" si="149"/>
        <v>0</v>
      </c>
      <c r="Q339" s="67"/>
      <c r="R339" s="67">
        <f t="shared" si="149"/>
        <v>595402.19999999995</v>
      </c>
      <c r="S339" s="67">
        <f t="shared" si="149"/>
        <v>0</v>
      </c>
      <c r="T339" s="67">
        <f t="shared" si="149"/>
        <v>0</v>
      </c>
      <c r="U339" s="67">
        <f t="shared" si="149"/>
        <v>0</v>
      </c>
      <c r="V339" s="67">
        <f t="shared" si="149"/>
        <v>0</v>
      </c>
      <c r="W339" s="67"/>
      <c r="X339" s="67">
        <f t="shared" si="149"/>
        <v>595402.19999999995</v>
      </c>
      <c r="Y339" s="67">
        <f t="shared" si="149"/>
        <v>595402.19999999995</v>
      </c>
      <c r="Z339" s="67">
        <f t="shared" si="149"/>
        <v>197515116.44999999</v>
      </c>
      <c r="AA339" s="67">
        <f t="shared" si="149"/>
        <v>595402.19999999995</v>
      </c>
      <c r="AB339" s="67">
        <f t="shared" si="149"/>
        <v>197515116.44999999</v>
      </c>
      <c r="AC339" s="49" t="s">
        <v>264</v>
      </c>
      <c r="AD339" s="94">
        <f>+D334</f>
        <v>1872417.01</v>
      </c>
      <c r="AE339" s="94">
        <f>+E334</f>
        <v>0</v>
      </c>
      <c r="AF339" s="94">
        <f>+F333</f>
        <v>0</v>
      </c>
      <c r="AG339" s="94">
        <f t="shared" si="142"/>
        <v>0</v>
      </c>
      <c r="AH339" s="94">
        <f>+L334</f>
        <v>0</v>
      </c>
      <c r="AI339" s="94">
        <f t="shared" si="143"/>
        <v>0</v>
      </c>
      <c r="AJ339" s="94">
        <f>+O334</f>
        <v>0</v>
      </c>
      <c r="AK339" s="94">
        <f>+P334</f>
        <v>0</v>
      </c>
      <c r="AL339" s="94">
        <f t="shared" si="144"/>
        <v>0</v>
      </c>
      <c r="AM339" s="94">
        <f>+V334</f>
        <v>0</v>
      </c>
      <c r="AN339" s="94">
        <f t="shared" si="145"/>
        <v>0</v>
      </c>
      <c r="AO339" s="94">
        <f t="shared" si="146"/>
        <v>0</v>
      </c>
      <c r="AP339" s="94">
        <f t="shared" si="147"/>
        <v>1872417.01</v>
      </c>
      <c r="AQ339" s="94">
        <f t="shared" si="148"/>
        <v>1872417.01</v>
      </c>
    </row>
    <row r="340" spans="1:43" x14ac:dyDescent="0.25">
      <c r="A340" s="46"/>
      <c r="C340" s="4"/>
      <c r="D340" s="70" t="s">
        <v>40</v>
      </c>
      <c r="E340" s="70" t="s">
        <v>40</v>
      </c>
      <c r="F340" s="70" t="s">
        <v>40</v>
      </c>
      <c r="G340" s="70"/>
      <c r="H340" s="70" t="s">
        <v>40</v>
      </c>
      <c r="I340" s="70" t="s">
        <v>40</v>
      </c>
      <c r="J340" s="70" t="s">
        <v>40</v>
      </c>
      <c r="K340" s="70" t="s">
        <v>40</v>
      </c>
      <c r="L340" s="70" t="s">
        <v>40</v>
      </c>
      <c r="M340" s="70"/>
      <c r="N340" s="70" t="s">
        <v>40</v>
      </c>
      <c r="O340" s="70" t="s">
        <v>40</v>
      </c>
      <c r="P340" s="70" t="s">
        <v>40</v>
      </c>
      <c r="Q340" s="70"/>
      <c r="R340" s="70" t="s">
        <v>40</v>
      </c>
      <c r="S340" s="70" t="s">
        <v>40</v>
      </c>
      <c r="T340" s="70" t="s">
        <v>40</v>
      </c>
      <c r="U340" s="70" t="s">
        <v>40</v>
      </c>
      <c r="V340" s="70" t="s">
        <v>40</v>
      </c>
      <c r="W340" s="70"/>
      <c r="X340" s="70" t="s">
        <v>40</v>
      </c>
      <c r="Y340" s="70" t="s">
        <v>40</v>
      </c>
      <c r="Z340" s="70" t="s">
        <v>40</v>
      </c>
      <c r="AA340" s="70" t="s">
        <v>40</v>
      </c>
      <c r="AB340" s="70" t="s">
        <v>40</v>
      </c>
      <c r="AC340" s="52" t="s">
        <v>143</v>
      </c>
      <c r="AD340" s="94">
        <f>+D289</f>
        <v>837838.57</v>
      </c>
      <c r="AE340" s="94">
        <f>+E289</f>
        <v>837838.57</v>
      </c>
      <c r="AF340" s="94">
        <f>+F288</f>
        <v>0</v>
      </c>
      <c r="AG340" s="94">
        <f t="shared" si="142"/>
        <v>837838.57</v>
      </c>
      <c r="AH340" s="94">
        <f>+L289</f>
        <v>0</v>
      </c>
      <c r="AI340" s="94">
        <f t="shared" si="143"/>
        <v>837838.57</v>
      </c>
      <c r="AJ340" s="94">
        <f>+O289</f>
        <v>0</v>
      </c>
      <c r="AK340" s="94">
        <f>+P289</f>
        <v>0</v>
      </c>
      <c r="AL340" s="94">
        <f t="shared" si="144"/>
        <v>0</v>
      </c>
      <c r="AM340" s="94">
        <f>+V289</f>
        <v>0</v>
      </c>
      <c r="AN340" s="94">
        <f t="shared" si="145"/>
        <v>0</v>
      </c>
      <c r="AO340" s="94">
        <f t="shared" si="146"/>
        <v>837838.57</v>
      </c>
      <c r="AP340" s="94">
        <f t="shared" si="147"/>
        <v>0</v>
      </c>
      <c r="AQ340" s="94">
        <f t="shared" si="148"/>
        <v>0</v>
      </c>
    </row>
    <row r="341" spans="1:43" x14ac:dyDescent="0.25">
      <c r="A341" s="46"/>
      <c r="B341" s="37" t="s">
        <v>26</v>
      </c>
      <c r="C341" s="2" t="s">
        <v>58</v>
      </c>
      <c r="D341" s="67">
        <f>D339+D330+D318+D310+D299+D291+D276+D268+D260+D248+D237+D226+D216</f>
        <v>1636901594.96</v>
      </c>
      <c r="E341" s="67">
        <f>E339+E330+E318+E310+E299+E291+E276+E268+E260+E248+E237+E226+E216</f>
        <v>810693277.44000006</v>
      </c>
      <c r="F341" s="67">
        <f>F339+F330+F318+F310+F299+F291+F276+F268+F260+F248+F237+F226+F216</f>
        <v>30660933.16</v>
      </c>
      <c r="G341" s="67"/>
      <c r="H341" s="67">
        <f>H339+H330+H318+H310+H299+H291+H276+H268+H260+H248+H237+H226+H216</f>
        <v>841354210.60000002</v>
      </c>
      <c r="I341" s="67">
        <f>I339+I330+I318+I310+I299+I291+I276+I268+I260+I248+I237+I226+I216</f>
        <v>0</v>
      </c>
      <c r="J341" s="67">
        <f>J339+J330+J318+J310+J299+J291+J276+J268+J260+J248+J237+J226+J216</f>
        <v>0</v>
      </c>
      <c r="K341" s="67">
        <f>K339+K330+K318+K310+K299+K291+K276+K268+K260+K248+K237+K226+K216</f>
        <v>0</v>
      </c>
      <c r="L341" s="67">
        <f>L339+L330+L318+L310+L299+L291+L276+L268+L260+L248+L237+L226+L216</f>
        <v>0</v>
      </c>
      <c r="M341" s="67"/>
      <c r="N341" s="67">
        <f>N339+N330+N318+N310+N299+N291+N276+N268+N260+N248+N237+N226+N216</f>
        <v>841354210.60000002</v>
      </c>
      <c r="O341" s="67">
        <f>O339+O330+O318+O310+O299+O291+O276+O268+O260+O248+O237+O226+O216</f>
        <v>155379069.78000003</v>
      </c>
      <c r="P341" s="67">
        <f>P339+P330+P318+P310+P299+P291+P276+P268+P260+P248+P237+P226+P216</f>
        <v>0</v>
      </c>
      <c r="Q341" s="67"/>
      <c r="R341" s="67">
        <f>R339+R330+R318+R310+R299+R291+R276+R268+R260+R248+R237+R226+R216</f>
        <v>155379069.78000003</v>
      </c>
      <c r="S341" s="67">
        <f>S339+S330+S318+S310+S299+S291+S276+S268+S260+S248+S237+S226+S216</f>
        <v>1690000.5999999999</v>
      </c>
      <c r="T341" s="67">
        <f>T339+T330+T318+T310+T299+T291+T276+T268+T260+T248+T237+T226+T216</f>
        <v>210246.6</v>
      </c>
      <c r="U341" s="67">
        <f>U339+U330+U318+U310+U299+U291+U276+U268+U260+U248+U237+U226+U216</f>
        <v>0</v>
      </c>
      <c r="V341" s="67">
        <f>V339+V330+V318+V310+V299+V291+V276+V268+V260+V248+V237+V226+V216</f>
        <v>0</v>
      </c>
      <c r="W341" s="67"/>
      <c r="X341" s="67">
        <f>X339+X330+X318+X310+X299+X291+X276+X268+X260+X248+X237+X226+X216</f>
        <v>155379069.78000003</v>
      </c>
      <c r="Y341" s="67">
        <f>Y339+Y330+Y318+Y310+Y299+Y291+Y276+Y268+Y260+Y248+Y237+Y226+Y216</f>
        <v>996733280.38000011</v>
      </c>
      <c r="Z341" s="67">
        <f>Z339+Z330+Z318+Z310+Z299+Z291+Z276+Z268+Z260+Z248+Z237+Z226+Z216</f>
        <v>640168314.58000004</v>
      </c>
      <c r="AA341" s="67">
        <f>AA339+AA330+AA318+AA310+AA299+AA291+AA276+AA268+AA260+AA248+AA237+AA226+AA216</f>
        <v>996733280.38000011</v>
      </c>
      <c r="AB341" s="67">
        <f>AB339+AB330+AB318+AB310+AB299+AB291+AB276+AB268+AB260+AB248+AB237+AB226+AB216</f>
        <v>640168314.58000004</v>
      </c>
      <c r="AD341" s="95">
        <f t="shared" ref="AD341:AQ341" si="150">SUM(AD322:AD340)</f>
        <v>1636901594.9599998</v>
      </c>
      <c r="AE341" s="95">
        <f t="shared" si="150"/>
        <v>810693277.44000006</v>
      </c>
      <c r="AF341" s="95">
        <f t="shared" si="150"/>
        <v>30660933.16</v>
      </c>
      <c r="AG341" s="95">
        <f t="shared" si="150"/>
        <v>841354210.60000002</v>
      </c>
      <c r="AH341" s="95">
        <f t="shared" si="150"/>
        <v>0</v>
      </c>
      <c r="AI341" s="95">
        <f t="shared" si="150"/>
        <v>841354210.60000002</v>
      </c>
      <c r="AJ341" s="95">
        <f t="shared" si="150"/>
        <v>155379069.78</v>
      </c>
      <c r="AK341" s="95">
        <f t="shared" si="150"/>
        <v>0</v>
      </c>
      <c r="AL341" s="95">
        <f t="shared" si="150"/>
        <v>155379069.78</v>
      </c>
      <c r="AM341" s="95">
        <f t="shared" si="150"/>
        <v>0</v>
      </c>
      <c r="AN341" s="95">
        <f t="shared" si="150"/>
        <v>155379069.78</v>
      </c>
      <c r="AO341" s="95">
        <f t="shared" si="150"/>
        <v>996733280.38000023</v>
      </c>
      <c r="AP341" s="95">
        <f t="shared" si="150"/>
        <v>640168314.58000004</v>
      </c>
      <c r="AQ341" s="95">
        <f t="shared" si="150"/>
        <v>640168314.58000004</v>
      </c>
    </row>
    <row r="342" spans="1:43" x14ac:dyDescent="0.25">
      <c r="A342" s="46"/>
      <c r="B342" s="26"/>
      <c r="C342" s="4"/>
      <c r="D342" s="70" t="s">
        <v>50</v>
      </c>
      <c r="E342" s="70" t="s">
        <v>50</v>
      </c>
      <c r="F342" s="70" t="s">
        <v>50</v>
      </c>
      <c r="G342" s="70"/>
      <c r="H342" s="70" t="s">
        <v>50</v>
      </c>
      <c r="I342" s="70" t="s">
        <v>50</v>
      </c>
      <c r="J342" s="70" t="s">
        <v>50</v>
      </c>
      <c r="K342" s="70" t="s">
        <v>50</v>
      </c>
      <c r="L342" s="70" t="s">
        <v>50</v>
      </c>
      <c r="M342" s="70"/>
      <c r="N342" s="70" t="s">
        <v>50</v>
      </c>
      <c r="O342" s="70" t="s">
        <v>50</v>
      </c>
      <c r="P342" s="70" t="s">
        <v>50</v>
      </c>
      <c r="Q342" s="70"/>
      <c r="R342" s="70" t="s">
        <v>50</v>
      </c>
      <c r="S342" s="70" t="s">
        <v>50</v>
      </c>
      <c r="T342" s="70" t="s">
        <v>50</v>
      </c>
      <c r="U342" s="70" t="s">
        <v>50</v>
      </c>
      <c r="V342" s="70" t="s">
        <v>50</v>
      </c>
      <c r="W342" s="70"/>
      <c r="X342" s="70" t="s">
        <v>50</v>
      </c>
      <c r="Y342" s="70" t="s">
        <v>50</v>
      </c>
      <c r="Z342" s="70" t="s">
        <v>50</v>
      </c>
      <c r="AA342" s="70" t="s">
        <v>50</v>
      </c>
      <c r="AB342" s="70" t="s">
        <v>50</v>
      </c>
    </row>
    <row r="343" spans="1:43" ht="18" customHeight="1" x14ac:dyDescent="0.25">
      <c r="C343" s="20"/>
      <c r="D343" s="75"/>
      <c r="E343" s="72"/>
      <c r="F343" s="70"/>
      <c r="G343" s="70"/>
      <c r="H343" s="70"/>
      <c r="I343" s="70"/>
      <c r="J343" s="70"/>
      <c r="K343" s="70"/>
      <c r="L343" s="70"/>
      <c r="M343" s="70"/>
      <c r="N343" s="70"/>
      <c r="O343" s="72"/>
      <c r="P343" s="70"/>
      <c r="Q343" s="70"/>
      <c r="R343" s="70"/>
      <c r="S343" s="70"/>
      <c r="T343" s="70"/>
      <c r="U343" s="70"/>
      <c r="V343" s="72"/>
      <c r="W343" s="70"/>
      <c r="X343" s="70"/>
      <c r="Y343" s="70"/>
      <c r="Z343" s="70"/>
      <c r="AA343" s="70"/>
      <c r="AB343" s="70"/>
    </row>
    <row r="344" spans="1:43" ht="19.5" customHeight="1" x14ac:dyDescent="0.35">
      <c r="A344" s="46"/>
      <c r="B344" s="48" t="s">
        <v>178</v>
      </c>
      <c r="C344" s="4"/>
      <c r="D344" s="79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M344">
        <f>+AM341-V341</f>
        <v>0</v>
      </c>
      <c r="AO344" s="94">
        <f>+AO341-Y341</f>
        <v>0</v>
      </c>
    </row>
    <row r="345" spans="1:43" ht="15.75" customHeight="1" x14ac:dyDescent="0.25">
      <c r="C345" s="4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</row>
    <row r="346" spans="1:43" ht="15.75" customHeight="1" x14ac:dyDescent="0.25">
      <c r="A346" s="46">
        <v>32</v>
      </c>
      <c r="B346" s="26" t="s">
        <v>179</v>
      </c>
      <c r="C346" s="2" t="s">
        <v>35</v>
      </c>
      <c r="D346" s="72">
        <v>11108782.310000001</v>
      </c>
      <c r="E346" s="70"/>
      <c r="F346" s="72"/>
      <c r="G346" s="70"/>
      <c r="H346" s="67">
        <f>E346+F346</f>
        <v>0</v>
      </c>
      <c r="I346" s="70"/>
      <c r="J346" s="70"/>
      <c r="K346" s="70"/>
      <c r="L346" s="70"/>
      <c r="M346" s="70"/>
      <c r="N346" s="67">
        <f t="shared" ref="N346:N352" si="151">H346+L346</f>
        <v>0</v>
      </c>
      <c r="O346" s="72">
        <v>11108782.310000001</v>
      </c>
      <c r="P346" s="70"/>
      <c r="Q346" s="70"/>
      <c r="R346" s="67">
        <f>O346+P346</f>
        <v>11108782.310000001</v>
      </c>
      <c r="S346" s="70"/>
      <c r="T346" s="70"/>
      <c r="U346" s="70"/>
      <c r="V346" s="70"/>
      <c r="W346" s="70"/>
      <c r="X346" s="67">
        <f t="shared" ref="X346:X352" si="152">R346+V346</f>
        <v>11108782.310000001</v>
      </c>
      <c r="Y346" s="67">
        <f t="shared" ref="Y346:Y352" si="153">R346+H346</f>
        <v>11108782.310000001</v>
      </c>
      <c r="Z346" s="67">
        <f t="shared" ref="Z346:Z352" si="154">D346-Y346</f>
        <v>0</v>
      </c>
      <c r="AA346" s="67">
        <f t="shared" ref="AA346:AA352" si="155">N346+X346</f>
        <v>11108782.310000001</v>
      </c>
      <c r="AB346" s="69">
        <f t="shared" ref="AB346:AB352" si="156">+D346-N346-X346</f>
        <v>0</v>
      </c>
    </row>
    <row r="347" spans="1:43" ht="15.75" customHeight="1" x14ac:dyDescent="0.25">
      <c r="A347" s="46"/>
      <c r="B347" s="26"/>
      <c r="C347" s="4" t="s">
        <v>36</v>
      </c>
      <c r="D347" s="72">
        <v>1551040</v>
      </c>
      <c r="E347" s="72">
        <v>1551040</v>
      </c>
      <c r="F347" s="70"/>
      <c r="G347" s="70"/>
      <c r="H347" s="67">
        <f>E347+F347</f>
        <v>1551040</v>
      </c>
      <c r="I347" s="70"/>
      <c r="J347" s="70"/>
      <c r="K347" s="70"/>
      <c r="L347" s="70"/>
      <c r="M347" s="70"/>
      <c r="N347" s="67">
        <f t="shared" si="151"/>
        <v>1551040</v>
      </c>
      <c r="O347" s="72"/>
      <c r="P347" s="70"/>
      <c r="Q347" s="70"/>
      <c r="R347" s="67">
        <f>O347+P347</f>
        <v>0</v>
      </c>
      <c r="S347" s="70"/>
      <c r="T347" s="70"/>
      <c r="U347" s="70"/>
      <c r="V347" s="70"/>
      <c r="W347" s="70"/>
      <c r="X347" s="67">
        <f t="shared" si="152"/>
        <v>0</v>
      </c>
      <c r="Y347" s="67">
        <f t="shared" si="153"/>
        <v>1551040</v>
      </c>
      <c r="Z347" s="67">
        <f t="shared" si="154"/>
        <v>0</v>
      </c>
      <c r="AA347" s="67">
        <f t="shared" si="155"/>
        <v>1551040</v>
      </c>
      <c r="AB347" s="69">
        <f t="shared" si="156"/>
        <v>0</v>
      </c>
    </row>
    <row r="348" spans="1:43" x14ac:dyDescent="0.25">
      <c r="A348" s="46"/>
      <c r="B348" s="26"/>
      <c r="C348" s="4" t="s">
        <v>180</v>
      </c>
      <c r="D348" s="72">
        <f>3756635.78+17595+1669922.4</f>
        <v>5444153.1799999997</v>
      </c>
      <c r="E348" s="70"/>
      <c r="F348" s="70"/>
      <c r="G348" s="70"/>
      <c r="H348" s="67">
        <f>E348+F348</f>
        <v>0</v>
      </c>
      <c r="I348" s="70"/>
      <c r="J348" s="70"/>
      <c r="K348" s="70"/>
      <c r="L348" s="70"/>
      <c r="M348" s="70"/>
      <c r="N348" s="67">
        <f t="shared" si="151"/>
        <v>0</v>
      </c>
      <c r="O348" s="72">
        <f>1303740.25+17595+4122817.93</f>
        <v>5444153.1799999997</v>
      </c>
      <c r="P348" s="72"/>
      <c r="Q348" s="70"/>
      <c r="R348" s="67">
        <f>O348+P348</f>
        <v>5444153.1799999997</v>
      </c>
      <c r="S348" s="70"/>
      <c r="T348" s="70"/>
      <c r="U348" s="70"/>
      <c r="V348" s="72"/>
      <c r="W348" s="72"/>
      <c r="X348" s="67">
        <f t="shared" si="152"/>
        <v>5444153.1799999997</v>
      </c>
      <c r="Y348" s="67">
        <f t="shared" si="153"/>
        <v>5444153.1799999997</v>
      </c>
      <c r="Z348" s="67">
        <f t="shared" si="154"/>
        <v>0</v>
      </c>
      <c r="AA348" s="67">
        <f t="shared" si="155"/>
        <v>5444153.1799999997</v>
      </c>
      <c r="AB348" s="69">
        <f t="shared" si="156"/>
        <v>0</v>
      </c>
    </row>
    <row r="349" spans="1:43" x14ac:dyDescent="0.25">
      <c r="A349" s="46"/>
      <c r="B349" s="26"/>
      <c r="C349" s="4" t="s">
        <v>181</v>
      </c>
      <c r="D349" s="72">
        <v>11690201.449999999</v>
      </c>
      <c r="E349" s="70"/>
      <c r="F349" s="70"/>
      <c r="G349" s="70"/>
      <c r="H349" s="67">
        <f>E349+F349</f>
        <v>0</v>
      </c>
      <c r="I349" s="70"/>
      <c r="J349" s="70"/>
      <c r="K349" s="70"/>
      <c r="L349" s="70"/>
      <c r="M349" s="70"/>
      <c r="N349" s="67">
        <f t="shared" si="151"/>
        <v>0</v>
      </c>
      <c r="O349" s="72"/>
      <c r="P349" s="70"/>
      <c r="Q349" s="70"/>
      <c r="R349" s="67">
        <f>O349+P349</f>
        <v>0</v>
      </c>
      <c r="S349" s="70"/>
      <c r="T349" s="70"/>
      <c r="U349" s="70"/>
      <c r="V349" s="70"/>
      <c r="W349" s="70"/>
      <c r="X349" s="67">
        <f t="shared" si="152"/>
        <v>0</v>
      </c>
      <c r="Y349" s="67">
        <f t="shared" si="153"/>
        <v>0</v>
      </c>
      <c r="Z349" s="67">
        <f t="shared" si="154"/>
        <v>11690201.449999999</v>
      </c>
      <c r="AA349" s="67">
        <f t="shared" si="155"/>
        <v>0</v>
      </c>
      <c r="AB349" s="69">
        <f t="shared" si="156"/>
        <v>11690201.449999999</v>
      </c>
    </row>
    <row r="350" spans="1:43" x14ac:dyDescent="0.25">
      <c r="C350" s="4" t="s">
        <v>298</v>
      </c>
      <c r="D350" s="55">
        <v>8000000</v>
      </c>
      <c r="E350" s="55">
        <v>8000000</v>
      </c>
      <c r="F350" s="55"/>
      <c r="G350" s="55"/>
      <c r="H350" s="55">
        <f>+E350+F350</f>
        <v>8000000</v>
      </c>
      <c r="I350" s="55"/>
      <c r="J350" s="55"/>
      <c r="K350" s="55"/>
      <c r="L350" s="55"/>
      <c r="M350" s="55"/>
      <c r="N350" s="55">
        <f t="shared" si="151"/>
        <v>8000000</v>
      </c>
      <c r="O350" s="55"/>
      <c r="P350" s="55"/>
      <c r="Q350" s="55"/>
      <c r="R350" s="55">
        <f>+O350+P350</f>
        <v>0</v>
      </c>
      <c r="S350" s="55"/>
      <c r="T350" s="55"/>
      <c r="U350" s="55"/>
      <c r="V350" s="55"/>
      <c r="W350" s="55"/>
      <c r="X350" s="55">
        <f t="shared" si="152"/>
        <v>0</v>
      </c>
      <c r="Y350" s="55">
        <f t="shared" si="153"/>
        <v>8000000</v>
      </c>
      <c r="Z350" s="55">
        <f t="shared" si="154"/>
        <v>0</v>
      </c>
      <c r="AA350" s="55">
        <f t="shared" si="155"/>
        <v>8000000</v>
      </c>
      <c r="AB350" s="55">
        <f t="shared" si="156"/>
        <v>0</v>
      </c>
    </row>
    <row r="351" spans="1:43" x14ac:dyDescent="0.25">
      <c r="A351" s="46"/>
      <c r="B351" s="26"/>
      <c r="C351" s="29" t="s">
        <v>247</v>
      </c>
      <c r="D351" s="72">
        <v>9500000</v>
      </c>
      <c r="E351" s="72">
        <v>5617680.4800000004</v>
      </c>
      <c r="F351" s="70"/>
      <c r="G351" s="70"/>
      <c r="H351" s="67">
        <f>E351+F351</f>
        <v>5617680.4800000004</v>
      </c>
      <c r="I351" s="70"/>
      <c r="J351" s="70"/>
      <c r="K351" s="70"/>
      <c r="L351" s="70"/>
      <c r="M351" s="70"/>
      <c r="N351" s="67">
        <f t="shared" si="151"/>
        <v>5617680.4800000004</v>
      </c>
      <c r="O351" s="72">
        <v>835222.3</v>
      </c>
      <c r="P351" s="70"/>
      <c r="Q351" s="70"/>
      <c r="R351" s="67">
        <f>O351+P351</f>
        <v>835222.3</v>
      </c>
      <c r="S351" s="70"/>
      <c r="T351" s="70"/>
      <c r="U351" s="70"/>
      <c r="V351" s="70"/>
      <c r="W351" s="70"/>
      <c r="X351" s="67">
        <f t="shared" si="152"/>
        <v>835222.3</v>
      </c>
      <c r="Y351" s="67">
        <f t="shared" si="153"/>
        <v>6452902.7800000003</v>
      </c>
      <c r="Z351" s="67">
        <f t="shared" si="154"/>
        <v>3047097.2199999997</v>
      </c>
      <c r="AA351" s="67">
        <f t="shared" si="155"/>
        <v>6452902.7800000003</v>
      </c>
      <c r="AB351" s="69">
        <f t="shared" si="156"/>
        <v>3047097.2199999997</v>
      </c>
    </row>
    <row r="352" spans="1:43" ht="15.75" customHeight="1" x14ac:dyDescent="0.25">
      <c r="A352" s="46"/>
      <c r="B352" s="26"/>
      <c r="C352" s="4" t="s">
        <v>44</v>
      </c>
      <c r="D352" s="72">
        <v>8500000</v>
      </c>
      <c r="E352" s="72">
        <v>8500000</v>
      </c>
      <c r="F352" s="70"/>
      <c r="G352" s="70"/>
      <c r="H352" s="67">
        <f>E352+F352</f>
        <v>8500000</v>
      </c>
      <c r="I352" s="70"/>
      <c r="J352" s="70"/>
      <c r="K352" s="70"/>
      <c r="L352" s="70"/>
      <c r="M352" s="70"/>
      <c r="N352" s="67">
        <f t="shared" si="151"/>
        <v>8500000</v>
      </c>
      <c r="O352" s="72"/>
      <c r="P352" s="70"/>
      <c r="Q352" s="70"/>
      <c r="R352" s="67">
        <f>O352+P352</f>
        <v>0</v>
      </c>
      <c r="S352" s="70"/>
      <c r="T352" s="70"/>
      <c r="U352" s="70"/>
      <c r="V352" s="70"/>
      <c r="W352" s="70"/>
      <c r="X352" s="67">
        <f t="shared" si="152"/>
        <v>0</v>
      </c>
      <c r="Y352" s="67">
        <f t="shared" si="153"/>
        <v>8500000</v>
      </c>
      <c r="Z352" s="67">
        <f t="shared" si="154"/>
        <v>0</v>
      </c>
      <c r="AA352" s="67">
        <f t="shared" si="155"/>
        <v>8500000</v>
      </c>
      <c r="AB352" s="69">
        <f t="shared" si="156"/>
        <v>0</v>
      </c>
    </row>
    <row r="353" spans="1:31" ht="15.75" customHeight="1" x14ac:dyDescent="0.25">
      <c r="A353" s="46"/>
      <c r="B353" s="26"/>
      <c r="C353" s="4"/>
      <c r="D353" s="70" t="s">
        <v>40</v>
      </c>
      <c r="E353" s="70" t="s">
        <v>40</v>
      </c>
      <c r="F353" s="70" t="s">
        <v>40</v>
      </c>
      <c r="G353" s="70"/>
      <c r="H353" s="70" t="s">
        <v>40</v>
      </c>
      <c r="I353" s="70" t="s">
        <v>40</v>
      </c>
      <c r="J353" s="70" t="s">
        <v>40</v>
      </c>
      <c r="K353" s="70" t="s">
        <v>40</v>
      </c>
      <c r="L353" s="70" t="s">
        <v>40</v>
      </c>
      <c r="M353" s="70"/>
      <c r="N353" s="70" t="s">
        <v>40</v>
      </c>
      <c r="O353" s="70" t="s">
        <v>40</v>
      </c>
      <c r="P353" s="70" t="s">
        <v>40</v>
      </c>
      <c r="Q353" s="70"/>
      <c r="R353" s="70" t="s">
        <v>40</v>
      </c>
      <c r="S353" s="70" t="s">
        <v>40</v>
      </c>
      <c r="T353" s="70" t="s">
        <v>40</v>
      </c>
      <c r="U353" s="70" t="s">
        <v>40</v>
      </c>
      <c r="V353" s="70" t="s">
        <v>40</v>
      </c>
      <c r="W353" s="70"/>
      <c r="X353" s="70" t="s">
        <v>40</v>
      </c>
      <c r="Y353" s="70" t="s">
        <v>40</v>
      </c>
      <c r="Z353" s="70" t="s">
        <v>40</v>
      </c>
      <c r="AA353" s="70" t="s">
        <v>40</v>
      </c>
      <c r="AB353" s="70" t="s">
        <v>40</v>
      </c>
    </row>
    <row r="354" spans="1:31" ht="15.75" customHeight="1" x14ac:dyDescent="0.25">
      <c r="A354" s="46"/>
      <c r="B354" s="26"/>
      <c r="C354" s="4"/>
      <c r="D354" s="72">
        <f>SUM(D346:D352)</f>
        <v>55794176.939999998</v>
      </c>
      <c r="E354" s="72">
        <f>SUM(E346:E352)</f>
        <v>23668720.48</v>
      </c>
      <c r="F354" s="72">
        <f>SUM(F346:F352)</f>
        <v>0</v>
      </c>
      <c r="G354" s="72"/>
      <c r="H354" s="72">
        <f>SUM(H346:H352)</f>
        <v>23668720.48</v>
      </c>
      <c r="I354" s="72">
        <f>SUM(I346:I352)</f>
        <v>0</v>
      </c>
      <c r="J354" s="72">
        <f>SUM(J346:J352)</f>
        <v>0</v>
      </c>
      <c r="K354" s="72">
        <f>SUM(K346:K352)</f>
        <v>0</v>
      </c>
      <c r="L354" s="72">
        <f>SUM(L346:L352)</f>
        <v>0</v>
      </c>
      <c r="M354" s="72"/>
      <c r="N354" s="72">
        <f>SUM(N346:N352)</f>
        <v>23668720.48</v>
      </c>
      <c r="O354" s="72">
        <f>SUM(O346:O352)</f>
        <v>17388157.789999999</v>
      </c>
      <c r="P354" s="72">
        <f>SUM(P346:P352)</f>
        <v>0</v>
      </c>
      <c r="Q354" s="72"/>
      <c r="R354" s="72">
        <f>SUM(R346:R352)</f>
        <v>17388157.789999999</v>
      </c>
      <c r="S354" s="72">
        <f>SUM(S346:S352)</f>
        <v>0</v>
      </c>
      <c r="T354" s="72">
        <f>SUM(T346:T352)</f>
        <v>0</v>
      </c>
      <c r="U354" s="72">
        <f>SUM(U346:U352)</f>
        <v>0</v>
      </c>
      <c r="V354" s="72">
        <f>SUM(V346:V352)</f>
        <v>0</v>
      </c>
      <c r="W354" s="72"/>
      <c r="X354" s="72">
        <f>SUM(X346:X352)</f>
        <v>17388157.789999999</v>
      </c>
      <c r="Y354" s="72">
        <f>SUM(Y346:Y352)</f>
        <v>41056878.270000003</v>
      </c>
      <c r="Z354" s="72">
        <f>SUM(Z346:Z352)</f>
        <v>14737298.669999998</v>
      </c>
      <c r="AA354" s="72">
        <f>SUM(AA346:AA352)</f>
        <v>41056878.270000003</v>
      </c>
      <c r="AB354" s="72">
        <f>SUM(AB346:AB352)</f>
        <v>14737298.669999998</v>
      </c>
    </row>
    <row r="355" spans="1:31" ht="15.75" customHeight="1" x14ac:dyDescent="0.25">
      <c r="A355" s="46"/>
      <c r="B355" s="4" t="str">
        <f>+B346</f>
        <v>BATANGAS I</v>
      </c>
      <c r="C355" s="4"/>
      <c r="D355" s="70" t="s">
        <v>40</v>
      </c>
      <c r="E355" s="70" t="s">
        <v>40</v>
      </c>
      <c r="F355" s="70" t="s">
        <v>40</v>
      </c>
      <c r="G355" s="70"/>
      <c r="H355" s="70" t="s">
        <v>40</v>
      </c>
      <c r="I355" s="70" t="s">
        <v>40</v>
      </c>
      <c r="J355" s="70" t="s">
        <v>40</v>
      </c>
      <c r="K355" s="70" t="s">
        <v>40</v>
      </c>
      <c r="L355" s="70" t="s">
        <v>40</v>
      </c>
      <c r="M355" s="70"/>
      <c r="N355" s="70" t="s">
        <v>40</v>
      </c>
      <c r="O355" s="70" t="s">
        <v>40</v>
      </c>
      <c r="P355" s="70" t="s">
        <v>40</v>
      </c>
      <c r="Q355" s="70"/>
      <c r="R355" s="70" t="s">
        <v>40</v>
      </c>
      <c r="S355" s="70" t="s">
        <v>40</v>
      </c>
      <c r="T355" s="70" t="s">
        <v>40</v>
      </c>
      <c r="U355" s="70" t="s">
        <v>40</v>
      </c>
      <c r="V355" s="70" t="s">
        <v>40</v>
      </c>
      <c r="W355" s="70"/>
      <c r="X355" s="70" t="s">
        <v>40</v>
      </c>
      <c r="Y355" s="70" t="s">
        <v>40</v>
      </c>
      <c r="Z355" s="70" t="s">
        <v>40</v>
      </c>
      <c r="AA355" s="70" t="s">
        <v>40</v>
      </c>
      <c r="AB355" s="70" t="s">
        <v>40</v>
      </c>
    </row>
    <row r="356" spans="1:31" ht="15.75" customHeight="1" thickBot="1" x14ac:dyDescent="0.3">
      <c r="A356" s="46"/>
      <c r="B356" s="112" t="s">
        <v>292</v>
      </c>
      <c r="C356" s="4"/>
      <c r="D356" s="135">
        <f>2750813.03+1981149.75+1366080</f>
        <v>6098042.7799999993</v>
      </c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5">
        <f>2750813.03+1981149.75+1366080</f>
        <v>6098042.7799999993</v>
      </c>
      <c r="P356" s="136"/>
      <c r="Q356" s="133"/>
      <c r="R356" s="135">
        <f>+O356+P356</f>
        <v>6098042.7799999993</v>
      </c>
      <c r="S356" s="133"/>
      <c r="T356" s="133"/>
      <c r="U356" s="133"/>
      <c r="V356" s="136"/>
      <c r="W356" s="133"/>
      <c r="X356" s="133"/>
      <c r="Y356" s="133"/>
      <c r="Z356" s="133"/>
      <c r="AA356" s="133"/>
      <c r="AB356" s="133"/>
      <c r="AC356" s="134"/>
      <c r="AD356" s="134"/>
      <c r="AE356" s="49"/>
    </row>
    <row r="357" spans="1:31" ht="55.5" customHeight="1" thickTop="1" x14ac:dyDescent="0.25">
      <c r="A357" s="46">
        <v>33</v>
      </c>
      <c r="B357" s="26" t="s">
        <v>182</v>
      </c>
      <c r="C357" s="2" t="s">
        <v>35</v>
      </c>
      <c r="D357" s="72">
        <v>61659384.090000004</v>
      </c>
      <c r="E357" s="72"/>
      <c r="F357" s="72"/>
      <c r="G357" s="72"/>
      <c r="H357" s="67">
        <f>E357+F357</f>
        <v>0</v>
      </c>
      <c r="I357" s="72"/>
      <c r="J357" s="72"/>
      <c r="K357" s="72"/>
      <c r="L357" s="72"/>
      <c r="M357" s="72"/>
      <c r="N357" s="67">
        <f>H357+L357</f>
        <v>0</v>
      </c>
      <c r="O357" s="72"/>
      <c r="P357" s="72"/>
      <c r="Q357" s="72"/>
      <c r="R357" s="67">
        <f>O357+P357</f>
        <v>0</v>
      </c>
      <c r="S357" s="72"/>
      <c r="T357" s="72"/>
      <c r="U357" s="72"/>
      <c r="V357" s="72"/>
      <c r="W357" s="72"/>
      <c r="X357" s="67">
        <f>R357+V357</f>
        <v>0</v>
      </c>
      <c r="Y357" s="67">
        <f>R357+H357</f>
        <v>0</v>
      </c>
      <c r="Z357" s="67">
        <f>D357-Y357</f>
        <v>61659384.090000004</v>
      </c>
      <c r="AA357" s="67">
        <f>N357+X357</f>
        <v>0</v>
      </c>
      <c r="AB357" s="69">
        <f>+D357-N357-X357</f>
        <v>61659384.090000004</v>
      </c>
    </row>
    <row r="358" spans="1:31" x14ac:dyDescent="0.25">
      <c r="A358" s="46"/>
      <c r="B358" s="26"/>
      <c r="C358" s="4" t="s">
        <v>36</v>
      </c>
      <c r="D358" s="72">
        <v>12221009</v>
      </c>
      <c r="E358" s="72">
        <v>12221009</v>
      </c>
      <c r="F358" s="72"/>
      <c r="G358" s="72"/>
      <c r="H358" s="67">
        <f>E358+F358</f>
        <v>12221009</v>
      </c>
      <c r="I358" s="72"/>
      <c r="J358" s="72"/>
      <c r="K358" s="72"/>
      <c r="L358" s="72"/>
      <c r="M358" s="72"/>
      <c r="N358" s="67">
        <f>H358+L358</f>
        <v>12221009</v>
      </c>
      <c r="O358" s="72"/>
      <c r="P358" s="72"/>
      <c r="Q358" s="72"/>
      <c r="R358" s="67">
        <f>O358+P358</f>
        <v>0</v>
      </c>
      <c r="S358" s="72"/>
      <c r="T358" s="72"/>
      <c r="U358" s="72"/>
      <c r="V358" s="72"/>
      <c r="W358" s="72"/>
      <c r="X358" s="67">
        <f>R358+V358</f>
        <v>0</v>
      </c>
      <c r="Y358" s="67">
        <f>R358+H358</f>
        <v>12221009</v>
      </c>
      <c r="Z358" s="67">
        <f>D358-Y358</f>
        <v>0</v>
      </c>
      <c r="AA358" s="67">
        <f>N358+X358</f>
        <v>12221009</v>
      </c>
      <c r="AB358" s="69">
        <f>+D358-N358-X358</f>
        <v>0</v>
      </c>
    </row>
    <row r="359" spans="1:31" x14ac:dyDescent="0.25">
      <c r="A359" s="46"/>
      <c r="B359" s="26"/>
      <c r="C359" s="4" t="s">
        <v>53</v>
      </c>
      <c r="D359" s="72">
        <f>115025121.65+572117.34</f>
        <v>115597238.99000001</v>
      </c>
      <c r="E359" s="72"/>
      <c r="F359" s="72"/>
      <c r="G359" s="72"/>
      <c r="H359" s="67">
        <f>E359+F359</f>
        <v>0</v>
      </c>
      <c r="I359" s="72"/>
      <c r="J359" s="72"/>
      <c r="K359" s="72"/>
      <c r="L359" s="72"/>
      <c r="M359" s="72"/>
      <c r="N359" s="67">
        <f>H359+L359</f>
        <v>0</v>
      </c>
      <c r="O359" s="72">
        <f>44384137.47+572117.34+1347195.65</f>
        <v>46303450.460000001</v>
      </c>
      <c r="P359" s="72"/>
      <c r="Q359" s="72"/>
      <c r="R359" s="67">
        <f>O359+P359</f>
        <v>46303450.460000001</v>
      </c>
      <c r="S359" s="72"/>
      <c r="T359" s="72"/>
      <c r="U359" s="72"/>
      <c r="V359" s="72"/>
      <c r="W359" s="72"/>
      <c r="X359" s="67">
        <f>R359+V359</f>
        <v>46303450.460000001</v>
      </c>
      <c r="Y359" s="67">
        <f>R359+H359</f>
        <v>46303450.460000001</v>
      </c>
      <c r="Z359" s="67">
        <f>D359-Y359</f>
        <v>69293788.530000001</v>
      </c>
      <c r="AA359" s="67">
        <f>N359+X359</f>
        <v>46303450.460000001</v>
      </c>
      <c r="AB359" s="69">
        <f>+D359-N359-X359</f>
        <v>69293788.530000001</v>
      </c>
    </row>
    <row r="360" spans="1:31" x14ac:dyDescent="0.25">
      <c r="A360" s="46"/>
      <c r="B360" s="26"/>
      <c r="C360" s="4" t="s">
        <v>54</v>
      </c>
      <c r="D360" s="72">
        <v>26496892.829999998</v>
      </c>
      <c r="E360" s="72"/>
      <c r="F360" s="72"/>
      <c r="G360" s="72"/>
      <c r="H360" s="67">
        <f>E360+F360</f>
        <v>0</v>
      </c>
      <c r="I360" s="72"/>
      <c r="J360" s="72"/>
      <c r="K360" s="72"/>
      <c r="L360" s="72"/>
      <c r="M360" s="72"/>
      <c r="N360" s="67">
        <f>H360+L360</f>
        <v>0</v>
      </c>
      <c r="O360" s="72">
        <f>26496892.83+181752.55+843176.8-957185.3-67744.05</f>
        <v>26496892.829999998</v>
      </c>
      <c r="P360" s="72"/>
      <c r="Q360" s="72"/>
      <c r="R360" s="67">
        <f>O360+P360</f>
        <v>26496892.829999998</v>
      </c>
      <c r="S360" s="72"/>
      <c r="T360" s="72"/>
      <c r="U360" s="72"/>
      <c r="V360" s="72"/>
      <c r="W360" s="72"/>
      <c r="X360" s="67">
        <f>R360+V360</f>
        <v>26496892.829999998</v>
      </c>
      <c r="Y360" s="67">
        <f>R360+H360</f>
        <v>26496892.829999998</v>
      </c>
      <c r="Z360" s="67">
        <f>D360-Y360</f>
        <v>0</v>
      </c>
      <c r="AA360" s="67">
        <f>N360+X360</f>
        <v>26496892.829999998</v>
      </c>
      <c r="AB360" s="69">
        <f>+D360-N360-X360</f>
        <v>0</v>
      </c>
    </row>
    <row r="361" spans="1:31" ht="15.75" customHeight="1" x14ac:dyDescent="0.25">
      <c r="A361" s="46"/>
      <c r="B361" s="26"/>
      <c r="C361" s="4" t="s">
        <v>44</v>
      </c>
      <c r="D361" s="72">
        <v>10000000</v>
      </c>
      <c r="E361" s="72">
        <v>10000000</v>
      </c>
      <c r="F361" s="72"/>
      <c r="G361" s="72"/>
      <c r="H361" s="67">
        <f>E361+F361</f>
        <v>10000000</v>
      </c>
      <c r="I361" s="72"/>
      <c r="J361" s="72"/>
      <c r="K361" s="72"/>
      <c r="L361" s="72"/>
      <c r="M361" s="72"/>
      <c r="N361" s="67">
        <f>H361+L361</f>
        <v>10000000</v>
      </c>
      <c r="O361" s="72"/>
      <c r="P361" s="72"/>
      <c r="Q361" s="72"/>
      <c r="R361" s="67">
        <f>O361+P361</f>
        <v>0</v>
      </c>
      <c r="S361" s="72"/>
      <c r="T361" s="72"/>
      <c r="U361" s="72"/>
      <c r="V361" s="72"/>
      <c r="W361" s="72"/>
      <c r="X361" s="67">
        <f>R361+V361</f>
        <v>0</v>
      </c>
      <c r="Y361" s="67">
        <f>R361+H361</f>
        <v>10000000</v>
      </c>
      <c r="Z361" s="67">
        <f>D361-Y361</f>
        <v>0</v>
      </c>
      <c r="AA361" s="67">
        <f>N361+X361</f>
        <v>10000000</v>
      </c>
      <c r="AB361" s="69">
        <f>+D361-N361-X361</f>
        <v>0</v>
      </c>
    </row>
    <row r="362" spans="1:31" x14ac:dyDescent="0.25">
      <c r="A362" s="46"/>
      <c r="B362" s="26"/>
      <c r="C362" s="4"/>
      <c r="D362" s="70" t="s">
        <v>40</v>
      </c>
      <c r="E362" s="70" t="s">
        <v>40</v>
      </c>
      <c r="F362" s="70" t="s">
        <v>40</v>
      </c>
      <c r="G362" s="70"/>
      <c r="H362" s="70" t="s">
        <v>40</v>
      </c>
      <c r="I362" s="70" t="s">
        <v>40</v>
      </c>
      <c r="J362" s="70" t="s">
        <v>40</v>
      </c>
      <c r="K362" s="70" t="s">
        <v>40</v>
      </c>
      <c r="L362" s="70" t="s">
        <v>40</v>
      </c>
      <c r="M362" s="70"/>
      <c r="N362" s="70" t="s">
        <v>40</v>
      </c>
      <c r="O362" s="70" t="s">
        <v>40</v>
      </c>
      <c r="P362" s="70" t="s">
        <v>40</v>
      </c>
      <c r="Q362" s="70"/>
      <c r="R362" s="70" t="s">
        <v>40</v>
      </c>
      <c r="S362" s="70" t="s">
        <v>40</v>
      </c>
      <c r="T362" s="70" t="s">
        <v>40</v>
      </c>
      <c r="U362" s="70" t="s">
        <v>40</v>
      </c>
      <c r="V362" s="70" t="s">
        <v>40</v>
      </c>
      <c r="W362" s="70"/>
      <c r="X362" s="70" t="s">
        <v>40</v>
      </c>
      <c r="Y362" s="70" t="s">
        <v>40</v>
      </c>
      <c r="Z362" s="70" t="s">
        <v>40</v>
      </c>
      <c r="AA362" s="70" t="s">
        <v>40</v>
      </c>
      <c r="AB362" s="70" t="s">
        <v>40</v>
      </c>
    </row>
    <row r="363" spans="1:31" ht="15.75" customHeight="1" x14ac:dyDescent="0.25">
      <c r="A363" s="46"/>
      <c r="B363" s="26"/>
      <c r="C363" s="4"/>
      <c r="D363" s="72">
        <f>SUM(D357:D361)</f>
        <v>225974524.91000003</v>
      </c>
      <c r="E363" s="72">
        <f t="shared" ref="E363:AB363" si="157">SUM(E357:E361)</f>
        <v>22221009</v>
      </c>
      <c r="F363" s="72">
        <f t="shared" si="157"/>
        <v>0</v>
      </c>
      <c r="G363" s="72"/>
      <c r="H363" s="72">
        <f t="shared" si="157"/>
        <v>22221009</v>
      </c>
      <c r="I363" s="72">
        <f t="shared" si="157"/>
        <v>0</v>
      </c>
      <c r="J363" s="72">
        <f t="shared" si="157"/>
        <v>0</v>
      </c>
      <c r="K363" s="72">
        <f t="shared" si="157"/>
        <v>0</v>
      </c>
      <c r="L363" s="72">
        <f t="shared" si="157"/>
        <v>0</v>
      </c>
      <c r="M363" s="72"/>
      <c r="N363" s="72">
        <f t="shared" si="157"/>
        <v>22221009</v>
      </c>
      <c r="O363" s="72">
        <f t="shared" si="157"/>
        <v>72800343.289999992</v>
      </c>
      <c r="P363" s="72">
        <f t="shared" si="157"/>
        <v>0</v>
      </c>
      <c r="Q363" s="72"/>
      <c r="R363" s="72">
        <f t="shared" si="157"/>
        <v>72800343.289999992</v>
      </c>
      <c r="S363" s="72">
        <f t="shared" si="157"/>
        <v>0</v>
      </c>
      <c r="T363" s="72">
        <f t="shared" si="157"/>
        <v>0</v>
      </c>
      <c r="U363" s="72">
        <f t="shared" si="157"/>
        <v>0</v>
      </c>
      <c r="V363" s="72">
        <f t="shared" si="157"/>
        <v>0</v>
      </c>
      <c r="W363" s="72"/>
      <c r="X363" s="72">
        <f t="shared" si="157"/>
        <v>72800343.289999992</v>
      </c>
      <c r="Y363" s="72">
        <f t="shared" si="157"/>
        <v>95021352.289999992</v>
      </c>
      <c r="Z363" s="72">
        <f t="shared" si="157"/>
        <v>130953172.62</v>
      </c>
      <c r="AA363" s="72">
        <f t="shared" si="157"/>
        <v>95021352.289999992</v>
      </c>
      <c r="AB363" s="72">
        <f t="shared" si="157"/>
        <v>130953172.62</v>
      </c>
    </row>
    <row r="364" spans="1:31" x14ac:dyDescent="0.25">
      <c r="A364" s="46"/>
      <c r="B364" s="4" t="str">
        <f>+B357</f>
        <v>BATANGAS II</v>
      </c>
      <c r="C364" s="4"/>
      <c r="D364" s="70" t="s">
        <v>40</v>
      </c>
      <c r="E364" s="70" t="s">
        <v>40</v>
      </c>
      <c r="F364" s="70" t="s">
        <v>40</v>
      </c>
      <c r="G364" s="70"/>
      <c r="H364" s="70" t="s">
        <v>40</v>
      </c>
      <c r="I364" s="70" t="s">
        <v>40</v>
      </c>
      <c r="J364" s="70" t="s">
        <v>40</v>
      </c>
      <c r="K364" s="70" t="s">
        <v>40</v>
      </c>
      <c r="L364" s="70" t="s">
        <v>40</v>
      </c>
      <c r="M364" s="70"/>
      <c r="N364" s="70" t="s">
        <v>40</v>
      </c>
      <c r="O364" s="70" t="s">
        <v>40</v>
      </c>
      <c r="P364" s="70" t="s">
        <v>40</v>
      </c>
      <c r="Q364" s="70"/>
      <c r="R364" s="70" t="s">
        <v>40</v>
      </c>
      <c r="S364" s="70" t="s">
        <v>40</v>
      </c>
      <c r="T364" s="70" t="s">
        <v>40</v>
      </c>
      <c r="U364" s="70" t="s">
        <v>40</v>
      </c>
      <c r="V364" s="70" t="s">
        <v>40</v>
      </c>
      <c r="W364" s="70"/>
      <c r="X364" s="70" t="s">
        <v>40</v>
      </c>
      <c r="Y364" s="70" t="s">
        <v>40</v>
      </c>
      <c r="Z364" s="70" t="s">
        <v>40</v>
      </c>
      <c r="AA364" s="70" t="s">
        <v>40</v>
      </c>
      <c r="AB364" s="70" t="s">
        <v>40</v>
      </c>
    </row>
    <row r="365" spans="1:31" ht="15.75" customHeight="1" thickBot="1" x14ac:dyDescent="0.3">
      <c r="A365" s="46"/>
      <c r="B365" s="112" t="s">
        <v>292</v>
      </c>
      <c r="C365" s="4"/>
      <c r="D365" s="135">
        <f>957185.3+67744.05+143588.87</f>
        <v>1168518.2200000002</v>
      </c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113">
        <f>957185.3+211332.92</f>
        <v>1168518.22</v>
      </c>
      <c r="P365" s="104"/>
      <c r="Q365" s="70"/>
      <c r="R365" s="113">
        <f>+O365+P365</f>
        <v>1168518.22</v>
      </c>
      <c r="S365" s="70"/>
      <c r="T365" s="70"/>
      <c r="U365" s="70"/>
      <c r="V365" s="70"/>
      <c r="W365" s="70"/>
      <c r="X365" s="70"/>
      <c r="Y365" s="70"/>
      <c r="Z365" s="70"/>
      <c r="AA365" s="70"/>
      <c r="AB365" s="70"/>
    </row>
    <row r="366" spans="1:31" ht="55.5" customHeight="1" thickTop="1" x14ac:dyDescent="0.25">
      <c r="A366" s="46">
        <v>34</v>
      </c>
      <c r="B366" s="26" t="s">
        <v>253</v>
      </c>
      <c r="C366" s="2" t="s">
        <v>35</v>
      </c>
      <c r="D366" s="72">
        <v>0</v>
      </c>
      <c r="E366" s="72"/>
      <c r="F366" s="72"/>
      <c r="G366" s="72"/>
      <c r="H366" s="67">
        <f>E366+F366</f>
        <v>0</v>
      </c>
      <c r="I366" s="72"/>
      <c r="J366" s="72"/>
      <c r="K366" s="72"/>
      <c r="L366" s="72"/>
      <c r="M366" s="72"/>
      <c r="N366" s="67">
        <f>H366+L366</f>
        <v>0</v>
      </c>
      <c r="O366" s="72"/>
      <c r="P366" s="72"/>
      <c r="Q366" s="72"/>
      <c r="R366" s="67">
        <f>O366+P366</f>
        <v>0</v>
      </c>
      <c r="S366" s="72"/>
      <c r="T366" s="72"/>
      <c r="U366" s="72"/>
      <c r="V366" s="72"/>
      <c r="W366" s="72"/>
      <c r="X366" s="67">
        <f>R366+V366</f>
        <v>0</v>
      </c>
      <c r="Y366" s="67">
        <f>R366+H366</f>
        <v>0</v>
      </c>
      <c r="Z366" s="67">
        <f>D366-Y366</f>
        <v>0</v>
      </c>
      <c r="AA366" s="67">
        <f>N366+X366</f>
        <v>0</v>
      </c>
      <c r="AB366" s="69">
        <f>+D366-N366-X366</f>
        <v>0</v>
      </c>
    </row>
    <row r="367" spans="1:31" x14ac:dyDescent="0.25">
      <c r="A367" s="46"/>
      <c r="B367" s="26"/>
      <c r="C367" s="4" t="s">
        <v>36</v>
      </c>
      <c r="D367" s="72">
        <v>2018058</v>
      </c>
      <c r="E367" s="72">
        <v>2018058</v>
      </c>
      <c r="F367" s="72"/>
      <c r="G367" s="72"/>
      <c r="H367" s="67">
        <f>E367+F367</f>
        <v>2018058</v>
      </c>
      <c r="I367" s="72"/>
      <c r="J367" s="72"/>
      <c r="K367" s="72"/>
      <c r="L367" s="72"/>
      <c r="M367" s="72"/>
      <c r="N367" s="67">
        <f>H367+L367</f>
        <v>2018058</v>
      </c>
      <c r="O367" s="72"/>
      <c r="P367" s="72"/>
      <c r="Q367" s="72"/>
      <c r="R367" s="67">
        <f>O367+P367</f>
        <v>0</v>
      </c>
      <c r="S367" s="72"/>
      <c r="T367" s="72"/>
      <c r="U367" s="72"/>
      <c r="V367" s="72"/>
      <c r="W367" s="72"/>
      <c r="X367" s="67">
        <f>R367+V367</f>
        <v>0</v>
      </c>
      <c r="Y367" s="67">
        <f>R367+H367</f>
        <v>2018058</v>
      </c>
      <c r="Z367" s="67">
        <f>D367-Y367</f>
        <v>0</v>
      </c>
      <c r="AA367" s="67">
        <f>N367+X367</f>
        <v>2018058</v>
      </c>
      <c r="AB367" s="69">
        <f>+D367-N367-X367</f>
        <v>0</v>
      </c>
    </row>
    <row r="368" spans="1:31" x14ac:dyDescent="0.25">
      <c r="A368" s="46"/>
      <c r="B368" s="26"/>
      <c r="C368" s="4" t="s">
        <v>183</v>
      </c>
      <c r="D368" s="72">
        <v>6538348.3499999996</v>
      </c>
      <c r="E368" s="72"/>
      <c r="F368" s="72"/>
      <c r="G368" s="72"/>
      <c r="H368" s="67">
        <f>E368+F368</f>
        <v>0</v>
      </c>
      <c r="I368" s="72"/>
      <c r="J368" s="72"/>
      <c r="K368" s="72"/>
      <c r="L368" s="72"/>
      <c r="M368" s="72"/>
      <c r="N368" s="67">
        <f>H368+L368</f>
        <v>0</v>
      </c>
      <c r="O368" s="72">
        <f>82170+1300.22</f>
        <v>83470.22</v>
      </c>
      <c r="P368" s="72"/>
      <c r="Q368" s="72"/>
      <c r="R368" s="67">
        <f>O368+P368</f>
        <v>83470.22</v>
      </c>
      <c r="S368" s="72"/>
      <c r="T368" s="72"/>
      <c r="U368" s="72"/>
      <c r="V368" s="72"/>
      <c r="W368" s="72"/>
      <c r="X368" s="67">
        <f>R368+V368</f>
        <v>83470.22</v>
      </c>
      <c r="Y368" s="67">
        <f>R368+H368</f>
        <v>83470.22</v>
      </c>
      <c r="Z368" s="67">
        <f>D368-Y368</f>
        <v>6454878.1299999999</v>
      </c>
      <c r="AA368" s="67">
        <f>N368+X368</f>
        <v>83470.22</v>
      </c>
      <c r="AB368" s="69">
        <f>+D368-N368-X368</f>
        <v>6454878.1299999999</v>
      </c>
    </row>
    <row r="369" spans="1:28" x14ac:dyDescent="0.25">
      <c r="A369" s="46"/>
      <c r="B369" s="26"/>
      <c r="C369" s="4" t="s">
        <v>184</v>
      </c>
      <c r="D369" s="72">
        <v>374163.86</v>
      </c>
      <c r="E369" s="72"/>
      <c r="F369" s="72"/>
      <c r="G369" s="72"/>
      <c r="H369" s="67">
        <f>E369+F369</f>
        <v>0</v>
      </c>
      <c r="I369" s="72"/>
      <c r="J369" s="72"/>
      <c r="K369" s="72"/>
      <c r="L369" s="72"/>
      <c r="M369" s="72"/>
      <c r="N369" s="67">
        <f>H369+L369</f>
        <v>0</v>
      </c>
      <c r="O369" s="72"/>
      <c r="P369" s="72"/>
      <c r="Q369" s="72"/>
      <c r="R369" s="67">
        <f>O369+P369</f>
        <v>0</v>
      </c>
      <c r="S369" s="72"/>
      <c r="T369" s="72"/>
      <c r="U369" s="72"/>
      <c r="V369" s="72"/>
      <c r="W369" s="72"/>
      <c r="X369" s="67">
        <f>R369+V369</f>
        <v>0</v>
      </c>
      <c r="Y369" s="67">
        <f>R369+H369</f>
        <v>0</v>
      </c>
      <c r="Z369" s="67">
        <f>D369-Y369</f>
        <v>374163.86</v>
      </c>
      <c r="AA369" s="67">
        <f>N369+X369</f>
        <v>0</v>
      </c>
      <c r="AB369" s="69">
        <f>+D369-N369-X369</f>
        <v>374163.86</v>
      </c>
    </row>
    <row r="370" spans="1:28" x14ac:dyDescent="0.25">
      <c r="A370" s="46"/>
      <c r="B370" s="26"/>
      <c r="C370" s="4" t="s">
        <v>44</v>
      </c>
      <c r="D370" s="72">
        <v>22029000</v>
      </c>
      <c r="E370" s="72">
        <v>22029000</v>
      </c>
      <c r="F370" s="72"/>
      <c r="G370" s="72"/>
      <c r="H370" s="67">
        <f>E370+F370</f>
        <v>22029000</v>
      </c>
      <c r="I370" s="72"/>
      <c r="J370" s="72"/>
      <c r="K370" s="72"/>
      <c r="L370" s="72"/>
      <c r="M370" s="72"/>
      <c r="N370" s="67">
        <f>H370+L370</f>
        <v>22029000</v>
      </c>
      <c r="O370" s="72"/>
      <c r="P370" s="72"/>
      <c r="Q370" s="72"/>
      <c r="R370" s="67">
        <f>O370+P370</f>
        <v>0</v>
      </c>
      <c r="S370" s="72"/>
      <c r="T370" s="72"/>
      <c r="U370" s="72"/>
      <c r="V370" s="72"/>
      <c r="W370" s="72"/>
      <c r="X370" s="67">
        <f>R370+V370</f>
        <v>0</v>
      </c>
      <c r="Y370" s="67">
        <f>R370+H370</f>
        <v>22029000</v>
      </c>
      <c r="Z370" s="67">
        <f>D370-Y370</f>
        <v>0</v>
      </c>
      <c r="AA370" s="67">
        <f>N370+X370</f>
        <v>22029000</v>
      </c>
      <c r="AB370" s="69">
        <f>+D370-N370-X370</f>
        <v>0</v>
      </c>
    </row>
    <row r="371" spans="1:28" x14ac:dyDescent="0.25">
      <c r="A371" s="46"/>
      <c r="B371" s="26"/>
      <c r="C371" s="4"/>
      <c r="D371" s="70" t="s">
        <v>40</v>
      </c>
      <c r="E371" s="70" t="s">
        <v>40</v>
      </c>
      <c r="F371" s="70" t="s">
        <v>40</v>
      </c>
      <c r="G371" s="70"/>
      <c r="H371" s="70" t="s">
        <v>40</v>
      </c>
      <c r="I371" s="70" t="s">
        <v>40</v>
      </c>
      <c r="J371" s="70" t="s">
        <v>40</v>
      </c>
      <c r="K371" s="70" t="s">
        <v>40</v>
      </c>
      <c r="L371" s="70" t="s">
        <v>40</v>
      </c>
      <c r="M371" s="70"/>
      <c r="N371" s="70" t="s">
        <v>40</v>
      </c>
      <c r="O371" s="70" t="s">
        <v>40</v>
      </c>
      <c r="P371" s="70" t="s">
        <v>40</v>
      </c>
      <c r="Q371" s="70"/>
      <c r="R371" s="70" t="s">
        <v>40</v>
      </c>
      <c r="S371" s="70" t="s">
        <v>40</v>
      </c>
      <c r="T371" s="70" t="s">
        <v>40</v>
      </c>
      <c r="U371" s="70" t="s">
        <v>40</v>
      </c>
      <c r="V371" s="70" t="s">
        <v>40</v>
      </c>
      <c r="W371" s="70"/>
      <c r="X371" s="70" t="s">
        <v>40</v>
      </c>
      <c r="Y371" s="70" t="s">
        <v>40</v>
      </c>
      <c r="Z371" s="70" t="s">
        <v>40</v>
      </c>
      <c r="AA371" s="70" t="s">
        <v>40</v>
      </c>
      <c r="AB371" s="70" t="s">
        <v>40</v>
      </c>
    </row>
    <row r="372" spans="1:28" x14ac:dyDescent="0.25">
      <c r="A372" s="46"/>
      <c r="B372" s="26"/>
      <c r="C372" s="4"/>
      <c r="D372" s="72">
        <f>SUM(D366:D370)</f>
        <v>30959570.210000001</v>
      </c>
      <c r="E372" s="72">
        <f t="shared" ref="E372:AB372" si="158">SUM(E366:E370)</f>
        <v>24047058</v>
      </c>
      <c r="F372" s="72">
        <f t="shared" si="158"/>
        <v>0</v>
      </c>
      <c r="G372" s="72"/>
      <c r="H372" s="72">
        <f t="shared" si="158"/>
        <v>24047058</v>
      </c>
      <c r="I372" s="72">
        <f t="shared" si="158"/>
        <v>0</v>
      </c>
      <c r="J372" s="72">
        <f t="shared" si="158"/>
        <v>0</v>
      </c>
      <c r="K372" s="72">
        <f t="shared" si="158"/>
        <v>0</v>
      </c>
      <c r="L372" s="72">
        <f t="shared" si="158"/>
        <v>0</v>
      </c>
      <c r="M372" s="72"/>
      <c r="N372" s="72">
        <f t="shared" si="158"/>
        <v>24047058</v>
      </c>
      <c r="O372" s="72">
        <f t="shared" si="158"/>
        <v>83470.22</v>
      </c>
      <c r="P372" s="72">
        <f t="shared" si="158"/>
        <v>0</v>
      </c>
      <c r="Q372" s="72"/>
      <c r="R372" s="72">
        <f t="shared" si="158"/>
        <v>83470.22</v>
      </c>
      <c r="S372" s="72">
        <f t="shared" si="158"/>
        <v>0</v>
      </c>
      <c r="T372" s="72">
        <f t="shared" si="158"/>
        <v>0</v>
      </c>
      <c r="U372" s="72">
        <f t="shared" si="158"/>
        <v>0</v>
      </c>
      <c r="V372" s="72">
        <f t="shared" si="158"/>
        <v>0</v>
      </c>
      <c r="W372" s="72"/>
      <c r="X372" s="72">
        <f t="shared" si="158"/>
        <v>83470.22</v>
      </c>
      <c r="Y372" s="72">
        <f>SUM(Y366:Y370)</f>
        <v>24130528.219999999</v>
      </c>
      <c r="Z372" s="72">
        <f t="shared" si="158"/>
        <v>6829041.9900000002</v>
      </c>
      <c r="AA372" s="72">
        <f t="shared" si="158"/>
        <v>24130528.219999999</v>
      </c>
      <c r="AB372" s="72">
        <f t="shared" si="158"/>
        <v>6829041.9900000002</v>
      </c>
    </row>
    <row r="373" spans="1:28" ht="16.5" customHeight="1" x14ac:dyDescent="0.25">
      <c r="A373" s="46"/>
      <c r="B373" s="26"/>
      <c r="C373" s="4"/>
      <c r="D373" s="70" t="s">
        <v>40</v>
      </c>
      <c r="E373" s="70" t="s">
        <v>40</v>
      </c>
      <c r="F373" s="70" t="s">
        <v>40</v>
      </c>
      <c r="G373" s="70"/>
      <c r="H373" s="70" t="s">
        <v>40</v>
      </c>
      <c r="I373" s="70" t="s">
        <v>40</v>
      </c>
      <c r="J373" s="70" t="s">
        <v>40</v>
      </c>
      <c r="K373" s="70" t="s">
        <v>40</v>
      </c>
      <c r="L373" s="70" t="s">
        <v>40</v>
      </c>
      <c r="M373" s="70"/>
      <c r="N373" s="70" t="s">
        <v>40</v>
      </c>
      <c r="O373" s="70" t="s">
        <v>40</v>
      </c>
      <c r="P373" s="70" t="s">
        <v>40</v>
      </c>
      <c r="Q373" s="70"/>
      <c r="R373" s="70" t="s">
        <v>40</v>
      </c>
      <c r="S373" s="70" t="s">
        <v>40</v>
      </c>
      <c r="T373" s="70" t="s">
        <v>40</v>
      </c>
      <c r="U373" s="70" t="s">
        <v>40</v>
      </c>
      <c r="V373" s="70" t="s">
        <v>40</v>
      </c>
      <c r="W373" s="70"/>
      <c r="X373" s="70" t="s">
        <v>40</v>
      </c>
      <c r="Y373" s="70" t="s">
        <v>40</v>
      </c>
      <c r="Z373" s="70" t="s">
        <v>40</v>
      </c>
      <c r="AA373" s="70" t="s">
        <v>40</v>
      </c>
      <c r="AB373" s="70" t="s">
        <v>40</v>
      </c>
    </row>
    <row r="374" spans="1:28" ht="16.5" customHeight="1" x14ac:dyDescent="0.25">
      <c r="A374" s="46"/>
      <c r="B374" s="26"/>
      <c r="C374" s="4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</row>
    <row r="375" spans="1:28" x14ac:dyDescent="0.25">
      <c r="A375" s="46">
        <v>35</v>
      </c>
      <c r="B375" s="26" t="s">
        <v>185</v>
      </c>
      <c r="C375" s="2" t="s">
        <v>35</v>
      </c>
      <c r="D375" s="72">
        <v>34625096.560000002</v>
      </c>
      <c r="E375" s="72"/>
      <c r="F375" s="72"/>
      <c r="G375" s="72"/>
      <c r="H375" s="67">
        <f>E375+F375</f>
        <v>0</v>
      </c>
      <c r="I375" s="70"/>
      <c r="J375" s="70"/>
      <c r="K375" s="70"/>
      <c r="L375" s="70"/>
      <c r="M375" s="70"/>
      <c r="N375" s="67">
        <f>H375+L375</f>
        <v>0</v>
      </c>
      <c r="O375" s="70"/>
      <c r="P375" s="70"/>
      <c r="Q375" s="70"/>
      <c r="R375" s="67">
        <f>O375+P375</f>
        <v>0</v>
      </c>
      <c r="S375" s="70"/>
      <c r="T375" s="70"/>
      <c r="U375" s="70"/>
      <c r="V375" s="70"/>
      <c r="W375" s="70"/>
      <c r="X375" s="67">
        <f>R375+V375</f>
        <v>0</v>
      </c>
      <c r="Y375" s="67">
        <f>R375+H375</f>
        <v>0</v>
      </c>
      <c r="Z375" s="67">
        <f>D375-Y375</f>
        <v>34625096.560000002</v>
      </c>
      <c r="AA375" s="67">
        <f>N375+X375</f>
        <v>0</v>
      </c>
      <c r="AB375" s="69">
        <f>+D375-N375-X375</f>
        <v>34625096.560000002</v>
      </c>
    </row>
    <row r="376" spans="1:28" x14ac:dyDescent="0.25">
      <c r="A376" s="46"/>
      <c r="B376" s="26"/>
      <c r="C376" s="4" t="s">
        <v>36</v>
      </c>
      <c r="D376" s="72">
        <v>2193860</v>
      </c>
      <c r="E376" s="72">
        <v>2193860</v>
      </c>
      <c r="F376" s="72"/>
      <c r="G376" s="72"/>
      <c r="H376" s="67">
        <f>E376+F376</f>
        <v>2193860</v>
      </c>
      <c r="I376" s="70"/>
      <c r="J376" s="70"/>
      <c r="K376" s="70"/>
      <c r="L376" s="70"/>
      <c r="M376" s="70"/>
      <c r="N376" s="67">
        <f>H376+L376</f>
        <v>2193860</v>
      </c>
      <c r="O376" s="70"/>
      <c r="P376" s="70"/>
      <c r="Q376" s="70"/>
      <c r="R376" s="67">
        <f>O376+P376</f>
        <v>0</v>
      </c>
      <c r="S376" s="70"/>
      <c r="T376" s="70"/>
      <c r="U376" s="70"/>
      <c r="V376" s="70"/>
      <c r="W376" s="70"/>
      <c r="X376" s="67">
        <f>R376+V376</f>
        <v>0</v>
      </c>
      <c r="Y376" s="67">
        <f>R376+H376</f>
        <v>2193860</v>
      </c>
      <c r="Z376" s="67">
        <f>D376-Y376</f>
        <v>0</v>
      </c>
      <c r="AA376" s="67">
        <f>N376+X376</f>
        <v>2193860</v>
      </c>
      <c r="AB376" s="69">
        <f>+D376-N376-X376</f>
        <v>0</v>
      </c>
    </row>
    <row r="377" spans="1:28" x14ac:dyDescent="0.25">
      <c r="A377" s="46"/>
      <c r="B377" s="26"/>
      <c r="C377" s="4" t="s">
        <v>183</v>
      </c>
      <c r="D377" s="72">
        <v>2332291</v>
      </c>
      <c r="E377" s="72"/>
      <c r="F377" s="72"/>
      <c r="G377" s="72"/>
      <c r="H377" s="67">
        <f>E377+F377</f>
        <v>0</v>
      </c>
      <c r="I377" s="70"/>
      <c r="J377" s="70"/>
      <c r="K377" s="70"/>
      <c r="L377" s="70"/>
      <c r="M377" s="70"/>
      <c r="N377" s="67">
        <f>H377+L377</f>
        <v>0</v>
      </c>
      <c r="O377" s="70"/>
      <c r="P377" s="70"/>
      <c r="Q377" s="70"/>
      <c r="R377" s="67">
        <f>O377+P377</f>
        <v>0</v>
      </c>
      <c r="S377" s="70"/>
      <c r="T377" s="70"/>
      <c r="U377" s="70"/>
      <c r="V377" s="70"/>
      <c r="W377" s="70"/>
      <c r="X377" s="67">
        <f>R377+V377</f>
        <v>0</v>
      </c>
      <c r="Y377" s="67">
        <f>R377+H377</f>
        <v>0</v>
      </c>
      <c r="Z377" s="67">
        <f>D377-Y377</f>
        <v>2332291</v>
      </c>
      <c r="AA377" s="67">
        <f>N377+X377</f>
        <v>0</v>
      </c>
      <c r="AB377" s="69">
        <f>+D377-N377-X377</f>
        <v>2332291</v>
      </c>
    </row>
    <row r="378" spans="1:28" x14ac:dyDescent="0.25">
      <c r="A378" s="46"/>
      <c r="B378" s="26"/>
      <c r="C378" s="4" t="s">
        <v>53</v>
      </c>
      <c r="D378" s="72">
        <v>825552.7</v>
      </c>
      <c r="E378" s="72"/>
      <c r="F378" s="72"/>
      <c r="G378" s="72"/>
      <c r="H378" s="67">
        <f>E378+F378</f>
        <v>0</v>
      </c>
      <c r="I378" s="70"/>
      <c r="J378" s="70"/>
      <c r="K378" s="70"/>
      <c r="L378" s="70"/>
      <c r="M378" s="70"/>
      <c r="N378" s="67">
        <f>H378+L378</f>
        <v>0</v>
      </c>
      <c r="O378" s="70"/>
      <c r="P378" s="70"/>
      <c r="Q378" s="70"/>
      <c r="R378" s="67">
        <f>O378+P378</f>
        <v>0</v>
      </c>
      <c r="S378" s="70"/>
      <c r="T378" s="70"/>
      <c r="U378" s="70"/>
      <c r="V378" s="70"/>
      <c r="W378" s="70"/>
      <c r="X378" s="67">
        <f>R378+V378</f>
        <v>0</v>
      </c>
      <c r="Y378" s="67">
        <f>R378+H378</f>
        <v>0</v>
      </c>
      <c r="Z378" s="67">
        <f>D378-Y378</f>
        <v>825552.7</v>
      </c>
      <c r="AA378" s="67">
        <f>N378+X378</f>
        <v>0</v>
      </c>
      <c r="AB378" s="69">
        <f>+D378-N378-X378</f>
        <v>825552.7</v>
      </c>
    </row>
    <row r="379" spans="1:28" x14ac:dyDescent="0.25">
      <c r="A379" s="46"/>
      <c r="B379" s="26"/>
      <c r="C379" s="4" t="s">
        <v>54</v>
      </c>
      <c r="D379" s="72">
        <v>16304159.289999999</v>
      </c>
      <c r="E379" s="72"/>
      <c r="F379" s="72"/>
      <c r="G379" s="72"/>
      <c r="H379" s="67">
        <f>E379+F379</f>
        <v>0</v>
      </c>
      <c r="I379" s="70"/>
      <c r="J379" s="70"/>
      <c r="K379" s="70"/>
      <c r="L379" s="70"/>
      <c r="M379" s="70"/>
      <c r="N379" s="67">
        <f>H379+L379</f>
        <v>0</v>
      </c>
      <c r="O379" s="72">
        <f>16304159.29-5603896.26</f>
        <v>10700263.029999999</v>
      </c>
      <c r="P379" s="72"/>
      <c r="Q379" s="70"/>
      <c r="R379" s="67">
        <f>O379+P379</f>
        <v>10700263.029999999</v>
      </c>
      <c r="S379" s="70"/>
      <c r="T379" s="70"/>
      <c r="U379" s="70"/>
      <c r="V379" s="70"/>
      <c r="W379" s="70"/>
      <c r="X379" s="67">
        <f>R379+V379</f>
        <v>10700263.029999999</v>
      </c>
      <c r="Y379" s="67">
        <f>R379+H379</f>
        <v>10700263.029999999</v>
      </c>
      <c r="Z379" s="67">
        <f>D379-Y379</f>
        <v>5603896.2599999998</v>
      </c>
      <c r="AA379" s="67">
        <f>N379+X379</f>
        <v>10700263.029999999</v>
      </c>
      <c r="AB379" s="69">
        <f>+D379-N379-X379</f>
        <v>5603896.2599999998</v>
      </c>
    </row>
    <row r="380" spans="1:28" x14ac:dyDescent="0.25">
      <c r="A380" s="46"/>
      <c r="B380" s="26"/>
      <c r="C380" s="4"/>
      <c r="D380" s="70" t="s">
        <v>40</v>
      </c>
      <c r="E380" s="70" t="s">
        <v>40</v>
      </c>
      <c r="F380" s="70" t="s">
        <v>40</v>
      </c>
      <c r="G380" s="70"/>
      <c r="H380" s="70" t="s">
        <v>40</v>
      </c>
      <c r="I380" s="70" t="s">
        <v>40</v>
      </c>
      <c r="J380" s="70" t="s">
        <v>40</v>
      </c>
      <c r="K380" s="70" t="s">
        <v>40</v>
      </c>
      <c r="L380" s="70" t="s">
        <v>40</v>
      </c>
      <c r="M380" s="70"/>
      <c r="N380" s="70" t="s">
        <v>40</v>
      </c>
      <c r="O380" s="70" t="s">
        <v>40</v>
      </c>
      <c r="P380" s="70" t="s">
        <v>40</v>
      </c>
      <c r="Q380" s="70"/>
      <c r="R380" s="70" t="s">
        <v>40</v>
      </c>
      <c r="S380" s="70" t="s">
        <v>40</v>
      </c>
      <c r="T380" s="70" t="s">
        <v>40</v>
      </c>
      <c r="U380" s="70" t="s">
        <v>40</v>
      </c>
      <c r="V380" s="70" t="s">
        <v>40</v>
      </c>
      <c r="W380" s="70"/>
      <c r="X380" s="70" t="s">
        <v>40</v>
      </c>
      <c r="Y380" s="70" t="s">
        <v>40</v>
      </c>
      <c r="Z380" s="70" t="s">
        <v>40</v>
      </c>
      <c r="AA380" s="70" t="s">
        <v>40</v>
      </c>
      <c r="AB380" s="70" t="s">
        <v>40</v>
      </c>
    </row>
    <row r="381" spans="1:28" ht="15.75" customHeight="1" x14ac:dyDescent="0.25">
      <c r="A381" s="46"/>
      <c r="B381" s="26"/>
      <c r="C381" s="4"/>
      <c r="D381" s="72">
        <f>SUM(D375:D379)</f>
        <v>56280959.550000004</v>
      </c>
      <c r="E381" s="72">
        <f t="shared" ref="E381:AB381" si="159">SUM(E375:E379)</f>
        <v>2193860</v>
      </c>
      <c r="F381" s="72">
        <f t="shared" si="159"/>
        <v>0</v>
      </c>
      <c r="G381" s="72"/>
      <c r="H381" s="72">
        <f t="shared" si="159"/>
        <v>2193860</v>
      </c>
      <c r="I381" s="72">
        <f t="shared" si="159"/>
        <v>0</v>
      </c>
      <c r="J381" s="72">
        <f t="shared" si="159"/>
        <v>0</v>
      </c>
      <c r="K381" s="72">
        <f t="shared" si="159"/>
        <v>0</v>
      </c>
      <c r="L381" s="72">
        <f t="shared" si="159"/>
        <v>0</v>
      </c>
      <c r="M381" s="72"/>
      <c r="N381" s="72">
        <f t="shared" si="159"/>
        <v>2193860</v>
      </c>
      <c r="O381" s="72">
        <f t="shared" si="159"/>
        <v>10700263.029999999</v>
      </c>
      <c r="P381" s="72">
        <f t="shared" si="159"/>
        <v>0</v>
      </c>
      <c r="Q381" s="72"/>
      <c r="R381" s="72">
        <f t="shared" si="159"/>
        <v>10700263.029999999</v>
      </c>
      <c r="S381" s="72">
        <f t="shared" si="159"/>
        <v>0</v>
      </c>
      <c r="T381" s="72">
        <f t="shared" si="159"/>
        <v>0</v>
      </c>
      <c r="U381" s="72">
        <f t="shared" si="159"/>
        <v>0</v>
      </c>
      <c r="V381" s="72">
        <f t="shared" si="159"/>
        <v>0</v>
      </c>
      <c r="W381" s="72"/>
      <c r="X381" s="72">
        <f t="shared" si="159"/>
        <v>10700263.029999999</v>
      </c>
      <c r="Y381" s="72">
        <f t="shared" si="159"/>
        <v>12894123.029999999</v>
      </c>
      <c r="Z381" s="72">
        <f t="shared" si="159"/>
        <v>43386836.520000003</v>
      </c>
      <c r="AA381" s="72">
        <f t="shared" si="159"/>
        <v>12894123.029999999</v>
      </c>
      <c r="AB381" s="72">
        <f t="shared" si="159"/>
        <v>43386836.520000003</v>
      </c>
    </row>
    <row r="382" spans="1:28" ht="15" customHeight="1" x14ac:dyDescent="0.25">
      <c r="A382" s="46"/>
      <c r="B382" s="26"/>
      <c r="C382" s="4"/>
      <c r="D382" s="70" t="s">
        <v>40</v>
      </c>
      <c r="E382" s="70" t="s">
        <v>40</v>
      </c>
      <c r="F382" s="70" t="s">
        <v>40</v>
      </c>
      <c r="G382" s="70"/>
      <c r="H382" s="70" t="s">
        <v>40</v>
      </c>
      <c r="I382" s="70" t="s">
        <v>40</v>
      </c>
      <c r="J382" s="70" t="s">
        <v>40</v>
      </c>
      <c r="K382" s="70" t="s">
        <v>40</v>
      </c>
      <c r="L382" s="70" t="s">
        <v>40</v>
      </c>
      <c r="M382" s="70"/>
      <c r="N382" s="70" t="s">
        <v>40</v>
      </c>
      <c r="O382" s="70" t="s">
        <v>40</v>
      </c>
      <c r="P382" s="70" t="s">
        <v>40</v>
      </c>
      <c r="Q382" s="70"/>
      <c r="R382" s="70" t="s">
        <v>40</v>
      </c>
      <c r="S382" s="70" t="s">
        <v>40</v>
      </c>
      <c r="T382" s="70" t="s">
        <v>40</v>
      </c>
      <c r="U382" s="70" t="s">
        <v>40</v>
      </c>
      <c r="V382" s="70" t="s">
        <v>40</v>
      </c>
      <c r="W382" s="70"/>
      <c r="X382" s="70" t="s">
        <v>40</v>
      </c>
      <c r="Y382" s="70" t="s">
        <v>40</v>
      </c>
      <c r="Z382" s="70" t="s">
        <v>40</v>
      </c>
      <c r="AA382" s="70" t="s">
        <v>40</v>
      </c>
      <c r="AB382" s="70" t="s">
        <v>40</v>
      </c>
    </row>
    <row r="383" spans="1:28" x14ac:dyDescent="0.25">
      <c r="A383" s="46"/>
      <c r="B383" s="26"/>
      <c r="C383" s="4"/>
      <c r="D383" s="72"/>
      <c r="E383" s="70"/>
      <c r="F383" s="70"/>
      <c r="G383" s="70"/>
      <c r="H383" s="67">
        <f>E383+F383</f>
        <v>0</v>
      </c>
      <c r="I383" s="70"/>
      <c r="J383" s="70"/>
      <c r="K383" s="70"/>
      <c r="L383" s="70"/>
      <c r="M383" s="70"/>
      <c r="N383" s="67">
        <f>H383+L383</f>
        <v>0</v>
      </c>
      <c r="O383" s="70"/>
      <c r="P383" s="70"/>
      <c r="Q383" s="70"/>
      <c r="R383" s="67">
        <f>O383+P383</f>
        <v>0</v>
      </c>
      <c r="S383" s="70"/>
      <c r="T383" s="70"/>
      <c r="U383" s="70"/>
      <c r="V383" s="70"/>
      <c r="W383" s="70"/>
      <c r="X383" s="67">
        <f>R383+V383</f>
        <v>0</v>
      </c>
      <c r="Y383" s="67"/>
      <c r="Z383" s="67"/>
      <c r="AA383" s="67">
        <f t="shared" ref="AA383:AA388" si="160">N383+X383</f>
        <v>0</v>
      </c>
      <c r="AB383" s="67"/>
    </row>
    <row r="384" spans="1:28" x14ac:dyDescent="0.25">
      <c r="A384" s="46">
        <v>36</v>
      </c>
      <c r="B384" s="26" t="s">
        <v>186</v>
      </c>
      <c r="C384" s="2" t="s">
        <v>35</v>
      </c>
      <c r="D384" s="72">
        <f>16080477.23-3219573.06</f>
        <v>12860904.17</v>
      </c>
      <c r="E384" s="72">
        <f>12688340.15+4650327.54-4650327.54</f>
        <v>12688340.150000002</v>
      </c>
      <c r="F384" s="72"/>
      <c r="G384" s="70"/>
      <c r="H384" s="67">
        <f>E384+F384</f>
        <v>12688340.150000002</v>
      </c>
      <c r="I384" s="70"/>
      <c r="J384" s="70"/>
      <c r="K384" s="70"/>
      <c r="L384" s="70"/>
      <c r="M384" s="70"/>
      <c r="N384" s="67">
        <f>H384+L384</f>
        <v>12688340.150000002</v>
      </c>
      <c r="O384" s="70"/>
      <c r="P384" s="70"/>
      <c r="Q384" s="70"/>
      <c r="R384" s="67">
        <f>O384+P384</f>
        <v>0</v>
      </c>
      <c r="S384" s="70"/>
      <c r="T384" s="70"/>
      <c r="U384" s="70"/>
      <c r="V384" s="70"/>
      <c r="W384" s="70"/>
      <c r="X384" s="67">
        <f>R384+V384</f>
        <v>0</v>
      </c>
      <c r="Y384" s="67">
        <f>R384+H384</f>
        <v>12688340.150000002</v>
      </c>
      <c r="Z384" s="67">
        <f>D384-Y384</f>
        <v>172564.01999999769</v>
      </c>
      <c r="AA384" s="67">
        <f t="shared" si="160"/>
        <v>12688340.150000002</v>
      </c>
      <c r="AB384" s="69">
        <f>+D384-N384-X384</f>
        <v>172564.01999999769</v>
      </c>
    </row>
    <row r="385" spans="1:28" x14ac:dyDescent="0.25">
      <c r="A385" s="46"/>
      <c r="B385" s="26"/>
      <c r="C385" s="4" t="s">
        <v>36</v>
      </c>
      <c r="D385" s="72">
        <v>1949520</v>
      </c>
      <c r="E385" s="72">
        <v>1949520</v>
      </c>
      <c r="F385" s="70"/>
      <c r="G385" s="70"/>
      <c r="H385" s="67">
        <f>E385+F385</f>
        <v>1949520</v>
      </c>
      <c r="I385" s="70"/>
      <c r="J385" s="70"/>
      <c r="K385" s="70"/>
      <c r="L385" s="70"/>
      <c r="M385" s="70"/>
      <c r="N385" s="67">
        <f>H385+L385</f>
        <v>1949520</v>
      </c>
      <c r="O385" s="70"/>
      <c r="P385" s="70"/>
      <c r="Q385" s="70"/>
      <c r="R385" s="67">
        <f>O385+P385</f>
        <v>0</v>
      </c>
      <c r="S385" s="70"/>
      <c r="T385" s="70"/>
      <c r="U385" s="70"/>
      <c r="V385" s="70"/>
      <c r="W385" s="70"/>
      <c r="X385" s="67">
        <f>R385+V385</f>
        <v>0</v>
      </c>
      <c r="Y385" s="67">
        <f>R385+H385</f>
        <v>1949520</v>
      </c>
      <c r="Z385" s="67">
        <f>D385-Y385</f>
        <v>0</v>
      </c>
      <c r="AA385" s="67">
        <f t="shared" si="160"/>
        <v>1949520</v>
      </c>
      <c r="AB385" s="69">
        <f>+D385-N385-X385</f>
        <v>0</v>
      </c>
    </row>
    <row r="386" spans="1:28" x14ac:dyDescent="0.25">
      <c r="C386" s="4" t="s">
        <v>346</v>
      </c>
      <c r="D386" s="55">
        <v>4650327.54</v>
      </c>
      <c r="E386" s="55">
        <v>4650327.54</v>
      </c>
      <c r="F386" s="55"/>
      <c r="G386" s="55"/>
      <c r="H386" s="55">
        <f>+E386+F386</f>
        <v>4650327.54</v>
      </c>
      <c r="I386" s="55"/>
      <c r="J386" s="55"/>
      <c r="K386" s="55"/>
      <c r="L386" s="55"/>
      <c r="M386" s="55"/>
      <c r="N386" s="55">
        <f>+H386+L386</f>
        <v>4650327.54</v>
      </c>
      <c r="O386" s="55"/>
      <c r="P386" s="55"/>
      <c r="Q386" s="55"/>
      <c r="R386" s="55">
        <f>+O386+P386</f>
        <v>0</v>
      </c>
      <c r="S386" s="55"/>
      <c r="T386" s="55"/>
      <c r="U386" s="55"/>
      <c r="V386" s="55"/>
      <c r="W386" s="55"/>
      <c r="X386" s="55">
        <f>+R386+V386</f>
        <v>0</v>
      </c>
      <c r="Y386" s="67">
        <f>R386+H386</f>
        <v>4650327.54</v>
      </c>
      <c r="Z386" s="67">
        <f>D386-Y386</f>
        <v>0</v>
      </c>
      <c r="AA386" s="67">
        <f t="shared" si="160"/>
        <v>4650327.54</v>
      </c>
      <c r="AB386" s="69">
        <f>+D386-N386-X386</f>
        <v>0</v>
      </c>
    </row>
    <row r="387" spans="1:28" x14ac:dyDescent="0.25">
      <c r="A387" s="46"/>
      <c r="B387" s="26"/>
      <c r="C387" s="4" t="s">
        <v>53</v>
      </c>
      <c r="D387" s="72">
        <f>11020246.42+3219573.06</f>
        <v>14239819.48</v>
      </c>
      <c r="E387" s="72"/>
      <c r="F387" s="70"/>
      <c r="G387" s="70"/>
      <c r="H387" s="67">
        <f>E387+F387</f>
        <v>0</v>
      </c>
      <c r="I387" s="70"/>
      <c r="J387" s="70"/>
      <c r="K387" s="70"/>
      <c r="L387" s="70"/>
      <c r="M387" s="70"/>
      <c r="N387" s="67">
        <f>H387+L387</f>
        <v>0</v>
      </c>
      <c r="O387" s="72">
        <v>14239819.48</v>
      </c>
      <c r="P387" s="70"/>
      <c r="Q387" s="70"/>
      <c r="R387" s="67">
        <f>O387+P387</f>
        <v>14239819.48</v>
      </c>
      <c r="S387" s="70"/>
      <c r="T387" s="70"/>
      <c r="U387" s="70"/>
      <c r="V387" s="70"/>
      <c r="W387" s="70"/>
      <c r="X387" s="67">
        <f>R387+V387</f>
        <v>14239819.48</v>
      </c>
      <c r="Y387" s="67">
        <f>R387+H387</f>
        <v>14239819.48</v>
      </c>
      <c r="Z387" s="67">
        <f>D387-Y387</f>
        <v>0</v>
      </c>
      <c r="AA387" s="67">
        <f t="shared" si="160"/>
        <v>14239819.48</v>
      </c>
      <c r="AB387" s="69">
        <f>+D387-N387-X387</f>
        <v>0</v>
      </c>
    </row>
    <row r="388" spans="1:28" x14ac:dyDescent="0.25">
      <c r="A388" s="46"/>
      <c r="B388" s="26"/>
      <c r="C388" s="4" t="s">
        <v>54</v>
      </c>
      <c r="D388" s="72">
        <v>10700263.029999999</v>
      </c>
      <c r="E388" s="72"/>
      <c r="F388" s="70"/>
      <c r="G388" s="70"/>
      <c r="H388" s="67">
        <f>E388+F388</f>
        <v>0</v>
      </c>
      <c r="I388" s="70"/>
      <c r="J388" s="70"/>
      <c r="K388" s="70"/>
      <c r="L388" s="70"/>
      <c r="M388" s="70"/>
      <c r="N388" s="67">
        <f>H388+L388</f>
        <v>0</v>
      </c>
      <c r="O388" s="72">
        <v>10700263.029999999</v>
      </c>
      <c r="P388" s="70"/>
      <c r="Q388" s="70"/>
      <c r="R388" s="67">
        <f>O388+P388</f>
        <v>10700263.029999999</v>
      </c>
      <c r="S388" s="70"/>
      <c r="T388" s="70"/>
      <c r="U388" s="70"/>
      <c r="V388" s="70"/>
      <c r="W388" s="70"/>
      <c r="X388" s="67">
        <f>R388+V388</f>
        <v>10700263.029999999</v>
      </c>
      <c r="Y388" s="67">
        <f>R388+H388</f>
        <v>10700263.029999999</v>
      </c>
      <c r="Z388" s="67">
        <f>D388-Y388</f>
        <v>0</v>
      </c>
      <c r="AA388" s="67">
        <f t="shared" si="160"/>
        <v>10700263.029999999</v>
      </c>
      <c r="AB388" s="69">
        <f>+D388-N388-X388</f>
        <v>0</v>
      </c>
    </row>
    <row r="389" spans="1:28" x14ac:dyDescent="0.25">
      <c r="A389" s="46"/>
      <c r="B389" s="26"/>
      <c r="C389" s="4"/>
      <c r="D389" s="70" t="s">
        <v>40</v>
      </c>
      <c r="E389" s="70" t="s">
        <v>40</v>
      </c>
      <c r="F389" s="70" t="s">
        <v>40</v>
      </c>
      <c r="G389" s="70"/>
      <c r="H389" s="70" t="s">
        <v>40</v>
      </c>
      <c r="I389" s="70" t="s">
        <v>40</v>
      </c>
      <c r="J389" s="70" t="s">
        <v>40</v>
      </c>
      <c r="K389" s="70" t="s">
        <v>40</v>
      </c>
      <c r="L389" s="70" t="s">
        <v>40</v>
      </c>
      <c r="M389" s="70"/>
      <c r="N389" s="70" t="s">
        <v>40</v>
      </c>
      <c r="O389" s="70" t="s">
        <v>40</v>
      </c>
      <c r="P389" s="70" t="s">
        <v>40</v>
      </c>
      <c r="Q389" s="70"/>
      <c r="R389" s="70" t="s">
        <v>40</v>
      </c>
      <c r="S389" s="70" t="s">
        <v>40</v>
      </c>
      <c r="T389" s="70" t="s">
        <v>40</v>
      </c>
      <c r="U389" s="70" t="s">
        <v>40</v>
      </c>
      <c r="V389" s="70" t="s">
        <v>40</v>
      </c>
      <c r="W389" s="70"/>
      <c r="X389" s="70" t="s">
        <v>40</v>
      </c>
      <c r="Y389" s="70" t="s">
        <v>40</v>
      </c>
      <c r="Z389" s="70" t="s">
        <v>40</v>
      </c>
      <c r="AA389" s="70" t="s">
        <v>40</v>
      </c>
      <c r="AB389" s="70" t="s">
        <v>40</v>
      </c>
    </row>
    <row r="390" spans="1:28" x14ac:dyDescent="0.25">
      <c r="A390" s="46"/>
      <c r="B390" s="26"/>
      <c r="C390" s="4"/>
      <c r="D390" s="72">
        <f>SUM(D384:D388)</f>
        <v>44400834.219999999</v>
      </c>
      <c r="E390" s="72">
        <f>SUM(E384:E388)</f>
        <v>19288187.690000001</v>
      </c>
      <c r="F390" s="72">
        <f>SUM(F384:F388)</f>
        <v>0</v>
      </c>
      <c r="G390" s="72"/>
      <c r="H390" s="72">
        <f>SUM(H384:H388)</f>
        <v>19288187.690000001</v>
      </c>
      <c r="I390" s="72">
        <f>SUM(I384:I388)</f>
        <v>0</v>
      </c>
      <c r="J390" s="72">
        <f>SUM(J384:J388)</f>
        <v>0</v>
      </c>
      <c r="K390" s="72">
        <f>SUM(K384:K388)</f>
        <v>0</v>
      </c>
      <c r="L390" s="72">
        <f>SUM(L384:L388)</f>
        <v>0</v>
      </c>
      <c r="M390" s="72"/>
      <c r="N390" s="72">
        <f>SUM(N384:N388)</f>
        <v>19288187.690000001</v>
      </c>
      <c r="O390" s="72">
        <f>SUM(O384:O388)</f>
        <v>24940082.509999998</v>
      </c>
      <c r="P390" s="72">
        <f>SUM(P384:P388)</f>
        <v>0</v>
      </c>
      <c r="Q390" s="72"/>
      <c r="R390" s="72">
        <f>SUM(R384:R388)</f>
        <v>24940082.509999998</v>
      </c>
      <c r="S390" s="72">
        <f>SUM(S384:S388)</f>
        <v>0</v>
      </c>
      <c r="T390" s="72">
        <f>SUM(T384:T388)</f>
        <v>0</v>
      </c>
      <c r="U390" s="72">
        <f>SUM(U384:U388)</f>
        <v>0</v>
      </c>
      <c r="V390" s="72">
        <f>SUM(V384:V388)</f>
        <v>0</v>
      </c>
      <c r="W390" s="72"/>
      <c r="X390" s="72">
        <f>SUM(X384:X388)</f>
        <v>24940082.509999998</v>
      </c>
      <c r="Y390" s="72">
        <f>SUM(Y384:Y388)</f>
        <v>44228270.200000003</v>
      </c>
      <c r="Z390" s="72">
        <f>SUM(Z384:Z388)</f>
        <v>172564.01999999769</v>
      </c>
      <c r="AA390" s="72">
        <f>SUM(AA384:AA388)</f>
        <v>44228270.200000003</v>
      </c>
      <c r="AB390" s="72">
        <f>SUM(AB384:AB388)</f>
        <v>172564.01999999769</v>
      </c>
    </row>
    <row r="391" spans="1:28" x14ac:dyDescent="0.25">
      <c r="A391" s="46"/>
      <c r="B391" s="26"/>
      <c r="C391" s="4"/>
      <c r="D391" s="70" t="s">
        <v>40</v>
      </c>
      <c r="E391" s="70" t="s">
        <v>40</v>
      </c>
      <c r="F391" s="70" t="s">
        <v>40</v>
      </c>
      <c r="G391" s="70"/>
      <c r="H391" s="70" t="s">
        <v>40</v>
      </c>
      <c r="I391" s="70" t="s">
        <v>40</v>
      </c>
      <c r="J391" s="70" t="s">
        <v>40</v>
      </c>
      <c r="K391" s="70" t="s">
        <v>40</v>
      </c>
      <c r="L391" s="70" t="s">
        <v>40</v>
      </c>
      <c r="M391" s="70"/>
      <c r="N391" s="70" t="s">
        <v>40</v>
      </c>
      <c r="O391" s="70" t="s">
        <v>40</v>
      </c>
      <c r="P391" s="70" t="s">
        <v>40</v>
      </c>
      <c r="Q391" s="70"/>
      <c r="R391" s="70" t="s">
        <v>40</v>
      </c>
      <c r="S391" s="70" t="s">
        <v>40</v>
      </c>
      <c r="T391" s="70" t="s">
        <v>40</v>
      </c>
      <c r="U391" s="70" t="s">
        <v>40</v>
      </c>
      <c r="V391" s="70" t="s">
        <v>40</v>
      </c>
      <c r="W391" s="70"/>
      <c r="X391" s="70" t="s">
        <v>40</v>
      </c>
      <c r="Y391" s="70" t="s">
        <v>40</v>
      </c>
      <c r="Z391" s="70" t="s">
        <v>40</v>
      </c>
      <c r="AA391" s="70" t="s">
        <v>40</v>
      </c>
      <c r="AB391" s="70" t="s">
        <v>40</v>
      </c>
    </row>
    <row r="392" spans="1:28" x14ac:dyDescent="0.25">
      <c r="A392" s="46"/>
      <c r="B392" s="26"/>
      <c r="C392" s="4"/>
      <c r="D392" s="70"/>
      <c r="E392" s="70"/>
      <c r="F392" s="104"/>
      <c r="G392" s="140"/>
      <c r="H392" s="119"/>
      <c r="I392" s="105"/>
      <c r="J392" s="105"/>
      <c r="K392" s="105"/>
      <c r="L392" s="119"/>
      <c r="M392" s="105"/>
      <c r="N392" s="119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</row>
    <row r="393" spans="1:28" x14ac:dyDescent="0.25">
      <c r="A393" s="46">
        <v>37</v>
      </c>
      <c r="B393" s="26" t="s">
        <v>187</v>
      </c>
      <c r="C393" s="2" t="s">
        <v>35</v>
      </c>
      <c r="D393" s="72">
        <v>0</v>
      </c>
      <c r="E393" s="72">
        <f>6090896.59-6090896.59</f>
        <v>0</v>
      </c>
      <c r="F393" s="72"/>
      <c r="G393" s="70"/>
      <c r="H393" s="67">
        <f>E393+F393</f>
        <v>0</v>
      </c>
      <c r="I393" s="70"/>
      <c r="J393" s="70"/>
      <c r="K393" s="70"/>
      <c r="L393" s="70"/>
      <c r="M393" s="70"/>
      <c r="N393" s="67">
        <f>H393+L393</f>
        <v>0</v>
      </c>
      <c r="O393" s="70"/>
      <c r="P393" s="70"/>
      <c r="Q393" s="70"/>
      <c r="R393" s="67">
        <f>O393+P393</f>
        <v>0</v>
      </c>
      <c r="S393" s="70"/>
      <c r="T393" s="70"/>
      <c r="U393" s="70"/>
      <c r="V393" s="70"/>
      <c r="W393" s="70"/>
      <c r="X393" s="67">
        <f>R393+V393</f>
        <v>0</v>
      </c>
      <c r="Y393" s="67">
        <f t="shared" ref="Y393:Y398" si="161">R393+H393</f>
        <v>0</v>
      </c>
      <c r="Z393" s="67">
        <f t="shared" ref="Z393:Z398" si="162">D393-Y393</f>
        <v>0</v>
      </c>
      <c r="AA393" s="67">
        <f t="shared" ref="AA393:AA398" si="163">N393+X393</f>
        <v>0</v>
      </c>
      <c r="AB393" s="67">
        <f t="shared" ref="AB393:AB398" si="164">+D393-N393-X393</f>
        <v>0</v>
      </c>
    </row>
    <row r="394" spans="1:28" x14ac:dyDescent="0.25">
      <c r="A394" s="46"/>
      <c r="B394" s="26"/>
      <c r="C394" s="4" t="s">
        <v>36</v>
      </c>
      <c r="D394" s="72">
        <v>1693952</v>
      </c>
      <c r="E394" s="72">
        <v>1693952</v>
      </c>
      <c r="F394" s="70"/>
      <c r="G394" s="70"/>
      <c r="H394" s="67">
        <f>E394+F394</f>
        <v>1693952</v>
      </c>
      <c r="I394" s="70"/>
      <c r="J394" s="70"/>
      <c r="K394" s="70"/>
      <c r="L394" s="70"/>
      <c r="M394" s="70"/>
      <c r="N394" s="67">
        <f>H394+L394</f>
        <v>1693952</v>
      </c>
      <c r="O394" s="70"/>
      <c r="P394" s="70"/>
      <c r="Q394" s="70"/>
      <c r="R394" s="67">
        <f>O394+P394</f>
        <v>0</v>
      </c>
      <c r="S394" s="70"/>
      <c r="T394" s="70"/>
      <c r="U394" s="70"/>
      <c r="V394" s="70"/>
      <c r="W394" s="70"/>
      <c r="X394" s="67">
        <f>R394+V394</f>
        <v>0</v>
      </c>
      <c r="Y394" s="67">
        <f t="shared" si="161"/>
        <v>1693952</v>
      </c>
      <c r="Z394" s="67">
        <f t="shared" si="162"/>
        <v>0</v>
      </c>
      <c r="AA394" s="67">
        <f t="shared" si="163"/>
        <v>1693952</v>
      </c>
      <c r="AB394" s="67">
        <f t="shared" si="164"/>
        <v>0</v>
      </c>
    </row>
    <row r="395" spans="1:28" x14ac:dyDescent="0.25">
      <c r="C395" s="4" t="s">
        <v>346</v>
      </c>
      <c r="D395" s="55">
        <v>6090896.5899999999</v>
      </c>
      <c r="E395" s="55">
        <v>6090896.5899999999</v>
      </c>
      <c r="F395" s="55"/>
      <c r="G395" s="55"/>
      <c r="H395" s="55">
        <f>+E395+F395</f>
        <v>6090896.5899999999</v>
      </c>
      <c r="I395" s="55"/>
      <c r="J395" s="55"/>
      <c r="K395" s="55"/>
      <c r="L395" s="55"/>
      <c r="M395" s="55"/>
      <c r="N395" s="55">
        <f>+H395+L395</f>
        <v>6090896.5899999999</v>
      </c>
      <c r="O395" s="55"/>
      <c r="P395" s="55"/>
      <c r="Q395" s="55"/>
      <c r="R395" s="55">
        <f>+O395+P395</f>
        <v>0</v>
      </c>
      <c r="S395" s="55"/>
      <c r="T395" s="55"/>
      <c r="U395" s="55"/>
      <c r="V395" s="55"/>
      <c r="W395" s="55"/>
      <c r="X395" s="55">
        <f>+R395+V395</f>
        <v>0</v>
      </c>
      <c r="Y395" s="67">
        <f t="shared" si="161"/>
        <v>6090896.5899999999</v>
      </c>
      <c r="Z395" s="67">
        <f t="shared" si="162"/>
        <v>0</v>
      </c>
      <c r="AA395" s="67">
        <f t="shared" si="163"/>
        <v>6090896.5899999999</v>
      </c>
      <c r="AB395" s="67">
        <f t="shared" si="164"/>
        <v>0</v>
      </c>
    </row>
    <row r="396" spans="1:28" x14ac:dyDescent="0.25">
      <c r="C396" s="4" t="s">
        <v>317</v>
      </c>
      <c r="D396" s="55">
        <v>2014079.01</v>
      </c>
      <c r="E396" s="55">
        <v>2014079.01</v>
      </c>
      <c r="F396" s="55"/>
      <c r="G396" s="55"/>
      <c r="H396" s="55">
        <f>+E396+F396</f>
        <v>2014079.01</v>
      </c>
      <c r="I396" s="55"/>
      <c r="J396" s="55"/>
      <c r="K396" s="55"/>
      <c r="L396" s="55"/>
      <c r="M396" s="55"/>
      <c r="N396" s="55">
        <f>+H396+L396</f>
        <v>2014079.01</v>
      </c>
      <c r="O396" s="55"/>
      <c r="P396" s="55"/>
      <c r="Q396" s="55"/>
      <c r="R396" s="55">
        <f>+O396+P396</f>
        <v>0</v>
      </c>
      <c r="S396" s="55"/>
      <c r="T396" s="55"/>
      <c r="U396" s="55"/>
      <c r="V396" s="55"/>
      <c r="W396" s="55"/>
      <c r="X396" s="55">
        <f>+R396+V396</f>
        <v>0</v>
      </c>
      <c r="Y396" s="67">
        <f t="shared" si="161"/>
        <v>2014079.01</v>
      </c>
      <c r="Z396" s="67">
        <f t="shared" si="162"/>
        <v>0</v>
      </c>
      <c r="AA396" s="67">
        <f t="shared" si="163"/>
        <v>2014079.01</v>
      </c>
      <c r="AB396" s="67">
        <f t="shared" si="164"/>
        <v>0</v>
      </c>
    </row>
    <row r="397" spans="1:28" x14ac:dyDescent="0.25">
      <c r="A397" s="46"/>
      <c r="B397" s="26"/>
      <c r="C397" s="4" t="s">
        <v>53</v>
      </c>
      <c r="D397" s="72">
        <f>13410831.92+4728957.99+835131.39+1873276.21</f>
        <v>20848197.510000002</v>
      </c>
      <c r="E397" s="70"/>
      <c r="F397" s="70"/>
      <c r="G397" s="70"/>
      <c r="H397" s="67">
        <f>E397+F397</f>
        <v>0</v>
      </c>
      <c r="I397" s="70"/>
      <c r="J397" s="70"/>
      <c r="K397" s="70"/>
      <c r="L397" s="72"/>
      <c r="M397" s="72"/>
      <c r="N397" s="67">
        <f>H397+L397</f>
        <v>0</v>
      </c>
      <c r="O397" s="72">
        <f>18138655.91+2709541.6</f>
        <v>20848197.510000002</v>
      </c>
      <c r="P397" s="72"/>
      <c r="Q397" s="70"/>
      <c r="R397" s="67">
        <f>O397+P397</f>
        <v>20848197.510000002</v>
      </c>
      <c r="S397" s="70"/>
      <c r="T397" s="70"/>
      <c r="U397" s="70"/>
      <c r="V397" s="72"/>
      <c r="W397" s="70"/>
      <c r="X397" s="67">
        <f>R397+V397</f>
        <v>20848197.510000002</v>
      </c>
      <c r="Y397" s="67">
        <f t="shared" si="161"/>
        <v>20848197.510000002</v>
      </c>
      <c r="Z397" s="67">
        <f t="shared" si="162"/>
        <v>0</v>
      </c>
      <c r="AA397" s="67">
        <f t="shared" si="163"/>
        <v>20848197.510000002</v>
      </c>
      <c r="AB397" s="67">
        <f t="shared" si="164"/>
        <v>0</v>
      </c>
    </row>
    <row r="398" spans="1:28" x14ac:dyDescent="0.25">
      <c r="A398" s="46"/>
      <c r="B398" s="26"/>
      <c r="C398" s="4" t="s">
        <v>54</v>
      </c>
      <c r="D398" s="72">
        <f>10700263.03</f>
        <v>10700263.029999999</v>
      </c>
      <c r="E398" s="70"/>
      <c r="F398" s="70"/>
      <c r="G398" s="70"/>
      <c r="H398" s="67">
        <f>E398+F398</f>
        <v>0</v>
      </c>
      <c r="I398" s="70"/>
      <c r="J398" s="70"/>
      <c r="K398" s="70"/>
      <c r="L398" s="70"/>
      <c r="M398" s="70"/>
      <c r="N398" s="67">
        <f>H398+L398</f>
        <v>0</v>
      </c>
      <c r="O398" s="72">
        <v>10700263.029999999</v>
      </c>
      <c r="P398" s="70"/>
      <c r="Q398" s="70"/>
      <c r="R398" s="67">
        <f>O398+P398</f>
        <v>10700263.029999999</v>
      </c>
      <c r="S398" s="70"/>
      <c r="T398" s="70"/>
      <c r="U398" s="70"/>
      <c r="V398" s="70"/>
      <c r="W398" s="70"/>
      <c r="X398" s="67">
        <f>R398+V398</f>
        <v>10700263.029999999</v>
      </c>
      <c r="Y398" s="67">
        <f t="shared" si="161"/>
        <v>10700263.029999999</v>
      </c>
      <c r="Z398" s="67">
        <f t="shared" si="162"/>
        <v>0</v>
      </c>
      <c r="AA398" s="67">
        <f t="shared" si="163"/>
        <v>10700263.029999999</v>
      </c>
      <c r="AB398" s="67">
        <f t="shared" si="164"/>
        <v>0</v>
      </c>
    </row>
    <row r="399" spans="1:28" x14ac:dyDescent="0.25">
      <c r="A399" s="46"/>
      <c r="B399" s="26"/>
      <c r="C399" s="4"/>
      <c r="D399" s="70" t="s">
        <v>40</v>
      </c>
      <c r="E399" s="70" t="s">
        <v>40</v>
      </c>
      <c r="F399" s="70" t="s">
        <v>40</v>
      </c>
      <c r="G399" s="70"/>
      <c r="H399" s="70" t="s">
        <v>40</v>
      </c>
      <c r="I399" s="70" t="s">
        <v>40</v>
      </c>
      <c r="J399" s="70" t="s">
        <v>40</v>
      </c>
      <c r="K399" s="70" t="s">
        <v>40</v>
      </c>
      <c r="L399" s="70" t="s">
        <v>40</v>
      </c>
      <c r="M399" s="70"/>
      <c r="N399" s="70" t="s">
        <v>40</v>
      </c>
      <c r="O399" s="70" t="s">
        <v>40</v>
      </c>
      <c r="P399" s="70" t="s">
        <v>40</v>
      </c>
      <c r="Q399" s="70"/>
      <c r="R399" s="70" t="s">
        <v>40</v>
      </c>
      <c r="S399" s="70" t="s">
        <v>40</v>
      </c>
      <c r="T399" s="70" t="s">
        <v>40</v>
      </c>
      <c r="U399" s="70" t="s">
        <v>40</v>
      </c>
      <c r="V399" s="70" t="s">
        <v>40</v>
      </c>
      <c r="W399" s="70"/>
      <c r="X399" s="70" t="s">
        <v>40</v>
      </c>
      <c r="Y399" s="70" t="s">
        <v>40</v>
      </c>
      <c r="Z399" s="70" t="s">
        <v>40</v>
      </c>
      <c r="AA399" s="70" t="s">
        <v>40</v>
      </c>
      <c r="AB399" s="70" t="s">
        <v>40</v>
      </c>
    </row>
    <row r="400" spans="1:28" x14ac:dyDescent="0.25">
      <c r="A400" s="46"/>
      <c r="B400" s="26"/>
      <c r="C400" s="4"/>
      <c r="D400" s="72">
        <f>SUM(D393:D398)</f>
        <v>41347388.140000001</v>
      </c>
      <c r="E400" s="72">
        <f>SUM(E393:E398)</f>
        <v>9798927.5999999996</v>
      </c>
      <c r="F400" s="72">
        <f>SUM(F393:F398)</f>
        <v>0</v>
      </c>
      <c r="G400" s="72"/>
      <c r="H400" s="72">
        <f>SUM(H393:H398)</f>
        <v>9798927.5999999996</v>
      </c>
      <c r="I400" s="72">
        <f>SUM(I393:I398)</f>
        <v>0</v>
      </c>
      <c r="J400" s="72">
        <f>SUM(J393:J398)</f>
        <v>0</v>
      </c>
      <c r="K400" s="72">
        <f>SUM(K393:K398)</f>
        <v>0</v>
      </c>
      <c r="L400" s="72">
        <f>SUM(L393:L398)</f>
        <v>0</v>
      </c>
      <c r="M400" s="72"/>
      <c r="N400" s="72">
        <f>SUM(N393:N398)</f>
        <v>9798927.5999999996</v>
      </c>
      <c r="O400" s="72">
        <f>SUM(O393:O398)</f>
        <v>31548460.539999999</v>
      </c>
      <c r="P400" s="72">
        <f>SUM(P393:P398)</f>
        <v>0</v>
      </c>
      <c r="Q400" s="72"/>
      <c r="R400" s="72">
        <f>SUM(R393:R398)</f>
        <v>31548460.539999999</v>
      </c>
      <c r="S400" s="72">
        <f>SUM(S393:S398)</f>
        <v>0</v>
      </c>
      <c r="T400" s="72">
        <f>SUM(T393:T398)</f>
        <v>0</v>
      </c>
      <c r="U400" s="72">
        <f>SUM(U393:U398)</f>
        <v>0</v>
      </c>
      <c r="V400" s="72">
        <f>SUM(V393:V398)</f>
        <v>0</v>
      </c>
      <c r="W400" s="72"/>
      <c r="X400" s="72">
        <f>SUM(X393:X398)</f>
        <v>31548460.539999999</v>
      </c>
      <c r="Y400" s="72">
        <f>SUM(Y393:Y398)</f>
        <v>41347388.140000001</v>
      </c>
      <c r="Z400" s="72">
        <f>SUM(Z393:Z398)</f>
        <v>0</v>
      </c>
      <c r="AA400" s="72">
        <f>SUM(AA393:AA398)</f>
        <v>41347388.140000001</v>
      </c>
      <c r="AB400" s="72">
        <f>SUM(AB393:AB398)</f>
        <v>0</v>
      </c>
    </row>
    <row r="401" spans="1:28" x14ac:dyDescent="0.25">
      <c r="A401" s="46"/>
      <c r="B401" s="26"/>
      <c r="C401" s="4"/>
      <c r="D401" s="70" t="s">
        <v>40</v>
      </c>
      <c r="E401" s="70" t="s">
        <v>40</v>
      </c>
      <c r="F401" s="70" t="s">
        <v>40</v>
      </c>
      <c r="G401" s="70"/>
      <c r="H401" s="70" t="s">
        <v>40</v>
      </c>
      <c r="I401" s="70" t="s">
        <v>40</v>
      </c>
      <c r="J401" s="70" t="s">
        <v>40</v>
      </c>
      <c r="K401" s="70" t="s">
        <v>40</v>
      </c>
      <c r="L401" s="70" t="s">
        <v>40</v>
      </c>
      <c r="M401" s="70"/>
      <c r="N401" s="70" t="s">
        <v>40</v>
      </c>
      <c r="O401" s="70" t="s">
        <v>40</v>
      </c>
      <c r="P401" s="70" t="s">
        <v>40</v>
      </c>
      <c r="Q401" s="70"/>
      <c r="R401" s="70" t="s">
        <v>40</v>
      </c>
      <c r="S401" s="70" t="s">
        <v>40</v>
      </c>
      <c r="T401" s="70" t="s">
        <v>40</v>
      </c>
      <c r="U401" s="70" t="s">
        <v>40</v>
      </c>
      <c r="V401" s="70" t="s">
        <v>40</v>
      </c>
      <c r="W401" s="70"/>
      <c r="X401" s="70" t="s">
        <v>40</v>
      </c>
      <c r="Y401" s="70" t="s">
        <v>40</v>
      </c>
      <c r="Z401" s="70" t="s">
        <v>40</v>
      </c>
      <c r="AA401" s="70" t="s">
        <v>40</v>
      </c>
      <c r="AB401" s="70" t="s">
        <v>40</v>
      </c>
    </row>
    <row r="402" spans="1:28" x14ac:dyDescent="0.25">
      <c r="A402" s="46"/>
      <c r="B402" s="26"/>
      <c r="C402" s="4"/>
      <c r="D402" s="70"/>
      <c r="E402" s="70"/>
      <c r="F402" s="104"/>
      <c r="G402" s="140"/>
      <c r="H402" s="119"/>
      <c r="I402" s="105"/>
      <c r="J402" s="105"/>
      <c r="K402" s="105"/>
      <c r="L402" s="119"/>
      <c r="M402" s="105"/>
      <c r="N402" s="119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</row>
    <row r="403" spans="1:28" x14ac:dyDescent="0.25">
      <c r="A403" s="46">
        <v>38</v>
      </c>
      <c r="B403" s="26" t="s">
        <v>188</v>
      </c>
      <c r="C403" s="2" t="s">
        <v>35</v>
      </c>
      <c r="D403" s="72">
        <v>53418439.899999999</v>
      </c>
      <c r="E403" s="70"/>
      <c r="F403" s="70"/>
      <c r="G403" s="70"/>
      <c r="H403" s="67">
        <f>E403+F403</f>
        <v>0</v>
      </c>
      <c r="I403" s="70"/>
      <c r="J403" s="70"/>
      <c r="K403" s="70"/>
      <c r="L403" s="70"/>
      <c r="M403" s="70"/>
      <c r="N403" s="67">
        <f>H403+L403</f>
        <v>0</v>
      </c>
      <c r="O403" s="72">
        <v>81926.41</v>
      </c>
      <c r="P403" s="72"/>
      <c r="Q403" s="70"/>
      <c r="R403" s="67">
        <f>O403+P403</f>
        <v>81926.41</v>
      </c>
      <c r="S403" s="70"/>
      <c r="T403" s="70"/>
      <c r="U403" s="70"/>
      <c r="V403" s="70"/>
      <c r="W403" s="70"/>
      <c r="X403" s="67">
        <f>R403+V403</f>
        <v>81926.41</v>
      </c>
      <c r="Y403" s="67">
        <f>R403+H403</f>
        <v>81926.41</v>
      </c>
      <c r="Z403" s="67">
        <f>D403-Y403</f>
        <v>53336513.490000002</v>
      </c>
      <c r="AA403" s="67">
        <f>N403+X403</f>
        <v>81926.41</v>
      </c>
      <c r="AB403" s="67">
        <f>+D403-N403-X403</f>
        <v>53336513.490000002</v>
      </c>
    </row>
    <row r="404" spans="1:28" x14ac:dyDescent="0.25">
      <c r="A404" s="46"/>
      <c r="B404" s="26"/>
      <c r="C404" s="4" t="s">
        <v>36</v>
      </c>
      <c r="D404" s="72">
        <v>2565137</v>
      </c>
      <c r="E404" s="68">
        <v>2565137</v>
      </c>
      <c r="F404" s="68"/>
      <c r="G404" s="68"/>
      <c r="H404" s="67">
        <f>E404+F404</f>
        <v>2565137</v>
      </c>
      <c r="I404" s="68"/>
      <c r="J404" s="68"/>
      <c r="K404" s="68"/>
      <c r="L404" s="68"/>
      <c r="M404" s="68"/>
      <c r="N404" s="67">
        <f>H404+L404</f>
        <v>2565137</v>
      </c>
      <c r="O404" s="68"/>
      <c r="P404" s="68"/>
      <c r="Q404" s="68"/>
      <c r="R404" s="67">
        <f>O404+P404</f>
        <v>0</v>
      </c>
      <c r="S404" s="68"/>
      <c r="T404" s="68"/>
      <c r="U404" s="68"/>
      <c r="V404" s="68"/>
      <c r="W404" s="68"/>
      <c r="X404" s="67">
        <f>R404+V404</f>
        <v>0</v>
      </c>
      <c r="Y404" s="67">
        <f>R404+H404</f>
        <v>2565137</v>
      </c>
      <c r="Z404" s="67">
        <f>D404-Y404</f>
        <v>0</v>
      </c>
      <c r="AA404" s="67">
        <f>N404+X404</f>
        <v>2565137</v>
      </c>
      <c r="AB404" s="67">
        <f>+D404-N404-X404</f>
        <v>0</v>
      </c>
    </row>
    <row r="405" spans="1:28" x14ac:dyDescent="0.25">
      <c r="A405" s="46"/>
      <c r="B405" s="26"/>
      <c r="C405" s="4" t="s">
        <v>38</v>
      </c>
      <c r="D405" s="72">
        <v>3912782.83</v>
      </c>
      <c r="E405" s="68"/>
      <c r="F405" s="68"/>
      <c r="G405" s="68"/>
      <c r="H405" s="67">
        <f>E405+F405</f>
        <v>0</v>
      </c>
      <c r="I405" s="68"/>
      <c r="J405" s="68"/>
      <c r="K405" s="68"/>
      <c r="L405" s="68"/>
      <c r="M405" s="68"/>
      <c r="N405" s="67">
        <f>H405+L405</f>
        <v>0</v>
      </c>
      <c r="O405" s="68"/>
      <c r="P405" s="68"/>
      <c r="Q405" s="68"/>
      <c r="R405" s="67">
        <f>O405+P405</f>
        <v>0</v>
      </c>
      <c r="S405" s="68"/>
      <c r="T405" s="68"/>
      <c r="U405" s="68"/>
      <c r="V405" s="68"/>
      <c r="W405" s="68"/>
      <c r="X405" s="67">
        <f>R405+V405</f>
        <v>0</v>
      </c>
      <c r="Y405" s="67">
        <f>R405+H405</f>
        <v>0</v>
      </c>
      <c r="Z405" s="67">
        <f>D405-Y405</f>
        <v>3912782.83</v>
      </c>
      <c r="AA405" s="67">
        <f>N405+X405</f>
        <v>0</v>
      </c>
      <c r="AB405" s="67">
        <f>+D405-N405-X405</f>
        <v>3912782.83</v>
      </c>
    </row>
    <row r="406" spans="1:28" ht="17.25" customHeight="1" x14ac:dyDescent="0.25">
      <c r="A406" s="46"/>
      <c r="B406" s="26"/>
      <c r="C406" s="4"/>
      <c r="D406" s="70" t="s">
        <v>40</v>
      </c>
      <c r="E406" s="70" t="s">
        <v>40</v>
      </c>
      <c r="F406" s="70" t="s">
        <v>40</v>
      </c>
      <c r="G406" s="70"/>
      <c r="H406" s="70" t="s">
        <v>40</v>
      </c>
      <c r="I406" s="70" t="s">
        <v>40</v>
      </c>
      <c r="J406" s="70" t="s">
        <v>40</v>
      </c>
      <c r="K406" s="70" t="s">
        <v>40</v>
      </c>
      <c r="L406" s="70" t="s">
        <v>40</v>
      </c>
      <c r="M406" s="70"/>
      <c r="N406" s="70" t="s">
        <v>40</v>
      </c>
      <c r="O406" s="70" t="s">
        <v>40</v>
      </c>
      <c r="P406" s="70" t="s">
        <v>40</v>
      </c>
      <c r="Q406" s="70"/>
      <c r="R406" s="70" t="s">
        <v>40</v>
      </c>
      <c r="S406" s="70" t="s">
        <v>40</v>
      </c>
      <c r="T406" s="70" t="s">
        <v>40</v>
      </c>
      <c r="U406" s="70" t="s">
        <v>40</v>
      </c>
      <c r="V406" s="70" t="s">
        <v>40</v>
      </c>
      <c r="W406" s="70"/>
      <c r="X406" s="70" t="s">
        <v>40</v>
      </c>
      <c r="Y406" s="70" t="s">
        <v>40</v>
      </c>
      <c r="Z406" s="70" t="s">
        <v>40</v>
      </c>
      <c r="AA406" s="70" t="s">
        <v>40</v>
      </c>
      <c r="AB406" s="70" t="s">
        <v>40</v>
      </c>
    </row>
    <row r="407" spans="1:28" x14ac:dyDescent="0.25">
      <c r="A407" s="46"/>
      <c r="B407" s="26"/>
      <c r="C407" s="4"/>
      <c r="D407" s="72">
        <f>SUM(D403:D405)</f>
        <v>59896359.729999997</v>
      </c>
      <c r="E407" s="72">
        <f t="shared" ref="E407:AB407" si="165">SUM(E403:E405)</f>
        <v>2565137</v>
      </c>
      <c r="F407" s="72">
        <f t="shared" si="165"/>
        <v>0</v>
      </c>
      <c r="G407" s="72"/>
      <c r="H407" s="72">
        <f t="shared" si="165"/>
        <v>2565137</v>
      </c>
      <c r="I407" s="72">
        <f t="shared" si="165"/>
        <v>0</v>
      </c>
      <c r="J407" s="72">
        <f t="shared" si="165"/>
        <v>0</v>
      </c>
      <c r="K407" s="72">
        <f t="shared" si="165"/>
        <v>0</v>
      </c>
      <c r="L407" s="72">
        <f t="shared" si="165"/>
        <v>0</v>
      </c>
      <c r="M407" s="72"/>
      <c r="N407" s="72">
        <f t="shared" si="165"/>
        <v>2565137</v>
      </c>
      <c r="O407" s="72">
        <f t="shared" si="165"/>
        <v>81926.41</v>
      </c>
      <c r="P407" s="72">
        <f t="shared" si="165"/>
        <v>0</v>
      </c>
      <c r="Q407" s="72"/>
      <c r="R407" s="72">
        <f t="shared" si="165"/>
        <v>81926.41</v>
      </c>
      <c r="S407" s="72">
        <f t="shared" si="165"/>
        <v>0</v>
      </c>
      <c r="T407" s="72">
        <f t="shared" si="165"/>
        <v>0</v>
      </c>
      <c r="U407" s="72">
        <f t="shared" si="165"/>
        <v>0</v>
      </c>
      <c r="V407" s="72">
        <f t="shared" si="165"/>
        <v>0</v>
      </c>
      <c r="W407" s="72"/>
      <c r="X407" s="72">
        <f t="shared" si="165"/>
        <v>81926.41</v>
      </c>
      <c r="Y407" s="72">
        <f t="shared" si="165"/>
        <v>2647063.41</v>
      </c>
      <c r="Z407" s="72">
        <f t="shared" si="165"/>
        <v>57249296.32</v>
      </c>
      <c r="AA407" s="72">
        <f t="shared" si="165"/>
        <v>2647063.41</v>
      </c>
      <c r="AB407" s="72">
        <f t="shared" si="165"/>
        <v>57249296.32</v>
      </c>
    </row>
    <row r="408" spans="1:28" x14ac:dyDescent="0.25">
      <c r="A408" s="46"/>
      <c r="B408" s="26"/>
      <c r="C408" s="4"/>
      <c r="D408" s="70" t="s">
        <v>40</v>
      </c>
      <c r="E408" s="70" t="s">
        <v>40</v>
      </c>
      <c r="F408" s="70" t="s">
        <v>40</v>
      </c>
      <c r="G408" s="70"/>
      <c r="H408" s="70" t="s">
        <v>40</v>
      </c>
      <c r="I408" s="70" t="s">
        <v>40</v>
      </c>
      <c r="J408" s="70" t="s">
        <v>40</v>
      </c>
      <c r="K408" s="70" t="s">
        <v>40</v>
      </c>
      <c r="L408" s="70" t="s">
        <v>40</v>
      </c>
      <c r="M408" s="70"/>
      <c r="N408" s="70" t="s">
        <v>40</v>
      </c>
      <c r="O408" s="70" t="s">
        <v>40</v>
      </c>
      <c r="P408" s="70" t="s">
        <v>40</v>
      </c>
      <c r="Q408" s="70"/>
      <c r="R408" s="70" t="s">
        <v>40</v>
      </c>
      <c r="S408" s="70" t="s">
        <v>40</v>
      </c>
      <c r="T408" s="70" t="s">
        <v>40</v>
      </c>
      <c r="U408" s="70" t="s">
        <v>40</v>
      </c>
      <c r="V408" s="70" t="s">
        <v>40</v>
      </c>
      <c r="W408" s="70"/>
      <c r="X408" s="70" t="s">
        <v>40</v>
      </c>
      <c r="Y408" s="70" t="s">
        <v>40</v>
      </c>
      <c r="Z408" s="70" t="s">
        <v>40</v>
      </c>
      <c r="AA408" s="68"/>
      <c r="AB408" s="70" t="s">
        <v>40</v>
      </c>
    </row>
    <row r="409" spans="1:28" x14ac:dyDescent="0.25">
      <c r="A409" s="46"/>
      <c r="B409" s="26"/>
      <c r="C409" s="4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6"/>
      <c r="Q409" s="70"/>
      <c r="R409" s="70"/>
      <c r="S409" s="70"/>
      <c r="T409" s="70"/>
      <c r="U409" s="70"/>
      <c r="V409" s="70"/>
      <c r="W409" s="70"/>
      <c r="X409" s="70"/>
      <c r="Y409" s="72"/>
      <c r="Z409" s="72"/>
      <c r="AA409" s="68"/>
      <c r="AB409" s="72"/>
    </row>
    <row r="410" spans="1:28" x14ac:dyDescent="0.25">
      <c r="A410" s="46">
        <v>39</v>
      </c>
      <c r="B410" s="26" t="s">
        <v>189</v>
      </c>
      <c r="C410" s="2" t="s">
        <v>35</v>
      </c>
      <c r="D410" s="72">
        <v>50603874.039999999</v>
      </c>
      <c r="E410" s="68"/>
      <c r="F410" s="68"/>
      <c r="G410" s="68"/>
      <c r="H410" s="67">
        <f>E410+F410</f>
        <v>0</v>
      </c>
      <c r="I410" s="68"/>
      <c r="J410" s="68"/>
      <c r="K410" s="68"/>
      <c r="L410" s="68"/>
      <c r="M410" s="68"/>
      <c r="N410" s="67">
        <f>H410+L410</f>
        <v>0</v>
      </c>
      <c r="O410" s="68"/>
      <c r="P410" s="68"/>
      <c r="Q410" s="68"/>
      <c r="R410" s="67">
        <f>O410+P410</f>
        <v>0</v>
      </c>
      <c r="S410" s="68"/>
      <c r="T410" s="68"/>
      <c r="U410" s="68"/>
      <c r="V410" s="68"/>
      <c r="W410" s="68"/>
      <c r="X410" s="67">
        <f>R410+V410</f>
        <v>0</v>
      </c>
      <c r="Y410" s="67">
        <f>R410+H410</f>
        <v>0</v>
      </c>
      <c r="Z410" s="67">
        <f>D410-Y410</f>
        <v>50603874.039999999</v>
      </c>
      <c r="AA410" s="67">
        <f>N410+X410</f>
        <v>0</v>
      </c>
      <c r="AB410" s="67">
        <f>+D410-N410-X410</f>
        <v>50603874.039999999</v>
      </c>
    </row>
    <row r="411" spans="1:28" x14ac:dyDescent="0.25">
      <c r="A411" s="46"/>
      <c r="B411" s="26"/>
      <c r="C411" s="4" t="s">
        <v>36</v>
      </c>
      <c r="D411" s="72">
        <v>2083523</v>
      </c>
      <c r="E411" s="68">
        <v>2083523</v>
      </c>
      <c r="F411" s="68"/>
      <c r="G411" s="68"/>
      <c r="H411" s="67">
        <f>E411+F411</f>
        <v>2083523</v>
      </c>
      <c r="I411" s="68"/>
      <c r="J411" s="68"/>
      <c r="K411" s="68"/>
      <c r="L411" s="68"/>
      <c r="M411" s="68"/>
      <c r="N411" s="67">
        <f>H411+L411</f>
        <v>2083523</v>
      </c>
      <c r="O411" s="68"/>
      <c r="P411" s="68"/>
      <c r="Q411" s="68"/>
      <c r="R411" s="67">
        <f>O411+P411</f>
        <v>0</v>
      </c>
      <c r="S411" s="68"/>
      <c r="T411" s="68"/>
      <c r="U411" s="68"/>
      <c r="V411" s="68"/>
      <c r="W411" s="68"/>
      <c r="X411" s="67">
        <f>R411+V411</f>
        <v>0</v>
      </c>
      <c r="Y411" s="67">
        <f>R411+H411</f>
        <v>2083523</v>
      </c>
      <c r="Z411" s="67">
        <f>D411-Y411</f>
        <v>0</v>
      </c>
      <c r="AA411" s="67">
        <f>N411+X411</f>
        <v>2083523</v>
      </c>
      <c r="AB411" s="67">
        <f>+D411-N411-X411</f>
        <v>0</v>
      </c>
    </row>
    <row r="412" spans="1:28" x14ac:dyDescent="0.25">
      <c r="A412" s="46"/>
      <c r="B412" s="26"/>
      <c r="C412" s="4" t="s">
        <v>38</v>
      </c>
      <c r="D412" s="72">
        <v>1533021.58</v>
      </c>
      <c r="E412" s="68"/>
      <c r="F412" s="68"/>
      <c r="G412" s="68"/>
      <c r="H412" s="67">
        <f>E412+F412</f>
        <v>0</v>
      </c>
      <c r="I412" s="68"/>
      <c r="J412" s="68"/>
      <c r="K412" s="68"/>
      <c r="L412" s="68"/>
      <c r="M412" s="68"/>
      <c r="N412" s="67">
        <f>H412+L412</f>
        <v>0</v>
      </c>
      <c r="O412" s="68"/>
      <c r="P412" s="68"/>
      <c r="Q412" s="68"/>
      <c r="R412" s="67">
        <f>O412+P412</f>
        <v>0</v>
      </c>
      <c r="S412" s="68"/>
      <c r="T412" s="68"/>
      <c r="U412" s="68"/>
      <c r="V412" s="68"/>
      <c r="W412" s="68"/>
      <c r="X412" s="67">
        <f>R412+V412</f>
        <v>0</v>
      </c>
      <c r="Y412" s="67">
        <f>R412+H412</f>
        <v>0</v>
      </c>
      <c r="Z412" s="67">
        <f>D412-Y412</f>
        <v>1533021.58</v>
      </c>
      <c r="AA412" s="67">
        <f>N412+X412</f>
        <v>0</v>
      </c>
      <c r="AB412" s="67">
        <f>+D412-N412-X412</f>
        <v>1533021.58</v>
      </c>
    </row>
    <row r="413" spans="1:28" x14ac:dyDescent="0.25">
      <c r="A413" s="46"/>
      <c r="B413" s="26"/>
      <c r="C413" s="27" t="str">
        <f>+C87</f>
        <v>EL-CONCESSIONAL</v>
      </c>
      <c r="D413" s="72">
        <v>201.5</v>
      </c>
      <c r="E413" s="68"/>
      <c r="F413" s="68"/>
      <c r="G413" s="68"/>
      <c r="H413" s="67">
        <f>E413+F413</f>
        <v>0</v>
      </c>
      <c r="I413" s="68"/>
      <c r="J413" s="68"/>
      <c r="K413" s="68"/>
      <c r="L413" s="68"/>
      <c r="M413" s="68"/>
      <c r="N413" s="67">
        <f>H413+L413</f>
        <v>0</v>
      </c>
      <c r="O413" s="68"/>
      <c r="P413" s="68"/>
      <c r="Q413" s="68"/>
      <c r="R413" s="67">
        <f>O413+P413</f>
        <v>0</v>
      </c>
      <c r="S413" s="68"/>
      <c r="T413" s="68"/>
      <c r="U413" s="68"/>
      <c r="V413" s="68"/>
      <c r="W413" s="68"/>
      <c r="X413" s="67">
        <f>R413+V413</f>
        <v>0</v>
      </c>
      <c r="Y413" s="67">
        <f>R413+H413</f>
        <v>0</v>
      </c>
      <c r="Z413" s="67">
        <f>D413-Y413</f>
        <v>201.5</v>
      </c>
      <c r="AA413" s="67">
        <f>N413+X413</f>
        <v>0</v>
      </c>
      <c r="AB413" s="67">
        <f>+D413-N413-X413</f>
        <v>201.5</v>
      </c>
    </row>
    <row r="414" spans="1:28" x14ac:dyDescent="0.25">
      <c r="A414" s="46"/>
      <c r="B414" s="26"/>
      <c r="C414" s="4"/>
      <c r="D414" s="70" t="s">
        <v>40</v>
      </c>
      <c r="E414" s="70" t="s">
        <v>40</v>
      </c>
      <c r="F414" s="70" t="s">
        <v>40</v>
      </c>
      <c r="G414" s="70"/>
      <c r="H414" s="70" t="s">
        <v>40</v>
      </c>
      <c r="I414" s="70" t="s">
        <v>40</v>
      </c>
      <c r="J414" s="70" t="s">
        <v>40</v>
      </c>
      <c r="K414" s="70" t="s">
        <v>40</v>
      </c>
      <c r="L414" s="70" t="s">
        <v>40</v>
      </c>
      <c r="M414" s="70"/>
      <c r="N414" s="70" t="s">
        <v>40</v>
      </c>
      <c r="O414" s="70" t="s">
        <v>40</v>
      </c>
      <c r="P414" s="70" t="s">
        <v>40</v>
      </c>
      <c r="Q414" s="70"/>
      <c r="R414" s="70" t="s">
        <v>40</v>
      </c>
      <c r="S414" s="70" t="s">
        <v>40</v>
      </c>
      <c r="T414" s="70" t="s">
        <v>40</v>
      </c>
      <c r="U414" s="70" t="s">
        <v>40</v>
      </c>
      <c r="V414" s="70" t="s">
        <v>40</v>
      </c>
      <c r="W414" s="70"/>
      <c r="X414" s="70" t="s">
        <v>40</v>
      </c>
      <c r="Y414" s="70" t="s">
        <v>40</v>
      </c>
      <c r="Z414" s="70" t="s">
        <v>40</v>
      </c>
      <c r="AA414" s="70" t="s">
        <v>40</v>
      </c>
      <c r="AB414" s="70" t="s">
        <v>40</v>
      </c>
    </row>
    <row r="415" spans="1:28" x14ac:dyDescent="0.25">
      <c r="A415" s="46"/>
      <c r="B415" s="26"/>
      <c r="C415" s="4"/>
      <c r="D415" s="72">
        <f>SUM(D410:D413)</f>
        <v>54220620.119999997</v>
      </c>
      <c r="E415" s="72">
        <f t="shared" ref="E415:AB415" si="166">SUM(E410:E413)</f>
        <v>2083523</v>
      </c>
      <c r="F415" s="72">
        <f t="shared" si="166"/>
        <v>0</v>
      </c>
      <c r="G415" s="72"/>
      <c r="H415" s="72">
        <f t="shared" si="166"/>
        <v>2083523</v>
      </c>
      <c r="I415" s="72">
        <f t="shared" si="166"/>
        <v>0</v>
      </c>
      <c r="J415" s="72">
        <f t="shared" si="166"/>
        <v>0</v>
      </c>
      <c r="K415" s="72">
        <f t="shared" si="166"/>
        <v>0</v>
      </c>
      <c r="L415" s="72">
        <f t="shared" si="166"/>
        <v>0</v>
      </c>
      <c r="M415" s="72"/>
      <c r="N415" s="72">
        <f t="shared" si="166"/>
        <v>2083523</v>
      </c>
      <c r="O415" s="72">
        <f t="shared" si="166"/>
        <v>0</v>
      </c>
      <c r="P415" s="72">
        <f t="shared" si="166"/>
        <v>0</v>
      </c>
      <c r="Q415" s="72"/>
      <c r="R415" s="72">
        <f t="shared" si="166"/>
        <v>0</v>
      </c>
      <c r="S415" s="72">
        <f t="shared" si="166"/>
        <v>0</v>
      </c>
      <c r="T415" s="72">
        <f t="shared" si="166"/>
        <v>0</v>
      </c>
      <c r="U415" s="72">
        <f t="shared" si="166"/>
        <v>0</v>
      </c>
      <c r="V415" s="72">
        <f t="shared" si="166"/>
        <v>0</v>
      </c>
      <c r="W415" s="72"/>
      <c r="X415" s="72">
        <f t="shared" si="166"/>
        <v>0</v>
      </c>
      <c r="Y415" s="72">
        <f t="shared" si="166"/>
        <v>2083523</v>
      </c>
      <c r="Z415" s="72">
        <f t="shared" si="166"/>
        <v>52137097.119999997</v>
      </c>
      <c r="AA415" s="72">
        <f t="shared" si="166"/>
        <v>2083523</v>
      </c>
      <c r="AB415" s="72">
        <f t="shared" si="166"/>
        <v>52137097.119999997</v>
      </c>
    </row>
    <row r="416" spans="1:28" x14ac:dyDescent="0.25">
      <c r="A416" s="46"/>
      <c r="B416" s="26"/>
      <c r="C416" s="4"/>
      <c r="D416" s="70" t="s">
        <v>40</v>
      </c>
      <c r="E416" s="70" t="s">
        <v>40</v>
      </c>
      <c r="F416" s="70" t="s">
        <v>40</v>
      </c>
      <c r="G416" s="70"/>
      <c r="H416" s="70" t="s">
        <v>40</v>
      </c>
      <c r="I416" s="70" t="s">
        <v>40</v>
      </c>
      <c r="J416" s="70" t="s">
        <v>40</v>
      </c>
      <c r="K416" s="70" t="s">
        <v>40</v>
      </c>
      <c r="L416" s="70" t="s">
        <v>40</v>
      </c>
      <c r="M416" s="70"/>
      <c r="N416" s="70" t="s">
        <v>40</v>
      </c>
      <c r="O416" s="70" t="s">
        <v>40</v>
      </c>
      <c r="P416" s="70" t="s">
        <v>40</v>
      </c>
      <c r="Q416" s="70"/>
      <c r="R416" s="70" t="s">
        <v>40</v>
      </c>
      <c r="S416" s="70" t="s">
        <v>40</v>
      </c>
      <c r="T416" s="70" t="s">
        <v>40</v>
      </c>
      <c r="U416" s="70" t="s">
        <v>40</v>
      </c>
      <c r="V416" s="70" t="s">
        <v>40</v>
      </c>
      <c r="W416" s="70"/>
      <c r="X416" s="70" t="s">
        <v>40</v>
      </c>
      <c r="Y416" s="70" t="s">
        <v>40</v>
      </c>
      <c r="Z416" s="70" t="s">
        <v>40</v>
      </c>
      <c r="AA416" s="70" t="s">
        <v>40</v>
      </c>
      <c r="AB416" s="70" t="s">
        <v>40</v>
      </c>
    </row>
    <row r="417" spans="1:106" x14ac:dyDescent="0.25">
      <c r="A417" s="46"/>
      <c r="B417" s="26"/>
      <c r="C417" s="4"/>
      <c r="D417" s="72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</row>
    <row r="418" spans="1:106" x14ac:dyDescent="0.25">
      <c r="A418" s="46">
        <v>40</v>
      </c>
      <c r="B418" s="26" t="s">
        <v>190</v>
      </c>
      <c r="C418" s="4" t="s">
        <v>183</v>
      </c>
      <c r="D418" s="72">
        <v>5571157.7400000002</v>
      </c>
      <c r="E418" s="68">
        <f>8976293.8-8976293.8</f>
        <v>0</v>
      </c>
      <c r="F418" s="128"/>
      <c r="G418" s="68"/>
      <c r="H418" s="67">
        <f>E418+F418</f>
        <v>0</v>
      </c>
      <c r="I418" s="68"/>
      <c r="J418" s="68"/>
      <c r="K418" s="68"/>
      <c r="L418" s="68"/>
      <c r="M418" s="68"/>
      <c r="N418" s="67">
        <f>H418+L418</f>
        <v>0</v>
      </c>
      <c r="O418" s="68"/>
      <c r="P418" s="68"/>
      <c r="Q418" s="68"/>
      <c r="R418" s="67">
        <f>O418+P418</f>
        <v>0</v>
      </c>
      <c r="S418" s="68"/>
      <c r="T418" s="68"/>
      <c r="U418" s="68"/>
      <c r="V418" s="68"/>
      <c r="W418" s="68"/>
      <c r="X418" s="67">
        <f>R418+V418</f>
        <v>0</v>
      </c>
      <c r="Y418" s="67">
        <f t="shared" ref="Y418:Y423" si="167">R418+H418</f>
        <v>0</v>
      </c>
      <c r="Z418" s="67">
        <f t="shared" ref="Z418:Z423" si="168">D418-Y418</f>
        <v>5571157.7400000002</v>
      </c>
      <c r="AA418" s="67">
        <f t="shared" ref="AA418:AA423" si="169">N418+X418</f>
        <v>0</v>
      </c>
      <c r="AB418" s="67">
        <f t="shared" ref="AB418:AB423" si="170">+D418-N418-X418</f>
        <v>5571157.7400000002</v>
      </c>
    </row>
    <row r="419" spans="1:106" x14ac:dyDescent="0.25">
      <c r="C419" s="4" t="s">
        <v>298</v>
      </c>
      <c r="D419" s="55">
        <v>5079268</v>
      </c>
      <c r="E419" s="55">
        <v>5079268</v>
      </c>
      <c r="F419" s="55"/>
      <c r="G419" s="55"/>
      <c r="H419" s="55">
        <f>+E419+F419</f>
        <v>5079268</v>
      </c>
      <c r="I419" s="55"/>
      <c r="J419" s="55"/>
      <c r="K419" s="55"/>
      <c r="L419" s="55"/>
      <c r="M419" s="55"/>
      <c r="N419" s="55">
        <f>+H419+L419</f>
        <v>5079268</v>
      </c>
      <c r="O419" s="55"/>
      <c r="P419" s="55"/>
      <c r="Q419" s="55"/>
      <c r="R419" s="55">
        <f>+O419+P419</f>
        <v>0</v>
      </c>
      <c r="S419" s="55"/>
      <c r="T419" s="55"/>
      <c r="U419" s="55"/>
      <c r="V419" s="55"/>
      <c r="W419" s="55"/>
      <c r="X419" s="55">
        <f>+R419+V419</f>
        <v>0</v>
      </c>
      <c r="Y419" s="67">
        <f t="shared" si="167"/>
        <v>5079268</v>
      </c>
      <c r="Z419" s="67">
        <f t="shared" si="168"/>
        <v>0</v>
      </c>
      <c r="AA419" s="67">
        <f t="shared" si="169"/>
        <v>5079268</v>
      </c>
      <c r="AB419" s="67">
        <f t="shared" si="170"/>
        <v>0</v>
      </c>
    </row>
    <row r="420" spans="1:106" x14ac:dyDescent="0.25">
      <c r="A420" s="46"/>
      <c r="B420" s="26"/>
      <c r="C420" s="4" t="s">
        <v>38</v>
      </c>
      <c r="D420" s="72">
        <v>1598000</v>
      </c>
      <c r="E420" s="68"/>
      <c r="F420" s="68"/>
      <c r="G420" s="68"/>
      <c r="H420" s="67">
        <f>E420+F420</f>
        <v>0</v>
      </c>
      <c r="I420" s="68"/>
      <c r="J420" s="68"/>
      <c r="K420" s="68"/>
      <c r="L420" s="68"/>
      <c r="M420" s="68"/>
      <c r="N420" s="67">
        <f>H420+L420</f>
        <v>0</v>
      </c>
      <c r="O420" s="68"/>
      <c r="P420" s="68"/>
      <c r="Q420" s="68"/>
      <c r="R420" s="67">
        <f>O420+P420</f>
        <v>0</v>
      </c>
      <c r="S420" s="68"/>
      <c r="T420" s="68"/>
      <c r="U420" s="68"/>
      <c r="V420" s="68"/>
      <c r="W420" s="68"/>
      <c r="X420" s="67">
        <f>R420+V420</f>
        <v>0</v>
      </c>
      <c r="Y420" s="67">
        <f t="shared" si="167"/>
        <v>0</v>
      </c>
      <c r="Z420" s="67">
        <f t="shared" si="168"/>
        <v>1598000</v>
      </c>
      <c r="AA420" s="67">
        <f t="shared" si="169"/>
        <v>0</v>
      </c>
      <c r="AB420" s="67">
        <f t="shared" si="170"/>
        <v>1598000</v>
      </c>
      <c r="AU420" s="94"/>
      <c r="AV420" s="94"/>
    </row>
    <row r="421" spans="1:106" x14ac:dyDescent="0.25">
      <c r="A421" s="46"/>
      <c r="B421" s="26"/>
      <c r="C421" s="4" t="s">
        <v>184</v>
      </c>
      <c r="D421" s="72">
        <v>3326665.47</v>
      </c>
      <c r="E421" s="68"/>
      <c r="F421" s="68"/>
      <c r="G421" s="68"/>
      <c r="H421" s="67">
        <f>E421+F421</f>
        <v>0</v>
      </c>
      <c r="I421" s="68"/>
      <c r="J421" s="68"/>
      <c r="K421" s="68"/>
      <c r="L421" s="68"/>
      <c r="M421" s="68"/>
      <c r="N421" s="67">
        <f>H421+L421</f>
        <v>0</v>
      </c>
      <c r="O421" s="68"/>
      <c r="P421" s="68"/>
      <c r="Q421" s="68"/>
      <c r="R421" s="67">
        <f>O421+P421</f>
        <v>0</v>
      </c>
      <c r="S421" s="68"/>
      <c r="T421" s="68"/>
      <c r="U421" s="68"/>
      <c r="V421" s="68"/>
      <c r="W421" s="68"/>
      <c r="X421" s="67">
        <f>R421+V421</f>
        <v>0</v>
      </c>
      <c r="Y421" s="67">
        <f t="shared" si="167"/>
        <v>0</v>
      </c>
      <c r="Z421" s="67">
        <f t="shared" si="168"/>
        <v>3326665.47</v>
      </c>
      <c r="AA421" s="67">
        <f t="shared" si="169"/>
        <v>0</v>
      </c>
      <c r="AB421" s="67">
        <f t="shared" si="170"/>
        <v>3326665.47</v>
      </c>
    </row>
    <row r="422" spans="1:106" x14ac:dyDescent="0.25">
      <c r="C422" s="4" t="s">
        <v>346</v>
      </c>
      <c r="D422" s="55">
        <v>8976293.8000000007</v>
      </c>
      <c r="E422" s="55">
        <v>8976293.8000000007</v>
      </c>
      <c r="F422" s="55"/>
      <c r="G422" s="55"/>
      <c r="H422" s="55">
        <f>+E422+F422</f>
        <v>8976293.8000000007</v>
      </c>
      <c r="I422" s="55"/>
      <c r="J422" s="55"/>
      <c r="K422" s="55"/>
      <c r="L422" s="55"/>
      <c r="M422" s="55"/>
      <c r="N422" s="55">
        <f>+H422+L422</f>
        <v>8976293.8000000007</v>
      </c>
      <c r="O422" s="55"/>
      <c r="P422" s="55"/>
      <c r="Q422" s="55"/>
      <c r="R422" s="55">
        <f>+O422+P422</f>
        <v>0</v>
      </c>
      <c r="S422" s="55"/>
      <c r="T422" s="55"/>
      <c r="U422" s="55"/>
      <c r="V422" s="55"/>
      <c r="W422" s="55"/>
      <c r="X422" s="55">
        <f>+R422+V422</f>
        <v>0</v>
      </c>
      <c r="Y422" s="67">
        <f t="shared" si="167"/>
        <v>8976293.8000000007</v>
      </c>
      <c r="Z422" s="67">
        <f t="shared" si="168"/>
        <v>0</v>
      </c>
      <c r="AA422" s="67">
        <f t="shared" si="169"/>
        <v>8976293.8000000007</v>
      </c>
      <c r="AB422" s="67">
        <f t="shared" si="170"/>
        <v>0</v>
      </c>
      <c r="AT422" s="94"/>
    </row>
    <row r="423" spans="1:106" x14ac:dyDescent="0.25">
      <c r="A423" s="46"/>
      <c r="B423" s="26"/>
      <c r="C423" s="4" t="s">
        <v>191</v>
      </c>
      <c r="D423" s="72">
        <v>28856990.23</v>
      </c>
      <c r="E423" s="68"/>
      <c r="F423" s="68"/>
      <c r="G423" s="68"/>
      <c r="H423" s="67">
        <f>E423+F423</f>
        <v>0</v>
      </c>
      <c r="I423" s="68"/>
      <c r="J423" s="68"/>
      <c r="K423" s="68"/>
      <c r="L423" s="68"/>
      <c r="M423" s="68"/>
      <c r="N423" s="67">
        <f>H423+L423</f>
        <v>0</v>
      </c>
      <c r="O423" s="68"/>
      <c r="P423" s="68"/>
      <c r="Q423" s="68"/>
      <c r="R423" s="67">
        <f>O423+P423</f>
        <v>0</v>
      </c>
      <c r="S423" s="68"/>
      <c r="T423" s="68"/>
      <c r="U423" s="68"/>
      <c r="V423" s="68"/>
      <c r="W423" s="68"/>
      <c r="X423" s="67">
        <f>R423+V423</f>
        <v>0</v>
      </c>
      <c r="Y423" s="67">
        <f t="shared" si="167"/>
        <v>0</v>
      </c>
      <c r="Z423" s="67">
        <f t="shared" si="168"/>
        <v>28856990.23</v>
      </c>
      <c r="AA423" s="67">
        <f t="shared" si="169"/>
        <v>0</v>
      </c>
      <c r="AB423" s="67">
        <f t="shared" si="170"/>
        <v>28856990.23</v>
      </c>
    </row>
    <row r="424" spans="1:106" s="4" customFormat="1" ht="16.5" customHeight="1" x14ac:dyDescent="0.25">
      <c r="A424" s="46"/>
      <c r="B424" s="26"/>
      <c r="D424" s="70" t="s">
        <v>40</v>
      </c>
      <c r="E424" s="70" t="s">
        <v>40</v>
      </c>
      <c r="F424" s="70" t="s">
        <v>40</v>
      </c>
      <c r="G424" s="70"/>
      <c r="H424" s="70" t="s">
        <v>40</v>
      </c>
      <c r="I424" s="70" t="s">
        <v>40</v>
      </c>
      <c r="J424" s="70" t="s">
        <v>40</v>
      </c>
      <c r="K424" s="70" t="s">
        <v>40</v>
      </c>
      <c r="L424" s="70" t="s">
        <v>40</v>
      </c>
      <c r="M424" s="70"/>
      <c r="N424" s="70" t="s">
        <v>40</v>
      </c>
      <c r="O424" s="70" t="s">
        <v>40</v>
      </c>
      <c r="P424" s="70" t="s">
        <v>40</v>
      </c>
      <c r="Q424" s="70"/>
      <c r="R424" s="70" t="s">
        <v>40</v>
      </c>
      <c r="S424" s="70" t="s">
        <v>40</v>
      </c>
      <c r="T424" s="70" t="s">
        <v>40</v>
      </c>
      <c r="U424" s="70" t="s">
        <v>40</v>
      </c>
      <c r="V424" s="70" t="s">
        <v>40</v>
      </c>
      <c r="W424" s="70"/>
      <c r="X424" s="70" t="s">
        <v>40</v>
      </c>
      <c r="Y424" s="70" t="s">
        <v>40</v>
      </c>
      <c r="Z424" s="70" t="s">
        <v>40</v>
      </c>
      <c r="AA424" s="70" t="s">
        <v>40</v>
      </c>
      <c r="AB424" s="70" t="s">
        <v>40</v>
      </c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</row>
    <row r="425" spans="1:106" x14ac:dyDescent="0.25">
      <c r="A425" s="46"/>
      <c r="B425" s="26"/>
      <c r="C425" s="4"/>
      <c r="D425" s="72">
        <f>SUM(D418:D423)</f>
        <v>53408375.240000002</v>
      </c>
      <c r="E425" s="72">
        <f>SUM(E418:E423)</f>
        <v>14055561.800000001</v>
      </c>
      <c r="F425" s="72">
        <f>SUM(F418:F423)</f>
        <v>0</v>
      </c>
      <c r="G425" s="72"/>
      <c r="H425" s="72">
        <f>SUM(H418:H423)</f>
        <v>14055561.800000001</v>
      </c>
      <c r="I425" s="72">
        <f>SUM(I418:I423)</f>
        <v>0</v>
      </c>
      <c r="J425" s="72">
        <f>SUM(J418:J423)</f>
        <v>0</v>
      </c>
      <c r="K425" s="72">
        <f>SUM(K418:K423)</f>
        <v>0</v>
      </c>
      <c r="L425" s="72">
        <f>SUM(L418:L423)</f>
        <v>0</v>
      </c>
      <c r="M425" s="72"/>
      <c r="N425" s="72">
        <f>SUM(N418:N423)</f>
        <v>14055561.800000001</v>
      </c>
      <c r="O425" s="72">
        <f>SUM(O418:O423)</f>
        <v>0</v>
      </c>
      <c r="P425" s="72">
        <f>SUM(P418:P423)</f>
        <v>0</v>
      </c>
      <c r="Q425" s="72"/>
      <c r="R425" s="72">
        <f>SUM(R418:R423)</f>
        <v>0</v>
      </c>
      <c r="S425" s="72">
        <f>SUM(S418:S423)</f>
        <v>0</v>
      </c>
      <c r="T425" s="72">
        <f>SUM(T418:T423)</f>
        <v>0</v>
      </c>
      <c r="U425" s="72">
        <f>SUM(U418:U423)</f>
        <v>0</v>
      </c>
      <c r="V425" s="72">
        <f>SUM(V418:V423)</f>
        <v>0</v>
      </c>
      <c r="W425" s="72"/>
      <c r="X425" s="72">
        <f>SUM(X418:X423)</f>
        <v>0</v>
      </c>
      <c r="Y425" s="72">
        <f>SUM(Y418:Y423)</f>
        <v>14055561.800000001</v>
      </c>
      <c r="Z425" s="72">
        <f>SUM(Z418:Z423)</f>
        <v>39352813.439999998</v>
      </c>
      <c r="AA425" s="72">
        <f>SUM(AA418:AA423)</f>
        <v>14055561.800000001</v>
      </c>
      <c r="AB425" s="72">
        <f>SUM(AB418:AB423)</f>
        <v>39352813.439999998</v>
      </c>
    </row>
    <row r="426" spans="1:106" x14ac:dyDescent="0.25">
      <c r="A426" s="46"/>
      <c r="B426" s="26"/>
      <c r="C426" s="4"/>
      <c r="D426" s="70" t="s">
        <v>40</v>
      </c>
      <c r="E426" s="70" t="s">
        <v>40</v>
      </c>
      <c r="F426" s="70" t="s">
        <v>40</v>
      </c>
      <c r="G426" s="70"/>
      <c r="H426" s="70" t="s">
        <v>40</v>
      </c>
      <c r="I426" s="70" t="s">
        <v>40</v>
      </c>
      <c r="J426" s="70" t="s">
        <v>40</v>
      </c>
      <c r="K426" s="70" t="s">
        <v>40</v>
      </c>
      <c r="L426" s="70" t="s">
        <v>40</v>
      </c>
      <c r="M426" s="70"/>
      <c r="N426" s="70" t="s">
        <v>40</v>
      </c>
      <c r="O426" s="70" t="s">
        <v>40</v>
      </c>
      <c r="P426" s="70" t="s">
        <v>40</v>
      </c>
      <c r="Q426" s="70"/>
      <c r="R426" s="70" t="s">
        <v>40</v>
      </c>
      <c r="S426" s="70" t="s">
        <v>40</v>
      </c>
      <c r="T426" s="70" t="s">
        <v>40</v>
      </c>
      <c r="U426" s="70" t="s">
        <v>40</v>
      </c>
      <c r="V426" s="70" t="s">
        <v>40</v>
      </c>
      <c r="W426" s="70"/>
      <c r="X426" s="70" t="s">
        <v>40</v>
      </c>
      <c r="Y426" s="70" t="s">
        <v>40</v>
      </c>
      <c r="Z426" s="70" t="s">
        <v>40</v>
      </c>
      <c r="AA426" s="70" t="s">
        <v>40</v>
      </c>
      <c r="AB426" s="70" t="s">
        <v>40</v>
      </c>
      <c r="AS426" s="9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</row>
    <row r="427" spans="1:106" x14ac:dyDescent="0.25">
      <c r="A427" s="46"/>
      <c r="B427" s="26"/>
      <c r="C427" s="4"/>
      <c r="D427" s="70"/>
      <c r="E427" s="70"/>
      <c r="F427" s="104"/>
      <c r="G427" s="119"/>
      <c r="H427" s="119"/>
      <c r="I427" s="105"/>
      <c r="J427" s="105"/>
      <c r="K427" s="105"/>
      <c r="L427" s="119"/>
      <c r="M427" s="105"/>
      <c r="N427" s="105"/>
      <c r="O427" s="105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BR427" s="4"/>
      <c r="BS427" s="4"/>
      <c r="BT427" s="4"/>
      <c r="BU427" s="4"/>
      <c r="BV427" s="4"/>
      <c r="BW427" s="4"/>
      <c r="BX427" s="4"/>
    </row>
    <row r="428" spans="1:106" x14ac:dyDescent="0.25">
      <c r="A428" s="46">
        <v>41</v>
      </c>
      <c r="B428" s="26" t="s">
        <v>192</v>
      </c>
      <c r="C428" s="2" t="s">
        <v>35</v>
      </c>
      <c r="D428" s="72">
        <v>0</v>
      </c>
      <c r="E428" s="68"/>
      <c r="F428" s="68"/>
      <c r="G428" s="68"/>
      <c r="H428" s="67">
        <f>E428+F428</f>
        <v>0</v>
      </c>
      <c r="I428" s="68"/>
      <c r="J428" s="68"/>
      <c r="K428" s="68"/>
      <c r="L428" s="68"/>
      <c r="M428" s="68"/>
      <c r="N428" s="67">
        <f>H428+L428</f>
        <v>0</v>
      </c>
      <c r="O428" s="68"/>
      <c r="P428" s="68"/>
      <c r="Q428" s="68"/>
      <c r="R428" s="67">
        <f>O428+P428</f>
        <v>0</v>
      </c>
      <c r="S428" s="68"/>
      <c r="T428" s="68"/>
      <c r="U428" s="68"/>
      <c r="V428" s="68"/>
      <c r="W428" s="68"/>
      <c r="X428" s="67">
        <f>R428+V428</f>
        <v>0</v>
      </c>
      <c r="Y428" s="67">
        <f>R428+H428</f>
        <v>0</v>
      </c>
      <c r="Z428" s="67">
        <f>D428-Y428</f>
        <v>0</v>
      </c>
      <c r="AA428" s="67">
        <f>N428+X428</f>
        <v>0</v>
      </c>
      <c r="AB428" s="67">
        <f>+D428-N428-X428</f>
        <v>0</v>
      </c>
      <c r="AR428" s="94"/>
      <c r="BM428" s="4"/>
      <c r="BN428" s="4"/>
      <c r="BO428" s="4"/>
      <c r="BP428" s="4"/>
      <c r="BQ428" s="4"/>
    </row>
    <row r="429" spans="1:106" x14ac:dyDescent="0.25">
      <c r="A429" s="46"/>
      <c r="B429" s="26"/>
      <c r="C429" s="4" t="s">
        <v>36</v>
      </c>
      <c r="D429" s="72">
        <v>488527</v>
      </c>
      <c r="E429" s="68">
        <v>488527</v>
      </c>
      <c r="F429" s="68"/>
      <c r="G429" s="68"/>
      <c r="H429" s="67">
        <f>E429+F429</f>
        <v>488527</v>
      </c>
      <c r="I429" s="68"/>
      <c r="J429" s="68"/>
      <c r="K429" s="68"/>
      <c r="L429" s="68"/>
      <c r="M429" s="68"/>
      <c r="N429" s="67">
        <f>H429+L429</f>
        <v>488527</v>
      </c>
      <c r="O429" s="68"/>
      <c r="P429" s="68"/>
      <c r="Q429" s="68"/>
      <c r="R429" s="67">
        <f>O429+P429</f>
        <v>0</v>
      </c>
      <c r="S429" s="68"/>
      <c r="T429" s="68"/>
      <c r="U429" s="68"/>
      <c r="V429" s="68"/>
      <c r="W429" s="68"/>
      <c r="X429" s="67">
        <f>R429+V429</f>
        <v>0</v>
      </c>
      <c r="Y429" s="67">
        <f>R429+H429</f>
        <v>488527</v>
      </c>
      <c r="Z429" s="67">
        <f>D429-Y429</f>
        <v>0</v>
      </c>
      <c r="AA429" s="67">
        <f>N429+X429</f>
        <v>488527</v>
      </c>
      <c r="AB429" s="67">
        <f>+D429-N429-X429</f>
        <v>0</v>
      </c>
      <c r="BL429" s="4"/>
    </row>
    <row r="430" spans="1:106" x14ac:dyDescent="0.25">
      <c r="A430" s="46"/>
      <c r="B430" s="26"/>
      <c r="C430" s="4"/>
      <c r="D430" s="70" t="s">
        <v>40</v>
      </c>
      <c r="E430" s="70" t="s">
        <v>40</v>
      </c>
      <c r="F430" s="70" t="s">
        <v>40</v>
      </c>
      <c r="G430" s="70"/>
      <c r="H430" s="70" t="s">
        <v>40</v>
      </c>
      <c r="I430" s="70" t="s">
        <v>40</v>
      </c>
      <c r="J430" s="70" t="s">
        <v>40</v>
      </c>
      <c r="K430" s="70" t="s">
        <v>40</v>
      </c>
      <c r="L430" s="70" t="s">
        <v>40</v>
      </c>
      <c r="M430" s="70"/>
      <c r="N430" s="70" t="s">
        <v>40</v>
      </c>
      <c r="O430" s="70" t="s">
        <v>40</v>
      </c>
      <c r="P430" s="70" t="s">
        <v>40</v>
      </c>
      <c r="Q430" s="70"/>
      <c r="R430" s="70" t="s">
        <v>40</v>
      </c>
      <c r="S430" s="70" t="s">
        <v>40</v>
      </c>
      <c r="T430" s="70" t="s">
        <v>40</v>
      </c>
      <c r="U430" s="70" t="s">
        <v>40</v>
      </c>
      <c r="V430" s="70" t="s">
        <v>40</v>
      </c>
      <c r="W430" s="70"/>
      <c r="X430" s="70" t="s">
        <v>40</v>
      </c>
      <c r="Y430" s="70" t="s">
        <v>40</v>
      </c>
      <c r="Z430" s="70" t="s">
        <v>40</v>
      </c>
      <c r="AA430" s="70" t="s">
        <v>40</v>
      </c>
      <c r="AB430" s="70" t="s">
        <v>40</v>
      </c>
      <c r="BF430" s="4"/>
      <c r="BG430" s="4"/>
      <c r="BH430" s="4"/>
      <c r="BI430" s="4"/>
      <c r="BJ430" s="4"/>
      <c r="BK430" s="4"/>
    </row>
    <row r="431" spans="1:106" ht="16.5" customHeight="1" x14ac:dyDescent="0.25">
      <c r="A431" s="46"/>
      <c r="B431" s="26"/>
      <c r="C431" s="4"/>
      <c r="D431" s="72">
        <f>SUM(D428:D429)</f>
        <v>488527</v>
      </c>
      <c r="E431" s="72">
        <f t="shared" ref="E431:AB431" si="171">SUM(E428:E429)</f>
        <v>488527</v>
      </c>
      <c r="F431" s="72">
        <f t="shared" si="171"/>
        <v>0</v>
      </c>
      <c r="G431" s="72"/>
      <c r="H431" s="72">
        <f t="shared" si="171"/>
        <v>488527</v>
      </c>
      <c r="I431" s="72">
        <f t="shared" si="171"/>
        <v>0</v>
      </c>
      <c r="J431" s="72">
        <f t="shared" si="171"/>
        <v>0</v>
      </c>
      <c r="K431" s="72">
        <f t="shared" si="171"/>
        <v>0</v>
      </c>
      <c r="L431" s="72">
        <f t="shared" si="171"/>
        <v>0</v>
      </c>
      <c r="M431" s="72"/>
      <c r="N431" s="72">
        <f t="shared" si="171"/>
        <v>488527</v>
      </c>
      <c r="O431" s="72">
        <f t="shared" si="171"/>
        <v>0</v>
      </c>
      <c r="P431" s="72">
        <f t="shared" si="171"/>
        <v>0</v>
      </c>
      <c r="Q431" s="72"/>
      <c r="R431" s="72">
        <f t="shared" si="171"/>
        <v>0</v>
      </c>
      <c r="S431" s="72">
        <f t="shared" si="171"/>
        <v>0</v>
      </c>
      <c r="T431" s="72">
        <f t="shared" si="171"/>
        <v>0</v>
      </c>
      <c r="U431" s="72">
        <f t="shared" si="171"/>
        <v>0</v>
      </c>
      <c r="V431" s="72">
        <f t="shared" si="171"/>
        <v>0</v>
      </c>
      <c r="W431" s="72"/>
      <c r="X431" s="72">
        <f t="shared" si="171"/>
        <v>0</v>
      </c>
      <c r="Y431" s="72">
        <f t="shared" si="171"/>
        <v>488527</v>
      </c>
      <c r="Z431" s="72">
        <f t="shared" si="171"/>
        <v>0</v>
      </c>
      <c r="AA431" s="72">
        <f t="shared" si="171"/>
        <v>488527</v>
      </c>
      <c r="AB431" s="72">
        <f t="shared" si="171"/>
        <v>0</v>
      </c>
      <c r="BC431" s="4"/>
      <c r="BD431" s="4"/>
      <c r="BE431" s="4"/>
    </row>
    <row r="432" spans="1:106" x14ac:dyDescent="0.25">
      <c r="A432" s="46"/>
      <c r="B432" s="26"/>
      <c r="C432" s="4"/>
      <c r="D432" s="70" t="s">
        <v>40</v>
      </c>
      <c r="E432" s="70" t="s">
        <v>40</v>
      </c>
      <c r="F432" s="70" t="s">
        <v>40</v>
      </c>
      <c r="G432" s="70"/>
      <c r="H432" s="70" t="s">
        <v>40</v>
      </c>
      <c r="I432" s="70" t="s">
        <v>40</v>
      </c>
      <c r="J432" s="70" t="s">
        <v>40</v>
      </c>
      <c r="K432" s="70" t="s">
        <v>40</v>
      </c>
      <c r="L432" s="70" t="s">
        <v>40</v>
      </c>
      <c r="M432" s="70"/>
      <c r="N432" s="70" t="s">
        <v>40</v>
      </c>
      <c r="O432" s="70" t="s">
        <v>40</v>
      </c>
      <c r="P432" s="70" t="s">
        <v>40</v>
      </c>
      <c r="Q432" s="70"/>
      <c r="R432" s="70" t="s">
        <v>40</v>
      </c>
      <c r="S432" s="70" t="s">
        <v>40</v>
      </c>
      <c r="T432" s="70" t="s">
        <v>40</v>
      </c>
      <c r="U432" s="70" t="s">
        <v>40</v>
      </c>
      <c r="V432" s="70" t="s">
        <v>40</v>
      </c>
      <c r="W432" s="70"/>
      <c r="X432" s="70" t="s">
        <v>40</v>
      </c>
      <c r="Y432" s="70" t="s">
        <v>40</v>
      </c>
      <c r="Z432" s="70" t="s">
        <v>40</v>
      </c>
      <c r="AA432" s="70" t="s">
        <v>40</v>
      </c>
      <c r="AB432" s="70" t="s">
        <v>40</v>
      </c>
    </row>
    <row r="433" spans="1:54" x14ac:dyDescent="0.25">
      <c r="A433" s="46"/>
      <c r="B433" s="26"/>
      <c r="C433" s="4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BB433" s="4"/>
    </row>
    <row r="434" spans="1:54" x14ac:dyDescent="0.25">
      <c r="A434" s="46">
        <v>42</v>
      </c>
      <c r="B434" s="26" t="s">
        <v>193</v>
      </c>
      <c r="C434" s="2" t="s">
        <v>35</v>
      </c>
      <c r="D434" s="72">
        <v>1127824.8899999999</v>
      </c>
      <c r="E434" s="68"/>
      <c r="F434" s="68"/>
      <c r="G434" s="68"/>
      <c r="H434" s="67">
        <f>E434+F434</f>
        <v>0</v>
      </c>
      <c r="I434" s="68"/>
      <c r="J434" s="68"/>
      <c r="K434" s="68"/>
      <c r="L434" s="68"/>
      <c r="M434" s="68"/>
      <c r="N434" s="67">
        <f>H434+L434</f>
        <v>0</v>
      </c>
      <c r="O434" s="68"/>
      <c r="P434" s="68"/>
      <c r="Q434" s="68"/>
      <c r="R434" s="67">
        <f>O434+P434</f>
        <v>0</v>
      </c>
      <c r="S434" s="68"/>
      <c r="T434" s="68"/>
      <c r="U434" s="68"/>
      <c r="V434" s="68"/>
      <c r="W434" s="68"/>
      <c r="X434" s="67">
        <f>R434+V434</f>
        <v>0</v>
      </c>
      <c r="Y434" s="67">
        <f>R434+H434</f>
        <v>0</v>
      </c>
      <c r="Z434" s="67">
        <f>D434-Y434</f>
        <v>1127824.8899999999</v>
      </c>
      <c r="AA434" s="67">
        <f>N434+X434</f>
        <v>0</v>
      </c>
      <c r="AB434" s="67">
        <f>+D434-N434-X434</f>
        <v>1127824.8899999999</v>
      </c>
    </row>
    <row r="435" spans="1:54" x14ac:dyDescent="0.25">
      <c r="A435" s="46"/>
      <c r="B435" s="26"/>
      <c r="C435" s="4" t="s">
        <v>53</v>
      </c>
      <c r="D435" s="72">
        <v>13284153.43</v>
      </c>
      <c r="E435" s="68"/>
      <c r="F435" s="68"/>
      <c r="G435" s="68"/>
      <c r="H435" s="67">
        <f>E435+F435</f>
        <v>0</v>
      </c>
      <c r="I435" s="68"/>
      <c r="J435" s="68"/>
      <c r="K435" s="68"/>
      <c r="L435" s="68"/>
      <c r="M435" s="68"/>
      <c r="N435" s="67">
        <f>H435+L435</f>
        <v>0</v>
      </c>
      <c r="O435" s="68"/>
      <c r="P435" s="68"/>
      <c r="Q435" s="68"/>
      <c r="R435" s="67">
        <f>O435+P435</f>
        <v>0</v>
      </c>
      <c r="S435" s="68"/>
      <c r="T435" s="68"/>
      <c r="U435" s="68"/>
      <c r="V435" s="68"/>
      <c r="W435" s="68"/>
      <c r="X435" s="67">
        <f>R435+V435</f>
        <v>0</v>
      </c>
      <c r="Y435" s="67">
        <f>R435+H435</f>
        <v>0</v>
      </c>
      <c r="Z435" s="67">
        <f>D435-Y435</f>
        <v>13284153.43</v>
      </c>
      <c r="AA435" s="67">
        <f>N435+X435</f>
        <v>0</v>
      </c>
      <c r="AB435" s="67">
        <f>+D435-N435-X435</f>
        <v>13284153.43</v>
      </c>
      <c r="BA435" s="4"/>
    </row>
    <row r="436" spans="1:54" x14ac:dyDescent="0.25">
      <c r="A436" s="46"/>
      <c r="B436" s="26"/>
      <c r="C436" s="4" t="s">
        <v>54</v>
      </c>
      <c r="D436" s="72">
        <v>2206509.38</v>
      </c>
      <c r="E436" s="68"/>
      <c r="F436" s="68"/>
      <c r="G436" s="68"/>
      <c r="H436" s="67">
        <f>E436+F436</f>
        <v>0</v>
      </c>
      <c r="I436" s="68"/>
      <c r="J436" s="68"/>
      <c r="K436" s="68"/>
      <c r="L436" s="68"/>
      <c r="M436" s="68"/>
      <c r="N436" s="67">
        <f>H436+L436</f>
        <v>0</v>
      </c>
      <c r="O436" s="68"/>
      <c r="P436" s="68"/>
      <c r="Q436" s="68"/>
      <c r="R436" s="67">
        <f>O436+P436</f>
        <v>0</v>
      </c>
      <c r="S436" s="68"/>
      <c r="T436" s="68"/>
      <c r="U436" s="68"/>
      <c r="V436" s="68"/>
      <c r="W436" s="68"/>
      <c r="X436" s="67">
        <f>R436+V436</f>
        <v>0</v>
      </c>
      <c r="Y436" s="67">
        <f>R436+H436</f>
        <v>0</v>
      </c>
      <c r="Z436" s="67">
        <f>D436-Y436</f>
        <v>2206509.38</v>
      </c>
      <c r="AA436" s="67">
        <f>N436+X436</f>
        <v>0</v>
      </c>
      <c r="AB436" s="67">
        <f>+D436-N436-X436</f>
        <v>2206509.38</v>
      </c>
    </row>
    <row r="437" spans="1:54" x14ac:dyDescent="0.25">
      <c r="A437" s="46"/>
      <c r="B437" s="26"/>
      <c r="C437" s="4"/>
      <c r="D437" s="70" t="s">
        <v>40</v>
      </c>
      <c r="E437" s="70" t="s">
        <v>40</v>
      </c>
      <c r="F437" s="70" t="s">
        <v>40</v>
      </c>
      <c r="G437" s="70"/>
      <c r="H437" s="70" t="s">
        <v>40</v>
      </c>
      <c r="I437" s="70" t="s">
        <v>40</v>
      </c>
      <c r="J437" s="70" t="s">
        <v>40</v>
      </c>
      <c r="K437" s="70" t="s">
        <v>40</v>
      </c>
      <c r="L437" s="70" t="s">
        <v>40</v>
      </c>
      <c r="M437" s="70"/>
      <c r="N437" s="70" t="s">
        <v>40</v>
      </c>
      <c r="O437" s="70" t="s">
        <v>40</v>
      </c>
      <c r="P437" s="70" t="s">
        <v>40</v>
      </c>
      <c r="Q437" s="70"/>
      <c r="R437" s="70" t="s">
        <v>40</v>
      </c>
      <c r="S437" s="70" t="s">
        <v>40</v>
      </c>
      <c r="T437" s="70" t="s">
        <v>40</v>
      </c>
      <c r="U437" s="70" t="s">
        <v>40</v>
      </c>
      <c r="V437" s="70" t="s">
        <v>40</v>
      </c>
      <c r="W437" s="70"/>
      <c r="X437" s="70" t="s">
        <v>40</v>
      </c>
      <c r="Y437" s="70" t="s">
        <v>40</v>
      </c>
      <c r="Z437" s="70" t="s">
        <v>40</v>
      </c>
      <c r="AA437" s="70" t="s">
        <v>40</v>
      </c>
      <c r="AB437" s="70" t="s">
        <v>40</v>
      </c>
    </row>
    <row r="438" spans="1:54" x14ac:dyDescent="0.25">
      <c r="A438" s="46"/>
      <c r="B438" s="26"/>
      <c r="C438" s="4"/>
      <c r="D438" s="72">
        <f>SUM(D434:D436)</f>
        <v>16618487.699999999</v>
      </c>
      <c r="E438" s="72">
        <f t="shared" ref="E438:AB438" si="172">SUM(E434:E436)</f>
        <v>0</v>
      </c>
      <c r="F438" s="72">
        <f t="shared" si="172"/>
        <v>0</v>
      </c>
      <c r="G438" s="72"/>
      <c r="H438" s="72">
        <f t="shared" si="172"/>
        <v>0</v>
      </c>
      <c r="I438" s="72">
        <f t="shared" si="172"/>
        <v>0</v>
      </c>
      <c r="J438" s="72">
        <f t="shared" si="172"/>
        <v>0</v>
      </c>
      <c r="K438" s="72">
        <f t="shared" si="172"/>
        <v>0</v>
      </c>
      <c r="L438" s="72">
        <f t="shared" si="172"/>
        <v>0</v>
      </c>
      <c r="M438" s="72"/>
      <c r="N438" s="72">
        <f t="shared" si="172"/>
        <v>0</v>
      </c>
      <c r="O438" s="72">
        <f t="shared" si="172"/>
        <v>0</v>
      </c>
      <c r="P438" s="72">
        <f t="shared" si="172"/>
        <v>0</v>
      </c>
      <c r="Q438" s="72"/>
      <c r="R438" s="72">
        <f t="shared" si="172"/>
        <v>0</v>
      </c>
      <c r="S438" s="72">
        <f t="shared" si="172"/>
        <v>0</v>
      </c>
      <c r="T438" s="72">
        <f t="shared" si="172"/>
        <v>0</v>
      </c>
      <c r="U438" s="72">
        <f t="shared" si="172"/>
        <v>0</v>
      </c>
      <c r="V438" s="72">
        <f t="shared" si="172"/>
        <v>0</v>
      </c>
      <c r="W438" s="72"/>
      <c r="X438" s="72">
        <f t="shared" si="172"/>
        <v>0</v>
      </c>
      <c r="Y438" s="72">
        <f t="shared" si="172"/>
        <v>0</v>
      </c>
      <c r="Z438" s="72">
        <f t="shared" si="172"/>
        <v>16618487.699999999</v>
      </c>
      <c r="AA438" s="72">
        <f t="shared" si="172"/>
        <v>0</v>
      </c>
      <c r="AB438" s="72">
        <f t="shared" si="172"/>
        <v>16618487.699999999</v>
      </c>
    </row>
    <row r="439" spans="1:54" x14ac:dyDescent="0.25">
      <c r="A439" s="46"/>
      <c r="B439" s="26"/>
      <c r="C439" s="4"/>
      <c r="D439" s="70" t="s">
        <v>40</v>
      </c>
      <c r="E439" s="70" t="s">
        <v>40</v>
      </c>
      <c r="F439" s="70" t="s">
        <v>40</v>
      </c>
      <c r="G439" s="70"/>
      <c r="H439" s="70" t="s">
        <v>40</v>
      </c>
      <c r="I439" s="70" t="s">
        <v>40</v>
      </c>
      <c r="J439" s="70" t="s">
        <v>40</v>
      </c>
      <c r="K439" s="70" t="s">
        <v>40</v>
      </c>
      <c r="L439" s="70" t="s">
        <v>40</v>
      </c>
      <c r="M439" s="70"/>
      <c r="N439" s="70" t="s">
        <v>40</v>
      </c>
      <c r="O439" s="70" t="s">
        <v>40</v>
      </c>
      <c r="P439" s="70" t="s">
        <v>40</v>
      </c>
      <c r="Q439" s="70"/>
      <c r="R439" s="70" t="s">
        <v>40</v>
      </c>
      <c r="S439" s="70" t="s">
        <v>40</v>
      </c>
      <c r="T439" s="70" t="s">
        <v>40</v>
      </c>
      <c r="U439" s="70" t="s">
        <v>40</v>
      </c>
      <c r="V439" s="70" t="s">
        <v>40</v>
      </c>
      <c r="W439" s="70"/>
      <c r="X439" s="70" t="s">
        <v>40</v>
      </c>
      <c r="Y439" s="70" t="s">
        <v>40</v>
      </c>
      <c r="Z439" s="70" t="s">
        <v>40</v>
      </c>
      <c r="AA439" s="70" t="s">
        <v>40</v>
      </c>
      <c r="AB439" s="70" t="s">
        <v>40</v>
      </c>
      <c r="AC439" s="124" t="s">
        <v>317</v>
      </c>
      <c r="AD439" s="123">
        <f>+D449+D396</f>
        <v>2924079.01</v>
      </c>
      <c r="AE439" s="123">
        <f>+E449+E396</f>
        <v>2924079.01</v>
      </c>
      <c r="AF439" s="123">
        <f>+F449+F396</f>
        <v>0</v>
      </c>
      <c r="AG439" s="123">
        <f>+AE439+AF439</f>
        <v>2924079.01</v>
      </c>
      <c r="AH439" s="123">
        <f>+L449+L396</f>
        <v>0</v>
      </c>
      <c r="AI439" s="123">
        <f>+AG439+AH439</f>
        <v>2924079.01</v>
      </c>
      <c r="AJ439" s="123">
        <f>+O449+O396</f>
        <v>0</v>
      </c>
      <c r="AK439" s="123">
        <f>+P449+P396</f>
        <v>0</v>
      </c>
      <c r="AL439" s="123">
        <f>+AJ439+AK439</f>
        <v>0</v>
      </c>
      <c r="AM439" s="123">
        <f>+V449+V396</f>
        <v>0</v>
      </c>
      <c r="AN439" s="94">
        <f>+AL439+AM439</f>
        <v>0</v>
      </c>
      <c r="AO439" s="94">
        <f>+AG439+AL439</f>
        <v>2924079.01</v>
      </c>
      <c r="AP439" s="94">
        <f>+AD439-AO439</f>
        <v>0</v>
      </c>
      <c r="AQ439" s="94">
        <f>+AD439-AI439-AN439</f>
        <v>0</v>
      </c>
    </row>
    <row r="440" spans="1:54" ht="21" customHeight="1" x14ac:dyDescent="0.25">
      <c r="A440" s="46"/>
      <c r="B440" s="26"/>
      <c r="C440" s="4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49" t="s">
        <v>298</v>
      </c>
      <c r="AD440" s="94">
        <f>+D350+D419</f>
        <v>13079268</v>
      </c>
      <c r="AE440" s="94">
        <f>+E350+E419</f>
        <v>13079268</v>
      </c>
      <c r="AF440" s="94">
        <f>+F350+F419</f>
        <v>0</v>
      </c>
      <c r="AG440" s="94">
        <f>+AE440+AF440</f>
        <v>13079268</v>
      </c>
      <c r="AH440" s="94">
        <f>+L350</f>
        <v>0</v>
      </c>
      <c r="AI440" s="94">
        <f>+AG440+AH440</f>
        <v>13079268</v>
      </c>
      <c r="AJ440" s="94">
        <f>+O350</f>
        <v>0</v>
      </c>
      <c r="AK440" s="94">
        <f>+P350</f>
        <v>0</v>
      </c>
      <c r="AL440" s="94">
        <f>+AJ440+AK440</f>
        <v>0</v>
      </c>
      <c r="AM440" s="94">
        <f>+V350</f>
        <v>0</v>
      </c>
      <c r="AN440" s="94">
        <f>+AL440+AM440</f>
        <v>0</v>
      </c>
      <c r="AO440" s="94">
        <f>+AG440+AL440</f>
        <v>13079268</v>
      </c>
      <c r="AP440" s="94">
        <f>+AD440-AO440</f>
        <v>0</v>
      </c>
      <c r="AQ440" s="94">
        <f>+AD440-AI440-AN440</f>
        <v>0</v>
      </c>
    </row>
    <row r="441" spans="1:54" ht="22.5" customHeight="1" x14ac:dyDescent="0.25">
      <c r="A441" s="46">
        <v>43</v>
      </c>
      <c r="B441" s="26" t="s">
        <v>194</v>
      </c>
      <c r="C441" s="2" t="s">
        <v>35</v>
      </c>
      <c r="D441" s="72">
        <v>20667932.77</v>
      </c>
      <c r="E441" s="68"/>
      <c r="F441" s="68"/>
      <c r="G441" s="68"/>
      <c r="H441" s="67">
        <f>E441+F441</f>
        <v>0</v>
      </c>
      <c r="I441" s="68"/>
      <c r="J441" s="68"/>
      <c r="K441" s="68"/>
      <c r="L441" s="68"/>
      <c r="M441" s="68"/>
      <c r="N441" s="67">
        <f>H441+L441</f>
        <v>0</v>
      </c>
      <c r="O441" s="68">
        <v>445424.59</v>
      </c>
      <c r="P441" s="68"/>
      <c r="Q441" s="68"/>
      <c r="R441" s="67">
        <f>O441+P441</f>
        <v>445424.59</v>
      </c>
      <c r="S441" s="68"/>
      <c r="T441" s="68"/>
      <c r="U441" s="68"/>
      <c r="V441" s="68"/>
      <c r="W441" s="68"/>
      <c r="X441" s="67">
        <f>R441+V441</f>
        <v>445424.59</v>
      </c>
      <c r="Y441" s="67">
        <f>R441+H441</f>
        <v>445424.59</v>
      </c>
      <c r="Z441" s="67">
        <f>D441-Y441</f>
        <v>20222508.18</v>
      </c>
      <c r="AA441" s="67">
        <f>N441+X441</f>
        <v>445424.59</v>
      </c>
      <c r="AB441" s="67">
        <f>+D441-N441-X441</f>
        <v>20222508.18</v>
      </c>
      <c r="AC441" s="49" t="s">
        <v>47</v>
      </c>
      <c r="AD441" s="94">
        <f>D346+D357+D366+D375+D384+D393+D403+D410+D428+D434+D441+D450</f>
        <v>251476473.41</v>
      </c>
      <c r="AE441" s="94">
        <f>E346+E357+E366+E375+E384+E393+E403+E410+E428+E434+E441+E450</f>
        <v>12688340.150000002</v>
      </c>
      <c r="AF441" s="94">
        <f>F346+F357+F366+F375+F384+F393+F403+F410+F428+F434+F441+F450</f>
        <v>0</v>
      </c>
      <c r="AG441" s="94">
        <f>+AE441+AF441</f>
        <v>12688340.150000002</v>
      </c>
      <c r="AH441" s="94">
        <f>L346+L357+L366+L375+L384+L393+L403+L410+L428+L434+L441+L450</f>
        <v>0</v>
      </c>
      <c r="AI441" s="94">
        <f>+AG441+AH441</f>
        <v>12688340.150000002</v>
      </c>
      <c r="AJ441" s="94">
        <f>O346+O357+O366+O375+O384+O393+O403+O410+O428+O434+O441+O450</f>
        <v>11636133.310000001</v>
      </c>
      <c r="AK441" s="94">
        <f>P346+P357+P366+P375+P384+P393+P403+P410+P428+P434+P441+P450</f>
        <v>0</v>
      </c>
      <c r="AL441" s="94">
        <f>+AJ441+AK441</f>
        <v>11636133.310000001</v>
      </c>
      <c r="AM441" s="94">
        <f>V346+V357+V366+V375+V384+V393+V403+V410+V428+V434+V441+V450</f>
        <v>0</v>
      </c>
      <c r="AN441" s="94">
        <f>+AL441+AM441:AM441</f>
        <v>11636133.310000001</v>
      </c>
      <c r="AO441" s="94">
        <f>+AG441+AL441</f>
        <v>24324473.460000001</v>
      </c>
      <c r="AP441" s="94">
        <f>+AD441-AO441</f>
        <v>227151999.94999999</v>
      </c>
      <c r="AQ441" s="94">
        <f>+AD441-AI441-AN441</f>
        <v>227151999.94999999</v>
      </c>
      <c r="AZ441" s="4"/>
    </row>
    <row r="442" spans="1:54" x14ac:dyDescent="0.25">
      <c r="A442" s="46"/>
      <c r="B442" s="26"/>
      <c r="C442" s="4" t="s">
        <v>36</v>
      </c>
      <c r="D442" s="72">
        <v>2612930</v>
      </c>
      <c r="E442" s="68">
        <v>2612930</v>
      </c>
      <c r="F442" s="68"/>
      <c r="G442" s="68"/>
      <c r="H442" s="67">
        <f>E442+F442</f>
        <v>2612930</v>
      </c>
      <c r="I442" s="68"/>
      <c r="J442" s="68"/>
      <c r="K442" s="68"/>
      <c r="L442" s="68"/>
      <c r="M442" s="68"/>
      <c r="N442" s="67">
        <f>H442+L442</f>
        <v>2612930</v>
      </c>
      <c r="O442" s="68"/>
      <c r="P442" s="68"/>
      <c r="Q442" s="68"/>
      <c r="R442" s="67">
        <f>O442+P442</f>
        <v>0</v>
      </c>
      <c r="S442" s="68"/>
      <c r="T442" s="68"/>
      <c r="U442" s="68"/>
      <c r="V442" s="68"/>
      <c r="W442" s="68"/>
      <c r="X442" s="67">
        <f>R442+V442</f>
        <v>0</v>
      </c>
      <c r="Y442" s="67">
        <f>R442+H442</f>
        <v>2612930</v>
      </c>
      <c r="Z442" s="67">
        <f>D442-Y442</f>
        <v>0</v>
      </c>
      <c r="AA442" s="67">
        <f>N442+X442</f>
        <v>2612930</v>
      </c>
      <c r="AB442" s="67">
        <f>+D442-N442-X442</f>
        <v>0</v>
      </c>
      <c r="AC442" s="49" t="s">
        <v>36</v>
      </c>
      <c r="AD442" s="94">
        <f>D347+D358+D367+D376+D385+D394+D404+D411+D429+D442</f>
        <v>29377556</v>
      </c>
      <c r="AE442" s="94">
        <f>E347+E358+E367+E376+E385+E394+E404+E411+E429+E442</f>
        <v>29377556</v>
      </c>
      <c r="AF442" s="94">
        <f>F347+F358+F367+F376+F385+F394+F404+F411+F429+F442</f>
        <v>0</v>
      </c>
      <c r="AG442" s="94">
        <f t="shared" ref="AG442:AG450" si="173">+AE442+AF442</f>
        <v>29377556</v>
      </c>
      <c r="AH442" s="94">
        <f>L347+L358+L367+L376+L385+L394+L404+L411+L429+L442</f>
        <v>0</v>
      </c>
      <c r="AI442" s="94">
        <f t="shared" ref="AI442:AI450" si="174">+AG442+AH442</f>
        <v>29377556</v>
      </c>
      <c r="AJ442" s="94">
        <f>O347+O358+O367+O376+O385+O394+O404+O411+O429+O442</f>
        <v>0</v>
      </c>
      <c r="AK442" s="94">
        <f>P347+P358+P367+P376+P385+P394+P404+P411+P429+P442</f>
        <v>0</v>
      </c>
      <c r="AL442" s="94">
        <f t="shared" ref="AL442:AL450" si="175">+AJ442+AK442</f>
        <v>0</v>
      </c>
      <c r="AM442" s="94">
        <f>V347+V358+V367+V376+V385+V394+V404+V411+V429+V442</f>
        <v>0</v>
      </c>
      <c r="AN442" s="94">
        <f t="shared" ref="AN442:AN450" si="176">+AL442+AM442:AM442</f>
        <v>0</v>
      </c>
      <c r="AO442" s="94">
        <f t="shared" ref="AO442:AO450" si="177">+AG442+AL442</f>
        <v>29377556</v>
      </c>
      <c r="AP442" s="94">
        <f t="shared" ref="AP442:AP450" si="178">+AD442-AO442</f>
        <v>0</v>
      </c>
      <c r="AQ442" s="94">
        <f t="shared" ref="AQ442:AQ450" si="179">+AD442-AI442-AN442</f>
        <v>0</v>
      </c>
      <c r="AW442" s="4"/>
      <c r="AX442" s="4"/>
      <c r="AY442" s="4"/>
    </row>
    <row r="443" spans="1:54" x14ac:dyDescent="0.25">
      <c r="A443" s="46"/>
      <c r="B443" s="26"/>
      <c r="C443" s="4" t="s">
        <v>53</v>
      </c>
      <c r="D443" s="72">
        <v>7448000</v>
      </c>
      <c r="E443" s="68"/>
      <c r="F443" s="68"/>
      <c r="G443" s="68"/>
      <c r="H443" s="67">
        <f>E443+F443</f>
        <v>0</v>
      </c>
      <c r="I443" s="68"/>
      <c r="J443" s="68"/>
      <c r="K443" s="68"/>
      <c r="L443" s="68"/>
      <c r="M443" s="68"/>
      <c r="N443" s="67">
        <f>H443+L443</f>
        <v>0</v>
      </c>
      <c r="O443" s="68">
        <v>1300623.44</v>
      </c>
      <c r="P443" s="68"/>
      <c r="Q443" s="68"/>
      <c r="R443" s="67">
        <f>O443+P443</f>
        <v>1300623.44</v>
      </c>
      <c r="S443" s="68"/>
      <c r="T443" s="68"/>
      <c r="U443" s="68"/>
      <c r="V443" s="68"/>
      <c r="W443" s="68"/>
      <c r="X443" s="67">
        <f>R443+V443</f>
        <v>1300623.44</v>
      </c>
      <c r="Y443" s="67">
        <f>R443+H443</f>
        <v>1300623.44</v>
      </c>
      <c r="Z443" s="67">
        <f>D443-Y443</f>
        <v>6147376.5600000005</v>
      </c>
      <c r="AA443" s="67">
        <f>N443+X443</f>
        <v>1300623.44</v>
      </c>
      <c r="AB443" s="67">
        <f>+D443-N443-X443</f>
        <v>6147376.5600000005</v>
      </c>
      <c r="AC443" s="49" t="s">
        <v>183</v>
      </c>
      <c r="AD443" s="94">
        <f>D348+D368+D377</f>
        <v>14314792.529999999</v>
      </c>
      <c r="AE443" s="94">
        <f>E348+E368+E377</f>
        <v>0</v>
      </c>
      <c r="AF443" s="94">
        <f>F348+F368+F377</f>
        <v>0</v>
      </c>
      <c r="AG443" s="94">
        <f t="shared" si="173"/>
        <v>0</v>
      </c>
      <c r="AH443" s="94">
        <f>L348+L368+L377</f>
        <v>0</v>
      </c>
      <c r="AI443" s="94">
        <f t="shared" si="174"/>
        <v>0</v>
      </c>
      <c r="AJ443" s="94">
        <f>O348+O368+O377</f>
        <v>5527623.3999999994</v>
      </c>
      <c r="AK443" s="94">
        <f>P348+P368+P377</f>
        <v>0</v>
      </c>
      <c r="AL443" s="94">
        <f t="shared" si="175"/>
        <v>5527623.3999999994</v>
      </c>
      <c r="AM443" s="94">
        <f>V348+V368+V377</f>
        <v>0</v>
      </c>
      <c r="AN443" s="94">
        <f t="shared" si="176"/>
        <v>5527623.3999999994</v>
      </c>
      <c r="AO443" s="94">
        <f t="shared" si="177"/>
        <v>5527623.3999999994</v>
      </c>
      <c r="AP443" s="94">
        <f t="shared" si="178"/>
        <v>8787169.129999999</v>
      </c>
      <c r="AQ443" s="94">
        <f t="shared" si="179"/>
        <v>8787169.129999999</v>
      </c>
    </row>
    <row r="444" spans="1:54" x14ac:dyDescent="0.25">
      <c r="A444" s="46"/>
      <c r="B444" s="26"/>
      <c r="C444" s="4" t="s">
        <v>54</v>
      </c>
      <c r="D444" s="72">
        <v>0</v>
      </c>
      <c r="E444" s="68"/>
      <c r="F444" s="68"/>
      <c r="G444" s="68"/>
      <c r="H444" s="67">
        <f>E444+F444</f>
        <v>0</v>
      </c>
      <c r="I444" s="68"/>
      <c r="J444" s="68"/>
      <c r="K444" s="68"/>
      <c r="L444" s="68"/>
      <c r="M444" s="68"/>
      <c r="N444" s="67">
        <f>H444+L444</f>
        <v>0</v>
      </c>
      <c r="O444" s="68"/>
      <c r="P444" s="68"/>
      <c r="Q444" s="68"/>
      <c r="R444" s="67">
        <f>O444+P444</f>
        <v>0</v>
      </c>
      <c r="S444" s="68"/>
      <c r="T444" s="68"/>
      <c r="U444" s="68"/>
      <c r="V444" s="68"/>
      <c r="W444" s="68"/>
      <c r="X444" s="67">
        <f>R444+V444</f>
        <v>0</v>
      </c>
      <c r="Y444" s="67">
        <f>R444+H444</f>
        <v>0</v>
      </c>
      <c r="Z444" s="67">
        <f>D444-Y444</f>
        <v>0</v>
      </c>
      <c r="AA444" s="67">
        <f>N444+X444</f>
        <v>0</v>
      </c>
      <c r="AB444" s="67">
        <f>+D444-N444-X444</f>
        <v>0</v>
      </c>
      <c r="AC444" s="49" t="s">
        <v>184</v>
      </c>
      <c r="AD444" s="94">
        <f>D349+D369+D421</f>
        <v>15391030.779999999</v>
      </c>
      <c r="AE444" s="94">
        <f>E349+E369+E421</f>
        <v>0</v>
      </c>
      <c r="AF444" s="94">
        <f>F349+F369+F421</f>
        <v>0</v>
      </c>
      <c r="AG444" s="94">
        <f t="shared" si="173"/>
        <v>0</v>
      </c>
      <c r="AH444" s="94">
        <f>L349+L369+L421</f>
        <v>0</v>
      </c>
      <c r="AI444" s="94">
        <f t="shared" si="174"/>
        <v>0</v>
      </c>
      <c r="AJ444" s="94">
        <f>O349+O369+O421</f>
        <v>0</v>
      </c>
      <c r="AK444" s="94">
        <f>P349+P369+P421</f>
        <v>0</v>
      </c>
      <c r="AL444" s="94">
        <f t="shared" si="175"/>
        <v>0</v>
      </c>
      <c r="AM444" s="94">
        <f>V349+V369+V421</f>
        <v>0</v>
      </c>
      <c r="AN444" s="94">
        <f t="shared" si="176"/>
        <v>0</v>
      </c>
      <c r="AO444" s="94">
        <f t="shared" si="177"/>
        <v>0</v>
      </c>
      <c r="AP444" s="94">
        <f t="shared" si="178"/>
        <v>15391030.779999999</v>
      </c>
      <c r="AQ444" s="94">
        <f t="shared" si="179"/>
        <v>15391030.779999999</v>
      </c>
      <c r="AU444" s="4"/>
      <c r="AV444" s="4"/>
    </row>
    <row r="445" spans="1:54" x14ac:dyDescent="0.25">
      <c r="A445" s="46"/>
      <c r="B445" s="26"/>
      <c r="C445" s="4" t="s">
        <v>38</v>
      </c>
      <c r="D445" s="72">
        <v>10700263.029999999</v>
      </c>
      <c r="E445" s="68"/>
      <c r="F445" s="68"/>
      <c r="G445" s="68"/>
      <c r="H445" s="67">
        <f>E445+F445</f>
        <v>0</v>
      </c>
      <c r="I445" s="68"/>
      <c r="J445" s="68"/>
      <c r="K445" s="68"/>
      <c r="L445" s="68"/>
      <c r="M445" s="68"/>
      <c r="N445" s="67">
        <f>H445+L445</f>
        <v>0</v>
      </c>
      <c r="O445" s="68">
        <v>10700263.029999999</v>
      </c>
      <c r="P445" s="68"/>
      <c r="Q445" s="68"/>
      <c r="R445" s="67">
        <f>O445+P445</f>
        <v>10700263.029999999</v>
      </c>
      <c r="S445" s="68"/>
      <c r="T445" s="68"/>
      <c r="U445" s="68"/>
      <c r="V445" s="68"/>
      <c r="W445" s="68"/>
      <c r="X445" s="67">
        <f>R445+V445</f>
        <v>10700263.029999999</v>
      </c>
      <c r="Y445" s="67">
        <f>R445+H445</f>
        <v>10700263.029999999</v>
      </c>
      <c r="Z445" s="67">
        <f>D445-Y445</f>
        <v>0</v>
      </c>
      <c r="AA445" s="67">
        <f>N445+X445</f>
        <v>10700263.029999999</v>
      </c>
      <c r="AB445" s="67">
        <f>+D445-N445-X445</f>
        <v>0</v>
      </c>
      <c r="AC445" s="49" t="s">
        <v>38</v>
      </c>
      <c r="AD445" s="94">
        <f>D405+D412+D420+D445</f>
        <v>17744067.439999998</v>
      </c>
      <c r="AE445" s="94">
        <f>E405+E412+E420+E445</f>
        <v>0</v>
      </c>
      <c r="AF445" s="94">
        <f>F405+F412+F420+F445</f>
        <v>0</v>
      </c>
      <c r="AG445" s="94">
        <f t="shared" si="173"/>
        <v>0</v>
      </c>
      <c r="AH445" s="94">
        <f>L405+L412+L420+L445</f>
        <v>0</v>
      </c>
      <c r="AI445" s="94">
        <f t="shared" si="174"/>
        <v>0</v>
      </c>
      <c r="AJ445" s="94">
        <f>O405+O412+O420+O445</f>
        <v>10700263.029999999</v>
      </c>
      <c r="AK445" s="94">
        <f>P405+P412+P420+P445</f>
        <v>0</v>
      </c>
      <c r="AL445" s="94">
        <f t="shared" si="175"/>
        <v>10700263.029999999</v>
      </c>
      <c r="AM445" s="94">
        <f>V405+V412+V420+V445</f>
        <v>0</v>
      </c>
      <c r="AN445" s="94">
        <f t="shared" si="176"/>
        <v>10700263.029999999</v>
      </c>
      <c r="AO445" s="94">
        <f t="shared" si="177"/>
        <v>10700263.029999999</v>
      </c>
      <c r="AP445" s="94">
        <f t="shared" si="178"/>
        <v>7043804.4099999983</v>
      </c>
      <c r="AQ445" s="94">
        <f t="shared" si="179"/>
        <v>7043804.4099999983</v>
      </c>
    </row>
    <row r="446" spans="1:54" x14ac:dyDescent="0.25">
      <c r="A446" s="46"/>
      <c r="B446" s="26"/>
      <c r="C446" s="4"/>
      <c r="D446" s="70" t="s">
        <v>40</v>
      </c>
      <c r="E446" s="70" t="s">
        <v>40</v>
      </c>
      <c r="F446" s="70" t="s">
        <v>40</v>
      </c>
      <c r="G446" s="70"/>
      <c r="H446" s="70" t="s">
        <v>40</v>
      </c>
      <c r="I446" s="70" t="s">
        <v>40</v>
      </c>
      <c r="J446" s="70" t="s">
        <v>40</v>
      </c>
      <c r="K446" s="70" t="s">
        <v>40</v>
      </c>
      <c r="L446" s="70" t="s">
        <v>40</v>
      </c>
      <c r="M446" s="70"/>
      <c r="N446" s="70" t="s">
        <v>40</v>
      </c>
      <c r="O446" s="70" t="s">
        <v>40</v>
      </c>
      <c r="P446" s="70" t="s">
        <v>40</v>
      </c>
      <c r="Q446" s="70"/>
      <c r="R446" s="70" t="s">
        <v>40</v>
      </c>
      <c r="S446" s="70" t="s">
        <v>40</v>
      </c>
      <c r="T446" s="70" t="s">
        <v>40</v>
      </c>
      <c r="U446" s="70" t="s">
        <v>40</v>
      </c>
      <c r="V446" s="70" t="s">
        <v>40</v>
      </c>
      <c r="W446" s="70"/>
      <c r="X446" s="70" t="s">
        <v>40</v>
      </c>
      <c r="Y446" s="70" t="s">
        <v>40</v>
      </c>
      <c r="Z446" s="70" t="s">
        <v>40</v>
      </c>
      <c r="AA446" s="70" t="s">
        <v>40</v>
      </c>
      <c r="AB446" s="70" t="s">
        <v>40</v>
      </c>
      <c r="AC446" s="49" t="s">
        <v>261</v>
      </c>
      <c r="AD446" s="94">
        <f>+D413</f>
        <v>201.5</v>
      </c>
      <c r="AE446" s="94">
        <f>+E413</f>
        <v>0</v>
      </c>
      <c r="AF446" s="94">
        <f>+F413</f>
        <v>0</v>
      </c>
      <c r="AG446" s="94">
        <f t="shared" si="173"/>
        <v>0</v>
      </c>
      <c r="AH446" s="94">
        <f>+L413</f>
        <v>0</v>
      </c>
      <c r="AI446" s="94">
        <f t="shared" si="174"/>
        <v>0</v>
      </c>
      <c r="AJ446" s="94">
        <f>+O413</f>
        <v>0</v>
      </c>
      <c r="AK446" s="94">
        <f>+P413</f>
        <v>0</v>
      </c>
      <c r="AL446" s="94">
        <f t="shared" si="175"/>
        <v>0</v>
      </c>
      <c r="AM446" s="94">
        <f>+V413</f>
        <v>0</v>
      </c>
      <c r="AN446" s="94">
        <f t="shared" si="176"/>
        <v>0</v>
      </c>
      <c r="AO446" s="94">
        <f t="shared" si="177"/>
        <v>0</v>
      </c>
      <c r="AP446" s="94">
        <f t="shared" si="178"/>
        <v>201.5</v>
      </c>
      <c r="AQ446" s="94">
        <f t="shared" si="179"/>
        <v>201.5</v>
      </c>
      <c r="AT446" s="4"/>
    </row>
    <row r="447" spans="1:54" x14ac:dyDescent="0.25">
      <c r="A447" s="46"/>
      <c r="B447" s="26"/>
      <c r="C447" s="4"/>
      <c r="D447" s="72">
        <f>SUM(D441:D445)</f>
        <v>41429125.799999997</v>
      </c>
      <c r="E447" s="72">
        <f t="shared" ref="E447:AB447" si="180">SUM(E441:E445)</f>
        <v>2612930</v>
      </c>
      <c r="F447" s="72">
        <f t="shared" si="180"/>
        <v>0</v>
      </c>
      <c r="G447" s="72"/>
      <c r="H447" s="72">
        <f t="shared" si="180"/>
        <v>2612930</v>
      </c>
      <c r="I447" s="72">
        <f t="shared" si="180"/>
        <v>0</v>
      </c>
      <c r="J447" s="72">
        <f t="shared" si="180"/>
        <v>0</v>
      </c>
      <c r="K447" s="72">
        <f t="shared" si="180"/>
        <v>0</v>
      </c>
      <c r="L447" s="72">
        <f t="shared" si="180"/>
        <v>0</v>
      </c>
      <c r="M447" s="72"/>
      <c r="N447" s="72">
        <f t="shared" si="180"/>
        <v>2612930</v>
      </c>
      <c r="O447" s="72">
        <f t="shared" si="180"/>
        <v>12446311.059999999</v>
      </c>
      <c r="P447" s="72">
        <f t="shared" si="180"/>
        <v>0</v>
      </c>
      <c r="Q447" s="72"/>
      <c r="R447" s="72">
        <f t="shared" si="180"/>
        <v>12446311.059999999</v>
      </c>
      <c r="S447" s="72">
        <f t="shared" si="180"/>
        <v>0</v>
      </c>
      <c r="T447" s="72">
        <f t="shared" si="180"/>
        <v>0</v>
      </c>
      <c r="U447" s="72">
        <f t="shared" si="180"/>
        <v>0</v>
      </c>
      <c r="V447" s="72">
        <f t="shared" si="180"/>
        <v>0</v>
      </c>
      <c r="W447" s="72"/>
      <c r="X447" s="72">
        <f t="shared" si="180"/>
        <v>12446311.059999999</v>
      </c>
      <c r="Y447" s="72">
        <f t="shared" si="180"/>
        <v>15059241.059999999</v>
      </c>
      <c r="Z447" s="72">
        <f t="shared" si="180"/>
        <v>26369884.740000002</v>
      </c>
      <c r="AA447" s="72">
        <f t="shared" si="180"/>
        <v>15059241.059999999</v>
      </c>
      <c r="AB447" s="72">
        <f t="shared" si="180"/>
        <v>26369884.740000002</v>
      </c>
      <c r="AC447" s="49" t="s">
        <v>265</v>
      </c>
      <c r="AD447" s="94">
        <f>+D423</f>
        <v>28856990.23</v>
      </c>
      <c r="AE447" s="94">
        <f>+E423</f>
        <v>0</v>
      </c>
      <c r="AF447" s="94">
        <f>+F423</f>
        <v>0</v>
      </c>
      <c r="AG447" s="94">
        <f t="shared" si="173"/>
        <v>0</v>
      </c>
      <c r="AH447" s="94">
        <f>+L423</f>
        <v>0</v>
      </c>
      <c r="AI447" s="94">
        <f t="shared" si="174"/>
        <v>0</v>
      </c>
      <c r="AJ447" s="94">
        <f>+O423</f>
        <v>0</v>
      </c>
      <c r="AK447" s="94">
        <f>+P423</f>
        <v>0</v>
      </c>
      <c r="AL447" s="94">
        <f t="shared" si="175"/>
        <v>0</v>
      </c>
      <c r="AM447" s="94">
        <f>+V423</f>
        <v>0</v>
      </c>
      <c r="AN447" s="94">
        <f t="shared" si="176"/>
        <v>0</v>
      </c>
      <c r="AO447" s="94">
        <f t="shared" si="177"/>
        <v>0</v>
      </c>
      <c r="AP447" s="94">
        <f t="shared" si="178"/>
        <v>28856990.23</v>
      </c>
      <c r="AQ447" s="94">
        <f t="shared" si="179"/>
        <v>28856990.23</v>
      </c>
      <c r="AR447" s="94"/>
      <c r="AS447" s="4"/>
    </row>
    <row r="448" spans="1:54" x14ac:dyDescent="0.25">
      <c r="A448" s="46"/>
      <c r="B448" s="26"/>
      <c r="C448" s="4"/>
      <c r="D448" s="70" t="s">
        <v>40</v>
      </c>
      <c r="E448" s="70" t="s">
        <v>40</v>
      </c>
      <c r="F448" s="70" t="s">
        <v>40</v>
      </c>
      <c r="G448" s="70"/>
      <c r="H448" s="70" t="s">
        <v>40</v>
      </c>
      <c r="I448" s="70" t="s">
        <v>40</v>
      </c>
      <c r="J448" s="70" t="s">
        <v>40</v>
      </c>
      <c r="K448" s="70" t="s">
        <v>40</v>
      </c>
      <c r="L448" s="70" t="s">
        <v>40</v>
      </c>
      <c r="M448" s="70"/>
      <c r="N448" s="70" t="s">
        <v>40</v>
      </c>
      <c r="O448" s="70" t="s">
        <v>40</v>
      </c>
      <c r="P448" s="70" t="s">
        <v>40</v>
      </c>
      <c r="Q448" s="70"/>
      <c r="R448" s="70" t="s">
        <v>40</v>
      </c>
      <c r="S448" s="70" t="s">
        <v>40</v>
      </c>
      <c r="T448" s="70" t="s">
        <v>40</v>
      </c>
      <c r="U448" s="70" t="s">
        <v>40</v>
      </c>
      <c r="V448" s="70" t="s">
        <v>40</v>
      </c>
      <c r="W448" s="70"/>
      <c r="X448" s="70" t="s">
        <v>40</v>
      </c>
      <c r="Y448" s="70" t="s">
        <v>40</v>
      </c>
      <c r="Z448" s="70" t="s">
        <v>40</v>
      </c>
      <c r="AA448" s="70" t="s">
        <v>40</v>
      </c>
      <c r="AB448" s="70" t="s">
        <v>40</v>
      </c>
      <c r="AC448" s="49" t="s">
        <v>259</v>
      </c>
      <c r="AD448" s="94">
        <f>+D351</f>
        <v>9500000</v>
      </c>
      <c r="AE448" s="94">
        <f>+E351</f>
        <v>5617680.4800000004</v>
      </c>
      <c r="AF448" s="94">
        <f>+F351</f>
        <v>0</v>
      </c>
      <c r="AG448" s="94">
        <f t="shared" si="173"/>
        <v>5617680.4800000004</v>
      </c>
      <c r="AH448" s="94">
        <f>+L351</f>
        <v>0</v>
      </c>
      <c r="AI448" s="94">
        <f t="shared" si="174"/>
        <v>5617680.4800000004</v>
      </c>
      <c r="AJ448" s="94">
        <f>+O351</f>
        <v>835222.3</v>
      </c>
      <c r="AK448" s="94">
        <f>+P351</f>
        <v>0</v>
      </c>
      <c r="AL448" s="94">
        <f t="shared" si="175"/>
        <v>835222.3</v>
      </c>
      <c r="AM448" s="94">
        <f>+V351</f>
        <v>0</v>
      </c>
      <c r="AN448" s="94">
        <f t="shared" si="176"/>
        <v>835222.3</v>
      </c>
      <c r="AO448" s="94">
        <f t="shared" si="177"/>
        <v>6452902.7800000003</v>
      </c>
      <c r="AP448" s="94">
        <f t="shared" si="178"/>
        <v>3047097.2199999997</v>
      </c>
      <c r="AQ448" s="94">
        <f t="shared" si="179"/>
        <v>3047097.2199999997</v>
      </c>
      <c r="AR448" s="4"/>
    </row>
    <row r="449" spans="1:43" x14ac:dyDescent="0.25">
      <c r="A449" s="46">
        <v>44</v>
      </c>
      <c r="B449" s="26" t="s">
        <v>195</v>
      </c>
      <c r="C449" s="4" t="s">
        <v>317</v>
      </c>
      <c r="D449" s="72">
        <v>910000</v>
      </c>
      <c r="E449" s="72">
        <v>910000</v>
      </c>
      <c r="F449" s="72"/>
      <c r="G449" s="72"/>
      <c r="H449" s="72">
        <f>+E449+F449</f>
        <v>910000</v>
      </c>
      <c r="I449" s="72"/>
      <c r="J449" s="72"/>
      <c r="K449" s="72"/>
      <c r="L449" s="72"/>
      <c r="M449" s="72"/>
      <c r="N449" s="72">
        <f>+H449+L449</f>
        <v>910000</v>
      </c>
      <c r="O449" s="72">
        <v>0</v>
      </c>
      <c r="P449" s="72"/>
      <c r="Q449" s="72"/>
      <c r="R449" s="72">
        <f>+O449+P449</f>
        <v>0</v>
      </c>
      <c r="S449" s="72"/>
      <c r="T449" s="72"/>
      <c r="U449" s="72"/>
      <c r="V449" s="72"/>
      <c r="W449" s="72"/>
      <c r="X449" s="72">
        <f>+R449+V449</f>
        <v>0</v>
      </c>
      <c r="Y449" s="67">
        <f>R449+H449</f>
        <v>910000</v>
      </c>
      <c r="Z449" s="67">
        <f>D449-Y449</f>
        <v>0</v>
      </c>
      <c r="AA449" s="67">
        <f>N449+X449</f>
        <v>910000</v>
      </c>
      <c r="AB449" s="67">
        <f>+D449-N449-X449</f>
        <v>0</v>
      </c>
      <c r="AC449" s="49" t="s">
        <v>262</v>
      </c>
      <c r="AD449" s="94">
        <f>D361+D352+D370</f>
        <v>40529000</v>
      </c>
      <c r="AE449" s="94">
        <f>E361+E352+E370</f>
        <v>40529000</v>
      </c>
      <c r="AF449" s="94">
        <f>F361+F352+F370</f>
        <v>0</v>
      </c>
      <c r="AG449" s="94">
        <f t="shared" si="173"/>
        <v>40529000</v>
      </c>
      <c r="AH449" s="94">
        <f>L361+L352+L370</f>
        <v>0</v>
      </c>
      <c r="AI449" s="94">
        <f t="shared" si="174"/>
        <v>40529000</v>
      </c>
      <c r="AJ449" s="94">
        <f>O361+O352+O370</f>
        <v>0</v>
      </c>
      <c r="AK449" s="94">
        <f>P361+P352+P370</f>
        <v>0</v>
      </c>
      <c r="AL449" s="94">
        <f t="shared" si="175"/>
        <v>0</v>
      </c>
      <c r="AM449" s="94">
        <f>V361+V352+V370</f>
        <v>0</v>
      </c>
      <c r="AN449" s="94">
        <f t="shared" si="176"/>
        <v>0</v>
      </c>
      <c r="AO449" s="94">
        <f t="shared" si="177"/>
        <v>40529000</v>
      </c>
      <c r="AP449" s="94">
        <f t="shared" si="178"/>
        <v>0</v>
      </c>
      <c r="AQ449" s="94">
        <f t="shared" si="179"/>
        <v>0</v>
      </c>
    </row>
    <row r="450" spans="1:43" x14ac:dyDescent="0.25">
      <c r="C450" s="2" t="s">
        <v>35</v>
      </c>
      <c r="D450" s="72">
        <f>6314234.68-910000</f>
        <v>5404234.6799999997</v>
      </c>
      <c r="E450" s="68">
        <v>0</v>
      </c>
      <c r="F450" s="68">
        <v>0</v>
      </c>
      <c r="G450" s="68"/>
      <c r="H450" s="68">
        <v>0</v>
      </c>
      <c r="I450" s="68">
        <v>0</v>
      </c>
      <c r="J450" s="68">
        <v>0</v>
      </c>
      <c r="K450" s="68">
        <v>0</v>
      </c>
      <c r="L450" s="68">
        <v>0</v>
      </c>
      <c r="M450" s="68"/>
      <c r="N450" s="68">
        <v>0</v>
      </c>
      <c r="O450" s="68">
        <v>0</v>
      </c>
      <c r="P450" s="68">
        <v>0</v>
      </c>
      <c r="Q450" s="68"/>
      <c r="R450" s="68">
        <v>0</v>
      </c>
      <c r="S450" s="68">
        <v>0</v>
      </c>
      <c r="T450" s="68">
        <v>0</v>
      </c>
      <c r="U450" s="68">
        <v>0</v>
      </c>
      <c r="V450" s="68">
        <v>0</v>
      </c>
      <c r="W450" s="68"/>
      <c r="X450" s="68">
        <v>0</v>
      </c>
      <c r="Y450" s="67">
        <f>R450+H450</f>
        <v>0</v>
      </c>
      <c r="Z450" s="67">
        <f>D450-Y450</f>
        <v>5404234.6799999997</v>
      </c>
      <c r="AA450" s="67">
        <f>N450+X450</f>
        <v>0</v>
      </c>
      <c r="AB450" s="67">
        <f>+D450-N450-X450</f>
        <v>5404234.6799999997</v>
      </c>
      <c r="AC450" s="49" t="s">
        <v>53</v>
      </c>
      <c r="AD450" s="94">
        <f>D359+D378+D387+D397+D418+D435+D443+D444</f>
        <v>177814119.85000002</v>
      </c>
      <c r="AE450" s="94">
        <f>E359+E378+E387+E397+E418+E435+E443+E444</f>
        <v>0</v>
      </c>
      <c r="AF450" s="94">
        <f>F359+F378+F387+F397+F418+F435+F443+F444</f>
        <v>0</v>
      </c>
      <c r="AG450" s="94">
        <f t="shared" si="173"/>
        <v>0</v>
      </c>
      <c r="AH450" s="94">
        <f>L359+L378+L387+L397+L418+L435+L443+L444</f>
        <v>0</v>
      </c>
      <c r="AI450" s="94">
        <f t="shared" si="174"/>
        <v>0</v>
      </c>
      <c r="AJ450" s="94">
        <f>O359+O378+O387+O397+O418+O435+O443+O444</f>
        <v>82692090.890000001</v>
      </c>
      <c r="AK450" s="94">
        <f>P359+P378+P387+P397+P418+P435+P443+P444</f>
        <v>0</v>
      </c>
      <c r="AL450" s="94">
        <f t="shared" si="175"/>
        <v>82692090.890000001</v>
      </c>
      <c r="AM450" s="94">
        <f>V359+V378+V387+V397+V418+V435+V443+V444</f>
        <v>0</v>
      </c>
      <c r="AN450" s="94">
        <f t="shared" si="176"/>
        <v>82692090.890000001</v>
      </c>
      <c r="AO450" s="94">
        <f t="shared" si="177"/>
        <v>82692090.890000001</v>
      </c>
      <c r="AP450" s="94">
        <f t="shared" si="178"/>
        <v>95122028.960000023</v>
      </c>
      <c r="AQ450" s="94">
        <f t="shared" si="179"/>
        <v>95122028.960000023</v>
      </c>
    </row>
    <row r="451" spans="1:43" ht="19.5" customHeight="1" x14ac:dyDescent="0.25">
      <c r="D451" s="70" t="s">
        <v>40</v>
      </c>
      <c r="E451" s="70" t="s">
        <v>40</v>
      </c>
      <c r="F451" s="70" t="s">
        <v>40</v>
      </c>
      <c r="G451" s="70"/>
      <c r="H451" s="70" t="s">
        <v>40</v>
      </c>
      <c r="I451" s="70" t="s">
        <v>40</v>
      </c>
      <c r="J451" s="70" t="s">
        <v>40</v>
      </c>
      <c r="K451" s="70" t="s">
        <v>40</v>
      </c>
      <c r="L451" s="70" t="s">
        <v>40</v>
      </c>
      <c r="M451" s="70"/>
      <c r="N451" s="70" t="s">
        <v>40</v>
      </c>
      <c r="O451" s="70" t="s">
        <v>40</v>
      </c>
      <c r="P451" s="70" t="s">
        <v>40</v>
      </c>
      <c r="Q451" s="70"/>
      <c r="R451" s="70" t="s">
        <v>40</v>
      </c>
      <c r="S451" s="70" t="s">
        <v>40</v>
      </c>
      <c r="T451" s="70" t="s">
        <v>40</v>
      </c>
      <c r="U451" s="70" t="s">
        <v>40</v>
      </c>
      <c r="V451" s="70" t="s">
        <v>40</v>
      </c>
      <c r="W451" s="70"/>
      <c r="X451" s="70" t="s">
        <v>40</v>
      </c>
      <c r="Y451" s="70" t="s">
        <v>40</v>
      </c>
      <c r="Z451" s="70" t="s">
        <v>40</v>
      </c>
      <c r="AA451" s="70" t="s">
        <v>40</v>
      </c>
      <c r="AB451" s="70" t="s">
        <v>40</v>
      </c>
      <c r="AC451" s="49" t="s">
        <v>347</v>
      </c>
      <c r="AD451" s="94">
        <f>+D386+D395+D422</f>
        <v>19717517.93</v>
      </c>
      <c r="AE451" s="94">
        <f>+E386+E395+E422</f>
        <v>19717517.93</v>
      </c>
      <c r="AF451" s="94">
        <f>+F386+F395+F422</f>
        <v>0</v>
      </c>
      <c r="AG451" s="94">
        <f>+AE451+AF451</f>
        <v>19717517.93</v>
      </c>
      <c r="AH451" s="94">
        <f>+L395+L395+L422</f>
        <v>0</v>
      </c>
      <c r="AI451" s="94">
        <f>+AG451+AH451</f>
        <v>19717517.93</v>
      </c>
      <c r="AJ451" s="94">
        <f>+O395+O422</f>
        <v>0</v>
      </c>
      <c r="AK451" s="94">
        <f>+P395+P422</f>
        <v>0</v>
      </c>
      <c r="AL451" s="94">
        <f>+AJ451+AK451</f>
        <v>0</v>
      </c>
      <c r="AM451" s="94">
        <f>+V395+V422</f>
        <v>0</v>
      </c>
      <c r="AN451" s="94">
        <f>+AL451+AM451:AM451</f>
        <v>0</v>
      </c>
      <c r="AO451" s="94">
        <f>+AG451+AL451</f>
        <v>19717517.93</v>
      </c>
      <c r="AP451" s="94">
        <f>+AD451-AO451</f>
        <v>0</v>
      </c>
      <c r="AQ451" s="94">
        <f>+AE451-AP451</f>
        <v>19717517.93</v>
      </c>
    </row>
    <row r="452" spans="1:43" ht="18" customHeight="1" x14ac:dyDescent="0.25">
      <c r="A452" s="4"/>
      <c r="B452" s="4"/>
      <c r="C452" s="4"/>
      <c r="D452" s="55">
        <f>SUM(D449:D450)</f>
        <v>6314234.6799999997</v>
      </c>
      <c r="E452" s="55">
        <f t="shared" ref="E452:AB452" si="181">SUM(E449:E450)</f>
        <v>910000</v>
      </c>
      <c r="F452" s="55">
        <f t="shared" si="181"/>
        <v>0</v>
      </c>
      <c r="G452" s="55"/>
      <c r="H452" s="55">
        <f t="shared" si="181"/>
        <v>910000</v>
      </c>
      <c r="I452" s="55">
        <f t="shared" si="181"/>
        <v>0</v>
      </c>
      <c r="J452" s="55">
        <f t="shared" si="181"/>
        <v>0</v>
      </c>
      <c r="K452" s="55">
        <f t="shared" si="181"/>
        <v>0</v>
      </c>
      <c r="L452" s="55">
        <f t="shared" si="181"/>
        <v>0</v>
      </c>
      <c r="M452" s="55"/>
      <c r="N452" s="55">
        <f t="shared" si="181"/>
        <v>910000</v>
      </c>
      <c r="O452" s="55">
        <f t="shared" si="181"/>
        <v>0</v>
      </c>
      <c r="P452" s="55">
        <f t="shared" si="181"/>
        <v>0</v>
      </c>
      <c r="Q452" s="55"/>
      <c r="R452" s="55">
        <f t="shared" si="181"/>
        <v>0</v>
      </c>
      <c r="S452" s="55">
        <f t="shared" si="181"/>
        <v>0</v>
      </c>
      <c r="T452" s="55">
        <f t="shared" si="181"/>
        <v>0</v>
      </c>
      <c r="U452" s="55">
        <f t="shared" si="181"/>
        <v>0</v>
      </c>
      <c r="V452" s="55">
        <f t="shared" si="181"/>
        <v>0</v>
      </c>
      <c r="W452" s="55"/>
      <c r="X452" s="55">
        <f t="shared" si="181"/>
        <v>0</v>
      </c>
      <c r="Y452" s="55">
        <f t="shared" si="181"/>
        <v>910000</v>
      </c>
      <c r="Z452" s="55">
        <f t="shared" si="181"/>
        <v>5404234.6799999997</v>
      </c>
      <c r="AA452" s="55">
        <f t="shared" si="181"/>
        <v>910000</v>
      </c>
      <c r="AB452" s="55">
        <f t="shared" si="181"/>
        <v>5404234.6799999997</v>
      </c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</row>
    <row r="453" spans="1:43" x14ac:dyDescent="0.25">
      <c r="A453" s="46"/>
      <c r="B453" s="26"/>
      <c r="C453" s="4"/>
      <c r="D453" s="70" t="s">
        <v>40</v>
      </c>
      <c r="E453" s="70" t="s">
        <v>40</v>
      </c>
      <c r="F453" s="70" t="s">
        <v>40</v>
      </c>
      <c r="G453" s="70"/>
      <c r="H453" s="70" t="s">
        <v>40</v>
      </c>
      <c r="I453" s="70" t="s">
        <v>40</v>
      </c>
      <c r="J453" s="70" t="s">
        <v>40</v>
      </c>
      <c r="K453" s="70" t="s">
        <v>40</v>
      </c>
      <c r="L453" s="70" t="s">
        <v>40</v>
      </c>
      <c r="M453" s="70"/>
      <c r="N453" s="70" t="s">
        <v>40</v>
      </c>
      <c r="O453" s="70" t="s">
        <v>40</v>
      </c>
      <c r="P453" s="70" t="s">
        <v>40</v>
      </c>
      <c r="Q453" s="70"/>
      <c r="R453" s="70" t="s">
        <v>40</v>
      </c>
      <c r="S453" s="70" t="s">
        <v>40</v>
      </c>
      <c r="T453" s="70" t="s">
        <v>40</v>
      </c>
      <c r="U453" s="70" t="s">
        <v>40</v>
      </c>
      <c r="V453" s="70" t="s">
        <v>40</v>
      </c>
      <c r="W453" s="70"/>
      <c r="X453" s="70" t="s">
        <v>40</v>
      </c>
      <c r="Y453" s="70" t="s">
        <v>40</v>
      </c>
      <c r="Z453" s="70" t="s">
        <v>40</v>
      </c>
      <c r="AA453" s="70" t="s">
        <v>40</v>
      </c>
      <c r="AB453" s="70" t="s">
        <v>40</v>
      </c>
      <c r="AC453" s="49" t="s">
        <v>54</v>
      </c>
      <c r="AD453" s="94">
        <f>D360+D379+D388+D398+D436</f>
        <v>66408087.560000002</v>
      </c>
      <c r="AE453" s="94">
        <f>E360+E379+E388+E398+E436</f>
        <v>0</v>
      </c>
      <c r="AF453" s="94">
        <f>F360+F379+F388+F398+F436</f>
        <v>0</v>
      </c>
      <c r="AG453" s="94">
        <f>+AE453+AF453</f>
        <v>0</v>
      </c>
      <c r="AH453" s="94">
        <f>H360+H379+H388+H398+H436</f>
        <v>0</v>
      </c>
      <c r="AI453" s="94">
        <f>+AG453+AH453</f>
        <v>0</v>
      </c>
      <c r="AJ453" s="94">
        <f>O360+O379+O388+O398+O436</f>
        <v>58597681.920000002</v>
      </c>
      <c r="AK453" s="94">
        <f>P360+P379+P388+P398+P436</f>
        <v>0</v>
      </c>
      <c r="AL453" s="94">
        <f>+AJ453+AK453</f>
        <v>58597681.920000002</v>
      </c>
      <c r="AM453" s="94">
        <f>V360+V379+V388+V398+V436</f>
        <v>0</v>
      </c>
      <c r="AN453" s="94">
        <f>+AL453+AM453:AM453</f>
        <v>58597681.920000002</v>
      </c>
      <c r="AO453" s="94">
        <f>+AG453+AL453</f>
        <v>58597681.920000002</v>
      </c>
      <c r="AP453" s="94">
        <f>+AD453-AO453</f>
        <v>7810405.6400000006</v>
      </c>
      <c r="AQ453" s="94">
        <f>+AD453-AI453-AN453</f>
        <v>7810405.6400000006</v>
      </c>
    </row>
    <row r="454" spans="1:43" x14ac:dyDescent="0.25">
      <c r="A454" s="46"/>
      <c r="B454" s="36" t="s">
        <v>3</v>
      </c>
      <c r="C454" s="21" t="s">
        <v>178</v>
      </c>
      <c r="D454" s="72">
        <f>D354+D363+D372+D381+D390+D400+D407+D415+D425+D431+D438+D447+D452</f>
        <v>687133184.24000001</v>
      </c>
      <c r="E454" s="72">
        <f>E354+E363+E372+E381+E390+E400+E407+E415+E425+E431+E438+E447+E452</f>
        <v>123933441.56999999</v>
      </c>
      <c r="F454" s="72">
        <f>F354+F363+F372+F381+F390+F400+F407+F415+F425+F431+F438+F447+F452</f>
        <v>0</v>
      </c>
      <c r="G454" s="72"/>
      <c r="H454" s="72">
        <f>H354+H363+H372+H381+H390+H400+H407+H415+H425+H431+H438+H447+H452</f>
        <v>123933441.56999999</v>
      </c>
      <c r="I454" s="72">
        <f>I354+I363+I372+I381+I390+I400+I407+I415+I425+I431+I438+I447+I452</f>
        <v>0</v>
      </c>
      <c r="J454" s="72">
        <f>J354+J363+J372+J381+J390+J400+J407+J415+J425+J431+J438+J447+J452</f>
        <v>0</v>
      </c>
      <c r="K454" s="72">
        <f>K354+K363+K372+K381+K390+K400+K407+K415+K425+K431+K438+K447+K452</f>
        <v>0</v>
      </c>
      <c r="L454" s="72">
        <f>L354+L363+L372+L381+L390+L400+L407+L415+L425+L431+L438+L447+L452</f>
        <v>0</v>
      </c>
      <c r="M454" s="72"/>
      <c r="N454" s="72">
        <f>N354+N363+N372+N381+N390+N400+N407+N415+N425+N431+N438+N447+N452</f>
        <v>123933441.56999999</v>
      </c>
      <c r="O454" s="72">
        <f>O354+O363+O372+O381+O390+O400+O407+O415+O425+O431+O438+O447+O452</f>
        <v>169989014.84999996</v>
      </c>
      <c r="P454" s="72">
        <f>P354+P363+P372+P381+P390+P400+P407+P415+P425+P431+P438+P447+P452</f>
        <v>0</v>
      </c>
      <c r="Q454" s="72"/>
      <c r="R454" s="72">
        <f>R354+R363+R372+R381+R390+R400+R407+R415+R425+R431+R438+R447+R452</f>
        <v>169989014.84999996</v>
      </c>
      <c r="S454" s="72">
        <f>S354+S363+S372+S381+S390+S400+S407+S415+S425+S431+S438+S447+S452</f>
        <v>0</v>
      </c>
      <c r="T454" s="72">
        <f>T354+T363+T372+T381+T390+T400+T407+T415+T425+T431+T438+T447+T452</f>
        <v>0</v>
      </c>
      <c r="U454" s="72">
        <f>U354+U363+U372+U381+U390+U400+U407+U415+U425+U431+U438+U447+U452</f>
        <v>0</v>
      </c>
      <c r="V454" s="72">
        <f>V354+V363+V372+V381+V390+V400+V407+V415+V425+V431+V438+V447+V452</f>
        <v>0</v>
      </c>
      <c r="W454" s="72"/>
      <c r="X454" s="72">
        <f>X354+X363+X372+X381+X390+X400+X407+X415+X425+X431+X438+X447+X452</f>
        <v>169989014.84999996</v>
      </c>
      <c r="Y454" s="72">
        <f>Y354+Y363+Y372+Y381+Y390+Y400+Y407+Y415+Y425+Y431+Y438+Y447+Y452</f>
        <v>293922456.41999996</v>
      </c>
      <c r="Z454" s="72">
        <f>Z354+Z363+Z372+Z381+Z390+Z400+Z407+Z415+Z425+Z431+Z438+Z447+Z452</f>
        <v>393210727.81999999</v>
      </c>
      <c r="AA454" s="72">
        <f>AA354+AA363+AA372+AA381+AA390+AA400+AA407+AA415+AA425+AA431+AA438+AA447+AA452</f>
        <v>293922456.41999996</v>
      </c>
      <c r="AB454" s="72">
        <f>AB354+AB363+AB372+AB381+AB390+AB400+AB407+AB415+AB425+AB431+AB438+AB447+AB452</f>
        <v>393210727.81999999</v>
      </c>
      <c r="AD454" s="95">
        <f t="shared" ref="AD454:AQ454" si="182">SUM(AD439:AD453)</f>
        <v>687133184.24000001</v>
      </c>
      <c r="AE454" s="95">
        <f t="shared" si="182"/>
        <v>123933441.56999999</v>
      </c>
      <c r="AF454" s="95">
        <f t="shared" si="182"/>
        <v>0</v>
      </c>
      <c r="AG454" s="95">
        <f t="shared" si="182"/>
        <v>123933441.56999999</v>
      </c>
      <c r="AH454" s="95">
        <f t="shared" si="182"/>
        <v>0</v>
      </c>
      <c r="AI454" s="95">
        <f t="shared" si="182"/>
        <v>123933441.56999999</v>
      </c>
      <c r="AJ454" s="95">
        <f t="shared" si="182"/>
        <v>169989014.85000002</v>
      </c>
      <c r="AK454" s="95">
        <f t="shared" si="182"/>
        <v>0</v>
      </c>
      <c r="AL454" s="95">
        <f t="shared" si="182"/>
        <v>169989014.85000002</v>
      </c>
      <c r="AM454" s="95">
        <f t="shared" si="182"/>
        <v>0</v>
      </c>
      <c r="AN454" s="95">
        <f t="shared" si="182"/>
        <v>169989014.85000002</v>
      </c>
      <c r="AO454" s="95">
        <f t="shared" si="182"/>
        <v>293922456.42000002</v>
      </c>
      <c r="AP454" s="95">
        <f t="shared" si="182"/>
        <v>393210727.82000005</v>
      </c>
      <c r="AQ454" s="95">
        <f t="shared" si="182"/>
        <v>412928245.75000006</v>
      </c>
    </row>
    <row r="455" spans="1:43" x14ac:dyDescent="0.25">
      <c r="A455" s="46"/>
      <c r="B455" s="26"/>
      <c r="C455" s="4" t="s">
        <v>145</v>
      </c>
      <c r="D455" s="70" t="s">
        <v>50</v>
      </c>
      <c r="E455" s="70" t="s">
        <v>50</v>
      </c>
      <c r="F455" s="70" t="s">
        <v>50</v>
      </c>
      <c r="G455" s="70"/>
      <c r="H455" s="70" t="s">
        <v>50</v>
      </c>
      <c r="I455" s="70" t="s">
        <v>50</v>
      </c>
      <c r="J455" s="70" t="s">
        <v>50</v>
      </c>
      <c r="K455" s="70" t="s">
        <v>50</v>
      </c>
      <c r="L455" s="70" t="s">
        <v>50</v>
      </c>
      <c r="M455" s="70"/>
      <c r="N455" s="70" t="s">
        <v>50</v>
      </c>
      <c r="O455" s="70" t="s">
        <v>50</v>
      </c>
      <c r="P455" s="70" t="s">
        <v>50</v>
      </c>
      <c r="Q455" s="70"/>
      <c r="R455" s="70" t="s">
        <v>50</v>
      </c>
      <c r="S455" s="70" t="s">
        <v>50</v>
      </c>
      <c r="T455" s="70" t="s">
        <v>50</v>
      </c>
      <c r="U455" s="70" t="s">
        <v>50</v>
      </c>
      <c r="V455" s="70" t="s">
        <v>50</v>
      </c>
      <c r="W455" s="70"/>
      <c r="X455" s="70" t="s">
        <v>50</v>
      </c>
      <c r="Y455" s="70" t="s">
        <v>50</v>
      </c>
      <c r="Z455" s="70" t="s">
        <v>50</v>
      </c>
      <c r="AA455" s="70" t="s">
        <v>50</v>
      </c>
      <c r="AB455" s="70" t="s">
        <v>50</v>
      </c>
      <c r="AC455" s="52"/>
    </row>
    <row r="456" spans="1:43" x14ac:dyDescent="0.25">
      <c r="A456" s="46"/>
      <c r="B456" s="26"/>
      <c r="C456" s="20"/>
      <c r="D456" s="75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</row>
    <row r="457" spans="1:43" x14ac:dyDescent="0.25">
      <c r="A457" s="46"/>
      <c r="B457" s="26"/>
      <c r="C457" s="4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</row>
    <row r="458" spans="1:43" ht="19.5" x14ac:dyDescent="0.35">
      <c r="A458" s="46"/>
      <c r="B458" s="47" t="s">
        <v>77</v>
      </c>
      <c r="C458" s="4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</row>
    <row r="459" spans="1:43" x14ac:dyDescent="0.25">
      <c r="A459" s="46"/>
      <c r="B459" s="26"/>
      <c r="C459" s="4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</row>
    <row r="460" spans="1:43" x14ac:dyDescent="0.25">
      <c r="A460" s="46">
        <v>45</v>
      </c>
      <c r="B460" s="23" t="s">
        <v>78</v>
      </c>
      <c r="C460" s="2" t="s">
        <v>35</v>
      </c>
      <c r="D460" s="67">
        <v>1629625.74</v>
      </c>
      <c r="E460" s="67">
        <v>0</v>
      </c>
      <c r="F460" s="68"/>
      <c r="G460" s="68"/>
      <c r="H460" s="67">
        <f>E460+F460</f>
        <v>0</v>
      </c>
      <c r="I460" s="68"/>
      <c r="J460" s="68"/>
      <c r="K460" s="68"/>
      <c r="L460" s="67"/>
      <c r="M460" s="67"/>
      <c r="N460" s="67">
        <f>H460+L460</f>
        <v>0</v>
      </c>
      <c r="O460" s="67">
        <f>282216.66-153960.27</f>
        <v>128256.38999999998</v>
      </c>
      <c r="P460" s="67"/>
      <c r="Q460" s="67"/>
      <c r="R460" s="67">
        <f>O460+P460</f>
        <v>128256.38999999998</v>
      </c>
      <c r="S460" s="67"/>
      <c r="T460" s="68"/>
      <c r="U460" s="68"/>
      <c r="V460" s="67"/>
      <c r="W460" s="67"/>
      <c r="X460" s="67">
        <f>R460+V460</f>
        <v>128256.38999999998</v>
      </c>
      <c r="Y460" s="67">
        <f>R460+H460</f>
        <v>128256.38999999998</v>
      </c>
      <c r="Z460" s="67">
        <f>D460-Y460</f>
        <v>1501369.35</v>
      </c>
      <c r="AA460" s="67">
        <f>N460+X460</f>
        <v>128256.38999999998</v>
      </c>
      <c r="AB460" s="67">
        <f>+D460-N460-X460</f>
        <v>1501369.35</v>
      </c>
    </row>
    <row r="461" spans="1:43" x14ac:dyDescent="0.25">
      <c r="A461" s="46"/>
      <c r="B461" s="26"/>
      <c r="C461" s="3" t="s">
        <v>36</v>
      </c>
      <c r="D461" s="67">
        <v>1849609.58</v>
      </c>
      <c r="E461" s="67">
        <v>1849609.58</v>
      </c>
      <c r="F461" s="68"/>
      <c r="G461" s="68"/>
      <c r="H461" s="67">
        <f>E461+F461</f>
        <v>1849609.58</v>
      </c>
      <c r="I461" s="68"/>
      <c r="J461" s="68"/>
      <c r="K461" s="68"/>
      <c r="L461" s="67"/>
      <c r="M461" s="67"/>
      <c r="N461" s="67">
        <f>H461+L461</f>
        <v>1849609.58</v>
      </c>
      <c r="O461" s="67">
        <v>0</v>
      </c>
      <c r="P461" s="68"/>
      <c r="Q461" s="68"/>
      <c r="R461" s="67">
        <f>O461+P461</f>
        <v>0</v>
      </c>
      <c r="S461" s="67"/>
      <c r="T461" s="68"/>
      <c r="U461" s="68"/>
      <c r="V461" s="67"/>
      <c r="W461" s="67"/>
      <c r="X461" s="67">
        <f>R461+V461</f>
        <v>0</v>
      </c>
      <c r="Y461" s="67">
        <f>R461+H461</f>
        <v>1849609.58</v>
      </c>
      <c r="Z461" s="67">
        <f>D461-Y461</f>
        <v>0</v>
      </c>
      <c r="AA461" s="67">
        <f>N461+X461</f>
        <v>1849609.58</v>
      </c>
      <c r="AB461" s="67">
        <f>+D461-N461-X461</f>
        <v>0</v>
      </c>
    </row>
    <row r="462" spans="1:43" x14ac:dyDescent="0.25">
      <c r="A462" s="46"/>
      <c r="B462" s="26"/>
      <c r="C462" s="9" t="s">
        <v>62</v>
      </c>
      <c r="D462" s="67">
        <v>8523000</v>
      </c>
      <c r="E462" s="67">
        <v>8523000</v>
      </c>
      <c r="F462" s="68"/>
      <c r="G462" s="68"/>
      <c r="H462" s="67">
        <f>E462+F462</f>
        <v>8523000</v>
      </c>
      <c r="I462" s="68"/>
      <c r="J462" s="68"/>
      <c r="K462" s="68"/>
      <c r="L462" s="67"/>
      <c r="M462" s="67"/>
      <c r="N462" s="67">
        <f>H462+L462</f>
        <v>8523000</v>
      </c>
      <c r="O462" s="67">
        <v>0</v>
      </c>
      <c r="P462" s="68"/>
      <c r="Q462" s="68"/>
      <c r="R462" s="67">
        <f>O462+P462</f>
        <v>0</v>
      </c>
      <c r="S462" s="67"/>
      <c r="T462" s="68"/>
      <c r="U462" s="68"/>
      <c r="V462" s="67"/>
      <c r="W462" s="67"/>
      <c r="X462" s="67">
        <f>R462+V462</f>
        <v>0</v>
      </c>
      <c r="Y462" s="67">
        <f>R462+H462</f>
        <v>8523000</v>
      </c>
      <c r="Z462" s="67">
        <f>D462-Y462</f>
        <v>0</v>
      </c>
      <c r="AA462" s="67">
        <f>N462+X462</f>
        <v>8523000</v>
      </c>
      <c r="AB462" s="67">
        <f>+D462-N462-X462</f>
        <v>0</v>
      </c>
    </row>
    <row r="463" spans="1:43" x14ac:dyDescent="0.25">
      <c r="A463" s="46"/>
      <c r="B463" s="30"/>
      <c r="C463" s="4"/>
      <c r="D463" s="70" t="s">
        <v>40</v>
      </c>
      <c r="E463" s="70" t="s">
        <v>40</v>
      </c>
      <c r="F463" s="70" t="s">
        <v>40</v>
      </c>
      <c r="G463" s="70"/>
      <c r="H463" s="70" t="s">
        <v>40</v>
      </c>
      <c r="I463" s="70" t="s">
        <v>40</v>
      </c>
      <c r="J463" s="70" t="s">
        <v>40</v>
      </c>
      <c r="K463" s="70" t="s">
        <v>40</v>
      </c>
      <c r="L463" s="70" t="s">
        <v>40</v>
      </c>
      <c r="M463" s="70"/>
      <c r="N463" s="70" t="s">
        <v>40</v>
      </c>
      <c r="O463" s="70" t="s">
        <v>40</v>
      </c>
      <c r="P463" s="70" t="s">
        <v>40</v>
      </c>
      <c r="Q463" s="70"/>
      <c r="R463" s="70" t="s">
        <v>40</v>
      </c>
      <c r="S463" s="70" t="s">
        <v>40</v>
      </c>
      <c r="T463" s="70" t="s">
        <v>40</v>
      </c>
      <c r="U463" s="70" t="s">
        <v>40</v>
      </c>
      <c r="V463" s="70" t="s">
        <v>40</v>
      </c>
      <c r="W463" s="70"/>
      <c r="X463" s="70" t="s">
        <v>40</v>
      </c>
      <c r="Y463" s="70" t="s">
        <v>40</v>
      </c>
      <c r="Z463" s="70" t="s">
        <v>40</v>
      </c>
      <c r="AA463" s="70" t="s">
        <v>40</v>
      </c>
      <c r="AB463" s="70" t="s">
        <v>40</v>
      </c>
    </row>
    <row r="464" spans="1:43" x14ac:dyDescent="0.25">
      <c r="A464" s="46"/>
      <c r="B464" s="30"/>
      <c r="C464" s="4"/>
      <c r="D464" s="67">
        <f t="shared" ref="D464:AB464" si="183">SUM(D460:D462)</f>
        <v>12002235.32</v>
      </c>
      <c r="E464" s="67">
        <f t="shared" si="183"/>
        <v>10372609.58</v>
      </c>
      <c r="F464" s="67">
        <f t="shared" si="183"/>
        <v>0</v>
      </c>
      <c r="G464" s="67"/>
      <c r="H464" s="67">
        <f t="shared" si="183"/>
        <v>10372609.58</v>
      </c>
      <c r="I464" s="67">
        <f t="shared" si="183"/>
        <v>0</v>
      </c>
      <c r="J464" s="67">
        <f t="shared" si="183"/>
        <v>0</v>
      </c>
      <c r="K464" s="67">
        <f t="shared" si="183"/>
        <v>0</v>
      </c>
      <c r="L464" s="67">
        <f t="shared" si="183"/>
        <v>0</v>
      </c>
      <c r="M464" s="67"/>
      <c r="N464" s="67">
        <f t="shared" si="183"/>
        <v>10372609.58</v>
      </c>
      <c r="O464" s="67">
        <f t="shared" si="183"/>
        <v>128256.38999999998</v>
      </c>
      <c r="P464" s="67">
        <f t="shared" si="183"/>
        <v>0</v>
      </c>
      <c r="Q464" s="67"/>
      <c r="R464" s="67">
        <f t="shared" si="183"/>
        <v>128256.38999999998</v>
      </c>
      <c r="S464" s="67">
        <f t="shared" si="183"/>
        <v>0</v>
      </c>
      <c r="T464" s="67">
        <f t="shared" si="183"/>
        <v>0</v>
      </c>
      <c r="U464" s="67">
        <f t="shared" si="183"/>
        <v>0</v>
      </c>
      <c r="V464" s="67">
        <f t="shared" si="183"/>
        <v>0</v>
      </c>
      <c r="W464" s="67"/>
      <c r="X464" s="67">
        <f t="shared" si="183"/>
        <v>128256.38999999998</v>
      </c>
      <c r="Y464" s="67">
        <f t="shared" si="183"/>
        <v>10500865.970000001</v>
      </c>
      <c r="Z464" s="67">
        <f t="shared" si="183"/>
        <v>1501369.35</v>
      </c>
      <c r="AA464" s="67">
        <f t="shared" si="183"/>
        <v>10500865.970000001</v>
      </c>
      <c r="AB464" s="67">
        <f t="shared" si="183"/>
        <v>1501369.35</v>
      </c>
    </row>
    <row r="465" spans="1:106" x14ac:dyDescent="0.25">
      <c r="A465" s="46"/>
      <c r="B465" s="26"/>
      <c r="C465" s="4"/>
      <c r="D465" s="70" t="s">
        <v>40</v>
      </c>
      <c r="E465" s="70" t="s">
        <v>40</v>
      </c>
      <c r="F465" s="70" t="s">
        <v>40</v>
      </c>
      <c r="G465" s="70"/>
      <c r="H465" s="70" t="s">
        <v>40</v>
      </c>
      <c r="I465" s="70" t="s">
        <v>40</v>
      </c>
      <c r="J465" s="70" t="s">
        <v>40</v>
      </c>
      <c r="K465" s="70" t="s">
        <v>40</v>
      </c>
      <c r="L465" s="70" t="s">
        <v>40</v>
      </c>
      <c r="M465" s="70"/>
      <c r="N465" s="70" t="s">
        <v>40</v>
      </c>
      <c r="O465" s="70" t="s">
        <v>40</v>
      </c>
      <c r="P465" s="70" t="s">
        <v>40</v>
      </c>
      <c r="Q465" s="70"/>
      <c r="R465" s="70" t="s">
        <v>40</v>
      </c>
      <c r="S465" s="70" t="s">
        <v>40</v>
      </c>
      <c r="T465" s="70" t="s">
        <v>40</v>
      </c>
      <c r="U465" s="70" t="s">
        <v>40</v>
      </c>
      <c r="V465" s="70" t="s">
        <v>40</v>
      </c>
      <c r="W465" s="70"/>
      <c r="X465" s="70" t="s">
        <v>40</v>
      </c>
      <c r="Y465" s="70" t="s">
        <v>40</v>
      </c>
      <c r="Z465" s="70" t="s">
        <v>40</v>
      </c>
      <c r="AA465" s="70" t="s">
        <v>40</v>
      </c>
      <c r="AB465" s="70" t="s">
        <v>40</v>
      </c>
    </row>
    <row r="466" spans="1:106" x14ac:dyDescent="0.25">
      <c r="A466" s="46"/>
      <c r="B466" s="26"/>
      <c r="C466" s="4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</row>
    <row r="467" spans="1:106" x14ac:dyDescent="0.25">
      <c r="A467" s="46">
        <v>46</v>
      </c>
      <c r="B467" s="23" t="s">
        <v>79</v>
      </c>
      <c r="C467" s="2" t="s">
        <v>35</v>
      </c>
      <c r="D467" s="67">
        <f>53508633.03+2768761.2</f>
        <v>56277394.230000004</v>
      </c>
      <c r="E467" s="67">
        <v>0</v>
      </c>
      <c r="F467" s="68"/>
      <c r="G467" s="68"/>
      <c r="H467" s="67">
        <f>E467+F467</f>
        <v>0</v>
      </c>
      <c r="I467" s="68"/>
      <c r="J467" s="68"/>
      <c r="K467" s="68"/>
      <c r="L467" s="67"/>
      <c r="M467" s="67"/>
      <c r="N467" s="67">
        <f>H467+L467</f>
        <v>0</v>
      </c>
      <c r="O467" s="67">
        <f>4930034.33+1743183.58+4754618.88+3867846.57+2768761.2</f>
        <v>18064444.559999999</v>
      </c>
      <c r="P467" s="68"/>
      <c r="Q467" s="68"/>
      <c r="R467" s="67">
        <f>O467+P467</f>
        <v>18064444.559999999</v>
      </c>
      <c r="S467" s="67">
        <f>704431.8+2019319.8+29262375.49+859875.52+3830998.77</f>
        <v>36677001.380000003</v>
      </c>
      <c r="T467" s="68">
        <f>4738028.88+3867846.57</f>
        <v>8605875.4499999993</v>
      </c>
      <c r="U467" s="67"/>
      <c r="V467" s="67"/>
      <c r="W467" s="67"/>
      <c r="X467" s="67">
        <f>R467+V467</f>
        <v>18064444.559999999</v>
      </c>
      <c r="Y467" s="67">
        <f>R467+H467</f>
        <v>18064444.559999999</v>
      </c>
      <c r="Z467" s="67">
        <f>D467-Y467</f>
        <v>38212949.670000002</v>
      </c>
      <c r="AA467" s="67">
        <f>N467+X467</f>
        <v>18064444.559999999</v>
      </c>
      <c r="AB467" s="67">
        <f>+D467-N467-X467</f>
        <v>38212949.670000002</v>
      </c>
    </row>
    <row r="468" spans="1:106" x14ac:dyDescent="0.25">
      <c r="A468" s="46"/>
      <c r="B468" s="26"/>
      <c r="C468" s="3" t="s">
        <v>80</v>
      </c>
      <c r="D468" s="67">
        <v>40679000</v>
      </c>
      <c r="E468" s="67">
        <v>40679000</v>
      </c>
      <c r="F468" s="68"/>
      <c r="G468" s="68"/>
      <c r="H468" s="67">
        <f>E468+F468</f>
        <v>40679000</v>
      </c>
      <c r="I468" s="68"/>
      <c r="J468" s="68"/>
      <c r="K468" s="68"/>
      <c r="L468" s="67"/>
      <c r="M468" s="67"/>
      <c r="N468" s="67">
        <f>H468+L468</f>
        <v>40679000</v>
      </c>
      <c r="O468" s="67">
        <v>0</v>
      </c>
      <c r="P468" s="68"/>
      <c r="Q468" s="68"/>
      <c r="R468" s="67">
        <f>O468+P468</f>
        <v>0</v>
      </c>
      <c r="S468" s="68"/>
      <c r="T468" s="68"/>
      <c r="U468" s="68"/>
      <c r="V468" s="67"/>
      <c r="W468" s="67"/>
      <c r="X468" s="67">
        <f>R468+V468</f>
        <v>0</v>
      </c>
      <c r="Y468" s="67">
        <f>R468+H468</f>
        <v>40679000</v>
      </c>
      <c r="Z468" s="67">
        <f>D468-Y468</f>
        <v>0</v>
      </c>
      <c r="AA468" s="67">
        <f>N468+X468</f>
        <v>40679000</v>
      </c>
      <c r="AB468" s="67">
        <f>+D468-N468-X468</f>
        <v>0</v>
      </c>
    </row>
    <row r="469" spans="1:106" x14ac:dyDescent="0.25">
      <c r="A469" s="46"/>
      <c r="B469" s="26"/>
      <c r="C469" s="4"/>
      <c r="D469" s="70" t="s">
        <v>40</v>
      </c>
      <c r="E469" s="70" t="s">
        <v>40</v>
      </c>
      <c r="F469" s="70" t="s">
        <v>40</v>
      </c>
      <c r="G469" s="70"/>
      <c r="H469" s="70" t="s">
        <v>40</v>
      </c>
      <c r="I469" s="70" t="s">
        <v>40</v>
      </c>
      <c r="J469" s="70" t="s">
        <v>40</v>
      </c>
      <c r="K469" s="70" t="s">
        <v>40</v>
      </c>
      <c r="L469" s="70" t="s">
        <v>40</v>
      </c>
      <c r="M469" s="70"/>
      <c r="N469" s="70" t="s">
        <v>40</v>
      </c>
      <c r="O469" s="70" t="s">
        <v>40</v>
      </c>
      <c r="P469" s="70" t="s">
        <v>40</v>
      </c>
      <c r="Q469" s="70"/>
      <c r="R469" s="70" t="s">
        <v>40</v>
      </c>
      <c r="S469" s="70" t="s">
        <v>40</v>
      </c>
      <c r="T469" s="70" t="s">
        <v>40</v>
      </c>
      <c r="U469" s="70" t="s">
        <v>40</v>
      </c>
      <c r="V469" s="70" t="s">
        <v>40</v>
      </c>
      <c r="W469" s="70"/>
      <c r="X469" s="70" t="s">
        <v>40</v>
      </c>
      <c r="Y469" s="70" t="s">
        <v>40</v>
      </c>
      <c r="Z469" s="70" t="s">
        <v>40</v>
      </c>
      <c r="AA469" s="70" t="s">
        <v>40</v>
      </c>
      <c r="AB469" s="70" t="s">
        <v>40</v>
      </c>
    </row>
    <row r="470" spans="1:106" x14ac:dyDescent="0.25">
      <c r="A470" s="46"/>
      <c r="B470" s="26"/>
      <c r="C470" s="4"/>
      <c r="D470" s="67">
        <f>SUM(D467:D469)</f>
        <v>96956394.230000004</v>
      </c>
      <c r="E470" s="67">
        <f>SUM(E467:E469)</f>
        <v>40679000</v>
      </c>
      <c r="F470" s="67">
        <f>SUM(F467:F469)</f>
        <v>0</v>
      </c>
      <c r="G470" s="67"/>
      <c r="H470" s="67">
        <f t="shared" ref="H470:AB470" si="184">SUM(H467:H469)</f>
        <v>40679000</v>
      </c>
      <c r="I470" s="67">
        <f t="shared" si="184"/>
        <v>0</v>
      </c>
      <c r="J470" s="67">
        <f t="shared" si="184"/>
        <v>0</v>
      </c>
      <c r="K470" s="67">
        <f t="shared" si="184"/>
        <v>0</v>
      </c>
      <c r="L470" s="67">
        <f t="shared" si="184"/>
        <v>0</v>
      </c>
      <c r="M470" s="67"/>
      <c r="N470" s="67">
        <f t="shared" si="184"/>
        <v>40679000</v>
      </c>
      <c r="O470" s="67">
        <f t="shared" si="184"/>
        <v>18064444.559999999</v>
      </c>
      <c r="P470" s="67">
        <f t="shared" si="184"/>
        <v>0</v>
      </c>
      <c r="Q470" s="67"/>
      <c r="R470" s="67">
        <f t="shared" si="184"/>
        <v>18064444.559999999</v>
      </c>
      <c r="S470" s="67">
        <f t="shared" si="184"/>
        <v>36677001.380000003</v>
      </c>
      <c r="T470" s="67">
        <f t="shared" si="184"/>
        <v>8605875.4499999993</v>
      </c>
      <c r="U470" s="67">
        <f t="shared" si="184"/>
        <v>0</v>
      </c>
      <c r="V470" s="67">
        <f t="shared" si="184"/>
        <v>0</v>
      </c>
      <c r="W470" s="67"/>
      <c r="X470" s="67">
        <f t="shared" si="184"/>
        <v>18064444.559999999</v>
      </c>
      <c r="Y470" s="67">
        <f t="shared" si="184"/>
        <v>58743444.560000002</v>
      </c>
      <c r="Z470" s="67">
        <f t="shared" si="184"/>
        <v>38212949.670000002</v>
      </c>
      <c r="AA470" s="67">
        <f t="shared" si="184"/>
        <v>58743444.560000002</v>
      </c>
      <c r="AB470" s="67">
        <f t="shared" si="184"/>
        <v>38212949.670000002</v>
      </c>
    </row>
    <row r="471" spans="1:106" x14ac:dyDescent="0.25">
      <c r="A471" s="46"/>
      <c r="B471" s="33">
        <f>51847000-1680513.94</f>
        <v>50166486.060000002</v>
      </c>
      <c r="C471" s="4"/>
      <c r="D471" s="70" t="s">
        <v>40</v>
      </c>
      <c r="E471" s="70" t="s">
        <v>40</v>
      </c>
      <c r="F471" s="70" t="s">
        <v>40</v>
      </c>
      <c r="G471" s="70"/>
      <c r="H471" s="70" t="s">
        <v>40</v>
      </c>
      <c r="I471" s="70" t="s">
        <v>40</v>
      </c>
      <c r="J471" s="70" t="s">
        <v>40</v>
      </c>
      <c r="K471" s="70" t="s">
        <v>40</v>
      </c>
      <c r="L471" s="70" t="s">
        <v>40</v>
      </c>
      <c r="M471" s="70"/>
      <c r="N471" s="70" t="s">
        <v>40</v>
      </c>
      <c r="O471" s="70" t="s">
        <v>40</v>
      </c>
      <c r="P471" s="70" t="s">
        <v>40</v>
      </c>
      <c r="Q471" s="70"/>
      <c r="R471" s="70" t="s">
        <v>40</v>
      </c>
      <c r="S471" s="70" t="s">
        <v>40</v>
      </c>
      <c r="T471" s="70" t="s">
        <v>40</v>
      </c>
      <c r="U471" s="70" t="s">
        <v>40</v>
      </c>
      <c r="V471" s="70" t="s">
        <v>40</v>
      </c>
      <c r="W471" s="70"/>
      <c r="X471" s="70" t="s">
        <v>40</v>
      </c>
      <c r="Y471" s="70" t="s">
        <v>40</v>
      </c>
      <c r="Z471" s="70" t="s">
        <v>40</v>
      </c>
      <c r="AA471" s="70" t="s">
        <v>40</v>
      </c>
      <c r="AB471" s="70" t="s">
        <v>40</v>
      </c>
    </row>
    <row r="472" spans="1:106" x14ac:dyDescent="0.25">
      <c r="A472" s="46"/>
      <c r="B472" s="33"/>
      <c r="C472" s="4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</row>
    <row r="473" spans="1:106" x14ac:dyDescent="0.25">
      <c r="A473" s="46">
        <v>47</v>
      </c>
      <c r="B473" s="23" t="s">
        <v>81</v>
      </c>
      <c r="C473" s="2" t="s">
        <v>35</v>
      </c>
      <c r="D473" s="67">
        <v>4029022.26</v>
      </c>
      <c r="E473" s="67">
        <v>0</v>
      </c>
      <c r="F473" s="68"/>
      <c r="G473" s="68"/>
      <c r="H473" s="67">
        <f>E473+F473</f>
        <v>0</v>
      </c>
      <c r="I473" s="68"/>
      <c r="J473" s="68"/>
      <c r="K473" s="68"/>
      <c r="L473" s="67"/>
      <c r="M473" s="67"/>
      <c r="N473" s="67">
        <f>H473+L473</f>
        <v>0</v>
      </c>
      <c r="O473" s="67">
        <v>0</v>
      </c>
      <c r="P473" s="68"/>
      <c r="Q473" s="68"/>
      <c r="R473" s="67">
        <f>O473+P473</f>
        <v>0</v>
      </c>
      <c r="S473" s="68"/>
      <c r="T473" s="68"/>
      <c r="U473" s="68"/>
      <c r="V473" s="67"/>
      <c r="W473" s="67"/>
      <c r="X473" s="67">
        <f>R473+V473</f>
        <v>0</v>
      </c>
      <c r="Y473" s="67">
        <f>R473+H473</f>
        <v>0</v>
      </c>
      <c r="Z473" s="67">
        <f>D473-Y473</f>
        <v>4029022.26</v>
      </c>
      <c r="AA473" s="67">
        <f>N473+X473</f>
        <v>0</v>
      </c>
      <c r="AB473" s="67">
        <f>+D473-N473-X473</f>
        <v>4029022.26</v>
      </c>
    </row>
    <row r="474" spans="1:106" x14ac:dyDescent="0.25">
      <c r="A474" s="46"/>
      <c r="B474" s="26"/>
      <c r="C474" s="3" t="s">
        <v>44</v>
      </c>
      <c r="D474" s="67">
        <v>17785000</v>
      </c>
      <c r="E474" s="67">
        <v>17785000</v>
      </c>
      <c r="F474" s="68"/>
      <c r="G474" s="68"/>
      <c r="H474" s="67">
        <f>E474+F474</f>
        <v>17785000</v>
      </c>
      <c r="I474" s="68"/>
      <c r="J474" s="68"/>
      <c r="K474" s="68"/>
      <c r="L474" s="67"/>
      <c r="M474" s="67"/>
      <c r="N474" s="67">
        <f>H474+L474</f>
        <v>17785000</v>
      </c>
      <c r="O474" s="67">
        <v>0</v>
      </c>
      <c r="P474" s="68"/>
      <c r="Q474" s="68"/>
      <c r="R474" s="67">
        <f>O474+P474</f>
        <v>0</v>
      </c>
      <c r="S474" s="68"/>
      <c r="T474" s="68"/>
      <c r="U474" s="68"/>
      <c r="V474" s="67"/>
      <c r="W474" s="67"/>
      <c r="X474" s="67">
        <f>R474+V474</f>
        <v>0</v>
      </c>
      <c r="Y474" s="67">
        <f>R474+H474</f>
        <v>17785000</v>
      </c>
      <c r="Z474" s="67">
        <f>D474-Y474</f>
        <v>0</v>
      </c>
      <c r="AA474" s="67">
        <f>N474+X474</f>
        <v>17785000</v>
      </c>
      <c r="AB474" s="67">
        <f>+D474-N474-X474</f>
        <v>0</v>
      </c>
    </row>
    <row r="475" spans="1:106" x14ac:dyDescent="0.25">
      <c r="A475" s="46"/>
      <c r="B475" s="26"/>
      <c r="C475" s="4"/>
      <c r="D475" s="70" t="s">
        <v>40</v>
      </c>
      <c r="E475" s="70" t="s">
        <v>40</v>
      </c>
      <c r="F475" s="70" t="s">
        <v>40</v>
      </c>
      <c r="G475" s="70"/>
      <c r="H475" s="70" t="s">
        <v>40</v>
      </c>
      <c r="I475" s="70" t="s">
        <v>40</v>
      </c>
      <c r="J475" s="70" t="s">
        <v>40</v>
      </c>
      <c r="K475" s="70" t="s">
        <v>40</v>
      </c>
      <c r="L475" s="70" t="s">
        <v>40</v>
      </c>
      <c r="M475" s="70"/>
      <c r="N475" s="70" t="s">
        <v>40</v>
      </c>
      <c r="O475" s="70" t="s">
        <v>40</v>
      </c>
      <c r="P475" s="70" t="s">
        <v>40</v>
      </c>
      <c r="Q475" s="70"/>
      <c r="R475" s="70" t="s">
        <v>40</v>
      </c>
      <c r="S475" s="70" t="s">
        <v>40</v>
      </c>
      <c r="T475" s="70" t="s">
        <v>40</v>
      </c>
      <c r="U475" s="70" t="s">
        <v>40</v>
      </c>
      <c r="V475" s="70" t="s">
        <v>40</v>
      </c>
      <c r="W475" s="70"/>
      <c r="X475" s="70" t="s">
        <v>40</v>
      </c>
      <c r="Y475" s="70" t="s">
        <v>40</v>
      </c>
      <c r="Z475" s="70" t="s">
        <v>40</v>
      </c>
      <c r="AA475" s="70" t="s">
        <v>40</v>
      </c>
      <c r="AB475" s="70" t="s">
        <v>40</v>
      </c>
    </row>
    <row r="476" spans="1:106" s="4" customFormat="1" x14ac:dyDescent="0.25">
      <c r="A476" s="46"/>
      <c r="B476" s="26"/>
      <c r="D476" s="67">
        <f t="shared" ref="D476:AB476" si="185">D473+D474</f>
        <v>21814022.259999998</v>
      </c>
      <c r="E476" s="67">
        <f t="shared" si="185"/>
        <v>17785000</v>
      </c>
      <c r="F476" s="67">
        <f t="shared" si="185"/>
        <v>0</v>
      </c>
      <c r="G476" s="67"/>
      <c r="H476" s="67">
        <f t="shared" si="185"/>
        <v>17785000</v>
      </c>
      <c r="I476" s="67">
        <f t="shared" si="185"/>
        <v>0</v>
      </c>
      <c r="J476" s="67">
        <f t="shared" si="185"/>
        <v>0</v>
      </c>
      <c r="K476" s="67">
        <f t="shared" si="185"/>
        <v>0</v>
      </c>
      <c r="L476" s="67">
        <f t="shared" si="185"/>
        <v>0</v>
      </c>
      <c r="M476" s="67"/>
      <c r="N476" s="67">
        <f t="shared" si="185"/>
        <v>17785000</v>
      </c>
      <c r="O476" s="67">
        <f t="shared" si="185"/>
        <v>0</v>
      </c>
      <c r="P476" s="67">
        <f t="shared" si="185"/>
        <v>0</v>
      </c>
      <c r="Q476" s="67"/>
      <c r="R476" s="67">
        <f t="shared" si="185"/>
        <v>0</v>
      </c>
      <c r="S476" s="67">
        <f t="shared" si="185"/>
        <v>0</v>
      </c>
      <c r="T476" s="67">
        <f t="shared" si="185"/>
        <v>0</v>
      </c>
      <c r="U476" s="67">
        <f t="shared" si="185"/>
        <v>0</v>
      </c>
      <c r="V476" s="67">
        <f t="shared" si="185"/>
        <v>0</v>
      </c>
      <c r="W476" s="67"/>
      <c r="X476" s="67">
        <f t="shared" si="185"/>
        <v>0</v>
      </c>
      <c r="Y476" s="67">
        <f t="shared" si="185"/>
        <v>17785000</v>
      </c>
      <c r="Z476" s="67">
        <f t="shared" si="185"/>
        <v>4029022.26</v>
      </c>
      <c r="AA476" s="67">
        <f t="shared" si="185"/>
        <v>17785000</v>
      </c>
      <c r="AB476" s="67">
        <f t="shared" si="185"/>
        <v>4029022.26</v>
      </c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</row>
    <row r="477" spans="1:106" ht="15.75" customHeight="1" x14ac:dyDescent="0.25">
      <c r="A477" s="46"/>
      <c r="B477" s="26"/>
      <c r="C477" s="4"/>
      <c r="D477" s="70" t="s">
        <v>40</v>
      </c>
      <c r="E477" s="70" t="s">
        <v>40</v>
      </c>
      <c r="F477" s="70" t="s">
        <v>40</v>
      </c>
      <c r="G477" s="70"/>
      <c r="H477" s="70" t="s">
        <v>40</v>
      </c>
      <c r="I477" s="70" t="s">
        <v>40</v>
      </c>
      <c r="J477" s="70" t="s">
        <v>40</v>
      </c>
      <c r="K477" s="70" t="s">
        <v>40</v>
      </c>
      <c r="L477" s="70" t="s">
        <v>40</v>
      </c>
      <c r="M477" s="70"/>
      <c r="N477" s="70" t="s">
        <v>40</v>
      </c>
      <c r="O477" s="70" t="s">
        <v>40</v>
      </c>
      <c r="P477" s="70" t="s">
        <v>40</v>
      </c>
      <c r="Q477" s="70"/>
      <c r="R477" s="70" t="s">
        <v>40</v>
      </c>
      <c r="S477" s="70" t="s">
        <v>40</v>
      </c>
      <c r="T477" s="70" t="s">
        <v>40</v>
      </c>
      <c r="U477" s="70" t="s">
        <v>40</v>
      </c>
      <c r="V477" s="70" t="s">
        <v>40</v>
      </c>
      <c r="W477" s="70"/>
      <c r="X477" s="70" t="s">
        <v>40</v>
      </c>
      <c r="Y477" s="70" t="s">
        <v>40</v>
      </c>
      <c r="Z477" s="70" t="s">
        <v>40</v>
      </c>
      <c r="AA477" s="70" t="s">
        <v>40</v>
      </c>
      <c r="AB477" s="70" t="s">
        <v>40</v>
      </c>
    </row>
    <row r="478" spans="1:106" ht="15.75" customHeight="1" x14ac:dyDescent="0.25">
      <c r="A478" s="46"/>
      <c r="B478" s="26"/>
      <c r="C478" s="4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</row>
    <row r="479" spans="1:106" x14ac:dyDescent="0.25">
      <c r="A479" s="46">
        <v>48</v>
      </c>
      <c r="B479" s="23" t="s">
        <v>82</v>
      </c>
      <c r="C479" s="2" t="s">
        <v>35</v>
      </c>
      <c r="D479" s="67">
        <f>752230.24</f>
        <v>752230.24</v>
      </c>
      <c r="E479" s="67">
        <v>0</v>
      </c>
      <c r="F479" s="68"/>
      <c r="G479" s="68"/>
      <c r="H479" s="67">
        <f>E479+F479</f>
        <v>0</v>
      </c>
      <c r="I479" s="68"/>
      <c r="J479" s="68"/>
      <c r="K479" s="68"/>
      <c r="L479" s="67"/>
      <c r="M479" s="67"/>
      <c r="N479" s="67">
        <f t="shared" ref="N479:N485" si="186">H479+L479</f>
        <v>0</v>
      </c>
      <c r="O479" s="67">
        <f>757873.37-5643.13</f>
        <v>752230.24</v>
      </c>
      <c r="P479" s="68"/>
      <c r="Q479" s="68"/>
      <c r="R479" s="67">
        <f>O479+P479</f>
        <v>752230.24</v>
      </c>
      <c r="S479" s="67"/>
      <c r="T479" s="68"/>
      <c r="U479" s="67"/>
      <c r="V479" s="67"/>
      <c r="W479" s="67"/>
      <c r="X479" s="67">
        <f t="shared" ref="X479:X485" si="187">R479+V479</f>
        <v>752230.24</v>
      </c>
      <c r="Y479" s="67">
        <f t="shared" ref="Y479:Y485" si="188">R479+H479</f>
        <v>752230.24</v>
      </c>
      <c r="Z479" s="67">
        <f t="shared" ref="Z479:Z485" si="189">D479-Y479</f>
        <v>0</v>
      </c>
      <c r="AA479" s="67">
        <f t="shared" ref="AA479:AA485" si="190">N479+X479</f>
        <v>752230.24</v>
      </c>
      <c r="AB479" s="67">
        <f t="shared" ref="AB479:AB485" si="191">+D479-N479-X479</f>
        <v>0</v>
      </c>
      <c r="BR479" s="4"/>
      <c r="BS479" s="4"/>
      <c r="BT479" s="4"/>
      <c r="BU479" s="4"/>
      <c r="BV479" s="4"/>
      <c r="BW479" s="4"/>
      <c r="BX479" s="4"/>
    </row>
    <row r="480" spans="1:106" x14ac:dyDescent="0.25">
      <c r="A480" s="46"/>
      <c r="B480" s="26"/>
      <c r="C480" s="3" t="s">
        <v>36</v>
      </c>
      <c r="D480" s="67">
        <v>2012276.94</v>
      </c>
      <c r="E480" s="67">
        <v>2012276.94</v>
      </c>
      <c r="F480" s="68"/>
      <c r="G480" s="68"/>
      <c r="H480" s="67">
        <f>E480+F480</f>
        <v>2012276.94</v>
      </c>
      <c r="I480" s="68"/>
      <c r="J480" s="68"/>
      <c r="K480" s="68"/>
      <c r="L480" s="67"/>
      <c r="M480" s="67"/>
      <c r="N480" s="67">
        <f t="shared" si="186"/>
        <v>2012276.94</v>
      </c>
      <c r="O480" s="67">
        <v>0</v>
      </c>
      <c r="P480" s="68"/>
      <c r="Q480" s="68"/>
      <c r="R480" s="67">
        <f>O480+P480</f>
        <v>0</v>
      </c>
      <c r="S480" s="67"/>
      <c r="T480" s="68"/>
      <c r="U480" s="67"/>
      <c r="V480" s="67"/>
      <c r="W480" s="67"/>
      <c r="X480" s="67">
        <f t="shared" si="187"/>
        <v>0</v>
      </c>
      <c r="Y480" s="67">
        <f t="shared" si="188"/>
        <v>2012276.94</v>
      </c>
      <c r="Z480" s="67">
        <f t="shared" si="189"/>
        <v>0</v>
      </c>
      <c r="AA480" s="67">
        <f t="shared" si="190"/>
        <v>2012276.94</v>
      </c>
      <c r="AB480" s="67">
        <f t="shared" si="191"/>
        <v>0</v>
      </c>
      <c r="BM480" s="4"/>
      <c r="BN480" s="4"/>
      <c r="BO480" s="4"/>
      <c r="BP480" s="4"/>
      <c r="BQ480" s="4"/>
    </row>
    <row r="481" spans="1:64" x14ac:dyDescent="0.25">
      <c r="A481" s="46"/>
      <c r="B481" s="26"/>
      <c r="C481" s="2" t="s">
        <v>76</v>
      </c>
      <c r="D481" s="67">
        <v>1695368.3</v>
      </c>
      <c r="E481" s="67">
        <v>0</v>
      </c>
      <c r="F481" s="68"/>
      <c r="G481" s="68"/>
      <c r="H481" s="67">
        <f>E481+F481</f>
        <v>0</v>
      </c>
      <c r="I481" s="68"/>
      <c r="J481" s="68"/>
      <c r="K481" s="68"/>
      <c r="L481" s="67"/>
      <c r="M481" s="67"/>
      <c r="N481" s="67">
        <f t="shared" si="186"/>
        <v>0</v>
      </c>
      <c r="O481" s="67">
        <v>0</v>
      </c>
      <c r="P481" s="68"/>
      <c r="Q481" s="68"/>
      <c r="R481" s="67">
        <f>O481+P481</f>
        <v>0</v>
      </c>
      <c r="S481" s="68"/>
      <c r="T481" s="68"/>
      <c r="U481" s="68"/>
      <c r="V481" s="67"/>
      <c r="W481" s="67"/>
      <c r="X481" s="67">
        <f t="shared" si="187"/>
        <v>0</v>
      </c>
      <c r="Y481" s="67">
        <f t="shared" si="188"/>
        <v>0</v>
      </c>
      <c r="Z481" s="67">
        <f t="shared" si="189"/>
        <v>1695368.3</v>
      </c>
      <c r="AA481" s="67">
        <f t="shared" si="190"/>
        <v>0</v>
      </c>
      <c r="AB481" s="67">
        <f t="shared" si="191"/>
        <v>1695368.3</v>
      </c>
      <c r="BL481" s="4"/>
    </row>
    <row r="482" spans="1:64" x14ac:dyDescent="0.25">
      <c r="A482" s="46"/>
      <c r="B482" s="26"/>
      <c r="C482" s="2" t="s">
        <v>37</v>
      </c>
      <c r="D482" s="67">
        <f>1506828.37</f>
        <v>1506828.37</v>
      </c>
      <c r="E482" s="67">
        <v>0</v>
      </c>
      <c r="F482" s="68"/>
      <c r="G482" s="68"/>
      <c r="H482" s="67">
        <f>E482+F482</f>
        <v>0</v>
      </c>
      <c r="I482" s="68"/>
      <c r="J482" s="68"/>
      <c r="K482" s="68"/>
      <c r="L482" s="67"/>
      <c r="M482" s="67"/>
      <c r="N482" s="67">
        <f t="shared" si="186"/>
        <v>0</v>
      </c>
      <c r="O482" s="67">
        <f>5643.13+53772.81+5643.13+109320.78+1318806.1+825860.85-825860.85</f>
        <v>1493185.9500000002</v>
      </c>
      <c r="P482" s="68"/>
      <c r="Q482" s="68"/>
      <c r="R482" s="67">
        <f>O482+P482</f>
        <v>1493185.9500000002</v>
      </c>
      <c r="S482" s="67">
        <v>1426220.37</v>
      </c>
      <c r="T482" s="68"/>
      <c r="U482" s="67"/>
      <c r="V482" s="67"/>
      <c r="W482" s="67"/>
      <c r="X482" s="67">
        <f t="shared" si="187"/>
        <v>1493185.9500000002</v>
      </c>
      <c r="Y482" s="67">
        <f t="shared" si="188"/>
        <v>1493185.9500000002</v>
      </c>
      <c r="Z482" s="67">
        <f t="shared" si="189"/>
        <v>13642.419999999925</v>
      </c>
      <c r="AA482" s="67">
        <f t="shared" si="190"/>
        <v>1493185.9500000002</v>
      </c>
      <c r="AB482" s="67">
        <f t="shared" si="191"/>
        <v>13642.419999999925</v>
      </c>
      <c r="BF482" s="4"/>
      <c r="BG482" s="4"/>
      <c r="BH482" s="4"/>
      <c r="BI482" s="4"/>
      <c r="BJ482" s="4"/>
      <c r="BK482" s="4"/>
    </row>
    <row r="483" spans="1:64" x14ac:dyDescent="0.25">
      <c r="C483" s="2" t="s">
        <v>290</v>
      </c>
      <c r="D483" s="55">
        <v>8500000</v>
      </c>
      <c r="E483" s="55">
        <v>8500000</v>
      </c>
      <c r="F483" s="55"/>
      <c r="G483" s="55"/>
      <c r="H483" s="55">
        <f>+E483+F483</f>
        <v>8500000</v>
      </c>
      <c r="I483" s="55"/>
      <c r="J483" s="55"/>
      <c r="K483" s="55"/>
      <c r="L483" s="55"/>
      <c r="M483" s="55"/>
      <c r="N483" s="55">
        <f t="shared" si="186"/>
        <v>8500000</v>
      </c>
      <c r="O483" s="55">
        <v>0</v>
      </c>
      <c r="P483" s="55"/>
      <c r="Q483" s="55"/>
      <c r="R483" s="55">
        <f>+O483+P483</f>
        <v>0</v>
      </c>
      <c r="S483" s="55"/>
      <c r="T483" s="55"/>
      <c r="U483" s="55"/>
      <c r="V483" s="55"/>
      <c r="W483" s="55"/>
      <c r="X483" s="55">
        <f t="shared" si="187"/>
        <v>0</v>
      </c>
      <c r="Y483" s="55">
        <f t="shared" si="188"/>
        <v>8500000</v>
      </c>
      <c r="Z483" s="55">
        <f t="shared" si="189"/>
        <v>0</v>
      </c>
      <c r="AA483" s="55">
        <f t="shared" si="190"/>
        <v>8500000</v>
      </c>
      <c r="AB483" s="55">
        <f t="shared" si="191"/>
        <v>0</v>
      </c>
      <c r="BC483" s="4"/>
      <c r="BD483" s="4"/>
      <c r="BE483" s="4"/>
    </row>
    <row r="484" spans="1:64" x14ac:dyDescent="0.25">
      <c r="A484" s="46"/>
      <c r="B484" s="26"/>
      <c r="C484" s="2" t="s">
        <v>38</v>
      </c>
      <c r="D484" s="67">
        <v>150631.70000000001</v>
      </c>
      <c r="E484" s="67">
        <v>0</v>
      </c>
      <c r="F484" s="68"/>
      <c r="G484" s="68"/>
      <c r="H484" s="67">
        <f>E484+F484</f>
        <v>0</v>
      </c>
      <c r="I484" s="68"/>
      <c r="J484" s="68"/>
      <c r="K484" s="68"/>
      <c r="L484" s="67"/>
      <c r="M484" s="67"/>
      <c r="N484" s="67">
        <f t="shared" si="186"/>
        <v>0</v>
      </c>
      <c r="O484" s="67">
        <v>15650</v>
      </c>
      <c r="P484" s="68"/>
      <c r="Q484" s="68"/>
      <c r="R484" s="67">
        <f>O484+P484</f>
        <v>15650</v>
      </c>
      <c r="S484" s="68"/>
      <c r="T484" s="68"/>
      <c r="U484" s="68"/>
      <c r="V484" s="67"/>
      <c r="W484" s="67"/>
      <c r="X484" s="67">
        <f t="shared" si="187"/>
        <v>15650</v>
      </c>
      <c r="Y484" s="67">
        <f t="shared" si="188"/>
        <v>15650</v>
      </c>
      <c r="Z484" s="67">
        <f t="shared" si="189"/>
        <v>134981.70000000001</v>
      </c>
      <c r="AA484" s="67">
        <f t="shared" si="190"/>
        <v>15650</v>
      </c>
      <c r="AB484" s="67">
        <f t="shared" si="191"/>
        <v>134981.70000000001</v>
      </c>
    </row>
    <row r="485" spans="1:64" x14ac:dyDescent="0.25">
      <c r="A485" s="46"/>
      <c r="B485" s="26"/>
      <c r="C485" s="8" t="s">
        <v>39</v>
      </c>
      <c r="D485" s="67">
        <v>887924.73</v>
      </c>
      <c r="E485" s="67">
        <v>0</v>
      </c>
      <c r="F485" s="68"/>
      <c r="G485" s="68"/>
      <c r="H485" s="67">
        <f>E485+F485</f>
        <v>0</v>
      </c>
      <c r="I485" s="68"/>
      <c r="J485" s="68"/>
      <c r="K485" s="68"/>
      <c r="L485" s="67"/>
      <c r="M485" s="67"/>
      <c r="N485" s="67">
        <f t="shared" si="186"/>
        <v>0</v>
      </c>
      <c r="O485" s="67">
        <v>0</v>
      </c>
      <c r="P485" s="68"/>
      <c r="Q485" s="68"/>
      <c r="R485" s="67">
        <f>O485+P485</f>
        <v>0</v>
      </c>
      <c r="S485" s="68"/>
      <c r="T485" s="68"/>
      <c r="U485" s="68"/>
      <c r="V485" s="67"/>
      <c r="W485" s="67"/>
      <c r="X485" s="67">
        <f t="shared" si="187"/>
        <v>0</v>
      </c>
      <c r="Y485" s="67">
        <f t="shared" si="188"/>
        <v>0</v>
      </c>
      <c r="Z485" s="67">
        <f t="shared" si="189"/>
        <v>887924.73</v>
      </c>
      <c r="AA485" s="67">
        <f t="shared" si="190"/>
        <v>0</v>
      </c>
      <c r="AB485" s="67">
        <f t="shared" si="191"/>
        <v>887924.73</v>
      </c>
    </row>
    <row r="486" spans="1:64" x14ac:dyDescent="0.25">
      <c r="A486" s="46"/>
      <c r="B486" s="26"/>
      <c r="C486" s="4"/>
      <c r="D486" s="70" t="s">
        <v>40</v>
      </c>
      <c r="E486" s="70" t="s">
        <v>40</v>
      </c>
      <c r="F486" s="70" t="s">
        <v>40</v>
      </c>
      <c r="G486" s="70"/>
      <c r="H486" s="70" t="s">
        <v>40</v>
      </c>
      <c r="I486" s="70" t="s">
        <v>40</v>
      </c>
      <c r="J486" s="70" t="s">
        <v>40</v>
      </c>
      <c r="K486" s="70" t="s">
        <v>40</v>
      </c>
      <c r="L486" s="70" t="s">
        <v>40</v>
      </c>
      <c r="M486" s="70"/>
      <c r="N486" s="70" t="s">
        <v>40</v>
      </c>
      <c r="O486" s="70" t="s">
        <v>40</v>
      </c>
      <c r="P486" s="70" t="s">
        <v>40</v>
      </c>
      <c r="Q486" s="70"/>
      <c r="R486" s="70" t="s">
        <v>40</v>
      </c>
      <c r="S486" s="70" t="s">
        <v>40</v>
      </c>
      <c r="T486" s="70" t="s">
        <v>40</v>
      </c>
      <c r="U486" s="70" t="s">
        <v>40</v>
      </c>
      <c r="V486" s="70" t="s">
        <v>40</v>
      </c>
      <c r="W486" s="70"/>
      <c r="X486" s="70" t="s">
        <v>40</v>
      </c>
      <c r="Y486" s="70" t="s">
        <v>40</v>
      </c>
      <c r="Z486" s="70" t="s">
        <v>40</v>
      </c>
      <c r="AA486" s="70" t="s">
        <v>40</v>
      </c>
      <c r="AB486" s="70" t="s">
        <v>40</v>
      </c>
      <c r="BB486" s="4"/>
    </row>
    <row r="487" spans="1:64" x14ac:dyDescent="0.25">
      <c r="A487" s="46"/>
      <c r="B487" s="26"/>
      <c r="C487" s="4"/>
      <c r="D487" s="67">
        <f>SUM(D479:D485)</f>
        <v>15505260.279999999</v>
      </c>
      <c r="E487" s="67">
        <f>SUM(E479:E485)</f>
        <v>10512276.939999999</v>
      </c>
      <c r="F487" s="67">
        <f>SUM(F479:F485)</f>
        <v>0</v>
      </c>
      <c r="G487" s="67"/>
      <c r="H487" s="67">
        <f>SUM(H479:H485)</f>
        <v>10512276.939999999</v>
      </c>
      <c r="I487" s="67">
        <f>SUM(I479:I485)</f>
        <v>0</v>
      </c>
      <c r="J487" s="67">
        <f>SUM(J479:J485)</f>
        <v>0</v>
      </c>
      <c r="K487" s="67">
        <f>SUM(K479:K485)</f>
        <v>0</v>
      </c>
      <c r="L487" s="67">
        <f>SUM(L479:L485)</f>
        <v>0</v>
      </c>
      <c r="M487" s="67"/>
      <c r="N487" s="67">
        <f>SUM(N479:N485)</f>
        <v>10512276.939999999</v>
      </c>
      <c r="O487" s="67">
        <f>SUM(O479:O485)</f>
        <v>2261066.1900000004</v>
      </c>
      <c r="P487" s="67">
        <f>SUM(P479:P485)</f>
        <v>0</v>
      </c>
      <c r="Q487" s="67"/>
      <c r="R487" s="67">
        <f>SUM(R479:R485)</f>
        <v>2261066.1900000004</v>
      </c>
      <c r="S487" s="67">
        <f>SUM(S479:S485)</f>
        <v>1426220.37</v>
      </c>
      <c r="T487" s="67">
        <f>SUM(T479:T485)</f>
        <v>0</v>
      </c>
      <c r="U487" s="67">
        <f>SUM(U479:U485)</f>
        <v>0</v>
      </c>
      <c r="V487" s="67">
        <f>SUM(V479:V485)</f>
        <v>0</v>
      </c>
      <c r="W487" s="67"/>
      <c r="X487" s="67">
        <f>SUM(X479:X485)</f>
        <v>2261066.1900000004</v>
      </c>
      <c r="Y487" s="67">
        <f>SUM(Y479:Y485)</f>
        <v>12773343.129999999</v>
      </c>
      <c r="Z487" s="67">
        <f>SUM(Z479:Z485)</f>
        <v>2731917.15</v>
      </c>
      <c r="AA487" s="67">
        <f>SUM(AA479:AA485)</f>
        <v>12773343.129999999</v>
      </c>
      <c r="AB487" s="67">
        <f>SUM(AB479:AB485)</f>
        <v>2731917.15</v>
      </c>
    </row>
    <row r="488" spans="1:64" x14ac:dyDescent="0.25">
      <c r="A488" s="46"/>
      <c r="B488" s="30"/>
      <c r="C488" s="4"/>
      <c r="D488" s="70" t="s">
        <v>40</v>
      </c>
      <c r="E488" s="70" t="s">
        <v>40</v>
      </c>
      <c r="F488" s="70" t="s">
        <v>40</v>
      </c>
      <c r="G488" s="70"/>
      <c r="H488" s="70" t="s">
        <v>40</v>
      </c>
      <c r="I488" s="70" t="s">
        <v>40</v>
      </c>
      <c r="J488" s="70" t="s">
        <v>40</v>
      </c>
      <c r="K488" s="70" t="s">
        <v>40</v>
      </c>
      <c r="L488" s="70" t="s">
        <v>40</v>
      </c>
      <c r="M488" s="70"/>
      <c r="N488" s="70" t="s">
        <v>40</v>
      </c>
      <c r="O488" s="70" t="s">
        <v>40</v>
      </c>
      <c r="P488" s="70" t="s">
        <v>40</v>
      </c>
      <c r="Q488" s="70"/>
      <c r="R488" s="70" t="s">
        <v>40</v>
      </c>
      <c r="S488" s="70" t="s">
        <v>40</v>
      </c>
      <c r="T488" s="70" t="s">
        <v>40</v>
      </c>
      <c r="U488" s="70" t="s">
        <v>40</v>
      </c>
      <c r="V488" s="70" t="s">
        <v>40</v>
      </c>
      <c r="W488" s="70"/>
      <c r="X488" s="70" t="s">
        <v>40</v>
      </c>
      <c r="Y488" s="70" t="s">
        <v>40</v>
      </c>
      <c r="Z488" s="70" t="s">
        <v>40</v>
      </c>
      <c r="AA488" s="70" t="s">
        <v>40</v>
      </c>
      <c r="AB488" s="70" t="s">
        <v>40</v>
      </c>
      <c r="BA488" s="4"/>
    </row>
    <row r="489" spans="1:64" x14ac:dyDescent="0.25">
      <c r="A489" s="46"/>
      <c r="B489" s="30"/>
      <c r="C489" s="4"/>
      <c r="D489" s="72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129"/>
      <c r="P489" s="105"/>
      <c r="Q489" s="105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</row>
    <row r="491" spans="1:64" x14ac:dyDescent="0.25">
      <c r="A491" s="46">
        <v>49</v>
      </c>
      <c r="B491" s="23" t="s">
        <v>83</v>
      </c>
      <c r="C491" s="2" t="s">
        <v>35</v>
      </c>
      <c r="D491" s="67">
        <f>2426525.76+4497984.87+1343118.04+340197.69</f>
        <v>8607826.3599999994</v>
      </c>
      <c r="E491" s="67">
        <f>8652898.78-8652898.78</f>
        <v>0</v>
      </c>
      <c r="F491" s="68"/>
      <c r="G491" s="68"/>
      <c r="H491" s="67">
        <f>E491+F491</f>
        <v>0</v>
      </c>
      <c r="I491" s="68"/>
      <c r="J491" s="68"/>
      <c r="K491" s="68"/>
      <c r="L491" s="67"/>
      <c r="M491" s="67"/>
      <c r="N491" s="67">
        <f>H491+L491</f>
        <v>0</v>
      </c>
      <c r="O491" s="67">
        <f>825737.13+6098773.5+1343118.04+340197.69+494198.55+224038.16+343342.66-6672957.37+249789.8</f>
        <v>3246238.16</v>
      </c>
      <c r="P491" s="67"/>
      <c r="Q491" s="67"/>
      <c r="R491" s="67">
        <f>O491+P491</f>
        <v>3246238.16</v>
      </c>
      <c r="S491" s="67"/>
      <c r="T491" s="68"/>
      <c r="U491" s="67"/>
      <c r="V491" s="67"/>
      <c r="W491" s="67"/>
      <c r="X491" s="67">
        <f>R491+V491</f>
        <v>3246238.16</v>
      </c>
      <c r="Y491" s="67">
        <f t="shared" ref="Y491:Y496" si="192">R491+H491</f>
        <v>3246238.16</v>
      </c>
      <c r="Z491" s="67">
        <f t="shared" ref="Z491:Z496" si="193">D491-Y491</f>
        <v>5361588.1999999993</v>
      </c>
      <c r="AA491" s="67">
        <f t="shared" ref="AA491:AA496" si="194">N491+X491</f>
        <v>3246238.16</v>
      </c>
      <c r="AB491" s="67">
        <f t="shared" ref="AB491:AB496" si="195">+D491-N491-X491</f>
        <v>5361588.1999999993</v>
      </c>
    </row>
    <row r="492" spans="1:64" x14ac:dyDescent="0.25">
      <c r="A492" s="46"/>
      <c r="B492" s="26"/>
      <c r="C492" s="3" t="s">
        <v>36</v>
      </c>
      <c r="D492" s="67">
        <v>1987562.42</v>
      </c>
      <c r="E492" s="67">
        <v>1987562.42</v>
      </c>
      <c r="F492" s="68"/>
      <c r="G492" s="68"/>
      <c r="H492" s="67">
        <f>E492+F492</f>
        <v>1987562.42</v>
      </c>
      <c r="I492" s="68"/>
      <c r="J492" s="68"/>
      <c r="K492" s="68"/>
      <c r="L492" s="67"/>
      <c r="M492" s="67"/>
      <c r="N492" s="67">
        <f>H492+L492</f>
        <v>1987562.42</v>
      </c>
      <c r="O492" s="68">
        <v>0</v>
      </c>
      <c r="P492" s="68"/>
      <c r="Q492" s="68"/>
      <c r="R492" s="67">
        <f>O492+P492</f>
        <v>0</v>
      </c>
      <c r="S492" s="68"/>
      <c r="T492" s="68"/>
      <c r="U492" s="68"/>
      <c r="V492" s="67"/>
      <c r="W492" s="67"/>
      <c r="X492" s="67">
        <f>R492+V492</f>
        <v>0</v>
      </c>
      <c r="Y492" s="67">
        <f t="shared" si="192"/>
        <v>1987562.42</v>
      </c>
      <c r="Z492" s="67">
        <f t="shared" si="193"/>
        <v>0</v>
      </c>
      <c r="AA492" s="67">
        <f t="shared" si="194"/>
        <v>1987562.42</v>
      </c>
      <c r="AB492" s="67">
        <f t="shared" si="195"/>
        <v>0</v>
      </c>
    </row>
    <row r="493" spans="1:64" x14ac:dyDescent="0.25">
      <c r="A493" s="46"/>
      <c r="B493" s="26"/>
      <c r="C493" s="3" t="s">
        <v>44</v>
      </c>
      <c r="D493" s="67">
        <v>27327000</v>
      </c>
      <c r="E493" s="67">
        <v>27327000</v>
      </c>
      <c r="F493" s="68"/>
      <c r="G493" s="68"/>
      <c r="H493" s="67">
        <f>E493+F493</f>
        <v>27327000</v>
      </c>
      <c r="I493" s="68"/>
      <c r="J493" s="68"/>
      <c r="K493" s="68"/>
      <c r="L493" s="67"/>
      <c r="M493" s="67"/>
      <c r="N493" s="67">
        <f>H493+L493</f>
        <v>27327000</v>
      </c>
      <c r="O493" s="68">
        <v>0</v>
      </c>
      <c r="P493" s="68"/>
      <c r="Q493" s="68"/>
      <c r="R493" s="67">
        <f>O493+P493</f>
        <v>0</v>
      </c>
      <c r="S493" s="68"/>
      <c r="T493" s="68"/>
      <c r="U493" s="68"/>
      <c r="V493" s="67"/>
      <c r="W493" s="67"/>
      <c r="X493" s="67">
        <f>R493+V493</f>
        <v>0</v>
      </c>
      <c r="Y493" s="67">
        <f t="shared" si="192"/>
        <v>27327000</v>
      </c>
      <c r="Z493" s="67">
        <f t="shared" si="193"/>
        <v>0</v>
      </c>
      <c r="AA493" s="67">
        <f t="shared" si="194"/>
        <v>27327000</v>
      </c>
      <c r="AB493" s="67">
        <f t="shared" si="195"/>
        <v>0</v>
      </c>
    </row>
    <row r="494" spans="1:64" x14ac:dyDescent="0.25">
      <c r="C494" s="4" t="s">
        <v>346</v>
      </c>
      <c r="D494" s="55">
        <v>8652898.7799999993</v>
      </c>
      <c r="E494" s="55">
        <v>8652898.7799999993</v>
      </c>
      <c r="F494" s="55"/>
      <c r="G494" s="55"/>
      <c r="H494" s="55">
        <f>+E494+F494</f>
        <v>8652898.7799999993</v>
      </c>
      <c r="I494" s="55"/>
      <c r="J494" s="55"/>
      <c r="K494" s="55"/>
      <c r="L494" s="55"/>
      <c r="M494" s="55"/>
      <c r="N494" s="55">
        <f>+H494+L494</f>
        <v>8652898.7799999993</v>
      </c>
      <c r="O494" s="55">
        <v>0</v>
      </c>
      <c r="P494" s="55"/>
      <c r="Q494" s="55"/>
      <c r="R494" s="55">
        <f>+O494+P494</f>
        <v>0</v>
      </c>
      <c r="S494" s="55"/>
      <c r="T494" s="55"/>
      <c r="U494" s="55"/>
      <c r="V494" s="55"/>
      <c r="W494" s="55"/>
      <c r="X494" s="55">
        <f>+R494+V494</f>
        <v>0</v>
      </c>
      <c r="Y494" s="67">
        <f t="shared" si="192"/>
        <v>8652898.7799999993</v>
      </c>
      <c r="Z494" s="67">
        <f t="shared" si="193"/>
        <v>0</v>
      </c>
      <c r="AA494" s="67">
        <f t="shared" si="194"/>
        <v>8652898.7799999993</v>
      </c>
      <c r="AB494" s="67">
        <f t="shared" si="195"/>
        <v>0</v>
      </c>
    </row>
    <row r="495" spans="1:64" x14ac:dyDescent="0.25">
      <c r="A495" s="46"/>
      <c r="B495" s="26"/>
      <c r="C495" s="2" t="s">
        <v>37</v>
      </c>
      <c r="D495" s="67">
        <f>47621.5+127082.6</f>
        <v>174704.1</v>
      </c>
      <c r="E495" s="67">
        <v>0</v>
      </c>
      <c r="F495" s="68"/>
      <c r="G495" s="68"/>
      <c r="H495" s="67">
        <f>E495+F495</f>
        <v>0</v>
      </c>
      <c r="I495" s="68"/>
      <c r="J495" s="68"/>
      <c r="K495" s="68"/>
      <c r="L495" s="67"/>
      <c r="M495" s="67"/>
      <c r="N495" s="67">
        <f>H495+L495</f>
        <v>0</v>
      </c>
      <c r="O495" s="68">
        <f>29433.15+163459.2-18188.35</f>
        <v>174704</v>
      </c>
      <c r="P495" s="68"/>
      <c r="Q495" s="68"/>
      <c r="R495" s="67">
        <f>O495+P495</f>
        <v>174704</v>
      </c>
      <c r="S495" s="67"/>
      <c r="T495" s="68"/>
      <c r="U495" s="67"/>
      <c r="V495" s="67"/>
      <c r="W495" s="67"/>
      <c r="X495" s="67">
        <f>R495+V495</f>
        <v>174704</v>
      </c>
      <c r="Y495" s="67">
        <f t="shared" si="192"/>
        <v>174704</v>
      </c>
      <c r="Z495" s="67">
        <f t="shared" si="193"/>
        <v>0.10000000000582077</v>
      </c>
      <c r="AA495" s="67">
        <f t="shared" si="194"/>
        <v>174704</v>
      </c>
      <c r="AB495" s="67">
        <f t="shared" si="195"/>
        <v>0.10000000000582077</v>
      </c>
      <c r="AZ495" s="4"/>
    </row>
    <row r="496" spans="1:64" ht="15.75" customHeight="1" x14ac:dyDescent="0.25">
      <c r="A496" s="46"/>
      <c r="B496" s="26"/>
      <c r="C496" s="25" t="s">
        <v>266</v>
      </c>
      <c r="D496" s="67">
        <v>10000000</v>
      </c>
      <c r="E496" s="67">
        <v>5843730.0300000003</v>
      </c>
      <c r="F496" s="68"/>
      <c r="G496" s="68"/>
      <c r="H496" s="67">
        <f>E496+F496</f>
        <v>5843730.0300000003</v>
      </c>
      <c r="I496" s="68"/>
      <c r="J496" s="68"/>
      <c r="K496" s="68"/>
      <c r="L496" s="67"/>
      <c r="M496" s="67"/>
      <c r="N496" s="67">
        <f>H496+L496</f>
        <v>5843730.0300000003</v>
      </c>
      <c r="O496" s="67">
        <v>835222.3</v>
      </c>
      <c r="P496" s="68"/>
      <c r="Q496" s="68"/>
      <c r="R496" s="67">
        <f>O496+P496</f>
        <v>835222.3</v>
      </c>
      <c r="S496" s="68"/>
      <c r="T496" s="68"/>
      <c r="U496" s="68"/>
      <c r="V496" s="67"/>
      <c r="W496" s="67"/>
      <c r="X496" s="67">
        <f>R496+V496</f>
        <v>835222.3</v>
      </c>
      <c r="Y496" s="67">
        <f t="shared" si="192"/>
        <v>6678952.3300000001</v>
      </c>
      <c r="Z496" s="67">
        <f t="shared" si="193"/>
        <v>3321047.67</v>
      </c>
      <c r="AA496" s="67">
        <f t="shared" si="194"/>
        <v>6678952.3300000001</v>
      </c>
      <c r="AB496" s="67">
        <f t="shared" si="195"/>
        <v>3321047.67</v>
      </c>
      <c r="AY496" s="4"/>
    </row>
    <row r="497" spans="1:106" x14ac:dyDescent="0.25">
      <c r="A497" s="46"/>
      <c r="B497" s="26"/>
      <c r="C497" s="4"/>
      <c r="D497" s="70" t="s">
        <v>40</v>
      </c>
      <c r="E497" s="70" t="s">
        <v>40</v>
      </c>
      <c r="F497" s="70" t="s">
        <v>40</v>
      </c>
      <c r="G497" s="70"/>
      <c r="H497" s="70" t="s">
        <v>40</v>
      </c>
      <c r="I497" s="70" t="s">
        <v>40</v>
      </c>
      <c r="J497" s="70" t="s">
        <v>40</v>
      </c>
      <c r="K497" s="70" t="s">
        <v>40</v>
      </c>
      <c r="L497" s="70" t="s">
        <v>40</v>
      </c>
      <c r="M497" s="70"/>
      <c r="N497" s="70" t="s">
        <v>40</v>
      </c>
      <c r="O497" s="70" t="s">
        <v>40</v>
      </c>
      <c r="P497" s="70" t="s">
        <v>40</v>
      </c>
      <c r="Q497" s="70"/>
      <c r="R497" s="70" t="s">
        <v>40</v>
      </c>
      <c r="S497" s="70" t="s">
        <v>40</v>
      </c>
      <c r="T497" s="70" t="s">
        <v>40</v>
      </c>
      <c r="U497" s="70" t="s">
        <v>40</v>
      </c>
      <c r="V497" s="70" t="s">
        <v>40</v>
      </c>
      <c r="W497" s="70"/>
      <c r="X497" s="70" t="s">
        <v>40</v>
      </c>
      <c r="Y497" s="70" t="s">
        <v>40</v>
      </c>
      <c r="Z497" s="70" t="s">
        <v>40</v>
      </c>
      <c r="AA497" s="70" t="s">
        <v>40</v>
      </c>
      <c r="AB497" s="70" t="s">
        <v>40</v>
      </c>
      <c r="AW497" s="4"/>
      <c r="AX497" s="4"/>
    </row>
    <row r="498" spans="1:106" x14ac:dyDescent="0.25">
      <c r="A498" s="46"/>
      <c r="B498" s="26"/>
      <c r="C498" s="4"/>
      <c r="D498" s="67">
        <f>SUM(D491:D496)</f>
        <v>56749991.660000004</v>
      </c>
      <c r="E498" s="67">
        <f>SUM(E491:E496)</f>
        <v>43811191.230000004</v>
      </c>
      <c r="F498" s="67">
        <f>SUM(F491:F496)</f>
        <v>0</v>
      </c>
      <c r="G498" s="67"/>
      <c r="H498" s="67">
        <f>SUM(H491:H496)</f>
        <v>43811191.230000004</v>
      </c>
      <c r="I498" s="67">
        <f>SUM(I491:I496)</f>
        <v>0</v>
      </c>
      <c r="J498" s="67">
        <f>SUM(J491:J496)</f>
        <v>0</v>
      </c>
      <c r="K498" s="67">
        <f>SUM(K491:K496)</f>
        <v>0</v>
      </c>
      <c r="L498" s="67">
        <f>SUM(L491:L496)</f>
        <v>0</v>
      </c>
      <c r="M498" s="67"/>
      <c r="N498" s="67">
        <f>SUM(N491:N496)</f>
        <v>43811191.230000004</v>
      </c>
      <c r="O498" s="67">
        <f>SUM(O491:O496)</f>
        <v>4256164.46</v>
      </c>
      <c r="P498" s="67">
        <f>SUM(P491:P496)</f>
        <v>0</v>
      </c>
      <c r="Q498" s="67"/>
      <c r="R498" s="67">
        <f>SUM(R491:R496)</f>
        <v>4256164.46</v>
      </c>
      <c r="S498" s="67">
        <f>SUM(S491:S496)</f>
        <v>0</v>
      </c>
      <c r="T498" s="67">
        <f>SUM(T491:T496)</f>
        <v>0</v>
      </c>
      <c r="U498" s="67">
        <f>SUM(U491:U496)</f>
        <v>0</v>
      </c>
      <c r="V498" s="67">
        <f>SUM(V491:V496)</f>
        <v>0</v>
      </c>
      <c r="W498" s="67"/>
      <c r="X498" s="67">
        <f>SUM(X491:X496)</f>
        <v>4256164.46</v>
      </c>
      <c r="Y498" s="67">
        <f>SUM(Y491:Y496)</f>
        <v>48067355.689999998</v>
      </c>
      <c r="Z498" s="67">
        <f>SUM(Z491:Z496)</f>
        <v>8682635.9699999988</v>
      </c>
      <c r="AA498" s="67">
        <f>SUM(AA491:AA496)</f>
        <v>48067355.689999998</v>
      </c>
      <c r="AB498" s="67">
        <f>SUM(AB491:AB496)</f>
        <v>8682635.9699999988</v>
      </c>
    </row>
    <row r="499" spans="1:106" x14ac:dyDescent="0.25">
      <c r="A499" s="46"/>
      <c r="B499" s="26"/>
      <c r="C499" s="4"/>
      <c r="D499" s="70" t="s">
        <v>40</v>
      </c>
      <c r="E499" s="70" t="s">
        <v>40</v>
      </c>
      <c r="F499" s="70" t="s">
        <v>40</v>
      </c>
      <c r="G499" s="70"/>
      <c r="H499" s="70" t="s">
        <v>40</v>
      </c>
      <c r="I499" s="70" t="s">
        <v>40</v>
      </c>
      <c r="J499" s="70" t="s">
        <v>40</v>
      </c>
      <c r="K499" s="70" t="s">
        <v>40</v>
      </c>
      <c r="L499" s="70" t="s">
        <v>40</v>
      </c>
      <c r="M499" s="70"/>
      <c r="N499" s="70" t="s">
        <v>40</v>
      </c>
      <c r="O499" s="70" t="s">
        <v>40</v>
      </c>
      <c r="P499" s="70" t="s">
        <v>40</v>
      </c>
      <c r="Q499" s="70"/>
      <c r="R499" s="70" t="s">
        <v>40</v>
      </c>
      <c r="S499" s="70" t="s">
        <v>40</v>
      </c>
      <c r="T499" s="70" t="s">
        <v>40</v>
      </c>
      <c r="U499" s="70" t="s">
        <v>40</v>
      </c>
      <c r="V499" s="70" t="s">
        <v>40</v>
      </c>
      <c r="W499" s="70"/>
      <c r="X499" s="70" t="s">
        <v>40</v>
      </c>
      <c r="Y499" s="70" t="s">
        <v>40</v>
      </c>
      <c r="Z499" s="70" t="s">
        <v>40</v>
      </c>
      <c r="AA499" s="70" t="s">
        <v>40</v>
      </c>
      <c r="AB499" s="70" t="s">
        <v>40</v>
      </c>
    </row>
    <row r="500" spans="1:106" x14ac:dyDescent="0.25">
      <c r="A500" s="46"/>
      <c r="B500" s="26"/>
      <c r="C500" s="4"/>
      <c r="D500" s="70"/>
      <c r="E500" s="70"/>
      <c r="F500" s="104"/>
      <c r="G500" s="140"/>
      <c r="H500" s="119"/>
      <c r="I500" s="105"/>
      <c r="J500" s="105"/>
      <c r="K500" s="105"/>
      <c r="L500" s="105"/>
      <c r="M500" s="119"/>
      <c r="N500" s="105"/>
      <c r="O500" s="129"/>
      <c r="P500" s="105"/>
      <c r="Q500" s="105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U500" s="4"/>
      <c r="AV500" s="4"/>
    </row>
    <row r="501" spans="1:106" x14ac:dyDescent="0.25">
      <c r="A501" s="46">
        <v>50</v>
      </c>
      <c r="B501" s="23" t="s">
        <v>84</v>
      </c>
      <c r="C501" s="2" t="s">
        <v>35</v>
      </c>
      <c r="D501" s="67">
        <f>19199083.62+22128</f>
        <v>19221211.620000001</v>
      </c>
      <c r="E501" s="67">
        <f>2327913.99-2327913.99</f>
        <v>0</v>
      </c>
      <c r="F501" s="68"/>
      <c r="G501" s="68"/>
      <c r="H501" s="67">
        <f>E501+F501</f>
        <v>0</v>
      </c>
      <c r="I501" s="68"/>
      <c r="J501" s="68"/>
      <c r="K501" s="68"/>
      <c r="L501" s="67"/>
      <c r="M501" s="67"/>
      <c r="N501" s="67">
        <f>H501+L501</f>
        <v>0</v>
      </c>
      <c r="O501" s="67">
        <f>108532.57+3270911.88+22128+33911.4+6199039.89+773757.88-808281.81</f>
        <v>9599999.8099999987</v>
      </c>
      <c r="P501" s="68"/>
      <c r="Q501" s="68"/>
      <c r="R501" s="67">
        <f>O501+P501</f>
        <v>9599999.8099999987</v>
      </c>
      <c r="S501" s="68">
        <v>6263117.3700000001</v>
      </c>
      <c r="T501" s="68">
        <f>2504183.17+766728.71</f>
        <v>3270911.88</v>
      </c>
      <c r="U501" s="68"/>
      <c r="V501" s="67"/>
      <c r="W501" s="67"/>
      <c r="X501" s="67">
        <f>R501+V501</f>
        <v>9599999.8099999987</v>
      </c>
      <c r="Y501" s="67">
        <f t="shared" ref="Y501:Y506" si="196">R501+H501</f>
        <v>9599999.8099999987</v>
      </c>
      <c r="Z501" s="67">
        <f t="shared" ref="Z501:Z506" si="197">D501-Y501</f>
        <v>9621211.8100000024</v>
      </c>
      <c r="AA501" s="67">
        <f t="shared" ref="AA501:AA506" si="198">N501+X501</f>
        <v>9599999.8099999987</v>
      </c>
      <c r="AB501" s="67">
        <f t="shared" ref="AB501:AB506" si="199">+D501-N501-X501</f>
        <v>9621211.8100000024</v>
      </c>
    </row>
    <row r="502" spans="1:106" x14ac:dyDescent="0.25">
      <c r="A502" s="46"/>
      <c r="B502" s="26"/>
      <c r="C502" s="3" t="s">
        <v>36</v>
      </c>
      <c r="D502" s="67">
        <f>334664.4+77545</f>
        <v>412209.4</v>
      </c>
      <c r="E502" s="67">
        <f>334664.4+77545</f>
        <v>412209.4</v>
      </c>
      <c r="F502" s="68"/>
      <c r="G502" s="68"/>
      <c r="H502" s="67">
        <f>E502+F502</f>
        <v>412209.4</v>
      </c>
      <c r="I502" s="68"/>
      <c r="J502" s="68"/>
      <c r="K502" s="68"/>
      <c r="L502" s="67"/>
      <c r="M502" s="67"/>
      <c r="N502" s="67">
        <f>H502+L502</f>
        <v>412209.4</v>
      </c>
      <c r="O502" s="67">
        <v>0</v>
      </c>
      <c r="P502" s="68"/>
      <c r="Q502" s="68"/>
      <c r="R502" s="67">
        <f>O502+P502</f>
        <v>0</v>
      </c>
      <c r="S502" s="67"/>
      <c r="T502" s="68"/>
      <c r="U502" s="68"/>
      <c r="V502" s="67"/>
      <c r="W502" s="67"/>
      <c r="X502" s="67">
        <f>R502+V502</f>
        <v>0</v>
      </c>
      <c r="Y502" s="67">
        <f t="shared" si="196"/>
        <v>412209.4</v>
      </c>
      <c r="Z502" s="67">
        <f t="shared" si="197"/>
        <v>0</v>
      </c>
      <c r="AA502" s="67">
        <f t="shared" si="198"/>
        <v>412209.4</v>
      </c>
      <c r="AB502" s="67">
        <f t="shared" si="199"/>
        <v>0</v>
      </c>
    </row>
    <row r="503" spans="1:106" x14ac:dyDescent="0.25">
      <c r="A503" s="46"/>
      <c r="B503" s="26"/>
      <c r="C503" s="3" t="s">
        <v>44</v>
      </c>
      <c r="D503" s="67">
        <v>20063586</v>
      </c>
      <c r="E503" s="67">
        <v>20063586</v>
      </c>
      <c r="F503" s="68"/>
      <c r="G503" s="68"/>
      <c r="H503" s="67">
        <f>E503+F503</f>
        <v>20063586</v>
      </c>
      <c r="I503" s="68"/>
      <c r="J503" s="68"/>
      <c r="K503" s="68"/>
      <c r="L503" s="67"/>
      <c r="M503" s="67"/>
      <c r="N503" s="67">
        <f>H503+L503</f>
        <v>20063586</v>
      </c>
      <c r="O503" s="67">
        <v>0</v>
      </c>
      <c r="P503" s="68"/>
      <c r="Q503" s="68"/>
      <c r="R503" s="67">
        <f>O503+P503</f>
        <v>0</v>
      </c>
      <c r="S503" s="67"/>
      <c r="T503" s="68"/>
      <c r="U503" s="68"/>
      <c r="V503" s="67"/>
      <c r="W503" s="67"/>
      <c r="X503" s="67">
        <f>R503+V503</f>
        <v>0</v>
      </c>
      <c r="Y503" s="67">
        <f t="shared" si="196"/>
        <v>20063586</v>
      </c>
      <c r="Z503" s="67">
        <f t="shared" si="197"/>
        <v>0</v>
      </c>
      <c r="AA503" s="67">
        <f t="shared" si="198"/>
        <v>20063586</v>
      </c>
      <c r="AB503" s="67">
        <f t="shared" si="199"/>
        <v>0</v>
      </c>
      <c r="AT503" s="4"/>
    </row>
    <row r="504" spans="1:106" x14ac:dyDescent="0.25">
      <c r="C504" s="4" t="s">
        <v>346</v>
      </c>
      <c r="D504" s="55">
        <v>2327913.9900000002</v>
      </c>
      <c r="E504" s="55">
        <v>2327913.9900000002</v>
      </c>
      <c r="F504" s="55"/>
      <c r="G504" s="55"/>
      <c r="H504" s="55">
        <f>+E504+F504</f>
        <v>2327913.9900000002</v>
      </c>
      <c r="I504" s="55"/>
      <c r="J504" s="55"/>
      <c r="K504" s="55"/>
      <c r="L504" s="55"/>
      <c r="M504" s="55"/>
      <c r="N504" s="55">
        <f>+H504+L504</f>
        <v>2327913.9900000002</v>
      </c>
      <c r="O504" s="55">
        <v>0</v>
      </c>
      <c r="P504" s="55"/>
      <c r="Q504" s="55"/>
      <c r="R504" s="55">
        <f>+O504+P504</f>
        <v>0</v>
      </c>
      <c r="S504" s="55"/>
      <c r="T504" s="55"/>
      <c r="U504" s="55"/>
      <c r="V504" s="55"/>
      <c r="W504" s="55"/>
      <c r="X504" s="55">
        <f>+R504+V504</f>
        <v>0</v>
      </c>
      <c r="Y504" s="67">
        <f t="shared" si="196"/>
        <v>2327913.9900000002</v>
      </c>
      <c r="Z504" s="67">
        <f t="shared" si="197"/>
        <v>0</v>
      </c>
      <c r="AA504" s="67">
        <f t="shared" si="198"/>
        <v>2327913.9900000002</v>
      </c>
      <c r="AB504" s="67">
        <f t="shared" si="199"/>
        <v>0</v>
      </c>
    </row>
    <row r="505" spans="1:106" x14ac:dyDescent="0.25">
      <c r="A505" s="46"/>
      <c r="B505" s="26"/>
      <c r="C505" s="2" t="s">
        <v>37</v>
      </c>
      <c r="D505" s="67">
        <f>188775.27+182.8</f>
        <v>188958.06999999998</v>
      </c>
      <c r="E505" s="67">
        <v>0</v>
      </c>
      <c r="F505" s="68"/>
      <c r="G505" s="68"/>
      <c r="H505" s="67">
        <f>E505+F505</f>
        <v>0</v>
      </c>
      <c r="I505" s="68"/>
      <c r="J505" s="68"/>
      <c r="K505" s="68"/>
      <c r="L505" s="67"/>
      <c r="M505" s="67"/>
      <c r="N505" s="67">
        <f>H505+L505</f>
        <v>0</v>
      </c>
      <c r="O505" s="67">
        <f>182.8+208.66</f>
        <v>391.46000000000004</v>
      </c>
      <c r="P505" s="68"/>
      <c r="Q505" s="68"/>
      <c r="R505" s="67">
        <f>O505+P505</f>
        <v>391.46000000000004</v>
      </c>
      <c r="S505" s="68"/>
      <c r="T505" s="68"/>
      <c r="U505" s="68"/>
      <c r="V505" s="67"/>
      <c r="W505" s="67"/>
      <c r="X505" s="67">
        <f>R505+V505</f>
        <v>391.46000000000004</v>
      </c>
      <c r="Y505" s="67">
        <f t="shared" si="196"/>
        <v>391.46000000000004</v>
      </c>
      <c r="Z505" s="67">
        <f t="shared" si="197"/>
        <v>188566.61</v>
      </c>
      <c r="AA505" s="67">
        <f t="shared" si="198"/>
        <v>391.46000000000004</v>
      </c>
      <c r="AB505" s="67">
        <f t="shared" si="199"/>
        <v>188566.61</v>
      </c>
    </row>
    <row r="506" spans="1:106" x14ac:dyDescent="0.25">
      <c r="A506" s="46"/>
      <c r="B506" s="26"/>
      <c r="C506" s="8" t="s">
        <v>39</v>
      </c>
      <c r="D506" s="67">
        <v>3714169.49</v>
      </c>
      <c r="E506" s="67">
        <v>0</v>
      </c>
      <c r="F506" s="68"/>
      <c r="G506" s="68"/>
      <c r="H506" s="67">
        <f>E506+F506</f>
        <v>0</v>
      </c>
      <c r="I506" s="68"/>
      <c r="J506" s="68"/>
      <c r="K506" s="68"/>
      <c r="L506" s="67"/>
      <c r="M506" s="67"/>
      <c r="N506" s="67">
        <f>H506+L506</f>
        <v>0</v>
      </c>
      <c r="O506" s="67">
        <v>288360.2</v>
      </c>
      <c r="P506" s="68"/>
      <c r="Q506" s="68"/>
      <c r="R506" s="67">
        <f>O506+P506</f>
        <v>288360.2</v>
      </c>
      <c r="S506" s="68"/>
      <c r="T506" s="68"/>
      <c r="U506" s="68"/>
      <c r="V506" s="67"/>
      <c r="W506" s="67"/>
      <c r="X506" s="67">
        <f>R506+V506</f>
        <v>288360.2</v>
      </c>
      <c r="Y506" s="67">
        <f t="shared" si="196"/>
        <v>288360.2</v>
      </c>
      <c r="Z506" s="67">
        <f t="shared" si="197"/>
        <v>3425809.29</v>
      </c>
      <c r="AA506" s="67">
        <f t="shared" si="198"/>
        <v>288360.2</v>
      </c>
      <c r="AB506" s="67">
        <f t="shared" si="199"/>
        <v>3425809.29</v>
      </c>
    </row>
    <row r="507" spans="1:106" x14ac:dyDescent="0.25">
      <c r="A507" s="46"/>
      <c r="B507" s="26"/>
      <c r="C507" s="4"/>
      <c r="D507" s="70" t="s">
        <v>40</v>
      </c>
      <c r="E507" s="70" t="s">
        <v>40</v>
      </c>
      <c r="F507" s="70" t="s">
        <v>40</v>
      </c>
      <c r="G507" s="70"/>
      <c r="H507" s="70" t="s">
        <v>40</v>
      </c>
      <c r="I507" s="70" t="s">
        <v>40</v>
      </c>
      <c r="J507" s="70" t="s">
        <v>40</v>
      </c>
      <c r="K507" s="70" t="s">
        <v>40</v>
      </c>
      <c r="L507" s="70" t="s">
        <v>40</v>
      </c>
      <c r="M507" s="70"/>
      <c r="N507" s="70" t="s">
        <v>40</v>
      </c>
      <c r="O507" s="70" t="s">
        <v>40</v>
      </c>
      <c r="P507" s="70" t="s">
        <v>40</v>
      </c>
      <c r="Q507" s="70"/>
      <c r="R507" s="70" t="s">
        <v>40</v>
      </c>
      <c r="S507" s="70" t="s">
        <v>40</v>
      </c>
      <c r="T507" s="70" t="s">
        <v>40</v>
      </c>
      <c r="U507" s="70" t="s">
        <v>40</v>
      </c>
      <c r="V507" s="70" t="s">
        <v>40</v>
      </c>
      <c r="W507" s="70"/>
      <c r="X507" s="70" t="s">
        <v>40</v>
      </c>
      <c r="Y507" s="70" t="s">
        <v>40</v>
      </c>
      <c r="Z507" s="70" t="s">
        <v>40</v>
      </c>
      <c r="AA507" s="70" t="s">
        <v>40</v>
      </c>
      <c r="AB507" s="70" t="s">
        <v>40</v>
      </c>
      <c r="AS507" s="4"/>
    </row>
    <row r="508" spans="1:106" s="4" customFormat="1" x14ac:dyDescent="0.25">
      <c r="A508" s="46"/>
      <c r="B508" s="26"/>
      <c r="D508" s="67">
        <f>SUM(D501:D506)</f>
        <v>45928048.57</v>
      </c>
      <c r="E508" s="67">
        <f>SUM(E501:E506)</f>
        <v>22803709.390000001</v>
      </c>
      <c r="F508" s="67">
        <f>SUM(F501:F506)</f>
        <v>0</v>
      </c>
      <c r="G508" s="67"/>
      <c r="H508" s="67">
        <f>SUM(H501:H506)</f>
        <v>22803709.390000001</v>
      </c>
      <c r="I508" s="67">
        <f>SUM(I501:I506)</f>
        <v>0</v>
      </c>
      <c r="J508" s="67">
        <f>SUM(J501:J506)</f>
        <v>0</v>
      </c>
      <c r="K508" s="67">
        <f>SUM(K501:K506)</f>
        <v>0</v>
      </c>
      <c r="L508" s="67">
        <f>SUM(L501:L506)</f>
        <v>0</v>
      </c>
      <c r="M508" s="67"/>
      <c r="N508" s="67">
        <f>SUM(N501:N506)</f>
        <v>22803709.390000001</v>
      </c>
      <c r="O508" s="67">
        <f>SUM(O501:O506)</f>
        <v>9888751.4699999988</v>
      </c>
      <c r="P508" s="67">
        <f>SUM(P501:P506)</f>
        <v>0</v>
      </c>
      <c r="Q508" s="67"/>
      <c r="R508" s="67">
        <f>SUM(R501:R506)</f>
        <v>9888751.4699999988</v>
      </c>
      <c r="S508" s="67">
        <f>SUM(S501:S506)</f>
        <v>6263117.3700000001</v>
      </c>
      <c r="T508" s="67">
        <f>SUM(T501:T506)</f>
        <v>3270911.88</v>
      </c>
      <c r="U508" s="67">
        <f>SUM(U501:U506)</f>
        <v>0</v>
      </c>
      <c r="V508" s="67">
        <f>SUM(V501:V506)</f>
        <v>0</v>
      </c>
      <c r="W508" s="67"/>
      <c r="X508" s="67">
        <f>SUM(X501:X506)</f>
        <v>9888751.4699999988</v>
      </c>
      <c r="Y508" s="67">
        <f>SUM(Y501:Y506)</f>
        <v>32692460.860000003</v>
      </c>
      <c r="Z508" s="67">
        <f>SUM(Z501:Z506)</f>
        <v>13235587.710000001</v>
      </c>
      <c r="AA508" s="67">
        <f>SUM(AA501:AA506)</f>
        <v>32692460.860000003</v>
      </c>
      <c r="AB508" s="67">
        <f>SUM(AB501:AB506)</f>
        <v>13235587.710000001</v>
      </c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</row>
    <row r="509" spans="1:106" x14ac:dyDescent="0.25">
      <c r="A509" s="46"/>
      <c r="B509" s="26"/>
      <c r="C509" s="4"/>
      <c r="D509" s="70" t="s">
        <v>40</v>
      </c>
      <c r="E509" s="70" t="s">
        <v>40</v>
      </c>
      <c r="F509" s="70" t="s">
        <v>40</v>
      </c>
      <c r="G509" s="70"/>
      <c r="H509" s="70" t="s">
        <v>40</v>
      </c>
      <c r="I509" s="70" t="s">
        <v>40</v>
      </c>
      <c r="J509" s="70" t="s">
        <v>40</v>
      </c>
      <c r="K509" s="70" t="s">
        <v>40</v>
      </c>
      <c r="L509" s="70" t="s">
        <v>40</v>
      </c>
      <c r="M509" s="70"/>
      <c r="N509" s="70" t="s">
        <v>40</v>
      </c>
      <c r="O509" s="70" t="s">
        <v>40</v>
      </c>
      <c r="P509" s="70" t="s">
        <v>40</v>
      </c>
      <c r="Q509" s="70"/>
      <c r="R509" s="70" t="s">
        <v>40</v>
      </c>
      <c r="S509" s="70" t="s">
        <v>40</v>
      </c>
      <c r="T509" s="70" t="s">
        <v>40</v>
      </c>
      <c r="U509" s="70" t="s">
        <v>40</v>
      </c>
      <c r="V509" s="70" t="s">
        <v>40</v>
      </c>
      <c r="W509" s="70"/>
      <c r="X509" s="70" t="s">
        <v>40</v>
      </c>
      <c r="Y509" s="70" t="s">
        <v>40</v>
      </c>
      <c r="Z509" s="70" t="s">
        <v>40</v>
      </c>
      <c r="AA509" s="70" t="s">
        <v>40</v>
      </c>
      <c r="AB509" s="70" t="s">
        <v>40</v>
      </c>
      <c r="AR509" s="4"/>
    </row>
    <row r="510" spans="1:106" x14ac:dyDescent="0.25">
      <c r="A510" s="46" t="s">
        <v>351</v>
      </c>
      <c r="B510" s="26"/>
      <c r="C510" s="4"/>
      <c r="D510" s="70"/>
      <c r="E510" s="70"/>
      <c r="F510" s="104"/>
      <c r="G510" s="105"/>
      <c r="H510" s="119"/>
      <c r="I510" s="105"/>
      <c r="J510" s="105"/>
      <c r="K510" s="105"/>
      <c r="L510" s="105"/>
      <c r="M510" s="119"/>
      <c r="N510" s="70"/>
      <c r="O510" s="129"/>
      <c r="P510" s="105"/>
      <c r="Q510" s="129"/>
      <c r="R510" s="70"/>
      <c r="S510" s="70"/>
      <c r="T510" s="70"/>
      <c r="U510" s="70"/>
      <c r="W510" s="70"/>
      <c r="X510" s="70"/>
      <c r="Y510" s="70"/>
      <c r="Z510" s="70"/>
      <c r="AA510" s="70"/>
      <c r="AB510" s="70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</row>
    <row r="511" spans="1:106" x14ac:dyDescent="0.25">
      <c r="A511" s="46"/>
      <c r="B511" s="26"/>
      <c r="C511" s="4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BR511" s="4"/>
      <c r="BS511" s="4"/>
      <c r="BT511" s="4"/>
      <c r="BU511" s="4"/>
      <c r="BV511" s="4"/>
      <c r="BW511" s="4"/>
      <c r="BX511" s="4"/>
    </row>
    <row r="512" spans="1:106" x14ac:dyDescent="0.25">
      <c r="A512" s="46"/>
      <c r="B512" s="26"/>
      <c r="C512" s="4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BN512" s="4"/>
      <c r="BO512" s="4"/>
      <c r="BP512" s="4"/>
      <c r="BQ512" s="4"/>
    </row>
    <row r="513" spans="1:65" x14ac:dyDescent="0.25">
      <c r="A513" s="46">
        <v>51</v>
      </c>
      <c r="B513" s="23" t="s">
        <v>85</v>
      </c>
      <c r="C513" s="2" t="s">
        <v>35</v>
      </c>
      <c r="D513" s="67">
        <v>43244403.560000002</v>
      </c>
      <c r="E513" s="68">
        <f>2341702.42+3961357.72</f>
        <v>6303060.1400000006</v>
      </c>
      <c r="F513" s="68"/>
      <c r="G513" s="68"/>
      <c r="H513" s="67">
        <f>E513+F513</f>
        <v>6303060.1400000006</v>
      </c>
      <c r="I513" s="68"/>
      <c r="J513" s="68"/>
      <c r="K513" s="68"/>
      <c r="L513" s="67"/>
      <c r="M513" s="67"/>
      <c r="N513" s="67">
        <f t="shared" ref="N513:N519" si="200">H513+L513</f>
        <v>6303060.1400000006</v>
      </c>
      <c r="O513" s="67">
        <v>2104537.4900000002</v>
      </c>
      <c r="P513" s="68"/>
      <c r="Q513" s="68"/>
      <c r="R513" s="67">
        <f>O513+P513</f>
        <v>2104537.4900000002</v>
      </c>
      <c r="S513" s="68"/>
      <c r="T513" s="68"/>
      <c r="U513" s="68"/>
      <c r="V513" s="67"/>
      <c r="W513" s="67"/>
      <c r="X513" s="67">
        <f>R513+V513</f>
        <v>2104537.4900000002</v>
      </c>
      <c r="Y513" s="67">
        <f t="shared" ref="Y513:Y519" si="201">R513+H513</f>
        <v>8407597.6300000008</v>
      </c>
      <c r="Z513" s="67">
        <f t="shared" ref="Z513:Z519" si="202">D513-Y513</f>
        <v>34836805.93</v>
      </c>
      <c r="AA513" s="67">
        <f t="shared" ref="AA513:AA519" si="203">N513+X513</f>
        <v>8407597.6300000008</v>
      </c>
      <c r="AB513" s="67">
        <f t="shared" ref="AB513:AB519" si="204">+D513-N513-X513</f>
        <v>34836805.93</v>
      </c>
      <c r="BM513" s="4"/>
    </row>
    <row r="514" spans="1:65" x14ac:dyDescent="0.25">
      <c r="A514" s="46"/>
      <c r="B514" s="26"/>
      <c r="C514" s="3" t="s">
        <v>36</v>
      </c>
      <c r="D514" s="67">
        <f>2218825.28+226518.99</f>
        <v>2445344.2699999996</v>
      </c>
      <c r="E514" s="67">
        <f>2218825.28+226518.99</f>
        <v>2445344.2699999996</v>
      </c>
      <c r="F514" s="68"/>
      <c r="G514" s="68"/>
      <c r="H514" s="67">
        <f>E514+F514</f>
        <v>2445344.2699999996</v>
      </c>
      <c r="I514" s="68"/>
      <c r="J514" s="68"/>
      <c r="K514" s="68"/>
      <c r="L514" s="67"/>
      <c r="M514" s="67"/>
      <c r="N514" s="67">
        <f t="shared" si="200"/>
        <v>2445344.2699999996</v>
      </c>
      <c r="O514" s="67">
        <v>0</v>
      </c>
      <c r="P514" s="68"/>
      <c r="Q514" s="68"/>
      <c r="R514" s="68"/>
      <c r="S514" s="68"/>
      <c r="T514" s="68"/>
      <c r="U514" s="68"/>
      <c r="V514" s="67"/>
      <c r="W514" s="67"/>
      <c r="X514" s="67">
        <f>R514+V514</f>
        <v>0</v>
      </c>
      <c r="Y514" s="67">
        <f t="shared" si="201"/>
        <v>2445344.2699999996</v>
      </c>
      <c r="Z514" s="67">
        <f t="shared" si="202"/>
        <v>0</v>
      </c>
      <c r="AA514" s="67">
        <f t="shared" si="203"/>
        <v>2445344.2699999996</v>
      </c>
      <c r="AB514" s="67">
        <f t="shared" si="204"/>
        <v>0</v>
      </c>
    </row>
    <row r="515" spans="1:65" ht="15.75" customHeight="1" x14ac:dyDescent="0.25">
      <c r="A515" s="46"/>
      <c r="B515" s="26"/>
      <c r="C515" s="3" t="s">
        <v>44</v>
      </c>
      <c r="D515" s="67">
        <v>8746000</v>
      </c>
      <c r="E515" s="67">
        <v>8746000</v>
      </c>
      <c r="F515" s="68"/>
      <c r="G515" s="68"/>
      <c r="H515" s="67">
        <f>E515+F515</f>
        <v>8746000</v>
      </c>
      <c r="I515" s="68"/>
      <c r="J515" s="68"/>
      <c r="K515" s="68"/>
      <c r="L515" s="67"/>
      <c r="M515" s="67"/>
      <c r="N515" s="67">
        <f t="shared" si="200"/>
        <v>8746000</v>
      </c>
      <c r="O515" s="67">
        <v>0</v>
      </c>
      <c r="P515" s="68"/>
      <c r="Q515" s="68"/>
      <c r="R515" s="68"/>
      <c r="S515" s="68"/>
      <c r="T515" s="68"/>
      <c r="U515" s="68"/>
      <c r="V515" s="67"/>
      <c r="W515" s="67"/>
      <c r="X515" s="67">
        <f>R515+V515</f>
        <v>0</v>
      </c>
      <c r="Y515" s="67">
        <f t="shared" si="201"/>
        <v>8746000</v>
      </c>
      <c r="Z515" s="67">
        <f t="shared" si="202"/>
        <v>0</v>
      </c>
      <c r="AA515" s="67">
        <f t="shared" si="203"/>
        <v>8746000</v>
      </c>
      <c r="AB515" s="67">
        <f t="shared" si="204"/>
        <v>0</v>
      </c>
      <c r="BL515" s="4"/>
    </row>
    <row r="516" spans="1:65" ht="15.75" customHeight="1" x14ac:dyDescent="0.25">
      <c r="A516" s="46"/>
      <c r="B516" s="26"/>
      <c r="C516" s="3" t="s">
        <v>48</v>
      </c>
      <c r="D516" s="67">
        <v>961600.35</v>
      </c>
      <c r="E516" s="67">
        <v>961600.35</v>
      </c>
      <c r="F516" s="68"/>
      <c r="G516" s="68"/>
      <c r="H516" s="67">
        <f>E516+F516</f>
        <v>961600.35</v>
      </c>
      <c r="I516" s="68"/>
      <c r="J516" s="68"/>
      <c r="K516" s="68"/>
      <c r="L516" s="67"/>
      <c r="M516" s="67"/>
      <c r="N516" s="67">
        <f t="shared" si="200"/>
        <v>961600.35</v>
      </c>
      <c r="O516" s="67">
        <v>0</v>
      </c>
      <c r="P516" s="68"/>
      <c r="Q516" s="68"/>
      <c r="R516" s="68"/>
      <c r="S516" s="68"/>
      <c r="T516" s="68"/>
      <c r="U516" s="68"/>
      <c r="V516" s="67"/>
      <c r="W516" s="67"/>
      <c r="X516" s="67">
        <f>R516+V516</f>
        <v>0</v>
      </c>
      <c r="Y516" s="67">
        <f t="shared" si="201"/>
        <v>961600.35</v>
      </c>
      <c r="Z516" s="67">
        <f t="shared" si="202"/>
        <v>0</v>
      </c>
      <c r="AA516" s="67">
        <f t="shared" si="203"/>
        <v>961600.35</v>
      </c>
      <c r="AB516" s="67">
        <f t="shared" si="204"/>
        <v>0</v>
      </c>
      <c r="BG516" s="4"/>
      <c r="BH516" s="4"/>
      <c r="BI516" s="4"/>
      <c r="BJ516" s="4"/>
      <c r="BK516" s="4"/>
    </row>
    <row r="517" spans="1:65" x14ac:dyDescent="0.25">
      <c r="C517" s="3" t="s">
        <v>290</v>
      </c>
      <c r="D517" s="55">
        <f>3000000+3000000+4500000+4500000+4500000+3000000+2000000+2000000+3000000</f>
        <v>29500000</v>
      </c>
      <c r="E517" s="55">
        <f>3000000+3000000+4500000+4500000+4500000+3000000+2000000+2000000</f>
        <v>26500000</v>
      </c>
      <c r="F517" s="55">
        <v>3000000</v>
      </c>
      <c r="G517" s="55"/>
      <c r="H517" s="55">
        <f>+E517+F517</f>
        <v>29500000</v>
      </c>
      <c r="I517" s="55"/>
      <c r="J517" s="55"/>
      <c r="K517" s="55"/>
      <c r="L517" s="55"/>
      <c r="M517" s="55"/>
      <c r="N517" s="55">
        <f t="shared" si="200"/>
        <v>29500000</v>
      </c>
      <c r="O517" s="55">
        <v>0</v>
      </c>
      <c r="P517" s="55"/>
      <c r="Q517" s="55"/>
      <c r="R517" s="55">
        <f>+O517+P517</f>
        <v>0</v>
      </c>
      <c r="S517" s="55"/>
      <c r="T517" s="55"/>
      <c r="U517" s="55"/>
      <c r="V517" s="55"/>
      <c r="W517" s="55"/>
      <c r="X517" s="55">
        <f>+R517+V517</f>
        <v>0</v>
      </c>
      <c r="Y517" s="55">
        <f t="shared" si="201"/>
        <v>29500000</v>
      </c>
      <c r="Z517" s="55">
        <f t="shared" si="202"/>
        <v>0</v>
      </c>
      <c r="AA517" s="55">
        <f t="shared" si="203"/>
        <v>29500000</v>
      </c>
      <c r="AB517" s="55">
        <f t="shared" si="204"/>
        <v>0</v>
      </c>
      <c r="BF517" s="4"/>
    </row>
    <row r="518" spans="1:65" x14ac:dyDescent="0.25">
      <c r="A518" s="46"/>
      <c r="B518" s="26"/>
      <c r="C518" s="2" t="s">
        <v>37</v>
      </c>
      <c r="D518" s="67">
        <f>14008281.57-2574644.34</f>
        <v>11433637.23</v>
      </c>
      <c r="E518" s="67">
        <v>0</v>
      </c>
      <c r="F518" s="68"/>
      <c r="G518" s="68"/>
      <c r="H518" s="67">
        <f>E518+F518</f>
        <v>0</v>
      </c>
      <c r="I518" s="68"/>
      <c r="J518" s="68"/>
      <c r="K518" s="68"/>
      <c r="L518" s="67"/>
      <c r="M518" s="67"/>
      <c r="N518" s="67">
        <f t="shared" si="200"/>
        <v>0</v>
      </c>
      <c r="O518" s="67">
        <v>0</v>
      </c>
      <c r="P518" s="68"/>
      <c r="Q518" s="68"/>
      <c r="R518" s="67">
        <f>O518+P518</f>
        <v>0</v>
      </c>
      <c r="S518" s="68"/>
      <c r="T518" s="68"/>
      <c r="U518" s="68"/>
      <c r="V518" s="67"/>
      <c r="W518" s="67"/>
      <c r="X518" s="67">
        <f>R518+V518</f>
        <v>0</v>
      </c>
      <c r="Y518" s="67">
        <f t="shared" si="201"/>
        <v>0</v>
      </c>
      <c r="Z518" s="67">
        <f t="shared" si="202"/>
        <v>11433637.23</v>
      </c>
      <c r="AA518" s="67">
        <f t="shared" si="203"/>
        <v>0</v>
      </c>
      <c r="AB518" s="67">
        <f t="shared" si="204"/>
        <v>11433637.23</v>
      </c>
      <c r="BC518" s="4"/>
      <c r="BD518" s="4"/>
      <c r="BE518" s="4"/>
    </row>
    <row r="519" spans="1:65" x14ac:dyDescent="0.25">
      <c r="A519" s="46"/>
      <c r="B519" s="26"/>
      <c r="C519" s="8" t="s">
        <v>39</v>
      </c>
      <c r="D519" s="67">
        <v>2487842.12</v>
      </c>
      <c r="E519" s="67">
        <v>0</v>
      </c>
      <c r="F519" s="68"/>
      <c r="G519" s="68"/>
      <c r="H519" s="67">
        <f>E519+F519</f>
        <v>0</v>
      </c>
      <c r="I519" s="68"/>
      <c r="J519" s="68"/>
      <c r="K519" s="68"/>
      <c r="L519" s="67"/>
      <c r="M519" s="67"/>
      <c r="N519" s="67">
        <f t="shared" si="200"/>
        <v>0</v>
      </c>
      <c r="O519" s="67">
        <v>0</v>
      </c>
      <c r="P519" s="68"/>
      <c r="Q519" s="68"/>
      <c r="R519" s="67">
        <f>O519+P519</f>
        <v>0</v>
      </c>
      <c r="S519" s="68"/>
      <c r="T519" s="68"/>
      <c r="U519" s="68"/>
      <c r="V519" s="67"/>
      <c r="W519" s="67"/>
      <c r="X519" s="67">
        <f>R519+V519</f>
        <v>0</v>
      </c>
      <c r="Y519" s="67">
        <f t="shared" si="201"/>
        <v>0</v>
      </c>
      <c r="Z519" s="67">
        <f t="shared" si="202"/>
        <v>2487842.12</v>
      </c>
      <c r="AA519" s="67">
        <f t="shared" si="203"/>
        <v>0</v>
      </c>
      <c r="AB519" s="67">
        <f t="shared" si="204"/>
        <v>2487842.12</v>
      </c>
    </row>
    <row r="520" spans="1:65" x14ac:dyDescent="0.25">
      <c r="A520" s="46"/>
      <c r="B520" s="26"/>
      <c r="C520" s="4"/>
      <c r="D520" s="70" t="s">
        <v>40</v>
      </c>
      <c r="E520" s="70" t="s">
        <v>40</v>
      </c>
      <c r="F520" s="70" t="s">
        <v>40</v>
      </c>
      <c r="G520" s="70"/>
      <c r="H520" s="70" t="s">
        <v>40</v>
      </c>
      <c r="I520" s="70" t="s">
        <v>40</v>
      </c>
      <c r="J520" s="70" t="s">
        <v>40</v>
      </c>
      <c r="K520" s="70" t="s">
        <v>40</v>
      </c>
      <c r="L520" s="70" t="s">
        <v>40</v>
      </c>
      <c r="M520" s="70"/>
      <c r="N520" s="70" t="s">
        <v>40</v>
      </c>
      <c r="O520" s="70" t="s">
        <v>40</v>
      </c>
      <c r="P520" s="70" t="s">
        <v>40</v>
      </c>
      <c r="Q520" s="70"/>
      <c r="R520" s="70" t="s">
        <v>40</v>
      </c>
      <c r="S520" s="70" t="s">
        <v>40</v>
      </c>
      <c r="T520" s="70" t="s">
        <v>40</v>
      </c>
      <c r="U520" s="70" t="s">
        <v>40</v>
      </c>
      <c r="V520" s="70" t="s">
        <v>40</v>
      </c>
      <c r="W520" s="70"/>
      <c r="X520" s="70" t="s">
        <v>40</v>
      </c>
      <c r="Y520" s="70" t="s">
        <v>40</v>
      </c>
      <c r="Z520" s="70" t="s">
        <v>40</v>
      </c>
      <c r="AA520" s="70" t="s">
        <v>40</v>
      </c>
      <c r="AB520" s="70" t="s">
        <v>40</v>
      </c>
      <c r="BB520" s="4"/>
    </row>
    <row r="521" spans="1:65" x14ac:dyDescent="0.25">
      <c r="A521" s="46"/>
      <c r="B521" s="26"/>
      <c r="C521" s="4"/>
      <c r="D521" s="67">
        <f>SUM(D513:D519)</f>
        <v>98818827.530000016</v>
      </c>
      <c r="E521" s="67">
        <f>SUM(E513:E519)</f>
        <v>44956004.760000005</v>
      </c>
      <c r="F521" s="67">
        <f>SUM(F513:F519)</f>
        <v>3000000</v>
      </c>
      <c r="G521" s="67"/>
      <c r="H521" s="67">
        <f>SUM(H513:H519)</f>
        <v>47956004.760000005</v>
      </c>
      <c r="I521" s="67">
        <f>SUM(I513:I519)</f>
        <v>0</v>
      </c>
      <c r="J521" s="67">
        <f>SUM(J513:J519)</f>
        <v>0</v>
      </c>
      <c r="K521" s="67">
        <f>SUM(K513:K519)</f>
        <v>0</v>
      </c>
      <c r="L521" s="67">
        <f>SUM(L513:L519)</f>
        <v>0</v>
      </c>
      <c r="M521" s="67"/>
      <c r="N521" s="67">
        <f>SUM(N513:N519)</f>
        <v>47956004.760000005</v>
      </c>
      <c r="O521" s="67">
        <f>SUM(O513:O519)</f>
        <v>2104537.4900000002</v>
      </c>
      <c r="P521" s="67">
        <f>SUM(P513:P519)</f>
        <v>0</v>
      </c>
      <c r="Q521" s="67"/>
      <c r="R521" s="67">
        <f>SUM(R513:R519)</f>
        <v>2104537.4900000002</v>
      </c>
      <c r="S521" s="67">
        <f>SUM(S513:S519)</f>
        <v>0</v>
      </c>
      <c r="T521" s="67">
        <f>SUM(T513:T519)</f>
        <v>0</v>
      </c>
      <c r="U521" s="67">
        <f>SUM(U513:U519)</f>
        <v>0</v>
      </c>
      <c r="V521" s="67">
        <f>SUM(V513:V519)</f>
        <v>0</v>
      </c>
      <c r="W521" s="67"/>
      <c r="X521" s="67">
        <f>SUM(X513:X519)</f>
        <v>2104537.4900000002</v>
      </c>
      <c r="Y521" s="67">
        <f>SUM(Y513:Y519)</f>
        <v>50060542.25</v>
      </c>
      <c r="Z521" s="67">
        <f>SUM(Z513:Z519)</f>
        <v>48758285.279999994</v>
      </c>
      <c r="AA521" s="67">
        <f>SUM(AA513:AA519)</f>
        <v>50060542.25</v>
      </c>
      <c r="AB521" s="67">
        <f>SUM(AB513:AB519)</f>
        <v>48758285.279999994</v>
      </c>
    </row>
    <row r="522" spans="1:65" x14ac:dyDescent="0.25">
      <c r="A522" s="46"/>
      <c r="B522" s="26"/>
      <c r="C522" s="4"/>
      <c r="D522" s="70" t="s">
        <v>40</v>
      </c>
      <c r="E522" s="70" t="s">
        <v>40</v>
      </c>
      <c r="F522" s="70" t="s">
        <v>40</v>
      </c>
      <c r="G522" s="70"/>
      <c r="H522" s="70" t="s">
        <v>40</v>
      </c>
      <c r="I522" s="70" t="s">
        <v>40</v>
      </c>
      <c r="J522" s="70" t="s">
        <v>40</v>
      </c>
      <c r="K522" s="70" t="s">
        <v>40</v>
      </c>
      <c r="L522" s="70" t="s">
        <v>40</v>
      </c>
      <c r="M522" s="70"/>
      <c r="N522" s="70" t="s">
        <v>40</v>
      </c>
      <c r="O522" s="70" t="s">
        <v>40</v>
      </c>
      <c r="P522" s="70" t="s">
        <v>40</v>
      </c>
      <c r="Q522" s="70"/>
      <c r="R522" s="70" t="s">
        <v>40</v>
      </c>
      <c r="S522" s="70" t="s">
        <v>40</v>
      </c>
      <c r="T522" s="70" t="s">
        <v>40</v>
      </c>
      <c r="U522" s="70" t="s">
        <v>40</v>
      </c>
      <c r="V522" s="70" t="s">
        <v>40</v>
      </c>
      <c r="W522" s="70"/>
      <c r="X522" s="70" t="s">
        <v>40</v>
      </c>
      <c r="Y522" s="70" t="s">
        <v>40</v>
      </c>
      <c r="Z522" s="70" t="s">
        <v>40</v>
      </c>
      <c r="AA522" s="70" t="s">
        <v>40</v>
      </c>
      <c r="AB522" s="70" t="s">
        <v>40</v>
      </c>
      <c r="BA522" s="4"/>
    </row>
    <row r="523" spans="1:65" x14ac:dyDescent="0.25">
      <c r="A523" s="46"/>
      <c r="B523" s="26"/>
      <c r="C523" s="4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</row>
    <row r="524" spans="1:65" x14ac:dyDescent="0.25">
      <c r="A524" s="46">
        <v>52</v>
      </c>
      <c r="B524" s="23" t="s">
        <v>86</v>
      </c>
      <c r="C524" s="2" t="s">
        <v>35</v>
      </c>
      <c r="D524" s="67">
        <v>19608433.100000001</v>
      </c>
      <c r="E524" s="67">
        <v>0</v>
      </c>
      <c r="F524" s="67"/>
      <c r="G524" s="67"/>
      <c r="H524" s="67">
        <f>E524+F524</f>
        <v>0</v>
      </c>
      <c r="I524" s="67"/>
      <c r="J524" s="67"/>
      <c r="K524" s="68"/>
      <c r="L524" s="67"/>
      <c r="M524" s="67"/>
      <c r="N524" s="67">
        <f>H524+L524</f>
        <v>0</v>
      </c>
      <c r="O524" s="67">
        <f>3588543.8+4026757.15+445292.68+1811.34+2809752.8+338393.85+3893581.75+184389.2</f>
        <v>15288522.569999998</v>
      </c>
      <c r="P524" s="67"/>
      <c r="Q524" s="67"/>
      <c r="R524" s="67">
        <f>O524+P524</f>
        <v>15288522.569999998</v>
      </c>
      <c r="S524" s="67">
        <f>6830580.11+445292.68-4026757.15-445292.68+5233164.59</f>
        <v>8036987.5499999998</v>
      </c>
      <c r="T524" s="68">
        <v>2809752.8</v>
      </c>
      <c r="U524" s="67"/>
      <c r="V524" s="67"/>
      <c r="W524" s="67"/>
      <c r="X524" s="67">
        <f>R524+V524</f>
        <v>15288522.569999998</v>
      </c>
      <c r="Y524" s="67">
        <f>R524+H524</f>
        <v>15288522.569999998</v>
      </c>
      <c r="Z524" s="67">
        <f>D524-Y524</f>
        <v>4319910.5300000031</v>
      </c>
      <c r="AA524" s="67">
        <f>N524+X524</f>
        <v>15288522.569999998</v>
      </c>
      <c r="AB524" s="67">
        <f>+D524-N524-X524</f>
        <v>4319910.5300000031</v>
      </c>
    </row>
    <row r="525" spans="1:65" x14ac:dyDescent="0.25">
      <c r="A525" s="46"/>
      <c r="B525" s="26"/>
      <c r="C525" s="3" t="s">
        <v>36</v>
      </c>
      <c r="D525" s="67">
        <f>1910344.63+3000000</f>
        <v>4910344.63</v>
      </c>
      <c r="E525" s="67">
        <f>1910344.63+3000000</f>
        <v>4910344.63</v>
      </c>
      <c r="F525" s="68"/>
      <c r="G525" s="68"/>
      <c r="H525" s="67">
        <f>E525+F525</f>
        <v>4910344.63</v>
      </c>
      <c r="I525" s="67"/>
      <c r="J525" s="67"/>
      <c r="K525" s="68"/>
      <c r="L525" s="67">
        <f>I525-J525+K525</f>
        <v>0</v>
      </c>
      <c r="M525" s="67"/>
      <c r="N525" s="67">
        <f>H525+L525</f>
        <v>4910344.63</v>
      </c>
      <c r="O525" s="67">
        <v>0</v>
      </c>
      <c r="P525" s="68"/>
      <c r="Q525" s="68"/>
      <c r="R525" s="67">
        <f>O525+P525</f>
        <v>0</v>
      </c>
      <c r="S525" s="68"/>
      <c r="T525" s="68"/>
      <c r="U525" s="68"/>
      <c r="V525" s="67"/>
      <c r="W525" s="67"/>
      <c r="X525" s="67">
        <f>R525+V525</f>
        <v>0</v>
      </c>
      <c r="Y525" s="67">
        <f>R525+H525</f>
        <v>4910344.63</v>
      </c>
      <c r="Z525" s="67">
        <f>D525-Y525</f>
        <v>0</v>
      </c>
      <c r="AA525" s="67">
        <f>N525+X525</f>
        <v>4910344.63</v>
      </c>
      <c r="AB525" s="67">
        <f>+D525-N525-X525</f>
        <v>0</v>
      </c>
    </row>
    <row r="526" spans="1:65" ht="15.75" customHeight="1" x14ac:dyDescent="0.25">
      <c r="A526" s="4"/>
      <c r="B526" s="4"/>
      <c r="C526" s="4" t="s">
        <v>298</v>
      </c>
      <c r="D526" s="55">
        <v>4800000</v>
      </c>
      <c r="E526" s="55">
        <v>4800000</v>
      </c>
      <c r="F526" s="55"/>
      <c r="G526" s="55"/>
      <c r="H526" s="55">
        <f>+E526+F526</f>
        <v>4800000</v>
      </c>
      <c r="I526" s="55"/>
      <c r="J526" s="55"/>
      <c r="K526" s="55"/>
      <c r="L526" s="55">
        <v>0</v>
      </c>
      <c r="M526" s="55"/>
      <c r="N526" s="55">
        <f>+H526+L526</f>
        <v>4800000</v>
      </c>
      <c r="O526" s="55">
        <v>0</v>
      </c>
      <c r="P526" s="55"/>
      <c r="Q526" s="55"/>
      <c r="R526" s="55">
        <f>+O526+P526</f>
        <v>0</v>
      </c>
      <c r="S526" s="55"/>
      <c r="T526" s="55"/>
      <c r="U526" s="55"/>
      <c r="V526" s="55"/>
      <c r="W526" s="55"/>
      <c r="X526" s="55">
        <f>+R526+V526</f>
        <v>0</v>
      </c>
      <c r="Y526" s="67">
        <f>R526+H526</f>
        <v>4800000</v>
      </c>
      <c r="Z526" s="67">
        <f>D526-Y526</f>
        <v>0</v>
      </c>
      <c r="AA526" s="67">
        <f>N526+X526</f>
        <v>4800000</v>
      </c>
      <c r="AB526" s="67">
        <f>+D526-N526-X526</f>
        <v>0</v>
      </c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</row>
    <row r="527" spans="1:65" ht="15.75" customHeight="1" x14ac:dyDescent="0.25">
      <c r="A527" s="46"/>
      <c r="B527" s="26"/>
      <c r="C527" s="2" t="s">
        <v>37</v>
      </c>
      <c r="D527" s="67">
        <v>45908426.439999998</v>
      </c>
      <c r="E527" s="67">
        <v>0</v>
      </c>
      <c r="F527" s="68"/>
      <c r="G527" s="68"/>
      <c r="H527" s="67">
        <f>E527+F527</f>
        <v>0</v>
      </c>
      <c r="I527" s="68"/>
      <c r="J527" s="68"/>
      <c r="K527" s="68"/>
      <c r="L527" s="67">
        <f>I527-J527+K527</f>
        <v>0</v>
      </c>
      <c r="M527" s="67"/>
      <c r="N527" s="67">
        <f>H527+L527</f>
        <v>0</v>
      </c>
      <c r="O527" s="67">
        <f>708641.91+13903.89</f>
        <v>722545.8</v>
      </c>
      <c r="P527" s="67"/>
      <c r="Q527" s="67"/>
      <c r="R527" s="67">
        <f>O527+P527</f>
        <v>722545.8</v>
      </c>
      <c r="S527" s="67"/>
      <c r="T527" s="68"/>
      <c r="U527" s="68"/>
      <c r="V527" s="67"/>
      <c r="W527" s="67"/>
      <c r="X527" s="67">
        <f>R527+V527</f>
        <v>722545.8</v>
      </c>
      <c r="Y527" s="67">
        <f>R527+H527</f>
        <v>722545.8</v>
      </c>
      <c r="Z527" s="67">
        <f>D527-Y527</f>
        <v>45185880.640000001</v>
      </c>
      <c r="AA527" s="67">
        <f>N527+X527</f>
        <v>722545.8</v>
      </c>
      <c r="AB527" s="67">
        <f>+D527-N527-X527</f>
        <v>45185880.640000001</v>
      </c>
    </row>
    <row r="528" spans="1:65" ht="15.75" customHeight="1" x14ac:dyDescent="0.25">
      <c r="A528" s="46"/>
      <c r="B528" s="26"/>
      <c r="C528" s="8" t="s">
        <v>39</v>
      </c>
      <c r="D528" s="67">
        <v>4086852.24</v>
      </c>
      <c r="E528" s="67">
        <v>0</v>
      </c>
      <c r="F528" s="68"/>
      <c r="G528" s="68"/>
      <c r="H528" s="67">
        <f>E528+F528</f>
        <v>0</v>
      </c>
      <c r="I528" s="68"/>
      <c r="J528" s="68"/>
      <c r="K528" s="68"/>
      <c r="L528" s="67">
        <f>I528-J528+K528</f>
        <v>0</v>
      </c>
      <c r="M528" s="67"/>
      <c r="N528" s="67">
        <f>H528+L528</f>
        <v>0</v>
      </c>
      <c r="O528" s="67">
        <v>0</v>
      </c>
      <c r="P528" s="68"/>
      <c r="Q528" s="68"/>
      <c r="R528" s="67">
        <f>O528+P528</f>
        <v>0</v>
      </c>
      <c r="S528" s="68"/>
      <c r="T528" s="68"/>
      <c r="U528" s="68"/>
      <c r="V528" s="67"/>
      <c r="W528" s="67"/>
      <c r="X528" s="67">
        <f>R528+V528</f>
        <v>0</v>
      </c>
      <c r="Y528" s="67">
        <f>R528+H528</f>
        <v>0</v>
      </c>
      <c r="Z528" s="67">
        <f>D528-Y528</f>
        <v>4086852.24</v>
      </c>
      <c r="AA528" s="67">
        <f>N528+X528</f>
        <v>0</v>
      </c>
      <c r="AB528" s="67">
        <f>+D528-N528-X528</f>
        <v>4086852.24</v>
      </c>
    </row>
    <row r="529" spans="1:106" ht="15.75" customHeight="1" x14ac:dyDescent="0.25">
      <c r="A529" s="46"/>
      <c r="B529" s="26"/>
      <c r="C529" s="4"/>
      <c r="D529" s="70" t="s">
        <v>40</v>
      </c>
      <c r="E529" s="70" t="s">
        <v>40</v>
      </c>
      <c r="F529" s="70" t="s">
        <v>40</v>
      </c>
      <c r="G529" s="70"/>
      <c r="H529" s="70" t="s">
        <v>40</v>
      </c>
      <c r="I529" s="70" t="s">
        <v>40</v>
      </c>
      <c r="J529" s="70" t="s">
        <v>40</v>
      </c>
      <c r="K529" s="70" t="s">
        <v>40</v>
      </c>
      <c r="L529" s="70" t="s">
        <v>40</v>
      </c>
      <c r="M529" s="70"/>
      <c r="N529" s="70" t="s">
        <v>40</v>
      </c>
      <c r="O529" s="70" t="s">
        <v>40</v>
      </c>
      <c r="P529" s="70" t="s">
        <v>40</v>
      </c>
      <c r="Q529" s="70"/>
      <c r="R529" s="70" t="s">
        <v>40</v>
      </c>
      <c r="S529" s="70" t="s">
        <v>40</v>
      </c>
      <c r="T529" s="70" t="s">
        <v>40</v>
      </c>
      <c r="U529" s="70" t="s">
        <v>40</v>
      </c>
      <c r="V529" s="70" t="s">
        <v>40</v>
      </c>
      <c r="W529" s="70"/>
      <c r="X529" s="70" t="s">
        <v>40</v>
      </c>
      <c r="Y529" s="70" t="s">
        <v>40</v>
      </c>
      <c r="Z529" s="70" t="s">
        <v>40</v>
      </c>
      <c r="AA529" s="70" t="s">
        <v>40</v>
      </c>
      <c r="AB529" s="70" t="s">
        <v>40</v>
      </c>
      <c r="AZ529" s="4"/>
    </row>
    <row r="530" spans="1:106" ht="15.75" customHeight="1" x14ac:dyDescent="0.25">
      <c r="A530" s="46"/>
      <c r="B530" s="26"/>
      <c r="C530" s="4"/>
      <c r="D530" s="67">
        <f>SUM(D524:D528)</f>
        <v>79314056.409999996</v>
      </c>
      <c r="E530" s="67">
        <f>SUM(E524:E528)</f>
        <v>9710344.629999999</v>
      </c>
      <c r="F530" s="67">
        <f>SUM(F524:F528)</f>
        <v>0</v>
      </c>
      <c r="G530" s="67"/>
      <c r="H530" s="67">
        <f>SUM(H524:H528)</f>
        <v>9710344.629999999</v>
      </c>
      <c r="I530" s="67">
        <f>SUM(I524:I528)</f>
        <v>0</v>
      </c>
      <c r="J530" s="67">
        <f>SUM(J524:J528)</f>
        <v>0</v>
      </c>
      <c r="K530" s="67">
        <f>SUM(K524:K528)</f>
        <v>0</v>
      </c>
      <c r="L530" s="67">
        <f>SUM(L524:L528)</f>
        <v>0</v>
      </c>
      <c r="M530" s="67"/>
      <c r="N530" s="67">
        <f>SUM(N524:N528)</f>
        <v>9710344.629999999</v>
      </c>
      <c r="O530" s="67">
        <f>SUM(O524:O528)</f>
        <v>16011068.369999999</v>
      </c>
      <c r="P530" s="67">
        <f>SUM(P524:P528)</f>
        <v>0</v>
      </c>
      <c r="Q530" s="67"/>
      <c r="R530" s="67">
        <f>SUM(R524:R528)</f>
        <v>16011068.369999999</v>
      </c>
      <c r="S530" s="67">
        <f>SUM(S524:S528)</f>
        <v>8036987.5499999998</v>
      </c>
      <c r="T530" s="67">
        <f>SUM(T524:T528)</f>
        <v>2809752.8</v>
      </c>
      <c r="U530" s="67">
        <f>SUM(U524:U528)</f>
        <v>0</v>
      </c>
      <c r="V530" s="67">
        <f>SUM(V524:V528)</f>
        <v>0</v>
      </c>
      <c r="W530" s="67"/>
      <c r="X530" s="67">
        <f>SUM(X524:X528)</f>
        <v>16011068.369999999</v>
      </c>
      <c r="Y530" s="67">
        <f>SUM(Y524:Y528)</f>
        <v>25721413</v>
      </c>
      <c r="Z530" s="67">
        <f>SUM(Z524:Z528)</f>
        <v>53592643.410000004</v>
      </c>
      <c r="AA530" s="67">
        <f>SUM(AA524:AA528)</f>
        <v>25721413</v>
      </c>
      <c r="AB530" s="67">
        <f>SUM(AB524:AB528)</f>
        <v>53592643.410000004</v>
      </c>
      <c r="AY530" s="4"/>
    </row>
    <row r="531" spans="1:106" x14ac:dyDescent="0.25">
      <c r="A531" s="46"/>
      <c r="B531" s="30"/>
      <c r="C531" s="4"/>
      <c r="D531" s="70" t="s">
        <v>40</v>
      </c>
      <c r="E531" s="70" t="s">
        <v>40</v>
      </c>
      <c r="F531" s="70" t="s">
        <v>40</v>
      </c>
      <c r="G531" s="70"/>
      <c r="H531" s="70" t="s">
        <v>40</v>
      </c>
      <c r="I531" s="70" t="s">
        <v>40</v>
      </c>
      <c r="J531" s="70" t="s">
        <v>40</v>
      </c>
      <c r="K531" s="70" t="s">
        <v>40</v>
      </c>
      <c r="L531" s="70" t="s">
        <v>40</v>
      </c>
      <c r="M531" s="70"/>
      <c r="N531" s="70" t="s">
        <v>40</v>
      </c>
      <c r="O531" s="70" t="s">
        <v>40</v>
      </c>
      <c r="P531" s="70" t="s">
        <v>40</v>
      </c>
      <c r="Q531" s="70"/>
      <c r="R531" s="70" t="s">
        <v>40</v>
      </c>
      <c r="S531" s="70" t="s">
        <v>40</v>
      </c>
      <c r="T531" s="70" t="s">
        <v>40</v>
      </c>
      <c r="U531" s="70" t="s">
        <v>40</v>
      </c>
      <c r="V531" s="70" t="s">
        <v>40</v>
      </c>
      <c r="W531" s="70"/>
      <c r="X531" s="70" t="s">
        <v>40</v>
      </c>
      <c r="Y531" s="70" t="s">
        <v>40</v>
      </c>
      <c r="Z531" s="70" t="s">
        <v>40</v>
      </c>
      <c r="AA531" s="70" t="s">
        <v>40</v>
      </c>
      <c r="AB531" s="70" t="s">
        <v>40</v>
      </c>
      <c r="AW531" s="4"/>
      <c r="AX531" s="4"/>
    </row>
    <row r="532" spans="1:106" x14ac:dyDescent="0.25">
      <c r="A532" s="46"/>
      <c r="B532" s="30"/>
      <c r="C532" s="4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</row>
    <row r="533" spans="1:106" x14ac:dyDescent="0.25">
      <c r="A533" s="46">
        <v>53</v>
      </c>
      <c r="B533" s="23" t="s">
        <v>354</v>
      </c>
      <c r="C533" s="2" t="s">
        <v>35</v>
      </c>
      <c r="D533" s="67">
        <v>36967921.149999999</v>
      </c>
      <c r="E533" s="67">
        <f>999663.73+1455112.35-2454776.08</f>
        <v>0</v>
      </c>
      <c r="F533" s="68"/>
      <c r="G533" s="67"/>
      <c r="H533" s="67">
        <f>E533+F533</f>
        <v>0</v>
      </c>
      <c r="I533" s="68"/>
      <c r="J533" s="68"/>
      <c r="K533" s="68"/>
      <c r="L533" s="67"/>
      <c r="M533" s="67"/>
      <c r="N533" s="67">
        <f>H533+L533</f>
        <v>0</v>
      </c>
      <c r="O533" s="67">
        <f>3067210.39-482030.8</f>
        <v>2585179.5900000003</v>
      </c>
      <c r="P533" s="68"/>
      <c r="Q533" s="68"/>
      <c r="R533" s="67">
        <f>O533+P533</f>
        <v>2585179.5900000003</v>
      </c>
      <c r="S533" s="68"/>
      <c r="T533" s="68"/>
      <c r="U533" s="68"/>
      <c r="V533" s="67"/>
      <c r="W533" s="67"/>
      <c r="X533" s="67">
        <f>R533+V533</f>
        <v>2585179.5900000003</v>
      </c>
      <c r="Y533" s="67">
        <f>R533+H533</f>
        <v>2585179.5900000003</v>
      </c>
      <c r="Z533" s="67">
        <f>D533-Y533</f>
        <v>34382741.559999995</v>
      </c>
      <c r="AA533" s="67">
        <f>N533+X533</f>
        <v>2585179.5900000003</v>
      </c>
      <c r="AB533" s="67">
        <f>+D533-N533-X533</f>
        <v>34382741.559999995</v>
      </c>
      <c r="AU533" s="4"/>
      <c r="AV533" s="4"/>
    </row>
    <row r="534" spans="1:106" x14ac:dyDescent="0.25">
      <c r="A534" s="46"/>
      <c r="B534" s="26"/>
      <c r="C534" s="3" t="s">
        <v>36</v>
      </c>
      <c r="D534" s="67">
        <v>2957018.73</v>
      </c>
      <c r="E534" s="67">
        <v>2957018.73</v>
      </c>
      <c r="F534" s="68"/>
      <c r="G534" s="68"/>
      <c r="H534" s="67">
        <f>E534+F534</f>
        <v>2957018.73</v>
      </c>
      <c r="I534" s="68"/>
      <c r="J534" s="68"/>
      <c r="K534" s="68"/>
      <c r="L534" s="67"/>
      <c r="M534" s="67"/>
      <c r="N534" s="67">
        <f>H534+L534</f>
        <v>2957018.73</v>
      </c>
      <c r="O534" s="67">
        <v>0</v>
      </c>
      <c r="P534" s="68"/>
      <c r="Q534" s="68"/>
      <c r="R534" s="67">
        <f>O534+P534</f>
        <v>0</v>
      </c>
      <c r="S534" s="68"/>
      <c r="T534" s="68"/>
      <c r="U534" s="68"/>
      <c r="V534" s="67"/>
      <c r="W534" s="67"/>
      <c r="X534" s="67">
        <f>R534+V534</f>
        <v>0</v>
      </c>
      <c r="Y534" s="67">
        <f>R534+H534</f>
        <v>2957018.73</v>
      </c>
      <c r="Z534" s="67">
        <f>D534-Y534</f>
        <v>0</v>
      </c>
      <c r="AA534" s="67">
        <f>N534+X534</f>
        <v>2957018.73</v>
      </c>
      <c r="AB534" s="67">
        <f>+D534-N534-X534</f>
        <v>0</v>
      </c>
    </row>
    <row r="535" spans="1:106" ht="15.75" customHeight="1" x14ac:dyDescent="0.25">
      <c r="C535" s="4" t="s">
        <v>329</v>
      </c>
      <c r="D535" s="55">
        <v>2454776.08</v>
      </c>
      <c r="E535" s="55">
        <v>2454776.0830000001</v>
      </c>
      <c r="F535" s="55"/>
      <c r="G535" s="55"/>
      <c r="H535" s="55">
        <f>+E535+F535</f>
        <v>2454776.0830000001</v>
      </c>
      <c r="I535" s="55"/>
      <c r="J535" s="55"/>
      <c r="K535" s="55"/>
      <c r="L535" s="55"/>
      <c r="M535" s="55"/>
      <c r="N535" s="55">
        <f>+H535+L535</f>
        <v>2454776.0830000001</v>
      </c>
      <c r="O535" s="55">
        <v>0</v>
      </c>
      <c r="P535" s="55"/>
      <c r="Q535" s="55"/>
      <c r="R535" s="55">
        <f>+O535+P535</f>
        <v>0</v>
      </c>
      <c r="S535" s="55"/>
      <c r="T535" s="55"/>
      <c r="U535" s="55"/>
      <c r="V535" s="55"/>
      <c r="W535" s="55"/>
      <c r="X535" s="55">
        <f>+R535+V535</f>
        <v>0</v>
      </c>
      <c r="Y535" s="67">
        <f>R535+H535</f>
        <v>2454776.0830000001</v>
      </c>
      <c r="Z535" s="67">
        <f>D535-Y535</f>
        <v>-3.0000000260770321E-3</v>
      </c>
      <c r="AA535" s="67">
        <f>N535+X535</f>
        <v>2454776.0830000001</v>
      </c>
      <c r="AB535" s="67">
        <f>+D535-N535-X535</f>
        <v>-3.0000000260770321E-3</v>
      </c>
    </row>
    <row r="536" spans="1:106" x14ac:dyDescent="0.25">
      <c r="A536" s="46"/>
      <c r="B536" s="26"/>
      <c r="C536" s="2" t="s">
        <v>53</v>
      </c>
      <c r="D536" s="67">
        <f>41979376.45+3067210.39</f>
        <v>45046586.840000004</v>
      </c>
      <c r="E536" s="67">
        <v>0</v>
      </c>
      <c r="F536" s="68"/>
      <c r="G536" s="68"/>
      <c r="H536" s="67">
        <f>E536+F536</f>
        <v>0</v>
      </c>
      <c r="I536" s="68"/>
      <c r="J536" s="68"/>
      <c r="K536" s="68"/>
      <c r="L536" s="67"/>
      <c r="M536" s="67"/>
      <c r="N536" s="67">
        <f>H536+L536</f>
        <v>0</v>
      </c>
      <c r="O536" s="67">
        <f>6924692.69+3067210.39-3067210.39+86730</f>
        <v>7011422.6899999995</v>
      </c>
      <c r="P536" s="68"/>
      <c r="Q536" s="68"/>
      <c r="R536" s="67">
        <f>O536+P536</f>
        <v>7011422.6899999995</v>
      </c>
      <c r="S536" s="68"/>
      <c r="T536" s="68"/>
      <c r="U536" s="68"/>
      <c r="V536" s="67"/>
      <c r="W536" s="67"/>
      <c r="X536" s="67">
        <f>R536+V536</f>
        <v>7011422.6899999995</v>
      </c>
      <c r="Y536" s="67">
        <f>R536+H536</f>
        <v>7011422.6899999995</v>
      </c>
      <c r="Z536" s="67">
        <f>D536-Y536</f>
        <v>38035164.150000006</v>
      </c>
      <c r="AA536" s="67">
        <f>N536+X536</f>
        <v>7011422.6899999995</v>
      </c>
      <c r="AB536" s="67">
        <f>+D536-N536-X536</f>
        <v>38035164.150000006</v>
      </c>
      <c r="AT536" s="4"/>
    </row>
    <row r="537" spans="1:106" x14ac:dyDescent="0.25">
      <c r="A537" s="46"/>
      <c r="B537" s="26"/>
      <c r="C537" s="2" t="s">
        <v>54</v>
      </c>
      <c r="D537" s="67">
        <f>13879136.8+2425022.49</f>
        <v>16304159.290000001</v>
      </c>
      <c r="E537" s="67">
        <v>0</v>
      </c>
      <c r="F537" s="68"/>
      <c r="G537" s="68"/>
      <c r="H537" s="67">
        <f>E537+F537</f>
        <v>0</v>
      </c>
      <c r="I537" s="68"/>
      <c r="J537" s="68"/>
      <c r="K537" s="68"/>
      <c r="L537" s="67"/>
      <c r="M537" s="67"/>
      <c r="N537" s="67">
        <f>H537+L537</f>
        <v>0</v>
      </c>
      <c r="O537" s="67">
        <v>16304159.289999999</v>
      </c>
      <c r="P537" s="68"/>
      <c r="Q537" s="68"/>
      <c r="R537" s="67">
        <f>O537+P537</f>
        <v>16304159.289999999</v>
      </c>
      <c r="S537" s="68"/>
      <c r="T537" s="68"/>
      <c r="U537" s="68"/>
      <c r="V537" s="67"/>
      <c r="W537" s="67"/>
      <c r="X537" s="67">
        <f>R537+V537</f>
        <v>16304159.289999999</v>
      </c>
      <c r="Y537" s="67">
        <f>R537+H537</f>
        <v>16304159.289999999</v>
      </c>
      <c r="Z537" s="67">
        <f>D537-Y537</f>
        <v>0</v>
      </c>
      <c r="AA537" s="67">
        <f>N537+X537</f>
        <v>16304159.289999999</v>
      </c>
      <c r="AB537" s="67">
        <f>+D537-N537-X537</f>
        <v>0</v>
      </c>
    </row>
    <row r="538" spans="1:106" x14ac:dyDescent="0.25">
      <c r="A538" s="46"/>
      <c r="B538" s="26"/>
      <c r="C538" s="4"/>
      <c r="D538" s="70" t="s">
        <v>40</v>
      </c>
      <c r="E538" s="70" t="s">
        <v>40</v>
      </c>
      <c r="F538" s="70" t="s">
        <v>40</v>
      </c>
      <c r="G538" s="70"/>
      <c r="H538" s="70" t="s">
        <v>40</v>
      </c>
      <c r="I538" s="70" t="s">
        <v>40</v>
      </c>
      <c r="J538" s="70" t="s">
        <v>40</v>
      </c>
      <c r="K538" s="70" t="s">
        <v>40</v>
      </c>
      <c r="L538" s="70" t="s">
        <v>40</v>
      </c>
      <c r="M538" s="70"/>
      <c r="N538" s="70" t="s">
        <v>40</v>
      </c>
      <c r="O538" s="70" t="s">
        <v>40</v>
      </c>
      <c r="P538" s="70" t="s">
        <v>40</v>
      </c>
      <c r="Q538" s="70"/>
      <c r="R538" s="70" t="s">
        <v>40</v>
      </c>
      <c r="S538" s="70" t="s">
        <v>40</v>
      </c>
      <c r="T538" s="70" t="s">
        <v>40</v>
      </c>
      <c r="U538" s="70" t="s">
        <v>40</v>
      </c>
      <c r="V538" s="70" t="s">
        <v>40</v>
      </c>
      <c r="W538" s="70"/>
      <c r="X538" s="70" t="s">
        <v>40</v>
      </c>
      <c r="Y538" s="70" t="s">
        <v>40</v>
      </c>
      <c r="Z538" s="70" t="s">
        <v>40</v>
      </c>
      <c r="AA538" s="70" t="s">
        <v>40</v>
      </c>
      <c r="AB538" s="70" t="s">
        <v>40</v>
      </c>
    </row>
    <row r="539" spans="1:106" x14ac:dyDescent="0.25">
      <c r="A539" s="46"/>
      <c r="B539" s="26"/>
      <c r="C539" s="4"/>
      <c r="D539" s="67">
        <f>SUM(D533:D537)</f>
        <v>103730462.09</v>
      </c>
      <c r="E539" s="67">
        <f>SUM(E533:E537)</f>
        <v>5411794.8130000001</v>
      </c>
      <c r="F539" s="67">
        <f>SUM(F533:F537)</f>
        <v>0</v>
      </c>
      <c r="G539" s="67"/>
      <c r="H539" s="67">
        <f>SUM(H533:H537)</f>
        <v>5411794.8130000001</v>
      </c>
      <c r="I539" s="67">
        <f>SUM(I533:I537)</f>
        <v>0</v>
      </c>
      <c r="J539" s="67">
        <f>SUM(J533:J537)</f>
        <v>0</v>
      </c>
      <c r="K539" s="67">
        <f>SUM(K533:K537)</f>
        <v>0</v>
      </c>
      <c r="L539" s="67">
        <f>SUM(L533:L537)</f>
        <v>0</v>
      </c>
      <c r="M539" s="67"/>
      <c r="N539" s="67">
        <f>SUM(N533:N537)</f>
        <v>5411794.8130000001</v>
      </c>
      <c r="O539" s="67">
        <f>SUM(O533:O537)</f>
        <v>25900761.57</v>
      </c>
      <c r="P539" s="67">
        <f>SUM(P533:P537)</f>
        <v>0</v>
      </c>
      <c r="Q539" s="67"/>
      <c r="R539" s="67">
        <f>SUM(R533:R537)</f>
        <v>25900761.57</v>
      </c>
      <c r="S539" s="67">
        <f>SUM(S533:S537)</f>
        <v>0</v>
      </c>
      <c r="T539" s="67">
        <f>SUM(T533:T537)</f>
        <v>0</v>
      </c>
      <c r="U539" s="67">
        <f>SUM(U533:U537)</f>
        <v>0</v>
      </c>
      <c r="V539" s="67">
        <f>SUM(V533:V537)</f>
        <v>0</v>
      </c>
      <c r="W539" s="67"/>
      <c r="X539" s="67">
        <f>SUM(X533:X537)</f>
        <v>25900761.57</v>
      </c>
      <c r="Y539" s="67">
        <f>SUM(Y533:Y537)</f>
        <v>31312556.383000001</v>
      </c>
      <c r="Z539" s="67">
        <f>SUM(Z533:Z537)</f>
        <v>72417905.707000002</v>
      </c>
      <c r="AA539" s="67">
        <f>SUM(AA533:AA537)</f>
        <v>31312556.383000001</v>
      </c>
      <c r="AB539" s="67">
        <f>SUM(AB533:AB537)</f>
        <v>72417905.707000002</v>
      </c>
    </row>
    <row r="540" spans="1:106" x14ac:dyDescent="0.25">
      <c r="A540" s="46"/>
      <c r="B540" s="30"/>
      <c r="C540" s="4"/>
      <c r="D540" s="70" t="s">
        <v>40</v>
      </c>
      <c r="E540" s="70" t="s">
        <v>40</v>
      </c>
      <c r="F540" s="70" t="s">
        <v>40</v>
      </c>
      <c r="G540" s="70"/>
      <c r="H540" s="70" t="s">
        <v>40</v>
      </c>
      <c r="I540" s="70" t="s">
        <v>40</v>
      </c>
      <c r="J540" s="70" t="s">
        <v>40</v>
      </c>
      <c r="K540" s="70" t="s">
        <v>40</v>
      </c>
      <c r="L540" s="70" t="s">
        <v>40</v>
      </c>
      <c r="M540" s="70"/>
      <c r="N540" s="70" t="s">
        <v>40</v>
      </c>
      <c r="O540" s="70" t="s">
        <v>40</v>
      </c>
      <c r="P540" s="70" t="s">
        <v>40</v>
      </c>
      <c r="Q540" s="70"/>
      <c r="R540" s="70" t="s">
        <v>40</v>
      </c>
      <c r="S540" s="70" t="s">
        <v>40</v>
      </c>
      <c r="T540" s="70" t="s">
        <v>40</v>
      </c>
      <c r="U540" s="70" t="s">
        <v>40</v>
      </c>
      <c r="V540" s="70" t="s">
        <v>40</v>
      </c>
      <c r="W540" s="70"/>
      <c r="X540" s="70" t="s">
        <v>40</v>
      </c>
      <c r="Y540" s="70" t="s">
        <v>40</v>
      </c>
      <c r="Z540" s="70" t="s">
        <v>40</v>
      </c>
      <c r="AA540" s="70" t="s">
        <v>40</v>
      </c>
      <c r="AB540" s="70" t="s">
        <v>40</v>
      </c>
      <c r="AS540" s="4"/>
    </row>
    <row r="541" spans="1:106" x14ac:dyDescent="0.25">
      <c r="A541" s="46"/>
      <c r="B541" s="30"/>
      <c r="C541" s="4"/>
      <c r="D541" s="70"/>
      <c r="E541" s="70"/>
      <c r="F541" s="104"/>
      <c r="G541" s="119"/>
      <c r="H541" s="105"/>
      <c r="I541" s="105"/>
      <c r="J541" s="105"/>
      <c r="K541" s="117"/>
      <c r="L541" s="105"/>
      <c r="M541" s="119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</row>
    <row r="542" spans="1:106" s="4" customFormat="1" x14ac:dyDescent="0.25">
      <c r="A542" s="46">
        <v>54</v>
      </c>
      <c r="B542" s="23" t="s">
        <v>88</v>
      </c>
      <c r="C542" s="3" t="s">
        <v>35</v>
      </c>
      <c r="D542" s="67">
        <v>0</v>
      </c>
      <c r="E542" s="67">
        <v>0</v>
      </c>
      <c r="F542" s="68"/>
      <c r="G542" s="68"/>
      <c r="H542" s="67">
        <f>E542+F542</f>
        <v>0</v>
      </c>
      <c r="I542" s="68"/>
      <c r="J542" s="68"/>
      <c r="K542" s="68"/>
      <c r="L542" s="67"/>
      <c r="M542" s="67"/>
      <c r="N542" s="67">
        <f>H542+L542</f>
        <v>0</v>
      </c>
      <c r="O542" s="67">
        <v>0</v>
      </c>
      <c r="P542" s="68"/>
      <c r="Q542" s="68"/>
      <c r="R542" s="67">
        <f>O542+P542</f>
        <v>0</v>
      </c>
      <c r="S542" s="68"/>
      <c r="T542" s="68"/>
      <c r="U542" s="68"/>
      <c r="V542" s="67"/>
      <c r="W542" s="67"/>
      <c r="X542" s="67">
        <f>R542+V542</f>
        <v>0</v>
      </c>
      <c r="Y542" s="67">
        <f>R542+H542</f>
        <v>0</v>
      </c>
      <c r="Z542" s="67">
        <f>D542-Y542</f>
        <v>0</v>
      </c>
      <c r="AA542" s="67">
        <f>N542+X542</f>
        <v>0</v>
      </c>
      <c r="AB542" s="67">
        <f>+D542-N542-X542</f>
        <v>0</v>
      </c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</row>
    <row r="543" spans="1:106" x14ac:dyDescent="0.25">
      <c r="A543" s="46"/>
      <c r="B543" s="26"/>
      <c r="C543" s="3" t="s">
        <v>36</v>
      </c>
      <c r="D543" s="67">
        <v>511867</v>
      </c>
      <c r="E543" s="67">
        <v>511867</v>
      </c>
      <c r="F543" s="68"/>
      <c r="G543" s="68"/>
      <c r="H543" s="67">
        <f>E543+F543</f>
        <v>511867</v>
      </c>
      <c r="I543" s="68"/>
      <c r="J543" s="68"/>
      <c r="K543" s="68"/>
      <c r="L543" s="67"/>
      <c r="M543" s="67"/>
      <c r="N543" s="67">
        <f>H543+L543</f>
        <v>511867</v>
      </c>
      <c r="O543" s="67">
        <v>0</v>
      </c>
      <c r="P543" s="68"/>
      <c r="Q543" s="68"/>
      <c r="R543" s="67">
        <f>O543+P543</f>
        <v>0</v>
      </c>
      <c r="S543" s="68"/>
      <c r="T543" s="68"/>
      <c r="U543" s="68"/>
      <c r="V543" s="67"/>
      <c r="W543" s="67"/>
      <c r="X543" s="67">
        <f>R543+V543</f>
        <v>0</v>
      </c>
      <c r="Y543" s="67">
        <f>R543+H543</f>
        <v>511867</v>
      </c>
      <c r="Z543" s="67">
        <f>D543-Y543</f>
        <v>0</v>
      </c>
      <c r="AA543" s="67">
        <f>N543+X543</f>
        <v>511867</v>
      </c>
      <c r="AB543" s="67">
        <f>+D543-N543-X543</f>
        <v>0</v>
      </c>
      <c r="AR543" s="4"/>
    </row>
    <row r="544" spans="1:106" x14ac:dyDescent="0.25">
      <c r="A544" s="46"/>
      <c r="B544" s="26"/>
      <c r="C544" s="2" t="s">
        <v>53</v>
      </c>
      <c r="D544" s="67">
        <f>1440425.67+3748266.92</f>
        <v>5188692.59</v>
      </c>
      <c r="E544" s="67">
        <v>0</v>
      </c>
      <c r="F544" s="68"/>
      <c r="G544" s="68"/>
      <c r="H544" s="67">
        <f>E544+F544</f>
        <v>0</v>
      </c>
      <c r="I544" s="68"/>
      <c r="J544" s="68"/>
      <c r="K544" s="68"/>
      <c r="L544" s="67"/>
      <c r="M544" s="67"/>
      <c r="N544" s="67">
        <f>H544+L544</f>
        <v>0</v>
      </c>
      <c r="O544" s="67">
        <f>1440425.67+3748266.92+33891.92-33891.92</f>
        <v>5188692.59</v>
      </c>
      <c r="P544" s="68"/>
      <c r="Q544" s="68"/>
      <c r="R544" s="67">
        <f>O544+P544</f>
        <v>5188692.59</v>
      </c>
      <c r="S544" s="68"/>
      <c r="T544" s="68"/>
      <c r="U544" s="68"/>
      <c r="V544" s="67"/>
      <c r="W544" s="67"/>
      <c r="X544" s="67">
        <f>R544+V544</f>
        <v>5188692.59</v>
      </c>
      <c r="Y544" s="67">
        <f>R544+H544</f>
        <v>5188692.59</v>
      </c>
      <c r="Z544" s="67">
        <f>D544-Y544</f>
        <v>0</v>
      </c>
      <c r="AA544" s="67">
        <f>N544+X544</f>
        <v>5188692.59</v>
      </c>
      <c r="AB544" s="67">
        <f>+D544-N544-X544</f>
        <v>0</v>
      </c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</row>
    <row r="545" spans="1:106" s="4" customFormat="1" x14ac:dyDescent="0.25">
      <c r="A545" s="46"/>
      <c r="B545" s="26"/>
      <c r="C545" s="2" t="s">
        <v>38</v>
      </c>
      <c r="D545" s="67">
        <v>2456018</v>
      </c>
      <c r="E545" s="67">
        <v>0</v>
      </c>
      <c r="F545" s="68"/>
      <c r="G545" s="68"/>
      <c r="H545" s="67">
        <f>E545+F545</f>
        <v>0</v>
      </c>
      <c r="I545" s="68"/>
      <c r="J545" s="68"/>
      <c r="K545" s="68"/>
      <c r="L545" s="67"/>
      <c r="M545" s="67"/>
      <c r="N545" s="67">
        <f>H545+L545</f>
        <v>0</v>
      </c>
      <c r="O545" s="67">
        <v>0</v>
      </c>
      <c r="P545" s="68"/>
      <c r="Q545" s="68"/>
      <c r="R545" s="67">
        <f>O545+P545</f>
        <v>0</v>
      </c>
      <c r="S545" s="68"/>
      <c r="T545" s="68"/>
      <c r="U545" s="68"/>
      <c r="V545" s="67"/>
      <c r="W545" s="67"/>
      <c r="X545" s="67">
        <f>R545+V545</f>
        <v>0</v>
      </c>
      <c r="Y545" s="67">
        <f>R545+H545</f>
        <v>0</v>
      </c>
      <c r="Z545" s="67">
        <f>D545-Y545</f>
        <v>2456018</v>
      </c>
      <c r="AA545" s="67">
        <f>N545+X545</f>
        <v>0</v>
      </c>
      <c r="AB545" s="67">
        <f>+D545-N545-X545</f>
        <v>2456018</v>
      </c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</row>
    <row r="546" spans="1:106" x14ac:dyDescent="0.25">
      <c r="A546" s="46"/>
      <c r="B546" s="26"/>
      <c r="C546" s="2" t="s">
        <v>54</v>
      </c>
      <c r="D546" s="67">
        <f>4337666.44+6362596.59-170.8</f>
        <v>10700092.23</v>
      </c>
      <c r="E546" s="67">
        <v>0</v>
      </c>
      <c r="F546" s="68"/>
      <c r="G546" s="68"/>
      <c r="H546" s="67">
        <f>E546+F546</f>
        <v>0</v>
      </c>
      <c r="I546" s="68"/>
      <c r="J546" s="68"/>
      <c r="K546" s="68"/>
      <c r="L546" s="67"/>
      <c r="M546" s="67"/>
      <c r="N546" s="67">
        <f>H546+L546</f>
        <v>0</v>
      </c>
      <c r="O546" s="67">
        <f>10700263.03-170.8</f>
        <v>10700092.229999999</v>
      </c>
      <c r="P546" s="68"/>
      <c r="Q546" s="68"/>
      <c r="R546" s="67">
        <f>O546+P546</f>
        <v>10700092.229999999</v>
      </c>
      <c r="S546" s="68"/>
      <c r="T546" s="68"/>
      <c r="U546" s="68"/>
      <c r="V546" s="67"/>
      <c r="W546" s="67"/>
      <c r="X546" s="67">
        <f>R546+V546</f>
        <v>10700092.229999999</v>
      </c>
      <c r="Y546" s="67">
        <f>R546+H546</f>
        <v>10700092.229999999</v>
      </c>
      <c r="Z546" s="67">
        <f>D546-Y546</f>
        <v>0</v>
      </c>
      <c r="AA546" s="67">
        <f>N546+X546</f>
        <v>10700092.229999999</v>
      </c>
      <c r="AB546" s="67">
        <f>+D546-N546-X546</f>
        <v>0</v>
      </c>
      <c r="BN546" s="4"/>
      <c r="BO546" s="4"/>
      <c r="BP546" s="4"/>
      <c r="BQ546" s="4"/>
    </row>
    <row r="547" spans="1:106" x14ac:dyDescent="0.25">
      <c r="A547" s="46"/>
      <c r="B547" s="26"/>
      <c r="C547" s="4"/>
      <c r="D547" s="70" t="s">
        <v>40</v>
      </c>
      <c r="E547" s="70" t="s">
        <v>40</v>
      </c>
      <c r="F547" s="70" t="s">
        <v>40</v>
      </c>
      <c r="G547" s="70"/>
      <c r="H547" s="70" t="s">
        <v>40</v>
      </c>
      <c r="I547" s="70" t="s">
        <v>40</v>
      </c>
      <c r="J547" s="70" t="s">
        <v>40</v>
      </c>
      <c r="K547" s="70" t="s">
        <v>40</v>
      </c>
      <c r="L547" s="70" t="s">
        <v>40</v>
      </c>
      <c r="M547" s="70"/>
      <c r="N547" s="70" t="s">
        <v>40</v>
      </c>
      <c r="O547" s="70" t="s">
        <v>40</v>
      </c>
      <c r="P547" s="70" t="s">
        <v>40</v>
      </c>
      <c r="Q547" s="70"/>
      <c r="R547" s="70" t="s">
        <v>40</v>
      </c>
      <c r="S547" s="70" t="s">
        <v>40</v>
      </c>
      <c r="T547" s="70" t="s">
        <v>40</v>
      </c>
      <c r="U547" s="70" t="s">
        <v>40</v>
      </c>
      <c r="V547" s="70" t="s">
        <v>40</v>
      </c>
      <c r="W547" s="70"/>
      <c r="X547" s="70" t="s">
        <v>40</v>
      </c>
      <c r="Y547" s="70" t="s">
        <v>40</v>
      </c>
      <c r="Z547" s="70" t="s">
        <v>40</v>
      </c>
      <c r="AA547" s="70" t="s">
        <v>40</v>
      </c>
      <c r="AB547" s="70" t="s">
        <v>40</v>
      </c>
      <c r="BM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</row>
    <row r="548" spans="1:106" x14ac:dyDescent="0.25">
      <c r="A548" s="46"/>
      <c r="B548" s="26"/>
      <c r="C548" s="4"/>
      <c r="D548" s="67">
        <f t="shared" ref="D548:AB548" si="205">SUM(D542:D546)</f>
        <v>18856669.82</v>
      </c>
      <c r="E548" s="67">
        <f t="shared" si="205"/>
        <v>511867</v>
      </c>
      <c r="F548" s="67">
        <f t="shared" si="205"/>
        <v>0</v>
      </c>
      <c r="G548" s="67"/>
      <c r="H548" s="67">
        <f t="shared" si="205"/>
        <v>511867</v>
      </c>
      <c r="I548" s="67">
        <f t="shared" si="205"/>
        <v>0</v>
      </c>
      <c r="J548" s="67">
        <f t="shared" si="205"/>
        <v>0</v>
      </c>
      <c r="K548" s="67">
        <f t="shared" si="205"/>
        <v>0</v>
      </c>
      <c r="L548" s="67">
        <f t="shared" si="205"/>
        <v>0</v>
      </c>
      <c r="M548" s="67"/>
      <c r="N548" s="67">
        <f t="shared" si="205"/>
        <v>511867</v>
      </c>
      <c r="O548" s="67">
        <f t="shared" si="205"/>
        <v>15888784.819999998</v>
      </c>
      <c r="P548" s="67">
        <f t="shared" si="205"/>
        <v>0</v>
      </c>
      <c r="Q548" s="67"/>
      <c r="R548" s="67">
        <f t="shared" si="205"/>
        <v>15888784.819999998</v>
      </c>
      <c r="S548" s="67">
        <f t="shared" si="205"/>
        <v>0</v>
      </c>
      <c r="T548" s="67">
        <f t="shared" si="205"/>
        <v>0</v>
      </c>
      <c r="U548" s="67">
        <f t="shared" si="205"/>
        <v>0</v>
      </c>
      <c r="V548" s="67">
        <f t="shared" si="205"/>
        <v>0</v>
      </c>
      <c r="W548" s="67"/>
      <c r="X548" s="67">
        <f t="shared" si="205"/>
        <v>15888784.819999998</v>
      </c>
      <c r="Y548" s="67">
        <f t="shared" si="205"/>
        <v>16400651.819999998</v>
      </c>
      <c r="Z548" s="67">
        <f t="shared" si="205"/>
        <v>2456018</v>
      </c>
      <c r="AA548" s="67">
        <f t="shared" si="205"/>
        <v>16400651.819999998</v>
      </c>
      <c r="AB548" s="67">
        <f t="shared" si="205"/>
        <v>2456018</v>
      </c>
      <c r="BR548" s="4"/>
      <c r="BS548" s="4"/>
      <c r="BT548" s="4"/>
      <c r="BU548" s="4"/>
      <c r="BV548" s="4"/>
      <c r="BW548" s="4"/>
      <c r="BX548" s="4"/>
    </row>
    <row r="549" spans="1:106" x14ac:dyDescent="0.25">
      <c r="A549" s="46"/>
      <c r="B549" s="30"/>
      <c r="C549" s="4"/>
      <c r="D549" s="70" t="s">
        <v>40</v>
      </c>
      <c r="E549" s="70" t="s">
        <v>40</v>
      </c>
      <c r="F549" s="70" t="s">
        <v>40</v>
      </c>
      <c r="G549" s="70"/>
      <c r="H549" s="70" t="s">
        <v>40</v>
      </c>
      <c r="I549" s="70" t="s">
        <v>40</v>
      </c>
      <c r="J549" s="70" t="s">
        <v>40</v>
      </c>
      <c r="K549" s="70" t="s">
        <v>40</v>
      </c>
      <c r="L549" s="70" t="s">
        <v>40</v>
      </c>
      <c r="M549" s="70"/>
      <c r="N549" s="70" t="s">
        <v>40</v>
      </c>
      <c r="O549" s="70" t="s">
        <v>40</v>
      </c>
      <c r="P549" s="70" t="s">
        <v>40</v>
      </c>
      <c r="Q549" s="70"/>
      <c r="R549" s="70" t="s">
        <v>40</v>
      </c>
      <c r="S549" s="70" t="s">
        <v>40</v>
      </c>
      <c r="T549" s="70" t="s">
        <v>40</v>
      </c>
      <c r="U549" s="70" t="s">
        <v>40</v>
      </c>
      <c r="V549" s="70" t="s">
        <v>40</v>
      </c>
      <c r="W549" s="70"/>
      <c r="X549" s="70" t="s">
        <v>40</v>
      </c>
      <c r="Y549" s="70" t="s">
        <v>40</v>
      </c>
      <c r="Z549" s="70" t="s">
        <v>40</v>
      </c>
      <c r="AA549" s="70" t="s">
        <v>40</v>
      </c>
      <c r="AB549" s="70" t="s">
        <v>40</v>
      </c>
      <c r="BL549" s="4"/>
      <c r="BN549" s="4"/>
      <c r="BO549" s="4"/>
      <c r="BP549" s="4"/>
      <c r="BQ549" s="4"/>
    </row>
    <row r="550" spans="1:106" x14ac:dyDescent="0.25">
      <c r="A550" s="46"/>
      <c r="B550" s="30"/>
      <c r="C550" s="4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BG550" s="4"/>
      <c r="BH550" s="4"/>
      <c r="BI550" s="4"/>
      <c r="BJ550" s="4"/>
      <c r="BK550" s="4"/>
      <c r="BM550" s="4"/>
    </row>
    <row r="551" spans="1:106" x14ac:dyDescent="0.25">
      <c r="A551" s="46">
        <v>55</v>
      </c>
      <c r="B551" s="23" t="s">
        <v>89</v>
      </c>
      <c r="C551" s="2" t="s">
        <v>35</v>
      </c>
      <c r="D551" s="67">
        <v>63916485.619999997</v>
      </c>
      <c r="E551" s="67">
        <v>0</v>
      </c>
      <c r="F551" s="68"/>
      <c r="G551" s="68"/>
      <c r="H551" s="67">
        <f>E551+F551</f>
        <v>0</v>
      </c>
      <c r="I551" s="68"/>
      <c r="J551" s="68"/>
      <c r="K551" s="68"/>
      <c r="L551" s="67"/>
      <c r="M551" s="67"/>
      <c r="N551" s="67">
        <f>H551+L551</f>
        <v>0</v>
      </c>
      <c r="O551" s="67">
        <f>445424.59+10558.63-445424.59</f>
        <v>10558.630000000005</v>
      </c>
      <c r="P551" s="68"/>
      <c r="Q551" s="68"/>
      <c r="R551" s="67">
        <f>O551+P551</f>
        <v>10558.630000000005</v>
      </c>
      <c r="S551" s="68"/>
      <c r="T551" s="68"/>
      <c r="U551" s="68"/>
      <c r="V551" s="67"/>
      <c r="W551" s="67"/>
      <c r="X551" s="67">
        <f>R551+V551</f>
        <v>10558.630000000005</v>
      </c>
      <c r="Y551" s="67">
        <f>R551+H551</f>
        <v>10558.630000000005</v>
      </c>
      <c r="Z551" s="67">
        <f>D551-Y551</f>
        <v>63905926.989999995</v>
      </c>
      <c r="AA551" s="67">
        <f>N551+X551</f>
        <v>10558.630000000005</v>
      </c>
      <c r="AB551" s="67">
        <f>+D551-N551-X551</f>
        <v>63905926.989999995</v>
      </c>
      <c r="BF551" s="4"/>
    </row>
    <row r="552" spans="1:106" x14ac:dyDescent="0.25">
      <c r="A552" s="46"/>
      <c r="B552" s="26"/>
      <c r="C552" s="2" t="s">
        <v>90</v>
      </c>
      <c r="D552" s="67">
        <v>182409.37</v>
      </c>
      <c r="E552" s="67">
        <v>0</v>
      </c>
      <c r="F552" s="68"/>
      <c r="G552" s="68"/>
      <c r="H552" s="67">
        <f>E552+F552</f>
        <v>0</v>
      </c>
      <c r="I552" s="68"/>
      <c r="J552" s="68"/>
      <c r="K552" s="68"/>
      <c r="L552" s="67"/>
      <c r="M552" s="67"/>
      <c r="N552" s="67">
        <f>H552+L552</f>
        <v>0</v>
      </c>
      <c r="O552" s="67">
        <v>0</v>
      </c>
      <c r="P552" s="68"/>
      <c r="Q552" s="68"/>
      <c r="R552" s="67">
        <f>O552+P552</f>
        <v>0</v>
      </c>
      <c r="S552" s="68"/>
      <c r="T552" s="68"/>
      <c r="U552" s="68"/>
      <c r="V552" s="67"/>
      <c r="W552" s="67"/>
      <c r="X552" s="67">
        <f>R552+V552</f>
        <v>0</v>
      </c>
      <c r="Y552" s="67">
        <f>R552+H552</f>
        <v>0</v>
      </c>
      <c r="Z552" s="67">
        <f>D552-Y552</f>
        <v>182409.37</v>
      </c>
      <c r="AA552" s="67">
        <f>N552+X552</f>
        <v>0</v>
      </c>
      <c r="AB552" s="67">
        <f>+D552-N552-X552</f>
        <v>182409.37</v>
      </c>
      <c r="BC552" s="4"/>
      <c r="BD552" s="4"/>
      <c r="BE552" s="4"/>
      <c r="BL552" s="4"/>
    </row>
    <row r="553" spans="1:106" x14ac:dyDescent="0.25">
      <c r="A553" s="46"/>
      <c r="B553" s="26"/>
      <c r="C553" s="2" t="s">
        <v>38</v>
      </c>
      <c r="D553" s="67">
        <v>294634</v>
      </c>
      <c r="E553" s="67">
        <v>0</v>
      </c>
      <c r="F553" s="68"/>
      <c r="G553" s="68"/>
      <c r="H553" s="67">
        <f>E553+F553</f>
        <v>0</v>
      </c>
      <c r="I553" s="68"/>
      <c r="J553" s="68"/>
      <c r="K553" s="68"/>
      <c r="L553" s="67"/>
      <c r="M553" s="67"/>
      <c r="N553" s="67">
        <f>H553+L553</f>
        <v>0</v>
      </c>
      <c r="O553" s="67">
        <v>0</v>
      </c>
      <c r="P553" s="68"/>
      <c r="Q553" s="68"/>
      <c r="R553" s="67">
        <f>O553+P553</f>
        <v>0</v>
      </c>
      <c r="S553" s="68"/>
      <c r="T553" s="68"/>
      <c r="U553" s="68"/>
      <c r="V553" s="67"/>
      <c r="W553" s="67"/>
      <c r="X553" s="67">
        <f>R553+V553</f>
        <v>0</v>
      </c>
      <c r="Y553" s="67">
        <f>R553+H553</f>
        <v>0</v>
      </c>
      <c r="Z553" s="67">
        <f>D553-Y553</f>
        <v>294634</v>
      </c>
      <c r="AA553" s="67">
        <f>N553+X553</f>
        <v>0</v>
      </c>
      <c r="AB553" s="67">
        <f>+D553-N553-X553</f>
        <v>294634</v>
      </c>
      <c r="BG553" s="4"/>
      <c r="BH553" s="4"/>
      <c r="BI553" s="4"/>
      <c r="BJ553" s="4"/>
      <c r="BK553" s="4"/>
    </row>
    <row r="554" spans="1:106" x14ac:dyDescent="0.25">
      <c r="A554" s="46"/>
      <c r="B554" s="26"/>
      <c r="C554" s="4"/>
      <c r="D554" s="70" t="s">
        <v>40</v>
      </c>
      <c r="E554" s="70" t="s">
        <v>40</v>
      </c>
      <c r="F554" s="70" t="s">
        <v>40</v>
      </c>
      <c r="G554" s="70"/>
      <c r="H554" s="70" t="s">
        <v>40</v>
      </c>
      <c r="I554" s="70" t="s">
        <v>40</v>
      </c>
      <c r="J554" s="70" t="s">
        <v>40</v>
      </c>
      <c r="K554" s="70" t="s">
        <v>40</v>
      </c>
      <c r="L554" s="70" t="s">
        <v>40</v>
      </c>
      <c r="M554" s="70"/>
      <c r="N554" s="70" t="s">
        <v>40</v>
      </c>
      <c r="O554" s="70" t="s">
        <v>40</v>
      </c>
      <c r="P554" s="70" t="s">
        <v>40</v>
      </c>
      <c r="Q554" s="70"/>
      <c r="R554" s="70" t="s">
        <v>40</v>
      </c>
      <c r="S554" s="70" t="s">
        <v>40</v>
      </c>
      <c r="T554" s="70" t="s">
        <v>40</v>
      </c>
      <c r="U554" s="70" t="s">
        <v>40</v>
      </c>
      <c r="V554" s="70" t="s">
        <v>40</v>
      </c>
      <c r="W554" s="70"/>
      <c r="X554" s="70" t="s">
        <v>40</v>
      </c>
      <c r="Y554" s="70" t="s">
        <v>40</v>
      </c>
      <c r="Z554" s="70" t="s">
        <v>40</v>
      </c>
      <c r="AA554" s="70" t="s">
        <v>40</v>
      </c>
      <c r="AB554" s="70" t="s">
        <v>40</v>
      </c>
      <c r="BB554" s="4"/>
      <c r="BF554" s="4"/>
    </row>
    <row r="555" spans="1:106" x14ac:dyDescent="0.25">
      <c r="A555" s="46"/>
      <c r="B555" s="26"/>
      <c r="C555" s="4"/>
      <c r="D555" s="67">
        <f t="shared" ref="D555:AB555" si="206">SUM(D551:D553)</f>
        <v>64393528.989999995</v>
      </c>
      <c r="E555" s="67">
        <f t="shared" si="206"/>
        <v>0</v>
      </c>
      <c r="F555" s="67">
        <f t="shared" si="206"/>
        <v>0</v>
      </c>
      <c r="G555" s="67"/>
      <c r="H555" s="67">
        <f t="shared" si="206"/>
        <v>0</v>
      </c>
      <c r="I555" s="67">
        <f t="shared" si="206"/>
        <v>0</v>
      </c>
      <c r="J555" s="67">
        <f t="shared" si="206"/>
        <v>0</v>
      </c>
      <c r="K555" s="67">
        <f t="shared" si="206"/>
        <v>0</v>
      </c>
      <c r="L555" s="67">
        <f t="shared" si="206"/>
        <v>0</v>
      </c>
      <c r="M555" s="67"/>
      <c r="N555" s="67">
        <f t="shared" si="206"/>
        <v>0</v>
      </c>
      <c r="O555" s="67">
        <f t="shared" si="206"/>
        <v>10558.630000000005</v>
      </c>
      <c r="P555" s="67">
        <f t="shared" si="206"/>
        <v>0</v>
      </c>
      <c r="Q555" s="67"/>
      <c r="R555" s="67">
        <f t="shared" si="206"/>
        <v>10558.630000000005</v>
      </c>
      <c r="S555" s="67">
        <f t="shared" si="206"/>
        <v>0</v>
      </c>
      <c r="T555" s="67">
        <f t="shared" si="206"/>
        <v>0</v>
      </c>
      <c r="U555" s="67">
        <f t="shared" si="206"/>
        <v>0</v>
      </c>
      <c r="V555" s="67">
        <f t="shared" si="206"/>
        <v>0</v>
      </c>
      <c r="W555" s="67"/>
      <c r="X555" s="67">
        <f t="shared" si="206"/>
        <v>10558.630000000005</v>
      </c>
      <c r="Y555" s="67">
        <f t="shared" si="206"/>
        <v>10558.630000000005</v>
      </c>
      <c r="Z555" s="67">
        <f t="shared" si="206"/>
        <v>64382970.359999992</v>
      </c>
      <c r="AA555" s="67">
        <f t="shared" si="206"/>
        <v>10558.630000000005</v>
      </c>
      <c r="AB555" s="67">
        <f t="shared" si="206"/>
        <v>64382970.359999992</v>
      </c>
      <c r="BC555" s="4"/>
      <c r="BD555" s="4"/>
      <c r="BE555" s="4"/>
    </row>
    <row r="556" spans="1:106" x14ac:dyDescent="0.25">
      <c r="A556" s="46"/>
      <c r="B556" s="26"/>
      <c r="C556" s="4"/>
      <c r="D556" s="70" t="s">
        <v>40</v>
      </c>
      <c r="E556" s="70" t="s">
        <v>40</v>
      </c>
      <c r="F556" s="70" t="s">
        <v>40</v>
      </c>
      <c r="G556" s="70"/>
      <c r="H556" s="70" t="s">
        <v>40</v>
      </c>
      <c r="I556" s="70" t="s">
        <v>40</v>
      </c>
      <c r="J556" s="70" t="s">
        <v>40</v>
      </c>
      <c r="K556" s="70" t="s">
        <v>40</v>
      </c>
      <c r="L556" s="70" t="s">
        <v>40</v>
      </c>
      <c r="M556" s="70"/>
      <c r="N556" s="70" t="s">
        <v>40</v>
      </c>
      <c r="O556" s="70" t="s">
        <v>40</v>
      </c>
      <c r="P556" s="70" t="s">
        <v>40</v>
      </c>
      <c r="Q556" s="70"/>
      <c r="R556" s="70" t="s">
        <v>40</v>
      </c>
      <c r="S556" s="70" t="s">
        <v>40</v>
      </c>
      <c r="T556" s="70" t="s">
        <v>40</v>
      </c>
      <c r="U556" s="70" t="s">
        <v>40</v>
      </c>
      <c r="V556" s="70" t="s">
        <v>40</v>
      </c>
      <c r="W556" s="70"/>
      <c r="X556" s="70" t="s">
        <v>40</v>
      </c>
      <c r="Y556" s="70" t="s">
        <v>40</v>
      </c>
      <c r="Z556" s="70" t="s">
        <v>40</v>
      </c>
      <c r="AA556" s="70" t="s">
        <v>40</v>
      </c>
      <c r="AB556" s="70" t="s">
        <v>40</v>
      </c>
      <c r="AR556" s="94"/>
      <c r="BA556" s="4"/>
    </row>
    <row r="557" spans="1:106" x14ac:dyDescent="0.25">
      <c r="A557" s="46"/>
      <c r="B557" s="26"/>
      <c r="C557" s="4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BB557" s="4"/>
    </row>
    <row r="558" spans="1:106" x14ac:dyDescent="0.25">
      <c r="A558" s="46">
        <v>56</v>
      </c>
      <c r="B558" s="23" t="s">
        <v>91</v>
      </c>
      <c r="C558" s="2" t="s">
        <v>35</v>
      </c>
      <c r="D558" s="67">
        <f>45694421.91-451236.67-8498000+8498000-5398276.99</f>
        <v>39844908.249999993</v>
      </c>
      <c r="E558" s="67">
        <v>0</v>
      </c>
      <c r="F558" s="68"/>
      <c r="G558" s="68"/>
      <c r="H558" s="67">
        <f>E558+F558</f>
        <v>0</v>
      </c>
      <c r="I558" s="68"/>
      <c r="J558" s="68"/>
      <c r="K558" s="68"/>
      <c r="L558" s="67"/>
      <c r="M558" s="67"/>
      <c r="N558" s="67">
        <f>H558+L558</f>
        <v>0</v>
      </c>
      <c r="O558" s="67">
        <f>1659594.23-370692.62-418709.53+859752.77</f>
        <v>1729944.8499999999</v>
      </c>
      <c r="P558" s="67"/>
      <c r="Q558" s="67"/>
      <c r="R558" s="67">
        <f>O558+P558</f>
        <v>1729944.8499999999</v>
      </c>
      <c r="S558" s="67"/>
      <c r="T558" s="68"/>
      <c r="U558" s="67"/>
      <c r="V558" s="67"/>
      <c r="W558" s="67"/>
      <c r="X558" s="67">
        <f>R558+V558</f>
        <v>1729944.8499999999</v>
      </c>
      <c r="Y558" s="67">
        <f t="shared" ref="Y558:Y563" si="207">R558+H558</f>
        <v>1729944.8499999999</v>
      </c>
      <c r="Z558" s="67">
        <f t="shared" ref="Z558:Z563" si="208">D558-Y558</f>
        <v>38114963.399999991</v>
      </c>
      <c r="AA558" s="67">
        <f t="shared" ref="AA558:AA563" si="209">N558+X558</f>
        <v>1729944.8499999999</v>
      </c>
      <c r="AB558" s="67">
        <f t="shared" ref="AB558:AB563" si="210">+D558-N558-X558</f>
        <v>38114963.399999991</v>
      </c>
      <c r="AC558" s="49" t="s">
        <v>329</v>
      </c>
      <c r="AD558" s="94">
        <f>+D494+D504+D535</f>
        <v>13435588.85</v>
      </c>
      <c r="AE558" s="94">
        <f>+E494+E504+E535</f>
        <v>13435588.853</v>
      </c>
      <c r="AF558" s="94">
        <f>+F494+F504+F535</f>
        <v>0</v>
      </c>
      <c r="AG558" s="94">
        <f>+AE558+AF558</f>
        <v>13435588.853</v>
      </c>
      <c r="AH558" s="94">
        <f>+L494+L504+L535</f>
        <v>0</v>
      </c>
      <c r="AI558" s="94">
        <f>+AG558+AH558</f>
        <v>13435588.853</v>
      </c>
      <c r="AJ558" s="94">
        <f>+O494+O504+O535</f>
        <v>0</v>
      </c>
      <c r="AK558" s="94">
        <f>+P494+P504+P535</f>
        <v>0</v>
      </c>
      <c r="AL558" s="94">
        <f>+AJ558+AK558</f>
        <v>0</v>
      </c>
      <c r="AM558" s="94">
        <f>+V494+V504+V535</f>
        <v>0</v>
      </c>
      <c r="AN558" s="94">
        <f>+AL558+AM558</f>
        <v>0</v>
      </c>
      <c r="AO558" s="97">
        <f>+AG558+AG523+AG535</f>
        <v>13435588.853</v>
      </c>
      <c r="AP558" s="97">
        <f>+AH558+AH523</f>
        <v>0</v>
      </c>
      <c r="AQ558" s="94">
        <f>+AD558-AI558-AN558</f>
        <v>-3.0000004917383194E-3</v>
      </c>
    </row>
    <row r="559" spans="1:106" x14ac:dyDescent="0.25">
      <c r="C559" s="4" t="s">
        <v>317</v>
      </c>
      <c r="D559" s="55">
        <v>5398276.9900000002</v>
      </c>
      <c r="E559" s="55">
        <v>5398276.9900000002</v>
      </c>
      <c r="F559" s="55"/>
      <c r="G559" s="55"/>
      <c r="H559" s="55">
        <f>+E559+F559</f>
        <v>5398276.9900000002</v>
      </c>
      <c r="I559" s="55"/>
      <c r="J559" s="55"/>
      <c r="K559" s="55"/>
      <c r="L559" s="55"/>
      <c r="M559" s="55"/>
      <c r="N559" s="55">
        <f>+H559+L559</f>
        <v>5398276.9900000002</v>
      </c>
      <c r="O559" s="55">
        <v>0</v>
      </c>
      <c r="P559" s="55"/>
      <c r="Q559" s="55"/>
      <c r="R559" s="55">
        <f>+O559+P559</f>
        <v>0</v>
      </c>
      <c r="S559" s="55"/>
      <c r="T559" s="55"/>
      <c r="U559" s="55"/>
      <c r="V559" s="55"/>
      <c r="W559" s="55"/>
      <c r="X559" s="55">
        <f>+R559+V559</f>
        <v>0</v>
      </c>
      <c r="Y559" s="67">
        <f>R559+H559</f>
        <v>5398276.9900000002</v>
      </c>
      <c r="Z559" s="67">
        <f>D559-Y559</f>
        <v>0</v>
      </c>
      <c r="AA559" s="67">
        <f>N559+X559</f>
        <v>5398276.9900000002</v>
      </c>
      <c r="AB559" s="67">
        <f>+D559-N559-X559</f>
        <v>0</v>
      </c>
      <c r="AC559" s="49" t="s">
        <v>327</v>
      </c>
      <c r="AD559" s="94">
        <f>+D483+D517</f>
        <v>38000000</v>
      </c>
      <c r="AE559" s="94">
        <f>+E483+E517</f>
        <v>35000000</v>
      </c>
      <c r="AF559" s="94">
        <f>+F483+F517</f>
        <v>3000000</v>
      </c>
      <c r="AG559" s="94">
        <f>+AE559+AF559</f>
        <v>38000000</v>
      </c>
      <c r="AH559" s="94">
        <f>+L483+L517</f>
        <v>0</v>
      </c>
      <c r="AI559" s="94">
        <f>+AG559+AH559</f>
        <v>38000000</v>
      </c>
      <c r="AJ559" s="94">
        <f>+O483+O517</f>
        <v>0</v>
      </c>
      <c r="AK559" s="94">
        <f>+P483+P517</f>
        <v>0</v>
      </c>
      <c r="AL559" s="94">
        <f>+AJ559+AK559</f>
        <v>0</v>
      </c>
      <c r="AM559" s="94">
        <f>+V483+V517</f>
        <v>0</v>
      </c>
      <c r="AN559" s="94">
        <f>+AL559+AM559</f>
        <v>0</v>
      </c>
      <c r="AO559" s="97">
        <f>+AG559+AG524</f>
        <v>38000000</v>
      </c>
      <c r="AP559" s="97">
        <f>+AH559+AH524</f>
        <v>0</v>
      </c>
      <c r="AQ559" s="94">
        <f>+AD559-AI559-AN559</f>
        <v>0</v>
      </c>
      <c r="BA559" s="4"/>
    </row>
    <row r="560" spans="1:106" x14ac:dyDescent="0.25">
      <c r="A560" s="46"/>
      <c r="B560" s="26"/>
      <c r="C560" s="3" t="s">
        <v>36</v>
      </c>
      <c r="D560" s="67">
        <v>2147487.5</v>
      </c>
      <c r="E560" s="67">
        <v>2147487.5</v>
      </c>
      <c r="F560" s="68"/>
      <c r="G560" s="68"/>
      <c r="H560" s="67">
        <f>E560+F560</f>
        <v>2147487.5</v>
      </c>
      <c r="I560" s="68"/>
      <c r="J560" s="68"/>
      <c r="K560" s="68"/>
      <c r="L560" s="67"/>
      <c r="M560" s="67"/>
      <c r="N560" s="67">
        <f>H560+L560</f>
        <v>2147487.5</v>
      </c>
      <c r="O560" s="67">
        <v>0</v>
      </c>
      <c r="P560" s="68"/>
      <c r="Q560" s="68"/>
      <c r="R560" s="67">
        <f>O560+P560</f>
        <v>0</v>
      </c>
      <c r="S560" s="67"/>
      <c r="T560" s="68"/>
      <c r="U560" s="67"/>
      <c r="V560" s="67"/>
      <c r="W560" s="67"/>
      <c r="X560" s="67">
        <f>R560+V560</f>
        <v>0</v>
      </c>
      <c r="Y560" s="67">
        <f t="shared" si="207"/>
        <v>2147487.5</v>
      </c>
      <c r="Z560" s="67">
        <f t="shared" si="208"/>
        <v>0</v>
      </c>
      <c r="AA560" s="67">
        <f t="shared" si="209"/>
        <v>2147487.5</v>
      </c>
      <c r="AB560" s="67">
        <f t="shared" si="210"/>
        <v>0</v>
      </c>
      <c r="AC560" s="49" t="s">
        <v>317</v>
      </c>
      <c r="AD560" s="94">
        <f>+D559+D569</f>
        <v>13398276.99</v>
      </c>
      <c r="AE560" s="94">
        <f>+E559+E569</f>
        <v>13398276.99</v>
      </c>
      <c r="AF560" s="94">
        <f>+F559+F569</f>
        <v>0</v>
      </c>
      <c r="AG560" s="94">
        <f>+AE560+AF560</f>
        <v>13398276.99</v>
      </c>
      <c r="AH560" s="94">
        <f>+L559+L569</f>
        <v>0</v>
      </c>
      <c r="AI560" s="94">
        <f>+AG560+AH560</f>
        <v>13398276.99</v>
      </c>
      <c r="AJ560" s="94">
        <f>+O559+O569</f>
        <v>0</v>
      </c>
      <c r="AK560" s="94">
        <f>+P559+P569</f>
        <v>0</v>
      </c>
      <c r="AL560" s="94">
        <f>+AJ560+AK560</f>
        <v>0</v>
      </c>
      <c r="AM560" s="94">
        <f>+V559+V569</f>
        <v>0</v>
      </c>
      <c r="AN560" s="94">
        <f>+AL560+AM560</f>
        <v>0</v>
      </c>
      <c r="AO560" s="97">
        <f>+AG560+AG525</f>
        <v>13398276.99</v>
      </c>
      <c r="AP560" s="97">
        <f>+AH560+AH525</f>
        <v>0</v>
      </c>
      <c r="AQ560" s="94">
        <f>+AD560-AI560-AN560</f>
        <v>0</v>
      </c>
    </row>
    <row r="561" spans="1:52" x14ac:dyDescent="0.25">
      <c r="A561" s="4"/>
      <c r="B561" s="4"/>
      <c r="C561" s="4" t="s">
        <v>298</v>
      </c>
      <c r="D561" s="55">
        <v>2842000</v>
      </c>
      <c r="E561" s="55">
        <v>2842000</v>
      </c>
      <c r="F561" s="55"/>
      <c r="G561" s="55"/>
      <c r="H561" s="55">
        <f>+E561+F561</f>
        <v>2842000</v>
      </c>
      <c r="I561" s="55"/>
      <c r="J561" s="55"/>
      <c r="K561" s="55"/>
      <c r="L561" s="55"/>
      <c r="M561" s="55"/>
      <c r="N561" s="55">
        <f>+H561+L561</f>
        <v>2842000</v>
      </c>
      <c r="O561" s="55">
        <v>0</v>
      </c>
      <c r="P561" s="55"/>
      <c r="Q561" s="55"/>
      <c r="R561" s="55">
        <f>+O561+P561</f>
        <v>0</v>
      </c>
      <c r="S561" s="55"/>
      <c r="T561" s="55"/>
      <c r="U561" s="55"/>
      <c r="V561" s="55"/>
      <c r="W561" s="55"/>
      <c r="X561" s="55">
        <f>+R561+V561</f>
        <v>0</v>
      </c>
      <c r="Y561" s="67">
        <f t="shared" si="207"/>
        <v>2842000</v>
      </c>
      <c r="Z561" s="67">
        <f t="shared" si="208"/>
        <v>0</v>
      </c>
      <c r="AA561" s="67">
        <f t="shared" si="209"/>
        <v>2842000</v>
      </c>
      <c r="AB561" s="67">
        <f t="shared" si="210"/>
        <v>0</v>
      </c>
      <c r="AC561" s="50" t="s">
        <v>298</v>
      </c>
      <c r="AD561" s="97">
        <f>+D561+D526</f>
        <v>7642000</v>
      </c>
      <c r="AE561" s="97">
        <f>+E561+E526</f>
        <v>7642000</v>
      </c>
      <c r="AF561" s="97">
        <f>+F561+F526</f>
        <v>0</v>
      </c>
      <c r="AG561" s="97">
        <f>+AE561+AF561</f>
        <v>7642000</v>
      </c>
      <c r="AH561" s="97">
        <f>+L561+L526</f>
        <v>0</v>
      </c>
      <c r="AI561" s="97">
        <f>+AG561+AH561</f>
        <v>7642000</v>
      </c>
      <c r="AJ561" s="97">
        <f>+O561+O526</f>
        <v>0</v>
      </c>
      <c r="AK561" s="97">
        <f>+P561+P526</f>
        <v>0</v>
      </c>
      <c r="AL561" s="97">
        <f>+AJ561+AK561</f>
        <v>0</v>
      </c>
      <c r="AM561" s="97">
        <f>+V561+V526</f>
        <v>0</v>
      </c>
      <c r="AN561" s="97">
        <f>+AL561+AM561</f>
        <v>0</v>
      </c>
      <c r="AO561" s="97">
        <f>+AG561+AG526</f>
        <v>7642000</v>
      </c>
      <c r="AP561" s="94">
        <f t="shared" ref="AP561:AP568" si="211">+AD561-AO561</f>
        <v>0</v>
      </c>
      <c r="AQ561" s="94">
        <f>+AD561-AI561-AN561</f>
        <v>0</v>
      </c>
    </row>
    <row r="562" spans="1:52" x14ac:dyDescent="0.25">
      <c r="A562" s="46"/>
      <c r="B562" s="26"/>
      <c r="C562" s="2" t="s">
        <v>92</v>
      </c>
      <c r="D562" s="67">
        <f>6699983.55+975809.21-127473.36+127473.36+451236.67</f>
        <v>8127029.4299999997</v>
      </c>
      <c r="E562" s="67">
        <v>0</v>
      </c>
      <c r="F562" s="68"/>
      <c r="G562" s="68"/>
      <c r="H562" s="67">
        <f>E562+F562</f>
        <v>0</v>
      </c>
      <c r="I562" s="68"/>
      <c r="J562" s="68"/>
      <c r="K562" s="68"/>
      <c r="L562" s="67"/>
      <c r="M562" s="67"/>
      <c r="N562" s="67">
        <f>H562+L562</f>
        <v>0</v>
      </c>
      <c r="O562" s="67">
        <f>7567260.19+559769.24</f>
        <v>8127029.4300000006</v>
      </c>
      <c r="P562" s="67"/>
      <c r="Q562" s="67"/>
      <c r="R562" s="67">
        <f>O562+P562</f>
        <v>8127029.4300000006</v>
      </c>
      <c r="S562" s="68"/>
      <c r="T562" s="68"/>
      <c r="U562" s="68"/>
      <c r="V562" s="67"/>
      <c r="W562" s="67"/>
      <c r="X562" s="67">
        <f>R562+V562</f>
        <v>8127029.4300000006</v>
      </c>
      <c r="Y562" s="67">
        <f t="shared" si="207"/>
        <v>8127029.4300000006</v>
      </c>
      <c r="Z562" s="67">
        <f t="shared" si="208"/>
        <v>0</v>
      </c>
      <c r="AA562" s="67">
        <f t="shared" si="209"/>
        <v>8127029.4300000006</v>
      </c>
      <c r="AB562" s="67">
        <f t="shared" si="210"/>
        <v>0</v>
      </c>
      <c r="AC562" s="49" t="s">
        <v>47</v>
      </c>
      <c r="AD562" s="94">
        <f>D460+D467+D473+D479+D491+D501+D513+D524+D533+D542+D551+D558+D568</f>
        <v>295375802.61000001</v>
      </c>
      <c r="AE562" s="94">
        <f>E460+E467+E473+E479+E491+E501+E513+E524+E533+E542+E551+E558+E568</f>
        <v>6303060.1400000006</v>
      </c>
      <c r="AF562" s="94">
        <f>F460+F467+F473+F479+F491+F501+F513+F524+F533+F542+F551+F558+F568</f>
        <v>0</v>
      </c>
      <c r="AG562" s="94">
        <f>+AE562+AF562</f>
        <v>6303060.1400000006</v>
      </c>
      <c r="AH562">
        <f>L460+L467+L473+L479+L491+L501+L513+L524+L533+L542+L551+L558+L568</f>
        <v>0</v>
      </c>
      <c r="AI562" s="94">
        <f>+AG562+AH562</f>
        <v>6303060.1400000006</v>
      </c>
      <c r="AJ562" s="94">
        <f>O460+O467+O473+O479+O491+O501+O513+O524+O533+O542+O551+O558+O568</f>
        <v>53509912.290000007</v>
      </c>
      <c r="AK562">
        <f>P460+P467+P473+P479+P491+P501+P513+P524+P533+P542+P551+P558+P568</f>
        <v>0</v>
      </c>
      <c r="AL562" s="94">
        <f>+AJ562+AK562</f>
        <v>53509912.290000007</v>
      </c>
      <c r="AM562" s="94">
        <f>V460+V467+V473+V479+V491+V501+V513+V524+V533+V542+V551+V558+V568</f>
        <v>0</v>
      </c>
      <c r="AN562" s="94">
        <f>+AL562+AM562</f>
        <v>53509912.290000007</v>
      </c>
      <c r="AO562" s="94">
        <f>+AG562+AL562</f>
        <v>59812972.430000007</v>
      </c>
      <c r="AP562" s="94">
        <f t="shared" si="211"/>
        <v>235562830.18000001</v>
      </c>
      <c r="AQ562" s="94">
        <f>+AD562-AI562-AN562</f>
        <v>235562830.18000001</v>
      </c>
    </row>
    <row r="563" spans="1:52" x14ac:dyDescent="0.25">
      <c r="A563" s="46"/>
      <c r="B563" s="26"/>
      <c r="C563" s="2" t="s">
        <v>54</v>
      </c>
      <c r="D563" s="67">
        <f>3446295.33+7166279.19+87688.51+87688.51</f>
        <v>10787951.539999999</v>
      </c>
      <c r="E563" s="67">
        <v>0</v>
      </c>
      <c r="F563" s="68"/>
      <c r="G563" s="68"/>
      <c r="H563" s="67">
        <f>E563+F563</f>
        <v>0</v>
      </c>
      <c r="I563" s="68"/>
      <c r="J563" s="68"/>
      <c r="K563" s="68"/>
      <c r="L563" s="67"/>
      <c r="M563" s="67"/>
      <c r="N563" s="67">
        <f>H563+L563</f>
        <v>0</v>
      </c>
      <c r="O563" s="67">
        <f>10700263.03+87688.51</f>
        <v>10787951.539999999</v>
      </c>
      <c r="P563" s="68"/>
      <c r="Q563" s="68"/>
      <c r="R563" s="67">
        <f>O563+P563</f>
        <v>10787951.539999999</v>
      </c>
      <c r="S563" s="68"/>
      <c r="T563" s="68"/>
      <c r="U563" s="68"/>
      <c r="V563" s="67"/>
      <c r="W563" s="67"/>
      <c r="X563" s="67">
        <f>R563+V563</f>
        <v>10787951.539999999</v>
      </c>
      <c r="Y563" s="67">
        <f t="shared" si="207"/>
        <v>10787951.539999999</v>
      </c>
      <c r="Z563" s="67">
        <f t="shared" si="208"/>
        <v>0</v>
      </c>
      <c r="AA563" s="67">
        <f t="shared" si="209"/>
        <v>10787951.539999999</v>
      </c>
      <c r="AB563" s="67">
        <f t="shared" si="210"/>
        <v>0</v>
      </c>
      <c r="AC563" s="49" t="s">
        <v>36</v>
      </c>
      <c r="AD563" s="94">
        <f>D461+D480+D492+D502+D514+D525+D534+D543+D560+D570</f>
        <v>20514715.989999998</v>
      </c>
      <c r="AE563" s="94">
        <f>E461+E480+E492+E502+E514+E525+E534+E543+E560+E570</f>
        <v>20514715.989999998</v>
      </c>
      <c r="AF563" s="94">
        <f>F461+F480+F492+F502+F514+F525+F534+F543+F560+F570</f>
        <v>0</v>
      </c>
      <c r="AG563" s="94">
        <f t="shared" ref="AG563:AG568" si="212">+AE563+AF563</f>
        <v>20514715.989999998</v>
      </c>
      <c r="AH563">
        <f>L461+L480+L492+L502+L514+L525+L534+L543+L560+L570</f>
        <v>0</v>
      </c>
      <c r="AI563" s="94">
        <f t="shared" ref="AI563:AI568" si="213">+AG563+AH563</f>
        <v>20514715.989999998</v>
      </c>
      <c r="AJ563" s="94">
        <f>O461+O480+O492+O502+O514+O525+O534+O543+O560+O570</f>
        <v>0</v>
      </c>
      <c r="AK563">
        <f>P461+P480+P492+P502+P514+P525+P534+P543+P560+P570</f>
        <v>0</v>
      </c>
      <c r="AL563" s="94">
        <f t="shared" ref="AL563:AL568" si="214">+AJ563+AK563</f>
        <v>0</v>
      </c>
      <c r="AM563" s="94">
        <f>V461+V480+V492+V502+V514+V525+V534+V543+V560+V570</f>
        <v>0</v>
      </c>
      <c r="AN563" s="94">
        <f t="shared" ref="AN563:AN568" si="215">+AL563+AM563</f>
        <v>0</v>
      </c>
      <c r="AO563" s="94">
        <f t="shared" ref="AO563:AO568" si="216">+AG563+AL563</f>
        <v>20514715.989999998</v>
      </c>
      <c r="AP563" s="94">
        <f t="shared" si="211"/>
        <v>0</v>
      </c>
      <c r="AQ563" s="94">
        <f t="shared" ref="AQ563:AQ568" si="217">+AD563-AI563-AN563</f>
        <v>0</v>
      </c>
      <c r="AZ563" s="4"/>
    </row>
    <row r="564" spans="1:52" ht="15.75" customHeight="1" x14ac:dyDescent="0.25">
      <c r="A564" s="46"/>
      <c r="B564" s="26"/>
      <c r="C564" s="4"/>
      <c r="D564" s="70" t="s">
        <v>40</v>
      </c>
      <c r="E564" s="70" t="s">
        <v>40</v>
      </c>
      <c r="F564" s="70" t="s">
        <v>40</v>
      </c>
      <c r="G564" s="70"/>
      <c r="H564" s="70" t="s">
        <v>40</v>
      </c>
      <c r="I564" s="70" t="s">
        <v>40</v>
      </c>
      <c r="J564" s="70" t="s">
        <v>40</v>
      </c>
      <c r="K564" s="70" t="s">
        <v>40</v>
      </c>
      <c r="L564" s="70" t="s">
        <v>40</v>
      </c>
      <c r="M564" s="70"/>
      <c r="N564" s="70" t="s">
        <v>40</v>
      </c>
      <c r="O564" s="70" t="s">
        <v>40</v>
      </c>
      <c r="P564" s="70" t="s">
        <v>40</v>
      </c>
      <c r="Q564" s="70"/>
      <c r="R564" s="70" t="s">
        <v>40</v>
      </c>
      <c r="S564" s="70" t="s">
        <v>40</v>
      </c>
      <c r="T564" s="70" t="s">
        <v>40</v>
      </c>
      <c r="U564" s="70" t="s">
        <v>40</v>
      </c>
      <c r="V564" s="70" t="s">
        <v>40</v>
      </c>
      <c r="W564" s="70"/>
      <c r="X564" s="70" t="s">
        <v>40</v>
      </c>
      <c r="Y564" s="70" t="s">
        <v>40</v>
      </c>
      <c r="Z564" s="70" t="s">
        <v>40</v>
      </c>
      <c r="AA564" s="70" t="s">
        <v>40</v>
      </c>
      <c r="AB564" s="70" t="s">
        <v>40</v>
      </c>
      <c r="AC564" s="49" t="s">
        <v>183</v>
      </c>
      <c r="AD564" s="94">
        <f>D482+D495+D505+D518+D527</f>
        <v>59212554.210000001</v>
      </c>
      <c r="AE564" s="94">
        <f>E482+E495+E505+E518+E527</f>
        <v>0</v>
      </c>
      <c r="AF564" s="94">
        <f>F482+F495+F505+F518+F527</f>
        <v>0</v>
      </c>
      <c r="AG564" s="94">
        <f t="shared" si="212"/>
        <v>0</v>
      </c>
      <c r="AH564">
        <f>L482+L495+L505+L518+L527</f>
        <v>0</v>
      </c>
      <c r="AI564" s="94">
        <f t="shared" si="213"/>
        <v>0</v>
      </c>
      <c r="AJ564" s="94">
        <f>O482+O495+O505+O518+O527</f>
        <v>2390827.21</v>
      </c>
      <c r="AK564">
        <f>P482+P495+P505+P518+P527</f>
        <v>0</v>
      </c>
      <c r="AL564" s="94">
        <f t="shared" si="214"/>
        <v>2390827.21</v>
      </c>
      <c r="AM564" s="94">
        <f>V482+V495+V505+V518+V527</f>
        <v>0</v>
      </c>
      <c r="AN564" s="94">
        <f t="shared" si="215"/>
        <v>2390827.21</v>
      </c>
      <c r="AO564" s="94">
        <f t="shared" si="216"/>
        <v>2390827.21</v>
      </c>
      <c r="AP564" s="94">
        <f t="shared" si="211"/>
        <v>56821727</v>
      </c>
      <c r="AQ564" s="94">
        <f t="shared" si="217"/>
        <v>56821727</v>
      </c>
      <c r="AY564" s="4"/>
    </row>
    <row r="565" spans="1:52" ht="21" customHeight="1" x14ac:dyDescent="0.25">
      <c r="A565" s="46"/>
      <c r="B565" s="30"/>
      <c r="C565" s="4"/>
      <c r="D565" s="67">
        <f>SUM(D558:D563)</f>
        <v>69147653.709999993</v>
      </c>
      <c r="E565" s="67">
        <f>SUM(E558:E563)</f>
        <v>10387764.49</v>
      </c>
      <c r="F565" s="67">
        <f>SUM(F558:F563)</f>
        <v>0</v>
      </c>
      <c r="G565" s="67"/>
      <c r="H565" s="67">
        <f>SUM(H558:H563)</f>
        <v>10387764.49</v>
      </c>
      <c r="I565" s="67">
        <f>SUM(I558:I563)</f>
        <v>0</v>
      </c>
      <c r="J565" s="67">
        <f>SUM(J558:J563)</f>
        <v>0</v>
      </c>
      <c r="K565" s="67">
        <f>SUM(K558:K563)</f>
        <v>0</v>
      </c>
      <c r="L565" s="67">
        <f>SUM(L558:L563)</f>
        <v>0</v>
      </c>
      <c r="M565" s="67"/>
      <c r="N565" s="67">
        <f>SUM(N558:N563)</f>
        <v>10387764.49</v>
      </c>
      <c r="O565" s="67">
        <f>SUM(O558:O563)</f>
        <v>20644925.82</v>
      </c>
      <c r="P565" s="67">
        <f>SUM(P558:P563)</f>
        <v>0</v>
      </c>
      <c r="Q565" s="67"/>
      <c r="R565" s="67">
        <f>SUM(R558:R563)</f>
        <v>20644925.82</v>
      </c>
      <c r="S565" s="67">
        <f>SUM(S558:S563)</f>
        <v>0</v>
      </c>
      <c r="T565" s="67">
        <f>SUM(T558:T563)</f>
        <v>0</v>
      </c>
      <c r="U565" s="67">
        <f>SUM(U558:U563)</f>
        <v>0</v>
      </c>
      <c r="V565" s="67">
        <f>SUM(V558:V563)</f>
        <v>0</v>
      </c>
      <c r="W565" s="67"/>
      <c r="X565" s="67">
        <f>SUM(X558:X563)</f>
        <v>20644925.82</v>
      </c>
      <c r="Y565" s="67">
        <f>SUM(Y558:Y563)</f>
        <v>31032690.309999999</v>
      </c>
      <c r="Z565" s="67">
        <f>SUM(Z558:Z563)</f>
        <v>38114963.399999991</v>
      </c>
      <c r="AA565" s="67">
        <f>SUM(AA558:AA563)</f>
        <v>31032690.309999999</v>
      </c>
      <c r="AB565" s="67">
        <f>SUM(AB558:AB563)</f>
        <v>38114963.399999991</v>
      </c>
      <c r="AC565" s="49" t="s">
        <v>184</v>
      </c>
      <c r="AD565" s="94">
        <f>D485+D506+D519+D528</f>
        <v>11176788.580000002</v>
      </c>
      <c r="AE565" s="94">
        <f>E485+E506+E519+E528</f>
        <v>0</v>
      </c>
      <c r="AF565" s="94">
        <f>F485+F506+F519+F528</f>
        <v>0</v>
      </c>
      <c r="AG565" s="94">
        <f t="shared" si="212"/>
        <v>0</v>
      </c>
      <c r="AH565">
        <f>L485+L506+L519+L528</f>
        <v>0</v>
      </c>
      <c r="AI565" s="94">
        <f t="shared" si="213"/>
        <v>0</v>
      </c>
      <c r="AJ565" s="94">
        <f>O485+O506+O519+O528</f>
        <v>288360.2</v>
      </c>
      <c r="AK565">
        <f>P485+P506+P519+P528</f>
        <v>0</v>
      </c>
      <c r="AL565" s="94">
        <f t="shared" si="214"/>
        <v>288360.2</v>
      </c>
      <c r="AM565" s="94">
        <f>V485+V506+V519+V528</f>
        <v>0</v>
      </c>
      <c r="AN565" s="94">
        <f t="shared" si="215"/>
        <v>288360.2</v>
      </c>
      <c r="AO565" s="94">
        <f t="shared" si="216"/>
        <v>288360.2</v>
      </c>
      <c r="AP565" s="94">
        <f t="shared" si="211"/>
        <v>10888428.380000003</v>
      </c>
      <c r="AQ565" s="94">
        <f t="shared" si="217"/>
        <v>10888428.380000003</v>
      </c>
    </row>
    <row r="566" spans="1:52" x14ac:dyDescent="0.25">
      <c r="A566" s="46"/>
      <c r="B566" s="26"/>
      <c r="C566" s="4"/>
      <c r="D566" s="70" t="s">
        <v>40</v>
      </c>
      <c r="E566" s="70" t="s">
        <v>40</v>
      </c>
      <c r="F566" s="70" t="s">
        <v>40</v>
      </c>
      <c r="G566" s="70"/>
      <c r="H566" s="70" t="s">
        <v>40</v>
      </c>
      <c r="I566" s="70" t="s">
        <v>40</v>
      </c>
      <c r="J566" s="70" t="s">
        <v>40</v>
      </c>
      <c r="K566" s="70" t="s">
        <v>40</v>
      </c>
      <c r="L566" s="70" t="s">
        <v>40</v>
      </c>
      <c r="M566" s="70"/>
      <c r="N566" s="70" t="s">
        <v>40</v>
      </c>
      <c r="O566" s="70" t="s">
        <v>40</v>
      </c>
      <c r="P566" s="70" t="s">
        <v>40</v>
      </c>
      <c r="Q566" s="70"/>
      <c r="R566" s="70" t="s">
        <v>40</v>
      </c>
      <c r="S566" s="70" t="s">
        <v>40</v>
      </c>
      <c r="T566" s="70" t="s">
        <v>40</v>
      </c>
      <c r="U566" s="70" t="s">
        <v>40</v>
      </c>
      <c r="V566" s="70" t="s">
        <v>40</v>
      </c>
      <c r="W566" s="70"/>
      <c r="X566" s="70" t="s">
        <v>40</v>
      </c>
      <c r="Y566" s="70" t="s">
        <v>40</v>
      </c>
      <c r="Z566" s="70" t="s">
        <v>40</v>
      </c>
      <c r="AA566" s="70" t="s">
        <v>40</v>
      </c>
      <c r="AB566" s="70" t="s">
        <v>40</v>
      </c>
      <c r="AC566" s="49" t="s">
        <v>38</v>
      </c>
      <c r="AD566" s="94">
        <f>D484+D545+D553</f>
        <v>2901283.7</v>
      </c>
      <c r="AE566" s="94">
        <f>E484+E545+E553</f>
        <v>0</v>
      </c>
      <c r="AF566" s="94">
        <f>F484+F545+F553</f>
        <v>0</v>
      </c>
      <c r="AG566" s="94">
        <f t="shared" si="212"/>
        <v>0</v>
      </c>
      <c r="AH566">
        <f>L484+L545+L553</f>
        <v>0</v>
      </c>
      <c r="AI566" s="94">
        <f t="shared" si="213"/>
        <v>0</v>
      </c>
      <c r="AJ566" s="94">
        <f>O484+O545+O553</f>
        <v>15650</v>
      </c>
      <c r="AK566">
        <f>P484+P545+P553</f>
        <v>0</v>
      </c>
      <c r="AL566" s="94">
        <f t="shared" si="214"/>
        <v>15650</v>
      </c>
      <c r="AM566" s="94">
        <f>V484+V545+V553</f>
        <v>0</v>
      </c>
      <c r="AN566" s="94">
        <f t="shared" si="215"/>
        <v>15650</v>
      </c>
      <c r="AO566" s="94">
        <f t="shared" si="216"/>
        <v>15650</v>
      </c>
      <c r="AP566" s="94">
        <f t="shared" si="211"/>
        <v>2885633.7</v>
      </c>
      <c r="AQ566" s="94">
        <f t="shared" si="217"/>
        <v>2885633.7</v>
      </c>
      <c r="AW566" s="4"/>
      <c r="AX566" s="4"/>
    </row>
    <row r="567" spans="1:52" x14ac:dyDescent="0.25">
      <c r="A567" s="46"/>
      <c r="B567" s="26"/>
      <c r="C567" s="4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49" t="s">
        <v>262</v>
      </c>
      <c r="AD567" s="94">
        <f>D474+D493+D503+D515</f>
        <v>73921586</v>
      </c>
      <c r="AE567" s="94">
        <f>E474+E493+E503+E515</f>
        <v>73921586</v>
      </c>
      <c r="AF567" s="94">
        <f>F474+F493+F503+F515</f>
        <v>0</v>
      </c>
      <c r="AG567" s="94">
        <f t="shared" si="212"/>
        <v>73921586</v>
      </c>
      <c r="AH567">
        <f>L474+L493+L503+L515</f>
        <v>0</v>
      </c>
      <c r="AI567" s="94">
        <f t="shared" si="213"/>
        <v>73921586</v>
      </c>
      <c r="AJ567" s="94">
        <f>O474+O493+O503+O515</f>
        <v>0</v>
      </c>
      <c r="AK567">
        <f>P474+P493+P503+P515</f>
        <v>0</v>
      </c>
      <c r="AL567" s="94">
        <f t="shared" si="214"/>
        <v>0</v>
      </c>
      <c r="AM567" s="94">
        <f>V474+V493+V503+V515</f>
        <v>0</v>
      </c>
      <c r="AN567" s="94">
        <f t="shared" si="215"/>
        <v>0</v>
      </c>
      <c r="AO567" s="94">
        <f t="shared" si="216"/>
        <v>73921586</v>
      </c>
      <c r="AP567" s="94">
        <f t="shared" si="211"/>
        <v>0</v>
      </c>
      <c r="AQ567" s="94">
        <f t="shared" si="217"/>
        <v>0</v>
      </c>
      <c r="AZ567" s="4"/>
    </row>
    <row r="568" spans="1:52" x14ac:dyDescent="0.25">
      <c r="A568" s="46">
        <v>57</v>
      </c>
      <c r="B568" s="23" t="s">
        <v>93</v>
      </c>
      <c r="C568" s="2" t="s">
        <v>35</v>
      </c>
      <c r="D568" s="67">
        <v>1276340.48</v>
      </c>
      <c r="E568" s="67">
        <v>0</v>
      </c>
      <c r="F568" s="68"/>
      <c r="G568" s="68"/>
      <c r="H568" s="67">
        <f>E568+F568</f>
        <v>0</v>
      </c>
      <c r="I568" s="68"/>
      <c r="J568" s="68"/>
      <c r="K568" s="68"/>
      <c r="L568" s="67"/>
      <c r="M568" s="67"/>
      <c r="N568" s="67">
        <f>H568+L568</f>
        <v>0</v>
      </c>
      <c r="O568" s="67">
        <f>249789.8-249789.8</f>
        <v>0</v>
      </c>
      <c r="P568" s="68"/>
      <c r="Q568" s="68"/>
      <c r="R568" s="67">
        <f>O568+P568</f>
        <v>0</v>
      </c>
      <c r="S568" s="68"/>
      <c r="T568" s="68"/>
      <c r="U568" s="68"/>
      <c r="V568" s="67"/>
      <c r="W568" s="67"/>
      <c r="X568" s="67">
        <f>R568+V568</f>
        <v>0</v>
      </c>
      <c r="Y568" s="67">
        <f>R568+H568</f>
        <v>0</v>
      </c>
      <c r="Z568" s="67">
        <f>D568-Y568</f>
        <v>1276340.48</v>
      </c>
      <c r="AA568" s="67">
        <f>N568+X568</f>
        <v>0</v>
      </c>
      <c r="AB568" s="67">
        <f>+D568-N568-X568</f>
        <v>1276340.48</v>
      </c>
      <c r="AC568" s="49" t="s">
        <v>263</v>
      </c>
      <c r="AD568" s="94">
        <f>+D462</f>
        <v>8523000</v>
      </c>
      <c r="AE568" s="94">
        <f>+E462</f>
        <v>8523000</v>
      </c>
      <c r="AF568" s="94">
        <f>+F462</f>
        <v>0</v>
      </c>
      <c r="AG568" s="94">
        <f t="shared" si="212"/>
        <v>8523000</v>
      </c>
      <c r="AH568">
        <f>+L462</f>
        <v>0</v>
      </c>
      <c r="AI568" s="94">
        <f t="shared" si="213"/>
        <v>8523000</v>
      </c>
      <c r="AJ568" s="94">
        <f>+O462</f>
        <v>0</v>
      </c>
      <c r="AK568">
        <f>+P462</f>
        <v>0</v>
      </c>
      <c r="AL568" s="94">
        <f t="shared" si="214"/>
        <v>0</v>
      </c>
      <c r="AM568" s="94">
        <f>+V462</f>
        <v>0</v>
      </c>
      <c r="AN568" s="94">
        <f t="shared" si="215"/>
        <v>0</v>
      </c>
      <c r="AO568" s="94">
        <f t="shared" si="216"/>
        <v>8523000</v>
      </c>
      <c r="AP568" s="94">
        <f t="shared" si="211"/>
        <v>0</v>
      </c>
      <c r="AQ568" s="94">
        <f t="shared" si="217"/>
        <v>0</v>
      </c>
      <c r="AV568" s="4"/>
      <c r="AY568" s="4"/>
    </row>
    <row r="569" spans="1:52" x14ac:dyDescent="0.25">
      <c r="C569" s="4" t="s">
        <v>317</v>
      </c>
      <c r="D569" s="55">
        <v>8000000</v>
      </c>
      <c r="E569" s="55">
        <v>8000000</v>
      </c>
      <c r="F569" s="55"/>
      <c r="G569" s="55"/>
      <c r="H569" s="55">
        <f>+E569+F569</f>
        <v>8000000</v>
      </c>
      <c r="I569" s="55"/>
      <c r="J569" s="55"/>
      <c r="K569" s="55"/>
      <c r="L569" s="55"/>
      <c r="M569" s="55"/>
      <c r="N569" s="55">
        <f>+H569+L569</f>
        <v>8000000</v>
      </c>
      <c r="O569" s="55">
        <v>0</v>
      </c>
      <c r="P569" s="55"/>
      <c r="Q569" s="55"/>
      <c r="R569" s="55">
        <f>+O569+P569</f>
        <v>0</v>
      </c>
      <c r="S569" s="55"/>
      <c r="T569" s="55"/>
      <c r="U569" s="55"/>
      <c r="V569" s="55"/>
      <c r="W569" s="55"/>
      <c r="X569" s="55">
        <f>+R569+V569</f>
        <v>0</v>
      </c>
      <c r="Y569" s="67">
        <f>R569+H569</f>
        <v>8000000</v>
      </c>
      <c r="Z569" s="67">
        <f>D569-Y569</f>
        <v>0</v>
      </c>
      <c r="AA569" s="67">
        <f>N569+X569</f>
        <v>8000000</v>
      </c>
      <c r="AB569" s="67">
        <f>+D569-N569-X569</f>
        <v>0</v>
      </c>
      <c r="AU569" s="4"/>
      <c r="AW569" s="4"/>
      <c r="AX569" s="4"/>
    </row>
    <row r="570" spans="1:52" x14ac:dyDescent="0.25">
      <c r="A570" s="46"/>
      <c r="B570" s="26"/>
      <c r="C570" s="3" t="s">
        <v>36</v>
      </c>
      <c r="D570" s="67">
        <f>114882+1166113.52</f>
        <v>1280995.52</v>
      </c>
      <c r="E570" s="67">
        <v>1280995.52</v>
      </c>
      <c r="F570" s="68"/>
      <c r="G570" s="68"/>
      <c r="H570" s="67">
        <f>E570+F570</f>
        <v>1280995.52</v>
      </c>
      <c r="I570" s="68"/>
      <c r="J570" s="68"/>
      <c r="K570" s="68"/>
      <c r="L570" s="67"/>
      <c r="M570" s="67"/>
      <c r="N570" s="67">
        <f>H570+L570</f>
        <v>1280995.52</v>
      </c>
      <c r="O570" s="67">
        <v>0</v>
      </c>
      <c r="P570" s="68"/>
      <c r="Q570" s="68"/>
      <c r="R570" s="67">
        <f>O570+P570</f>
        <v>0</v>
      </c>
      <c r="S570" s="68"/>
      <c r="T570" s="68"/>
      <c r="U570" s="68"/>
      <c r="V570" s="67"/>
      <c r="W570" s="67"/>
      <c r="X570" s="67">
        <f>R570+V570</f>
        <v>0</v>
      </c>
      <c r="Y570" s="67">
        <f>R570+H570</f>
        <v>1280995.52</v>
      </c>
      <c r="Z570" s="67">
        <f>D570-Y570</f>
        <v>0</v>
      </c>
      <c r="AA570" s="67">
        <f>N570+X570</f>
        <v>1280995.52</v>
      </c>
      <c r="AB570" s="67">
        <f>+D570-N570-X570</f>
        <v>0</v>
      </c>
      <c r="AC570" s="49" t="s">
        <v>65</v>
      </c>
      <c r="AD570" s="94">
        <f>D468+D516</f>
        <v>41640600.350000001</v>
      </c>
      <c r="AE570" s="94">
        <f>E468+E516</f>
        <v>41640600.350000001</v>
      </c>
      <c r="AF570" s="94">
        <f>F468+F516</f>
        <v>0</v>
      </c>
      <c r="AG570" s="94">
        <f t="shared" ref="AG570:AG575" si="218">+AE570+AF570</f>
        <v>41640600.350000001</v>
      </c>
      <c r="AH570">
        <f>L468+L516</f>
        <v>0</v>
      </c>
      <c r="AI570" s="94">
        <f t="shared" ref="AI570:AI575" si="219">+AG570+AH570</f>
        <v>41640600.350000001</v>
      </c>
      <c r="AJ570" s="94">
        <f>O468+O516</f>
        <v>0</v>
      </c>
      <c r="AK570">
        <f>P468+P516</f>
        <v>0</v>
      </c>
      <c r="AL570" s="94">
        <f t="shared" ref="AL570:AL575" si="220">+AJ570+AK570</f>
        <v>0</v>
      </c>
      <c r="AM570" s="94">
        <f>V468+V516</f>
        <v>0</v>
      </c>
      <c r="AN570" s="94">
        <f t="shared" ref="AN570:AN575" si="221">+AL570+AM570</f>
        <v>0</v>
      </c>
      <c r="AO570" s="94">
        <f t="shared" ref="AO570:AO575" si="222">+AG570+AL570</f>
        <v>41640600.350000001</v>
      </c>
      <c r="AP570" s="94">
        <f t="shared" ref="AP570:AP575" si="223">+AD570-AO570</f>
        <v>0</v>
      </c>
      <c r="AQ570" s="94">
        <f t="shared" ref="AQ570:AQ575" si="224">+AD570-AI570-AN570</f>
        <v>0</v>
      </c>
    </row>
    <row r="571" spans="1:52" x14ac:dyDescent="0.25">
      <c r="A571" s="46"/>
      <c r="B571" s="26"/>
      <c r="C571" s="2" t="s">
        <v>76</v>
      </c>
      <c r="D571" s="67">
        <v>2679521.69</v>
      </c>
      <c r="E571" s="67">
        <v>0</v>
      </c>
      <c r="F571" s="68"/>
      <c r="G571" s="68"/>
      <c r="H571" s="67">
        <f>E571+F571</f>
        <v>0</v>
      </c>
      <c r="I571" s="68"/>
      <c r="J571" s="68"/>
      <c r="K571" s="68"/>
      <c r="L571" s="67"/>
      <c r="M571" s="67"/>
      <c r="N571" s="67">
        <f>H571+L571</f>
        <v>0</v>
      </c>
      <c r="O571" s="67">
        <v>0</v>
      </c>
      <c r="P571" s="68"/>
      <c r="Q571" s="68"/>
      <c r="R571" s="67">
        <f>O571+P571</f>
        <v>0</v>
      </c>
      <c r="S571" s="67">
        <f>31310-31310</f>
        <v>0</v>
      </c>
      <c r="T571" s="68"/>
      <c r="U571" s="68"/>
      <c r="V571" s="67"/>
      <c r="W571" s="67"/>
      <c r="X571" s="67">
        <f>R571+V571</f>
        <v>0</v>
      </c>
      <c r="Y571" s="67">
        <f>R571+H571</f>
        <v>0</v>
      </c>
      <c r="Z571" s="67">
        <f>D571-Y571</f>
        <v>2679521.69</v>
      </c>
      <c r="AA571" s="67">
        <f>N571+X571</f>
        <v>0</v>
      </c>
      <c r="AB571" s="67">
        <f>+D571-N571-X571</f>
        <v>2679521.69</v>
      </c>
      <c r="AC571" s="49" t="s">
        <v>268</v>
      </c>
      <c r="AD571" s="94">
        <f>+D552</f>
        <v>182409.37</v>
      </c>
      <c r="AE571" s="94">
        <f>+E552</f>
        <v>0</v>
      </c>
      <c r="AF571" s="94">
        <f>+F552</f>
        <v>0</v>
      </c>
      <c r="AG571" s="94">
        <f t="shared" si="218"/>
        <v>0</v>
      </c>
      <c r="AH571">
        <f>+L552</f>
        <v>0</v>
      </c>
      <c r="AI571" s="94">
        <f t="shared" si="219"/>
        <v>0</v>
      </c>
      <c r="AJ571" s="94">
        <f>+O552</f>
        <v>0</v>
      </c>
      <c r="AK571">
        <f>+P552</f>
        <v>0</v>
      </c>
      <c r="AL571" s="94">
        <f t="shared" si="220"/>
        <v>0</v>
      </c>
      <c r="AM571" s="94">
        <f>+V552</f>
        <v>0</v>
      </c>
      <c r="AN571" s="94">
        <f t="shared" si="221"/>
        <v>0</v>
      </c>
      <c r="AO571" s="94">
        <f t="shared" si="222"/>
        <v>0</v>
      </c>
      <c r="AP571" s="94">
        <f t="shared" si="223"/>
        <v>182409.37</v>
      </c>
      <c r="AQ571" s="94">
        <f t="shared" si="224"/>
        <v>182409.37</v>
      </c>
      <c r="AV571" s="4"/>
    </row>
    <row r="572" spans="1:52" x14ac:dyDescent="0.25">
      <c r="A572" s="46"/>
      <c r="B572" s="26"/>
      <c r="C572" s="4"/>
      <c r="D572" s="70" t="s">
        <v>40</v>
      </c>
      <c r="E572" s="70" t="s">
        <v>40</v>
      </c>
      <c r="F572" s="70" t="s">
        <v>40</v>
      </c>
      <c r="G572" s="70"/>
      <c r="H572" s="70" t="s">
        <v>40</v>
      </c>
      <c r="I572" s="70" t="s">
        <v>40</v>
      </c>
      <c r="J572" s="70" t="s">
        <v>40</v>
      </c>
      <c r="K572" s="70" t="s">
        <v>40</v>
      </c>
      <c r="L572" s="70" t="s">
        <v>40</v>
      </c>
      <c r="M572" s="70"/>
      <c r="N572" s="70" t="s">
        <v>40</v>
      </c>
      <c r="O572" s="70" t="s">
        <v>40</v>
      </c>
      <c r="P572" s="70" t="s">
        <v>40</v>
      </c>
      <c r="Q572" s="70"/>
      <c r="R572" s="70" t="s">
        <v>40</v>
      </c>
      <c r="S572" s="70" t="s">
        <v>40</v>
      </c>
      <c r="T572" s="70" t="s">
        <v>40</v>
      </c>
      <c r="U572" s="70" t="s">
        <v>40</v>
      </c>
      <c r="V572" s="70" t="s">
        <v>40</v>
      </c>
      <c r="W572" s="70"/>
      <c r="X572" s="70" t="s">
        <v>40</v>
      </c>
      <c r="Y572" s="70" t="s">
        <v>40</v>
      </c>
      <c r="Z572" s="70" t="s">
        <v>40</v>
      </c>
      <c r="AA572" s="70" t="s">
        <v>40</v>
      </c>
      <c r="AB572" s="70" t="s">
        <v>40</v>
      </c>
      <c r="AC572" s="49" t="s">
        <v>267</v>
      </c>
      <c r="AD572" s="94">
        <f>+D496</f>
        <v>10000000</v>
      </c>
      <c r="AE572" s="94">
        <f>+E496</f>
        <v>5843730.0300000003</v>
      </c>
      <c r="AF572" s="94">
        <f>+F496</f>
        <v>0</v>
      </c>
      <c r="AG572" s="94">
        <f t="shared" si="218"/>
        <v>5843730.0300000003</v>
      </c>
      <c r="AH572">
        <f>+L496</f>
        <v>0</v>
      </c>
      <c r="AI572" s="94">
        <f t="shared" si="219"/>
        <v>5843730.0300000003</v>
      </c>
      <c r="AJ572" s="94">
        <f>+O496</f>
        <v>835222.3</v>
      </c>
      <c r="AK572">
        <f>+P496</f>
        <v>0</v>
      </c>
      <c r="AL572" s="94">
        <f t="shared" si="220"/>
        <v>835222.3</v>
      </c>
      <c r="AM572" s="94">
        <f>+V496</f>
        <v>0</v>
      </c>
      <c r="AN572" s="94">
        <f t="shared" si="221"/>
        <v>835222.3</v>
      </c>
      <c r="AO572" s="94">
        <f t="shared" si="222"/>
        <v>6678952.3300000001</v>
      </c>
      <c r="AP572" s="94">
        <f t="shared" si="223"/>
        <v>3321047.67</v>
      </c>
      <c r="AQ572" s="94">
        <f t="shared" si="224"/>
        <v>3321047.67</v>
      </c>
      <c r="AT572" s="4"/>
      <c r="AU572" s="4"/>
    </row>
    <row r="573" spans="1:52" ht="15.75" customHeight="1" x14ac:dyDescent="0.25">
      <c r="A573" s="46"/>
      <c r="B573" s="26"/>
      <c r="C573" s="4"/>
      <c r="D573" s="67">
        <f>SUM(D568:D571)</f>
        <v>13236857.689999999</v>
      </c>
      <c r="E573" s="67">
        <f>SUM(E568:E571)</f>
        <v>9280995.5199999996</v>
      </c>
      <c r="F573" s="67">
        <f>SUM(F568:F571)</f>
        <v>0</v>
      </c>
      <c r="G573" s="67"/>
      <c r="H573" s="67">
        <f>SUM(H568:H571)</f>
        <v>9280995.5199999996</v>
      </c>
      <c r="I573" s="67">
        <f>SUM(I568:I571)</f>
        <v>0</v>
      </c>
      <c r="J573" s="67">
        <f>SUM(J568:J571)</f>
        <v>0</v>
      </c>
      <c r="K573" s="67">
        <f>SUM(K568:K571)</f>
        <v>0</v>
      </c>
      <c r="L573" s="67">
        <f>SUM(L568:L571)</f>
        <v>0</v>
      </c>
      <c r="M573" s="67"/>
      <c r="N573" s="67">
        <f>SUM(N568:N571)</f>
        <v>9280995.5199999996</v>
      </c>
      <c r="O573" s="67">
        <f>SUM(O568:O571)</f>
        <v>0</v>
      </c>
      <c r="P573" s="67">
        <f>SUM(P568:P571)</f>
        <v>0</v>
      </c>
      <c r="Q573" s="67"/>
      <c r="R573" s="67">
        <f>SUM(R568:R571)</f>
        <v>0</v>
      </c>
      <c r="S573" s="67">
        <f>SUM(S568:S571)</f>
        <v>0</v>
      </c>
      <c r="T573" s="67">
        <f>SUM(T568:T571)</f>
        <v>0</v>
      </c>
      <c r="U573" s="67">
        <f>SUM(U568:U571)</f>
        <v>0</v>
      </c>
      <c r="V573" s="67">
        <f>SUM(V568:V571)</f>
        <v>0</v>
      </c>
      <c r="W573" s="67"/>
      <c r="X573" s="67">
        <f>SUM(X568:X571)</f>
        <v>0</v>
      </c>
      <c r="Y573" s="67">
        <f>SUM(Y568:Y571)</f>
        <v>9280995.5199999996</v>
      </c>
      <c r="Z573" s="67">
        <f>SUM(Z568:Z571)</f>
        <v>3955862.17</v>
      </c>
      <c r="AA573" s="67">
        <f>SUM(AA568:AA571)</f>
        <v>9280995.5199999996</v>
      </c>
      <c r="AB573" s="67">
        <f>SUM(AB568:AB571)</f>
        <v>3955862.17</v>
      </c>
      <c r="AC573" s="49" t="s">
        <v>53</v>
      </c>
      <c r="AD573" s="94">
        <f>D536+D544+D562</f>
        <v>58362308.860000007</v>
      </c>
      <c r="AE573" s="94">
        <f>E536+E544+E562</f>
        <v>0</v>
      </c>
      <c r="AF573" s="94">
        <f>F536+F544+F562</f>
        <v>0</v>
      </c>
      <c r="AG573" s="94">
        <f t="shared" si="218"/>
        <v>0</v>
      </c>
      <c r="AH573">
        <f>L536+L544+L562</f>
        <v>0</v>
      </c>
      <c r="AI573" s="94">
        <f t="shared" si="219"/>
        <v>0</v>
      </c>
      <c r="AJ573" s="94">
        <f>O536+O544+O562</f>
        <v>20327144.710000001</v>
      </c>
      <c r="AK573">
        <f>P536+P544+P562</f>
        <v>0</v>
      </c>
      <c r="AL573" s="94">
        <f t="shared" si="220"/>
        <v>20327144.710000001</v>
      </c>
      <c r="AM573" s="94">
        <f>V536+V544+V562</f>
        <v>0</v>
      </c>
      <c r="AN573" s="94">
        <f t="shared" si="221"/>
        <v>20327144.710000001</v>
      </c>
      <c r="AO573" s="94">
        <f t="shared" si="222"/>
        <v>20327144.710000001</v>
      </c>
      <c r="AP573" s="94">
        <f t="shared" si="223"/>
        <v>38035164.150000006</v>
      </c>
      <c r="AQ573" s="94">
        <f t="shared" si="224"/>
        <v>38035164.150000006</v>
      </c>
    </row>
    <row r="574" spans="1:52" ht="15.75" customHeight="1" x14ac:dyDescent="0.25">
      <c r="A574" s="46"/>
      <c r="B574" s="26"/>
      <c r="C574" s="4"/>
      <c r="D574" s="70" t="s">
        <v>40</v>
      </c>
      <c r="E574" s="70" t="s">
        <v>40</v>
      </c>
      <c r="F574" s="70" t="s">
        <v>40</v>
      </c>
      <c r="G574" s="70"/>
      <c r="H574" s="70" t="s">
        <v>40</v>
      </c>
      <c r="I574" s="70" t="s">
        <v>40</v>
      </c>
      <c r="J574" s="70" t="s">
        <v>40</v>
      </c>
      <c r="K574" s="70" t="s">
        <v>40</v>
      </c>
      <c r="L574" s="70" t="s">
        <v>40</v>
      </c>
      <c r="M574" s="70"/>
      <c r="N574" s="70" t="s">
        <v>40</v>
      </c>
      <c r="O574" s="70" t="s">
        <v>40</v>
      </c>
      <c r="P574" s="70" t="s">
        <v>40</v>
      </c>
      <c r="Q574" s="70"/>
      <c r="R574" s="70" t="s">
        <v>40</v>
      </c>
      <c r="S574" s="70" t="s">
        <v>40</v>
      </c>
      <c r="T574" s="70" t="s">
        <v>40</v>
      </c>
      <c r="U574" s="70" t="s">
        <v>40</v>
      </c>
      <c r="V574" s="70" t="s">
        <v>40</v>
      </c>
      <c r="W574" s="70"/>
      <c r="X574" s="70" t="s">
        <v>40</v>
      </c>
      <c r="Y574" s="70" t="s">
        <v>40</v>
      </c>
      <c r="Z574" s="70" t="s">
        <v>40</v>
      </c>
      <c r="AA574" s="70" t="s">
        <v>40</v>
      </c>
      <c r="AB574" s="70" t="s">
        <v>40</v>
      </c>
      <c r="AC574" s="49" t="s">
        <v>54</v>
      </c>
      <c r="AD574" s="94">
        <f>D537+D546+D563</f>
        <v>37792203.060000002</v>
      </c>
      <c r="AE574" s="94">
        <f>E537+E546+E563</f>
        <v>0</v>
      </c>
      <c r="AF574" s="94">
        <f>F537+F546+F563</f>
        <v>0</v>
      </c>
      <c r="AG574" s="94">
        <f t="shared" si="218"/>
        <v>0</v>
      </c>
      <c r="AH574">
        <f>L537+L546+L563</f>
        <v>0</v>
      </c>
      <c r="AI574" s="94">
        <f t="shared" si="219"/>
        <v>0</v>
      </c>
      <c r="AJ574" s="94">
        <f>O537+O546+O563</f>
        <v>37792203.059999995</v>
      </c>
      <c r="AK574">
        <f>P537+P546+P563</f>
        <v>0</v>
      </c>
      <c r="AL574" s="94">
        <f t="shared" si="220"/>
        <v>37792203.059999995</v>
      </c>
      <c r="AM574" s="94">
        <f>V537+V546+V563</f>
        <v>0</v>
      </c>
      <c r="AN574" s="94">
        <f t="shared" si="221"/>
        <v>37792203.059999995</v>
      </c>
      <c r="AO574" s="94">
        <f t="shared" si="222"/>
        <v>37792203.059999995</v>
      </c>
      <c r="AP574" s="94">
        <f t="shared" si="223"/>
        <v>0</v>
      </c>
      <c r="AQ574" s="94">
        <f t="shared" si="224"/>
        <v>0</v>
      </c>
    </row>
    <row r="575" spans="1:52" x14ac:dyDescent="0.25">
      <c r="A575" s="46"/>
      <c r="B575" s="26"/>
      <c r="C575" s="2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49" t="s">
        <v>264</v>
      </c>
      <c r="AD575" s="94">
        <f>D481+D571</f>
        <v>4374889.99</v>
      </c>
      <c r="AE575" s="94">
        <f>E481+E571</f>
        <v>0</v>
      </c>
      <c r="AF575" s="94">
        <f>F481+F571</f>
        <v>0</v>
      </c>
      <c r="AG575" s="94">
        <f t="shared" si="218"/>
        <v>0</v>
      </c>
      <c r="AH575">
        <f>L481+L571</f>
        <v>0</v>
      </c>
      <c r="AI575" s="94">
        <f t="shared" si="219"/>
        <v>0</v>
      </c>
      <c r="AJ575" s="94">
        <f>O481+O571</f>
        <v>0</v>
      </c>
      <c r="AK575">
        <f>P481+P571</f>
        <v>0</v>
      </c>
      <c r="AL575" s="94">
        <f t="shared" si="220"/>
        <v>0</v>
      </c>
      <c r="AM575" s="94">
        <f>V481+V571</f>
        <v>0</v>
      </c>
      <c r="AN575" s="94">
        <f t="shared" si="221"/>
        <v>0</v>
      </c>
      <c r="AO575" s="94">
        <f t="shared" si="222"/>
        <v>0</v>
      </c>
      <c r="AP575" s="94">
        <f t="shared" si="223"/>
        <v>4374889.99</v>
      </c>
      <c r="AQ575" s="94">
        <f t="shared" si="224"/>
        <v>4374889.99</v>
      </c>
      <c r="AT575" s="4"/>
    </row>
    <row r="576" spans="1:52" x14ac:dyDescent="0.25">
      <c r="A576" s="46"/>
      <c r="B576" s="37" t="s">
        <v>26</v>
      </c>
      <c r="C576" s="2" t="s">
        <v>77</v>
      </c>
      <c r="D576" s="67">
        <f>D573+D565+D555+D548+D539+D530+D521+D508+D498+D487+D476+D470+D464</f>
        <v>696454008.55999994</v>
      </c>
      <c r="E576" s="67">
        <f>E573+E565+E555+E548+E539+E530+E521+E508+E498+E487+E476+E470+E464</f>
        <v>226222558.35300002</v>
      </c>
      <c r="F576" s="67">
        <f>F573+F565+F555+F548+F539+F530+F521+F508+F498+F487+F476+F470+F464</f>
        <v>3000000</v>
      </c>
      <c r="G576" s="67"/>
      <c r="H576" s="67">
        <f>H573+H565+H555+H548+H539+H530+H521+H508+H498+H487+H476+H470+H464</f>
        <v>229222558.35300002</v>
      </c>
      <c r="I576" s="67">
        <f>I573+I565+I555+I548+I539+I530+I521+I508+I498+I487+I476+I470+I464</f>
        <v>0</v>
      </c>
      <c r="J576" s="67">
        <f>J573+J565+J555+J548+J539+J530+J521+J508+J498+J487+J476+J470+J464</f>
        <v>0</v>
      </c>
      <c r="K576" s="67">
        <f>K573+K565+K555+K548+K539+K530+K521+K508+K498+K487+K476+K470+K464</f>
        <v>0</v>
      </c>
      <c r="L576" s="67">
        <f>L573+L565+L555+L548+L539+L530+L521+L508+L498+L487+L476+L470+L464</f>
        <v>0</v>
      </c>
      <c r="M576" s="67"/>
      <c r="N576" s="67">
        <f>N573+N565+N555+N548+N539+N530+N521+N508+N498+N487+N476+N470+N464</f>
        <v>229222558.35300002</v>
      </c>
      <c r="O576" s="67">
        <f>O573+O565+O555+O548+O539+O530+O521+O508+O498+O487+O476+O470+O464</f>
        <v>115159319.76999998</v>
      </c>
      <c r="P576" s="67">
        <f>P573+P565+P555+P548+P539+P530+P521+P508+P498+P487+P476+P470+P464</f>
        <v>0</v>
      </c>
      <c r="Q576" s="67"/>
      <c r="R576" s="67">
        <f>R573+R565+R555+R548+R539+R530+R521+R508+R498+R487+R476+R470+R464</f>
        <v>115159319.76999998</v>
      </c>
      <c r="S576" s="67">
        <f>S573+S565+S555+S548+S539+S530+S521+S508+S498+S487+S476+S470+S464</f>
        <v>52403326.670000002</v>
      </c>
      <c r="T576" s="67">
        <f>T573+T565+T555+T548+T539+T530+T521+T508+T498+T487+T476+T470+T464</f>
        <v>14686540.129999999</v>
      </c>
      <c r="U576" s="67">
        <f>U573+U565+U555+U548+U539+U530+U521+U508+U498+U487+U476+U470+U464</f>
        <v>0</v>
      </c>
      <c r="V576" s="67">
        <f>V573+V565+V555+V548+V539+V530+V521+V508+V498+V487+V476+V470+V464</f>
        <v>0</v>
      </c>
      <c r="W576" s="67"/>
      <c r="X576" s="67">
        <f>X573+X565+X555+X548+X539+X530+X521+X508+X498+X487+X476+X470+X464</f>
        <v>115159319.76999998</v>
      </c>
      <c r="Y576" s="67">
        <f>Y573+Y565+Y555+Y548+Y539+Y530+Y521+Y508+Y498+Y487+Y476+Y470+Y464</f>
        <v>344381878.12300003</v>
      </c>
      <c r="Z576" s="67">
        <f>Z573+Z565+Z555+Z548+Z539+Z530+Z521+Z508+Z498+Z487+Z476+Z470+Z464</f>
        <v>352072130.43699998</v>
      </c>
      <c r="AA576" s="67">
        <f>AA573+AA565+AA555+AA548+AA539+AA530+AA521+AA508+AA498+AA487+AA476+AA470+AA464</f>
        <v>344381878.12300003</v>
      </c>
      <c r="AB576" s="67">
        <f>AB573+AB565+AB555+AB548+AB539+AB530+AB521+AB508+AB498+AB487+AB476+AB470+AB464</f>
        <v>352072130.43699998</v>
      </c>
      <c r="AD576" s="95">
        <f t="shared" ref="AD576:AQ576" si="225">SUM(AD558:AD575)</f>
        <v>696454008.56000018</v>
      </c>
      <c r="AE576" s="95">
        <f t="shared" si="225"/>
        <v>226222558.35299999</v>
      </c>
      <c r="AF576" s="95">
        <f t="shared" si="225"/>
        <v>3000000</v>
      </c>
      <c r="AG576" s="95">
        <f t="shared" si="225"/>
        <v>229222558.35299999</v>
      </c>
      <c r="AH576" s="95">
        <f t="shared" si="225"/>
        <v>0</v>
      </c>
      <c r="AI576" s="95">
        <f t="shared" si="225"/>
        <v>229222558.35299999</v>
      </c>
      <c r="AJ576" s="95">
        <f t="shared" si="225"/>
        <v>115159319.77000001</v>
      </c>
      <c r="AK576" s="95">
        <f t="shared" si="225"/>
        <v>0</v>
      </c>
      <c r="AL576" s="95">
        <f t="shared" si="225"/>
        <v>115159319.77000001</v>
      </c>
      <c r="AM576" s="95">
        <f t="shared" si="225"/>
        <v>0</v>
      </c>
      <c r="AN576" s="95">
        <f t="shared" si="225"/>
        <v>115159319.77000001</v>
      </c>
      <c r="AO576" s="95">
        <f t="shared" si="225"/>
        <v>344381878.12299997</v>
      </c>
      <c r="AP576" s="95">
        <f t="shared" si="225"/>
        <v>352072130.44000006</v>
      </c>
      <c r="AQ576" s="95">
        <f t="shared" si="225"/>
        <v>352072130.43700004</v>
      </c>
      <c r="AS576" s="4"/>
    </row>
    <row r="577" spans="1:45" x14ac:dyDescent="0.25">
      <c r="A577" s="46"/>
      <c r="B577" s="26"/>
      <c r="C577" s="4"/>
      <c r="D577" s="70" t="s">
        <v>50</v>
      </c>
      <c r="E577" s="70" t="s">
        <v>50</v>
      </c>
      <c r="F577" s="70" t="s">
        <v>50</v>
      </c>
      <c r="G577" s="70"/>
      <c r="H577" s="70" t="s">
        <v>50</v>
      </c>
      <c r="I577" s="70" t="s">
        <v>50</v>
      </c>
      <c r="J577" s="70" t="s">
        <v>50</v>
      </c>
      <c r="K577" s="70" t="s">
        <v>50</v>
      </c>
      <c r="L577" s="70" t="s">
        <v>50</v>
      </c>
      <c r="M577" s="70"/>
      <c r="N577" s="70" t="s">
        <v>50</v>
      </c>
      <c r="O577" s="70" t="s">
        <v>50</v>
      </c>
      <c r="P577" s="70" t="s">
        <v>50</v>
      </c>
      <c r="Q577" s="70"/>
      <c r="R577" s="70" t="s">
        <v>50</v>
      </c>
      <c r="S577" s="70" t="s">
        <v>50</v>
      </c>
      <c r="T577" s="70" t="s">
        <v>50</v>
      </c>
      <c r="U577" s="70" t="s">
        <v>50</v>
      </c>
      <c r="V577" s="70" t="s">
        <v>50</v>
      </c>
      <c r="W577" s="70"/>
      <c r="X577" s="70" t="s">
        <v>50</v>
      </c>
      <c r="Y577" s="70" t="s">
        <v>50</v>
      </c>
      <c r="Z577" s="70" t="s">
        <v>50</v>
      </c>
      <c r="AA577" s="70" t="s">
        <v>50</v>
      </c>
      <c r="AB577" s="70" t="s">
        <v>50</v>
      </c>
    </row>
    <row r="578" spans="1:45" x14ac:dyDescent="0.25">
      <c r="A578" s="46"/>
      <c r="B578" s="26"/>
      <c r="C578" s="20"/>
      <c r="D578" s="75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Q578">
        <f>+AB576-AQ576</f>
        <v>0</v>
      </c>
    </row>
    <row r="579" spans="1:45" ht="19.5" x14ac:dyDescent="0.35">
      <c r="A579" s="46"/>
      <c r="B579" s="48" t="s">
        <v>196</v>
      </c>
      <c r="C579" s="4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</row>
    <row r="580" spans="1:45" x14ac:dyDescent="0.25">
      <c r="A580" s="46"/>
      <c r="B580" s="26"/>
      <c r="C580" s="4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S580" s="4"/>
    </row>
    <row r="581" spans="1:45" x14ac:dyDescent="0.25">
      <c r="A581" s="46">
        <v>58</v>
      </c>
      <c r="B581" s="26" t="s">
        <v>197</v>
      </c>
      <c r="C581" s="2" t="s">
        <v>35</v>
      </c>
      <c r="D581" s="68">
        <f>40836461.2-6732875.33</f>
        <v>34103585.870000005</v>
      </c>
      <c r="E581" s="68">
        <v>31075446</v>
      </c>
      <c r="F581" s="68"/>
      <c r="G581" s="68"/>
      <c r="H581" s="67">
        <f>E581+F581</f>
        <v>31075446</v>
      </c>
      <c r="I581" s="68"/>
      <c r="J581" s="68"/>
      <c r="K581" s="68"/>
      <c r="L581" s="68"/>
      <c r="M581" s="68"/>
      <c r="N581" s="67">
        <f>H581+L581</f>
        <v>31075446</v>
      </c>
      <c r="O581" s="68">
        <f>1283403.36+147127.51+1534860-147127.51</f>
        <v>2818263.3600000003</v>
      </c>
      <c r="P581" s="68"/>
      <c r="Q581" s="68"/>
      <c r="R581" s="67">
        <f>O581+P581</f>
        <v>2818263.3600000003</v>
      </c>
      <c r="S581" s="68"/>
      <c r="T581" s="68"/>
      <c r="U581" s="68"/>
      <c r="V581" s="68"/>
      <c r="W581" s="68"/>
      <c r="X581" s="67">
        <f>R581+V581</f>
        <v>2818263.3600000003</v>
      </c>
      <c r="Y581" s="67">
        <f t="shared" ref="Y581:Y587" si="226">R581+H581</f>
        <v>33893709.359999999</v>
      </c>
      <c r="Z581" s="67">
        <f t="shared" ref="Z581:Z587" si="227">D581-Y581</f>
        <v>209876.51000000536</v>
      </c>
      <c r="AA581" s="67">
        <f t="shared" ref="AA581:AA587" si="228">N581+X581</f>
        <v>33893709.359999999</v>
      </c>
      <c r="AB581" s="67">
        <f t="shared" ref="AB581:AB587" si="229">+D581-N581-X581</f>
        <v>209876.51000000443</v>
      </c>
      <c r="AR581" s="4"/>
    </row>
    <row r="582" spans="1:45" x14ac:dyDescent="0.25">
      <c r="A582" s="46"/>
      <c r="B582" s="26"/>
      <c r="C582" s="4" t="s">
        <v>36</v>
      </c>
      <c r="D582" s="68">
        <v>2118204</v>
      </c>
      <c r="E582" s="68">
        <v>2118204</v>
      </c>
      <c r="F582" s="68"/>
      <c r="G582" s="68"/>
      <c r="H582" s="67">
        <f>E582+F582</f>
        <v>2118204</v>
      </c>
      <c r="I582" s="68"/>
      <c r="J582" s="68"/>
      <c r="K582" s="68"/>
      <c r="L582" s="68"/>
      <c r="M582" s="68"/>
      <c r="N582" s="67">
        <f>H582+L582</f>
        <v>2118204</v>
      </c>
      <c r="O582" s="68"/>
      <c r="P582" s="68"/>
      <c r="Q582" s="68"/>
      <c r="R582" s="67">
        <f>O582+P582</f>
        <v>0</v>
      </c>
      <c r="S582" s="68"/>
      <c r="T582" s="68"/>
      <c r="U582" s="68"/>
      <c r="V582" s="68"/>
      <c r="W582" s="68"/>
      <c r="X582" s="67">
        <f>R582+V582</f>
        <v>0</v>
      </c>
      <c r="Y582" s="67">
        <f t="shared" si="226"/>
        <v>2118204</v>
      </c>
      <c r="Z582" s="67">
        <f t="shared" si="227"/>
        <v>0</v>
      </c>
      <c r="AA582" s="67">
        <f t="shared" si="228"/>
        <v>2118204</v>
      </c>
      <c r="AB582" s="67">
        <f t="shared" si="229"/>
        <v>0</v>
      </c>
    </row>
    <row r="583" spans="1:45" x14ac:dyDescent="0.25">
      <c r="C583" s="4" t="s">
        <v>305</v>
      </c>
      <c r="D583" s="55">
        <v>34199417.729999997</v>
      </c>
      <c r="E583" s="55">
        <v>34199417.729999997</v>
      </c>
      <c r="F583" s="55"/>
      <c r="G583" s="55"/>
      <c r="H583" s="55">
        <f>+E583+F583</f>
        <v>34199417.729999997</v>
      </c>
      <c r="I583" s="55"/>
      <c r="J583" s="55"/>
      <c r="K583" s="55"/>
      <c r="L583" s="55"/>
      <c r="M583" s="55"/>
      <c r="N583" s="55">
        <f>+H583+L583</f>
        <v>34199417.729999997</v>
      </c>
      <c r="O583" s="55"/>
      <c r="P583" s="55"/>
      <c r="Q583" s="55"/>
      <c r="R583" s="55">
        <f>+O583+P583</f>
        <v>0</v>
      </c>
      <c r="S583" s="55"/>
      <c r="T583" s="55"/>
      <c r="U583" s="55"/>
      <c r="V583" s="55"/>
      <c r="W583" s="55"/>
      <c r="X583" s="55">
        <f>+R583+V583</f>
        <v>0</v>
      </c>
      <c r="Y583" s="67">
        <f t="shared" si="226"/>
        <v>34199417.729999997</v>
      </c>
      <c r="Z583" s="67">
        <f t="shared" si="227"/>
        <v>0</v>
      </c>
      <c r="AA583" s="67">
        <f t="shared" si="228"/>
        <v>34199417.729999997</v>
      </c>
      <c r="AB583" s="67">
        <f t="shared" si="229"/>
        <v>0</v>
      </c>
    </row>
    <row r="584" spans="1:45" x14ac:dyDescent="0.25">
      <c r="C584" s="4" t="s">
        <v>317</v>
      </c>
      <c r="D584" s="55">
        <v>6732875.3300000001</v>
      </c>
      <c r="E584" s="55">
        <v>6732875.3300000001</v>
      </c>
      <c r="F584" s="55"/>
      <c r="G584" s="55"/>
      <c r="H584" s="55">
        <f>+E584+F584</f>
        <v>6732875.3300000001</v>
      </c>
      <c r="I584" s="55"/>
      <c r="J584" s="55"/>
      <c r="K584" s="55"/>
      <c r="L584" s="55"/>
      <c r="M584" s="55"/>
      <c r="N584" s="55">
        <f>+H584+L584</f>
        <v>6732875.3300000001</v>
      </c>
      <c r="O584" s="55"/>
      <c r="P584" s="55"/>
      <c r="Q584" s="55"/>
      <c r="R584" s="55">
        <f>+O584+P584</f>
        <v>0</v>
      </c>
      <c r="S584" s="55"/>
      <c r="T584" s="55"/>
      <c r="U584" s="55"/>
      <c r="V584" s="55"/>
      <c r="W584" s="55"/>
      <c r="X584" s="55">
        <f>+R584+V584</f>
        <v>0</v>
      </c>
      <c r="Y584" s="67">
        <f t="shared" si="226"/>
        <v>6732875.3300000001</v>
      </c>
      <c r="Z584" s="67">
        <f t="shared" si="227"/>
        <v>0</v>
      </c>
      <c r="AA584" s="67">
        <f t="shared" si="228"/>
        <v>6732875.3300000001</v>
      </c>
      <c r="AB584" s="67">
        <f t="shared" si="229"/>
        <v>0</v>
      </c>
      <c r="AR584" s="4"/>
    </row>
    <row r="585" spans="1:45" x14ac:dyDescent="0.25">
      <c r="C585" s="4" t="s">
        <v>290</v>
      </c>
      <c r="D585" s="55">
        <f>22126369.16+1873630.84</f>
        <v>24000000</v>
      </c>
      <c r="E585" s="55"/>
      <c r="F585" s="55">
        <f>22126369.16+1873630.84</f>
        <v>24000000</v>
      </c>
      <c r="G585" s="55"/>
      <c r="H585" s="55">
        <f>+E585+F585</f>
        <v>24000000</v>
      </c>
      <c r="I585" s="55"/>
      <c r="J585" s="55"/>
      <c r="K585" s="55"/>
      <c r="L585" s="55"/>
      <c r="M585" s="55"/>
      <c r="N585" s="55">
        <f>+H585+L585</f>
        <v>24000000</v>
      </c>
      <c r="O585" s="55"/>
      <c r="P585" s="55"/>
      <c r="Q585" s="55"/>
      <c r="R585" s="55">
        <f>+O585+P585</f>
        <v>0</v>
      </c>
      <c r="S585" s="55"/>
      <c r="T585" s="55"/>
      <c r="U585" s="55"/>
      <c r="V585" s="55"/>
      <c r="W585" s="55"/>
      <c r="X585" s="55">
        <f>+R585+V585</f>
        <v>0</v>
      </c>
      <c r="Y585" s="67">
        <f t="shared" si="226"/>
        <v>24000000</v>
      </c>
      <c r="Z585" s="67">
        <f t="shared" si="227"/>
        <v>0</v>
      </c>
      <c r="AA585" s="67">
        <f t="shared" si="228"/>
        <v>24000000</v>
      </c>
      <c r="AB585" s="67">
        <f t="shared" si="229"/>
        <v>0</v>
      </c>
    </row>
    <row r="586" spans="1:45" ht="16.5" customHeight="1" x14ac:dyDescent="0.25">
      <c r="A586" s="46"/>
      <c r="B586" s="26"/>
      <c r="C586" s="4" t="s">
        <v>198</v>
      </c>
      <c r="D586" s="68">
        <v>656062.4</v>
      </c>
      <c r="E586" s="68"/>
      <c r="F586" s="68"/>
      <c r="G586" s="68"/>
      <c r="H586" s="67">
        <f>E586+F586</f>
        <v>0</v>
      </c>
      <c r="I586" s="68"/>
      <c r="J586" s="68"/>
      <c r="K586" s="68"/>
      <c r="L586" s="68"/>
      <c r="M586" s="68"/>
      <c r="N586" s="67">
        <f>H586+L586</f>
        <v>0</v>
      </c>
      <c r="O586" s="68"/>
      <c r="P586" s="68"/>
      <c r="Q586" s="68"/>
      <c r="R586" s="67">
        <f>O586+P586</f>
        <v>0</v>
      </c>
      <c r="S586" s="68"/>
      <c r="T586" s="68"/>
      <c r="U586" s="68"/>
      <c r="V586" s="68"/>
      <c r="W586" s="68"/>
      <c r="X586" s="67">
        <f>R586+V586</f>
        <v>0</v>
      </c>
      <c r="Y586" s="67">
        <f t="shared" si="226"/>
        <v>0</v>
      </c>
      <c r="Z586" s="67">
        <f t="shared" si="227"/>
        <v>656062.4</v>
      </c>
      <c r="AA586" s="67">
        <f t="shared" si="228"/>
        <v>0</v>
      </c>
      <c r="AB586" s="67">
        <f t="shared" si="229"/>
        <v>656062.4</v>
      </c>
    </row>
    <row r="587" spans="1:45" x14ac:dyDescent="0.25">
      <c r="A587" s="46"/>
      <c r="B587" s="26"/>
      <c r="C587" s="4" t="s">
        <v>183</v>
      </c>
      <c r="D587" s="68">
        <v>14818145.01</v>
      </c>
      <c r="E587" s="68"/>
      <c r="F587" s="68"/>
      <c r="G587" s="68"/>
      <c r="H587" s="67">
        <f>E587+F587</f>
        <v>0</v>
      </c>
      <c r="I587" s="68"/>
      <c r="J587" s="68"/>
      <c r="K587" s="68"/>
      <c r="L587" s="68"/>
      <c r="M587" s="68"/>
      <c r="N587" s="67">
        <f>H587+L587</f>
        <v>0</v>
      </c>
      <c r="O587" s="68">
        <f>3930287.12+147127.51</f>
        <v>4077414.63</v>
      </c>
      <c r="P587" s="68"/>
      <c r="Q587" s="68"/>
      <c r="R587" s="67">
        <f>O587+P587</f>
        <v>4077414.63</v>
      </c>
      <c r="S587" s="68"/>
      <c r="T587" s="68"/>
      <c r="U587" s="68"/>
      <c r="V587" s="68"/>
      <c r="W587" s="68"/>
      <c r="X587" s="67">
        <f>R587+V587</f>
        <v>4077414.63</v>
      </c>
      <c r="Y587" s="67">
        <f t="shared" si="226"/>
        <v>4077414.63</v>
      </c>
      <c r="Z587" s="67">
        <f t="shared" si="227"/>
        <v>10740730.379999999</v>
      </c>
      <c r="AA587" s="67">
        <f t="shared" si="228"/>
        <v>4077414.63</v>
      </c>
      <c r="AB587" s="67">
        <f t="shared" si="229"/>
        <v>10740730.379999999</v>
      </c>
    </row>
    <row r="588" spans="1:45" ht="15.75" customHeight="1" x14ac:dyDescent="0.25">
      <c r="A588" s="46"/>
      <c r="B588" s="26"/>
      <c r="C588" s="4"/>
      <c r="D588" s="70" t="s">
        <v>40</v>
      </c>
      <c r="E588" s="70" t="s">
        <v>40</v>
      </c>
      <c r="F588" s="70" t="s">
        <v>40</v>
      </c>
      <c r="G588" s="70"/>
      <c r="H588" s="70" t="s">
        <v>40</v>
      </c>
      <c r="I588" s="70" t="s">
        <v>40</v>
      </c>
      <c r="J588" s="70" t="s">
        <v>40</v>
      </c>
      <c r="K588" s="70" t="s">
        <v>40</v>
      </c>
      <c r="L588" s="70" t="s">
        <v>40</v>
      </c>
      <c r="M588" s="70"/>
      <c r="N588" s="70" t="s">
        <v>40</v>
      </c>
      <c r="O588" s="70" t="s">
        <v>40</v>
      </c>
      <c r="P588" s="70" t="s">
        <v>40</v>
      </c>
      <c r="Q588" s="70"/>
      <c r="R588" s="70" t="s">
        <v>40</v>
      </c>
      <c r="S588" s="70" t="s">
        <v>40</v>
      </c>
      <c r="T588" s="70" t="s">
        <v>40</v>
      </c>
      <c r="U588" s="70" t="s">
        <v>40</v>
      </c>
      <c r="V588" s="70" t="s">
        <v>40</v>
      </c>
      <c r="W588" s="70"/>
      <c r="X588" s="70" t="s">
        <v>40</v>
      </c>
      <c r="Y588" s="70" t="s">
        <v>40</v>
      </c>
      <c r="Z588" s="70" t="s">
        <v>40</v>
      </c>
      <c r="AA588" s="70" t="s">
        <v>40</v>
      </c>
      <c r="AB588" s="70" t="s">
        <v>40</v>
      </c>
    </row>
    <row r="589" spans="1:45" x14ac:dyDescent="0.25">
      <c r="A589" s="46"/>
      <c r="B589" s="26"/>
      <c r="C589" s="4"/>
      <c r="D589" s="68">
        <f>SUM(D581:D587)</f>
        <v>116628290.34</v>
      </c>
      <c r="E589" s="68">
        <f>SUM(E581:E587)</f>
        <v>74125943.059999987</v>
      </c>
      <c r="F589" s="68">
        <f>SUM(F581:F587)</f>
        <v>24000000</v>
      </c>
      <c r="G589" s="68"/>
      <c r="H589" s="68">
        <f>SUM(H581:H587)</f>
        <v>98125943.059999987</v>
      </c>
      <c r="I589" s="68">
        <f>SUM(I581:I587)</f>
        <v>0</v>
      </c>
      <c r="J589" s="68">
        <f>SUM(J581:J587)</f>
        <v>0</v>
      </c>
      <c r="K589" s="68">
        <f>SUM(K581:K587)</f>
        <v>0</v>
      </c>
      <c r="L589" s="68">
        <f>SUM(L581:L587)</f>
        <v>0</v>
      </c>
      <c r="M589" s="68"/>
      <c r="N589" s="68">
        <f>SUM(N581:N587)</f>
        <v>98125943.059999987</v>
      </c>
      <c r="O589" s="68">
        <f>SUM(O581:O587)</f>
        <v>6895677.9900000002</v>
      </c>
      <c r="P589" s="68">
        <f>SUM(P581:P587)</f>
        <v>0</v>
      </c>
      <c r="Q589" s="68"/>
      <c r="R589" s="68">
        <f>SUM(R581:R587)</f>
        <v>6895677.9900000002</v>
      </c>
      <c r="S589" s="68">
        <f>SUM(S581:S587)</f>
        <v>0</v>
      </c>
      <c r="T589" s="68">
        <f>SUM(T581:T587)</f>
        <v>0</v>
      </c>
      <c r="U589" s="68">
        <f>SUM(U581:U587)</f>
        <v>0</v>
      </c>
      <c r="V589" s="68">
        <f>SUM(V581:V587)</f>
        <v>0</v>
      </c>
      <c r="W589" s="68"/>
      <c r="X589" s="68">
        <f>SUM(X581:X587)</f>
        <v>6895677.9900000002</v>
      </c>
      <c r="Y589" s="68">
        <f>SUM(Y581:Y587)</f>
        <v>105021621.05</v>
      </c>
      <c r="Z589" s="68">
        <f>SUM(Z581:Z587)</f>
        <v>11606669.290000005</v>
      </c>
      <c r="AA589" s="68">
        <f>SUM(AA581:AA587)</f>
        <v>105021621.05</v>
      </c>
      <c r="AB589" s="68">
        <f>SUM(AB581:AB587)</f>
        <v>11606669.290000003</v>
      </c>
    </row>
    <row r="590" spans="1:45" ht="18" customHeight="1" x14ac:dyDescent="0.25">
      <c r="A590" s="46"/>
      <c r="B590" s="26"/>
      <c r="C590" s="4"/>
      <c r="D590" s="70" t="s">
        <v>40</v>
      </c>
      <c r="E590" s="70" t="s">
        <v>40</v>
      </c>
      <c r="F590" s="70" t="s">
        <v>40</v>
      </c>
      <c r="G590" s="70"/>
      <c r="H590" s="70" t="s">
        <v>40</v>
      </c>
      <c r="I590" s="70" t="s">
        <v>40</v>
      </c>
      <c r="J590" s="70" t="s">
        <v>40</v>
      </c>
      <c r="K590" s="70" t="s">
        <v>40</v>
      </c>
      <c r="L590" s="70" t="s">
        <v>40</v>
      </c>
      <c r="M590" s="70"/>
      <c r="N590" s="70" t="s">
        <v>40</v>
      </c>
      <c r="O590" s="70" t="s">
        <v>40</v>
      </c>
      <c r="P590" s="70" t="s">
        <v>40</v>
      </c>
      <c r="Q590" s="70"/>
      <c r="R590" s="70" t="s">
        <v>40</v>
      </c>
      <c r="S590" s="70" t="s">
        <v>40</v>
      </c>
      <c r="T590" s="70" t="s">
        <v>40</v>
      </c>
      <c r="U590" s="70" t="s">
        <v>40</v>
      </c>
      <c r="V590" s="70" t="s">
        <v>40</v>
      </c>
      <c r="W590" s="70"/>
      <c r="X590" s="70" t="s">
        <v>40</v>
      </c>
      <c r="Y590" s="70" t="s">
        <v>40</v>
      </c>
      <c r="Z590" s="70" t="s">
        <v>40</v>
      </c>
      <c r="AA590" s="70" t="s">
        <v>40</v>
      </c>
      <c r="AB590" s="70" t="s">
        <v>40</v>
      </c>
    </row>
    <row r="591" spans="1:45" x14ac:dyDescent="0.25">
      <c r="O591" s="117"/>
      <c r="P591" s="63"/>
      <c r="Q591" s="63"/>
      <c r="R591" s="63"/>
      <c r="S591" s="117"/>
      <c r="T591" s="117"/>
      <c r="U591" s="117"/>
      <c r="V591" s="117"/>
      <c r="W591" s="117"/>
    </row>
    <row r="592" spans="1:45" x14ac:dyDescent="0.25">
      <c r="A592" s="46">
        <v>59</v>
      </c>
      <c r="B592" s="26" t="s">
        <v>199</v>
      </c>
      <c r="C592" s="2" t="s">
        <v>35</v>
      </c>
      <c r="D592" s="68">
        <v>5314028.8</v>
      </c>
      <c r="E592" s="68"/>
      <c r="F592" s="68"/>
      <c r="G592" s="68"/>
      <c r="H592" s="67">
        <f>E592+F592</f>
        <v>0</v>
      </c>
      <c r="I592" s="68"/>
      <c r="J592" s="68"/>
      <c r="K592" s="68"/>
      <c r="L592" s="68"/>
      <c r="M592" s="68"/>
      <c r="N592" s="67">
        <f>H592+L592</f>
        <v>0</v>
      </c>
      <c r="O592" s="68"/>
      <c r="P592" s="68"/>
      <c r="Q592" s="68"/>
      <c r="R592" s="67">
        <f>O592+P592</f>
        <v>0</v>
      </c>
      <c r="S592" s="68"/>
      <c r="T592" s="68"/>
      <c r="U592" s="68"/>
      <c r="V592" s="68"/>
      <c r="W592" s="68"/>
      <c r="X592" s="67">
        <f>R592+V592</f>
        <v>0</v>
      </c>
      <c r="Y592" s="67">
        <f>R592+H592</f>
        <v>0</v>
      </c>
      <c r="Z592" s="67">
        <f>D592-Y592</f>
        <v>5314028.8</v>
      </c>
      <c r="AA592" s="67">
        <f>N592+X592</f>
        <v>0</v>
      </c>
      <c r="AB592" s="67">
        <f>+D592-N592-X592</f>
        <v>5314028.8</v>
      </c>
    </row>
    <row r="593" spans="1:43" x14ac:dyDescent="0.25">
      <c r="A593" s="46"/>
      <c r="B593" s="26"/>
      <c r="C593" s="4" t="s">
        <v>36</v>
      </c>
      <c r="D593" s="68">
        <v>1379685</v>
      </c>
      <c r="E593" s="68">
        <v>1379685</v>
      </c>
      <c r="F593" s="68"/>
      <c r="G593" s="68"/>
      <c r="H593" s="67">
        <f>E593+F593</f>
        <v>1379685</v>
      </c>
      <c r="I593" s="68"/>
      <c r="J593" s="68"/>
      <c r="K593" s="68"/>
      <c r="L593" s="68"/>
      <c r="M593" s="68"/>
      <c r="N593" s="67">
        <f>H593+L593</f>
        <v>1379685</v>
      </c>
      <c r="O593" s="68"/>
      <c r="P593" s="68"/>
      <c r="Q593" s="68"/>
      <c r="R593" s="67">
        <f>O593+P593</f>
        <v>0</v>
      </c>
      <c r="S593" s="68"/>
      <c r="T593" s="68"/>
      <c r="U593" s="68"/>
      <c r="V593" s="68"/>
      <c r="W593" s="68"/>
      <c r="X593" s="67">
        <f>R593+V593</f>
        <v>0</v>
      </c>
      <c r="Y593" s="67">
        <f>R593+H593</f>
        <v>1379685</v>
      </c>
      <c r="Z593" s="67">
        <f>D593-Y593</f>
        <v>0</v>
      </c>
      <c r="AA593" s="67">
        <f>N593+X593</f>
        <v>1379685</v>
      </c>
      <c r="AB593" s="67">
        <f>+D593-N593-X593</f>
        <v>0</v>
      </c>
    </row>
    <row r="594" spans="1:43" x14ac:dyDescent="0.25">
      <c r="A594" s="46"/>
      <c r="B594" s="26"/>
      <c r="C594" s="4" t="s">
        <v>53</v>
      </c>
      <c r="D594" s="68">
        <v>293396.2</v>
      </c>
      <c r="E594" s="68"/>
      <c r="F594" s="68"/>
      <c r="G594" s="68"/>
      <c r="H594" s="67">
        <f>E594+F594</f>
        <v>0</v>
      </c>
      <c r="I594" s="68"/>
      <c r="J594" s="68"/>
      <c r="K594" s="68"/>
      <c r="L594" s="68"/>
      <c r="M594" s="68"/>
      <c r="N594" s="67">
        <f>H594+L594</f>
        <v>0</v>
      </c>
      <c r="O594" s="68"/>
      <c r="P594" s="68"/>
      <c r="Q594" s="68"/>
      <c r="R594" s="67">
        <f>O594+P594</f>
        <v>0</v>
      </c>
      <c r="S594" s="68"/>
      <c r="T594" s="68"/>
      <c r="U594" s="68"/>
      <c r="V594" s="68"/>
      <c r="W594" s="68"/>
      <c r="X594" s="67">
        <f>R594+V594</f>
        <v>0</v>
      </c>
      <c r="Y594" s="67">
        <f>R594+H594</f>
        <v>0</v>
      </c>
      <c r="Z594" s="67">
        <f>D594-Y594</f>
        <v>293396.2</v>
      </c>
      <c r="AA594" s="67">
        <f>N594+X594</f>
        <v>0</v>
      </c>
      <c r="AB594" s="67">
        <f>+D594-N594-X594</f>
        <v>293396.2</v>
      </c>
    </row>
    <row r="595" spans="1:43" x14ac:dyDescent="0.25">
      <c r="A595" s="46"/>
      <c r="B595" s="26"/>
      <c r="C595" s="4"/>
      <c r="D595" s="70" t="s">
        <v>40</v>
      </c>
      <c r="E595" s="70" t="s">
        <v>40</v>
      </c>
      <c r="F595" s="70" t="s">
        <v>40</v>
      </c>
      <c r="G595" s="70"/>
      <c r="H595" s="70" t="s">
        <v>40</v>
      </c>
      <c r="I595" s="70" t="s">
        <v>40</v>
      </c>
      <c r="J595" s="70" t="s">
        <v>40</v>
      </c>
      <c r="K595" s="70" t="s">
        <v>40</v>
      </c>
      <c r="L595" s="70" t="s">
        <v>40</v>
      </c>
      <c r="M595" s="70"/>
      <c r="N595" s="70" t="s">
        <v>40</v>
      </c>
      <c r="O595" s="70" t="s">
        <v>40</v>
      </c>
      <c r="P595" s="70" t="s">
        <v>40</v>
      </c>
      <c r="Q595" s="70"/>
      <c r="R595" s="70" t="s">
        <v>40</v>
      </c>
      <c r="S595" s="70" t="s">
        <v>40</v>
      </c>
      <c r="T595" s="70" t="s">
        <v>40</v>
      </c>
      <c r="U595" s="70" t="s">
        <v>40</v>
      </c>
      <c r="V595" s="70" t="s">
        <v>40</v>
      </c>
      <c r="W595" s="70"/>
      <c r="X595" s="70" t="s">
        <v>40</v>
      </c>
      <c r="Y595" s="70" t="s">
        <v>40</v>
      </c>
      <c r="Z595" s="70" t="s">
        <v>40</v>
      </c>
      <c r="AA595" s="70" t="s">
        <v>40</v>
      </c>
      <c r="AB595" s="70" t="s">
        <v>40</v>
      </c>
    </row>
    <row r="596" spans="1:43" x14ac:dyDescent="0.25">
      <c r="A596" s="46"/>
      <c r="B596" s="26"/>
      <c r="C596" s="4"/>
      <c r="D596" s="68">
        <f>SUM(D592:D594)</f>
        <v>6987110</v>
      </c>
      <c r="E596" s="68">
        <f t="shared" ref="E596:AB596" si="230">SUM(E592:E594)</f>
        <v>1379685</v>
      </c>
      <c r="F596" s="68">
        <f t="shared" si="230"/>
        <v>0</v>
      </c>
      <c r="G596" s="68"/>
      <c r="H596" s="68">
        <f t="shared" si="230"/>
        <v>1379685</v>
      </c>
      <c r="I596" s="68">
        <f t="shared" si="230"/>
        <v>0</v>
      </c>
      <c r="J596" s="68">
        <f t="shared" si="230"/>
        <v>0</v>
      </c>
      <c r="K596" s="68">
        <f t="shared" si="230"/>
        <v>0</v>
      </c>
      <c r="L596" s="68">
        <f t="shared" si="230"/>
        <v>0</v>
      </c>
      <c r="M596" s="68"/>
      <c r="N596" s="68">
        <f t="shared" si="230"/>
        <v>1379685</v>
      </c>
      <c r="O596" s="68">
        <f t="shared" si="230"/>
        <v>0</v>
      </c>
      <c r="P596" s="68">
        <f t="shared" si="230"/>
        <v>0</v>
      </c>
      <c r="Q596" s="68"/>
      <c r="R596" s="68">
        <f t="shared" si="230"/>
        <v>0</v>
      </c>
      <c r="S596" s="68">
        <f t="shared" si="230"/>
        <v>0</v>
      </c>
      <c r="T596" s="68">
        <f t="shared" si="230"/>
        <v>0</v>
      </c>
      <c r="U596" s="68">
        <f t="shared" si="230"/>
        <v>0</v>
      </c>
      <c r="V596" s="68">
        <f t="shared" si="230"/>
        <v>0</v>
      </c>
      <c r="W596" s="68"/>
      <c r="X596" s="68">
        <f t="shared" si="230"/>
        <v>0</v>
      </c>
      <c r="Y596" s="68">
        <f t="shared" si="230"/>
        <v>1379685</v>
      </c>
      <c r="Z596" s="68">
        <f t="shared" si="230"/>
        <v>5607425</v>
      </c>
      <c r="AA596" s="68">
        <f t="shared" si="230"/>
        <v>1379685</v>
      </c>
      <c r="AB596" s="68">
        <f t="shared" si="230"/>
        <v>5607425</v>
      </c>
    </row>
    <row r="597" spans="1:43" x14ac:dyDescent="0.25">
      <c r="A597" s="46"/>
      <c r="B597" s="26"/>
      <c r="C597" s="4"/>
      <c r="D597" s="70" t="s">
        <v>40</v>
      </c>
      <c r="E597" s="70" t="s">
        <v>40</v>
      </c>
      <c r="F597" s="70" t="s">
        <v>40</v>
      </c>
      <c r="G597" s="70"/>
      <c r="H597" s="70" t="s">
        <v>40</v>
      </c>
      <c r="I597" s="70" t="s">
        <v>40</v>
      </c>
      <c r="J597" s="70" t="s">
        <v>40</v>
      </c>
      <c r="K597" s="70" t="s">
        <v>40</v>
      </c>
      <c r="L597" s="70" t="s">
        <v>40</v>
      </c>
      <c r="M597" s="70"/>
      <c r="N597" s="70" t="s">
        <v>40</v>
      </c>
      <c r="O597" s="70" t="s">
        <v>40</v>
      </c>
      <c r="P597" s="70" t="s">
        <v>40</v>
      </c>
      <c r="Q597" s="70"/>
      <c r="R597" s="70" t="s">
        <v>40</v>
      </c>
      <c r="S597" s="70" t="s">
        <v>40</v>
      </c>
      <c r="T597" s="70" t="s">
        <v>40</v>
      </c>
      <c r="U597" s="70" t="s">
        <v>40</v>
      </c>
      <c r="V597" s="70" t="s">
        <v>40</v>
      </c>
      <c r="W597" s="70"/>
      <c r="X597" s="70" t="s">
        <v>40</v>
      </c>
      <c r="Y597" s="70" t="s">
        <v>40</v>
      </c>
      <c r="Z597" s="70" t="s">
        <v>40</v>
      </c>
      <c r="AA597" s="70" t="s">
        <v>40</v>
      </c>
      <c r="AB597" s="70" t="s">
        <v>40</v>
      </c>
    </row>
    <row r="598" spans="1:43" x14ac:dyDescent="0.25">
      <c r="A598" s="46">
        <v>60</v>
      </c>
      <c r="B598" s="26" t="s">
        <v>200</v>
      </c>
      <c r="C598" s="2" t="s">
        <v>35</v>
      </c>
      <c r="D598" s="68">
        <f>36584041.86-7800000</f>
        <v>28784041.859999999</v>
      </c>
      <c r="E598" s="68"/>
      <c r="F598" s="68"/>
      <c r="G598" s="68"/>
      <c r="H598" s="67">
        <f>E598+F598</f>
        <v>0</v>
      </c>
      <c r="I598" s="68"/>
      <c r="J598" s="68"/>
      <c r="K598" s="68"/>
      <c r="L598" s="68"/>
      <c r="M598" s="68"/>
      <c r="N598" s="67">
        <f>H598+L598</f>
        <v>0</v>
      </c>
      <c r="O598" s="68"/>
      <c r="P598" s="68"/>
      <c r="Q598" s="68"/>
      <c r="R598" s="67">
        <f>O598+P598</f>
        <v>0</v>
      </c>
      <c r="S598" s="68"/>
      <c r="T598" s="68"/>
      <c r="U598" s="68"/>
      <c r="V598" s="68"/>
      <c r="W598" s="68"/>
      <c r="X598" s="67">
        <f>R598+V598</f>
        <v>0</v>
      </c>
      <c r="Y598" s="67">
        <f t="shared" ref="Y598:Y604" si="231">R598+H598</f>
        <v>0</v>
      </c>
      <c r="Z598" s="67">
        <f t="shared" ref="Z598:Z604" si="232">D598-Y598</f>
        <v>28784041.859999999</v>
      </c>
      <c r="AA598" s="67">
        <f t="shared" ref="AA598:AA604" si="233">N598+X598</f>
        <v>0</v>
      </c>
      <c r="AB598" s="67">
        <f t="shared" ref="AB598:AB604" si="234">+D598-N598-X598</f>
        <v>28784041.859999999</v>
      </c>
    </row>
    <row r="599" spans="1:43" x14ac:dyDescent="0.25">
      <c r="A599" s="46"/>
      <c r="B599" s="26"/>
      <c r="C599" s="4" t="s">
        <v>36</v>
      </c>
      <c r="D599" s="68">
        <v>2099141</v>
      </c>
      <c r="E599" s="68">
        <v>2099141</v>
      </c>
      <c r="F599" s="68"/>
      <c r="G599" s="68"/>
      <c r="H599" s="67">
        <f>E599+F599</f>
        <v>2099141</v>
      </c>
      <c r="I599" s="68"/>
      <c r="J599" s="68"/>
      <c r="K599" s="68"/>
      <c r="L599" s="68"/>
      <c r="M599" s="68"/>
      <c r="N599" s="67">
        <f>H599+L599</f>
        <v>2099141</v>
      </c>
      <c r="O599" s="68"/>
      <c r="P599" s="68"/>
      <c r="Q599" s="68"/>
      <c r="R599" s="67">
        <f>O599+P599</f>
        <v>0</v>
      </c>
      <c r="S599" s="68"/>
      <c r="T599" s="68"/>
      <c r="U599" s="68"/>
      <c r="V599" s="68"/>
      <c r="W599" s="68"/>
      <c r="X599" s="67">
        <f>R599+V599</f>
        <v>0</v>
      </c>
      <c r="Y599" s="67">
        <f t="shared" si="231"/>
        <v>2099141</v>
      </c>
      <c r="Z599" s="67">
        <f t="shared" si="232"/>
        <v>0</v>
      </c>
      <c r="AA599" s="67">
        <f t="shared" si="233"/>
        <v>2099141</v>
      </c>
      <c r="AB599" s="67">
        <f t="shared" si="234"/>
        <v>0</v>
      </c>
    </row>
    <row r="600" spans="1:43" ht="15.75" customHeight="1" x14ac:dyDescent="0.25">
      <c r="A600" s="4"/>
      <c r="B600" s="4"/>
      <c r="C600" s="4" t="s">
        <v>306</v>
      </c>
      <c r="D600" s="55">
        <v>28245625</v>
      </c>
      <c r="E600" s="55">
        <v>28245625</v>
      </c>
      <c r="F600" s="55"/>
      <c r="G600" s="55"/>
      <c r="H600" s="55">
        <f>+E600+F600</f>
        <v>28245625</v>
      </c>
      <c r="I600" s="55"/>
      <c r="J600" s="55"/>
      <c r="K600" s="55"/>
      <c r="L600" s="55"/>
      <c r="M600" s="55"/>
      <c r="N600" s="55">
        <f>+H600+L600</f>
        <v>28245625</v>
      </c>
      <c r="O600" s="55"/>
      <c r="P600" s="55"/>
      <c r="Q600" s="55"/>
      <c r="R600" s="55">
        <f>+O600+P600</f>
        <v>0</v>
      </c>
      <c r="S600" s="55"/>
      <c r="T600" s="55"/>
      <c r="U600" s="55"/>
      <c r="V600" s="55"/>
      <c r="W600" s="55"/>
      <c r="X600" s="55">
        <f>+R600+V600</f>
        <v>0</v>
      </c>
      <c r="Y600" s="67">
        <f t="shared" si="231"/>
        <v>28245625</v>
      </c>
      <c r="Z600" s="67">
        <f t="shared" si="232"/>
        <v>0</v>
      </c>
      <c r="AA600" s="67">
        <f t="shared" si="233"/>
        <v>28245625</v>
      </c>
      <c r="AB600" s="67">
        <f t="shared" si="234"/>
        <v>0</v>
      </c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</row>
    <row r="601" spans="1:43" ht="15.75" customHeight="1" x14ac:dyDescent="0.25">
      <c r="A601" s="46"/>
      <c r="B601" s="26"/>
      <c r="C601" s="4" t="s">
        <v>183</v>
      </c>
      <c r="D601" s="68">
        <f>25517270.06+5473350.1</f>
        <v>30990620.159999996</v>
      </c>
      <c r="E601" s="68"/>
      <c r="F601" s="68"/>
      <c r="G601" s="68"/>
      <c r="H601" s="67">
        <f>E601+F601</f>
        <v>0</v>
      </c>
      <c r="I601" s="68"/>
      <c r="J601" s="68"/>
      <c r="K601" s="68"/>
      <c r="L601" s="68"/>
      <c r="M601" s="68"/>
      <c r="N601" s="67">
        <f>H601+L601</f>
        <v>0</v>
      </c>
      <c r="O601" s="68">
        <f>3011382.15+5473350.1</f>
        <v>8484732.25</v>
      </c>
      <c r="P601" s="68"/>
      <c r="Q601" s="68"/>
      <c r="R601" s="67">
        <f>O601+P601</f>
        <v>8484732.25</v>
      </c>
      <c r="S601" s="68"/>
      <c r="T601" s="68"/>
      <c r="U601" s="68"/>
      <c r="V601" s="68"/>
      <c r="W601" s="68"/>
      <c r="X601" s="67">
        <f>R601+V601</f>
        <v>8484732.25</v>
      </c>
      <c r="Y601" s="67">
        <f t="shared" si="231"/>
        <v>8484732.25</v>
      </c>
      <c r="Z601" s="67">
        <f t="shared" si="232"/>
        <v>22505887.909999996</v>
      </c>
      <c r="AA601" s="67">
        <f t="shared" si="233"/>
        <v>8484732.25</v>
      </c>
      <c r="AB601" s="67">
        <f t="shared" si="234"/>
        <v>22505887.909999996</v>
      </c>
    </row>
    <row r="602" spans="1:43" ht="15.75" customHeight="1" x14ac:dyDescent="0.25">
      <c r="C602" s="4" t="s">
        <v>317</v>
      </c>
      <c r="D602" s="55">
        <v>7800000</v>
      </c>
      <c r="E602" s="55">
        <v>7800000</v>
      </c>
      <c r="F602" s="55"/>
      <c r="H602" s="55">
        <f>+E602+F602</f>
        <v>7800000</v>
      </c>
      <c r="I602" s="55"/>
      <c r="J602" s="55"/>
      <c r="K602" s="55"/>
      <c r="L602" s="55"/>
      <c r="M602" s="55"/>
      <c r="N602" s="55">
        <f>+H602+L602</f>
        <v>7800000</v>
      </c>
      <c r="O602" s="55"/>
      <c r="P602" s="55"/>
      <c r="Q602" s="55"/>
      <c r="R602" s="55">
        <f>+O602+P602</f>
        <v>0</v>
      </c>
      <c r="S602" s="55"/>
      <c r="T602" s="55"/>
      <c r="U602" s="55"/>
      <c r="V602" s="55"/>
      <c r="W602" s="55"/>
      <c r="X602" s="55">
        <f>+R602+V602</f>
        <v>0</v>
      </c>
      <c r="Y602" s="67">
        <f t="shared" si="231"/>
        <v>7800000</v>
      </c>
      <c r="Z602" s="67">
        <f t="shared" si="232"/>
        <v>0</v>
      </c>
      <c r="AA602" s="67">
        <f t="shared" si="233"/>
        <v>7800000</v>
      </c>
      <c r="AB602" s="67">
        <f t="shared" si="234"/>
        <v>0</v>
      </c>
    </row>
    <row r="603" spans="1:43" x14ac:dyDescent="0.25">
      <c r="A603" s="4"/>
      <c r="B603" s="4"/>
      <c r="C603" s="4" t="s">
        <v>290</v>
      </c>
      <c r="D603" s="55">
        <f>46663490.07+15000000+15000000+15000000+15000000+16381908.23+23000000+23000000+23000000+23000000+23000000+23000000+23000000</f>
        <v>284045398.30000001</v>
      </c>
      <c r="E603" s="55">
        <f>8125427.85+8574480.38+8345490.07+15000000+15000000+15000000+15000000+15000000+23000000+23000000+23000000+23000000+23000000+23000000+23000000</f>
        <v>261045398.30000001</v>
      </c>
      <c r="F603" s="55">
        <v>23000000</v>
      </c>
      <c r="G603" s="55"/>
      <c r="H603" s="55">
        <f>+E603+F603</f>
        <v>284045398.30000001</v>
      </c>
      <c r="I603" s="55"/>
      <c r="J603" s="55"/>
      <c r="K603" s="55"/>
      <c r="L603" s="55"/>
      <c r="M603" s="55"/>
      <c r="N603" s="55">
        <f>+H603+L603</f>
        <v>284045398.30000001</v>
      </c>
      <c r="O603" s="55"/>
      <c r="P603" s="55"/>
      <c r="Q603" s="55"/>
      <c r="R603" s="55">
        <f>+O603+P603</f>
        <v>0</v>
      </c>
      <c r="S603" s="55"/>
      <c r="T603" s="55"/>
      <c r="U603" s="55"/>
      <c r="V603" s="55"/>
      <c r="W603" s="55"/>
      <c r="X603" s="55">
        <f>+R603+V603</f>
        <v>0</v>
      </c>
      <c r="Y603" s="67">
        <f t="shared" si="231"/>
        <v>284045398.30000001</v>
      </c>
      <c r="Z603" s="67">
        <f t="shared" si="232"/>
        <v>0</v>
      </c>
      <c r="AA603" s="67">
        <f t="shared" si="233"/>
        <v>284045398.30000001</v>
      </c>
      <c r="AB603" s="67">
        <f t="shared" si="234"/>
        <v>0</v>
      </c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</row>
    <row r="604" spans="1:43" x14ac:dyDescent="0.25">
      <c r="A604" s="46"/>
      <c r="B604" s="26"/>
      <c r="C604" s="4" t="s">
        <v>38</v>
      </c>
      <c r="D604" s="68">
        <v>1351582.99</v>
      </c>
      <c r="E604" s="68"/>
      <c r="F604" s="68"/>
      <c r="G604" s="68"/>
      <c r="H604" s="67">
        <f>E604+F604</f>
        <v>0</v>
      </c>
      <c r="I604" s="68"/>
      <c r="J604" s="68"/>
      <c r="K604" s="68"/>
      <c r="L604" s="68"/>
      <c r="M604" s="68"/>
      <c r="N604" s="67">
        <f>H604+L604</f>
        <v>0</v>
      </c>
      <c r="O604" s="68"/>
      <c r="P604" s="68"/>
      <c r="Q604" s="68"/>
      <c r="R604" s="67">
        <f>O604+P604</f>
        <v>0</v>
      </c>
      <c r="S604" s="68"/>
      <c r="T604" s="68"/>
      <c r="U604" s="68"/>
      <c r="V604" s="68"/>
      <c r="W604" s="68"/>
      <c r="X604" s="67">
        <f>R604+V604</f>
        <v>0</v>
      </c>
      <c r="Y604" s="67">
        <f t="shared" si="231"/>
        <v>0</v>
      </c>
      <c r="Z604" s="67">
        <f t="shared" si="232"/>
        <v>1351582.99</v>
      </c>
      <c r="AA604" s="67">
        <f t="shared" si="233"/>
        <v>0</v>
      </c>
      <c r="AB604" s="67">
        <f t="shared" si="234"/>
        <v>1351582.99</v>
      </c>
    </row>
    <row r="605" spans="1:43" x14ac:dyDescent="0.25">
      <c r="A605" s="46"/>
      <c r="B605" s="26"/>
      <c r="C605" s="4"/>
      <c r="D605" s="70" t="s">
        <v>40</v>
      </c>
      <c r="E605" s="70" t="s">
        <v>40</v>
      </c>
      <c r="F605" s="70" t="s">
        <v>40</v>
      </c>
      <c r="G605" s="70"/>
      <c r="H605" s="70" t="s">
        <v>40</v>
      </c>
      <c r="I605" s="70" t="s">
        <v>40</v>
      </c>
      <c r="J605" s="70" t="s">
        <v>40</v>
      </c>
      <c r="K605" s="70" t="s">
        <v>40</v>
      </c>
      <c r="L605" s="70" t="s">
        <v>40</v>
      </c>
      <c r="M605" s="70"/>
      <c r="N605" s="70" t="s">
        <v>40</v>
      </c>
      <c r="O605" s="70" t="s">
        <v>40</v>
      </c>
      <c r="P605" s="70" t="s">
        <v>40</v>
      </c>
      <c r="Q605" s="70"/>
      <c r="R605" s="70" t="s">
        <v>40</v>
      </c>
      <c r="S605" s="70" t="s">
        <v>40</v>
      </c>
      <c r="T605" s="70" t="s">
        <v>40</v>
      </c>
      <c r="U605" s="70" t="s">
        <v>40</v>
      </c>
      <c r="V605" s="70" t="s">
        <v>40</v>
      </c>
      <c r="W605" s="70"/>
      <c r="X605" s="70" t="s">
        <v>40</v>
      </c>
      <c r="Y605" s="70" t="s">
        <v>40</v>
      </c>
      <c r="Z605" s="70" t="s">
        <v>40</v>
      </c>
      <c r="AA605" s="70" t="s">
        <v>40</v>
      </c>
      <c r="AB605" s="70" t="s">
        <v>40</v>
      </c>
    </row>
    <row r="606" spans="1:43" x14ac:dyDescent="0.25">
      <c r="A606" s="46"/>
      <c r="B606" s="26"/>
      <c r="C606" s="4"/>
      <c r="D606" s="68">
        <f>SUM(D598:D604)</f>
        <v>383316409.31</v>
      </c>
      <c r="E606" s="68">
        <f>SUM(E599:E604)</f>
        <v>299190164.30000001</v>
      </c>
      <c r="F606" s="68">
        <f>SUM(F599:F604)</f>
        <v>23000000</v>
      </c>
      <c r="G606" s="68"/>
      <c r="H606" s="68">
        <f>SUM(H599:H604)</f>
        <v>322190164.30000001</v>
      </c>
      <c r="I606" s="68">
        <f>SUM(I599:I604)</f>
        <v>0</v>
      </c>
      <c r="J606" s="68">
        <f>SUM(J599:J604)</f>
        <v>0</v>
      </c>
      <c r="K606" s="68">
        <f>SUM(K599:K604)</f>
        <v>0</v>
      </c>
      <c r="L606" s="68">
        <f>SUM(L599:L604)</f>
        <v>0</v>
      </c>
      <c r="M606" s="68"/>
      <c r="N606" s="68">
        <f>SUM(N599:N604)</f>
        <v>322190164.30000001</v>
      </c>
      <c r="O606" s="68">
        <f>SUM(O599:O604)</f>
        <v>8484732.25</v>
      </c>
      <c r="P606" s="68">
        <f>SUM(P599:P604)</f>
        <v>0</v>
      </c>
      <c r="Q606" s="68"/>
      <c r="R606" s="68">
        <f>SUM(R599:R604)</f>
        <v>8484732.25</v>
      </c>
      <c r="S606" s="68">
        <f>SUM(S599:S604)</f>
        <v>0</v>
      </c>
      <c r="T606" s="68">
        <f>SUM(T599:T604)</f>
        <v>0</v>
      </c>
      <c r="U606" s="68">
        <f>SUM(U599:U604)</f>
        <v>0</v>
      </c>
      <c r="V606" s="68">
        <f>SUM(V599:V604)</f>
        <v>0</v>
      </c>
      <c r="W606" s="68"/>
      <c r="X606" s="68">
        <f>SUM(X599:X604)</f>
        <v>8484732.25</v>
      </c>
      <c r="Y606" s="68">
        <f>SUM(Y599:Y604)</f>
        <v>330674896.55000001</v>
      </c>
      <c r="Z606" s="68">
        <f>SUM(Z598:Z604)</f>
        <v>52641512.759999998</v>
      </c>
      <c r="AA606" s="68">
        <f>SUM(AA599:AA604)</f>
        <v>330674896.55000001</v>
      </c>
      <c r="AB606" s="68">
        <f>SUM(AB598:AB604)</f>
        <v>52641512.759999998</v>
      </c>
    </row>
    <row r="607" spans="1:43" x14ac:dyDescent="0.25">
      <c r="A607" s="46"/>
      <c r="B607" s="26"/>
      <c r="C607" s="4"/>
      <c r="D607" s="70" t="s">
        <v>40</v>
      </c>
      <c r="E607" s="70" t="s">
        <v>40</v>
      </c>
      <c r="F607" s="70" t="s">
        <v>40</v>
      </c>
      <c r="G607" s="70"/>
      <c r="H607" s="70" t="s">
        <v>40</v>
      </c>
      <c r="I607" s="70" t="s">
        <v>40</v>
      </c>
      <c r="J607" s="70" t="s">
        <v>40</v>
      </c>
      <c r="K607" s="70" t="s">
        <v>40</v>
      </c>
      <c r="L607" s="70" t="s">
        <v>40</v>
      </c>
      <c r="M607" s="70"/>
      <c r="N607" s="70" t="s">
        <v>40</v>
      </c>
      <c r="O607" s="70" t="s">
        <v>40</v>
      </c>
      <c r="P607" s="70" t="s">
        <v>40</v>
      </c>
      <c r="Q607" s="70"/>
      <c r="R607" s="70" t="s">
        <v>40</v>
      </c>
      <c r="S607" s="70" t="s">
        <v>40</v>
      </c>
      <c r="T607" s="70" t="s">
        <v>40</v>
      </c>
      <c r="U607" s="70" t="s">
        <v>40</v>
      </c>
      <c r="V607" s="70" t="s">
        <v>40</v>
      </c>
      <c r="W607" s="70"/>
      <c r="X607" s="70" t="s">
        <v>40</v>
      </c>
      <c r="Y607" s="70" t="s">
        <v>40</v>
      </c>
      <c r="Z607" s="70" t="s">
        <v>40</v>
      </c>
      <c r="AA607" s="70" t="s">
        <v>40</v>
      </c>
      <c r="AB607" s="70" t="s">
        <v>40</v>
      </c>
    </row>
    <row r="608" spans="1:43" x14ac:dyDescent="0.25">
      <c r="A608" s="46">
        <v>61</v>
      </c>
      <c r="B608" s="26" t="s">
        <v>201</v>
      </c>
      <c r="C608" s="2" t="s">
        <v>35</v>
      </c>
      <c r="D608" s="68">
        <f>6669736.18+2028923.55</f>
        <v>8698659.7300000004</v>
      </c>
      <c r="E608" s="68"/>
      <c r="F608" s="68"/>
      <c r="G608" s="68"/>
      <c r="H608" s="67">
        <f t="shared" ref="H608:H613" si="235">E608+F608</f>
        <v>0</v>
      </c>
      <c r="I608" s="68"/>
      <c r="J608" s="68"/>
      <c r="K608" s="68"/>
      <c r="L608" s="68"/>
      <c r="M608" s="68"/>
      <c r="N608" s="67">
        <f t="shared" ref="N608:N613" si="236">H608+L608</f>
        <v>0</v>
      </c>
      <c r="O608" s="68">
        <f>6636174.18+2062485.55+106571.96</f>
        <v>8805231.6900000013</v>
      </c>
      <c r="P608" s="68"/>
      <c r="Q608" s="68"/>
      <c r="R608" s="67">
        <f t="shared" ref="R608:R613" si="237">O608+P608</f>
        <v>8805231.6900000013</v>
      </c>
      <c r="S608" s="68"/>
      <c r="T608" s="68"/>
      <c r="U608" s="68"/>
      <c r="V608" s="68"/>
      <c r="W608" s="68"/>
      <c r="X608" s="67">
        <f t="shared" ref="X608:X613" si="238">R608+V608</f>
        <v>8805231.6900000013</v>
      </c>
      <c r="Y608" s="67">
        <f t="shared" ref="Y608:Y613" si="239">R608+H608</f>
        <v>8805231.6900000013</v>
      </c>
      <c r="Z608" s="67">
        <f t="shared" ref="Z608:Z613" si="240">D608-Y608</f>
        <v>-106571.96000000089</v>
      </c>
      <c r="AA608" s="67">
        <f t="shared" ref="AA608:AA613" si="241">N608+X608</f>
        <v>8805231.6900000013</v>
      </c>
      <c r="AB608" s="67">
        <f t="shared" ref="AB608:AB613" si="242">+D608-N608-X608</f>
        <v>-106571.96000000089</v>
      </c>
    </row>
    <row r="609" spans="1:47" x14ac:dyDescent="0.25">
      <c r="A609" s="46"/>
      <c r="B609" s="26"/>
      <c r="C609" s="4" t="s">
        <v>36</v>
      </c>
      <c r="D609" s="68">
        <v>2191296</v>
      </c>
      <c r="E609" s="68">
        <v>2191296</v>
      </c>
      <c r="F609" s="68"/>
      <c r="G609" s="68"/>
      <c r="H609" s="67">
        <f t="shared" si="235"/>
        <v>2191296</v>
      </c>
      <c r="I609" s="68"/>
      <c r="J609" s="68"/>
      <c r="K609" s="68"/>
      <c r="L609" s="68"/>
      <c r="M609" s="68"/>
      <c r="N609" s="67">
        <f t="shared" si="236"/>
        <v>2191296</v>
      </c>
      <c r="O609" s="68"/>
      <c r="P609" s="68"/>
      <c r="Q609" s="68"/>
      <c r="R609" s="67">
        <f t="shared" si="237"/>
        <v>0</v>
      </c>
      <c r="S609" s="68"/>
      <c r="T609" s="68"/>
      <c r="U609" s="68"/>
      <c r="V609" s="68"/>
      <c r="W609" s="68"/>
      <c r="X609" s="67">
        <f t="shared" si="238"/>
        <v>0</v>
      </c>
      <c r="Y609" s="67">
        <f t="shared" si="239"/>
        <v>2191296</v>
      </c>
      <c r="Z609" s="67">
        <f t="shared" si="240"/>
        <v>0</v>
      </c>
      <c r="AA609" s="67">
        <f t="shared" si="241"/>
        <v>2191296</v>
      </c>
      <c r="AB609" s="67">
        <f t="shared" si="242"/>
        <v>0</v>
      </c>
    </row>
    <row r="610" spans="1:47" x14ac:dyDescent="0.25">
      <c r="A610" s="46"/>
      <c r="B610" s="26"/>
      <c r="C610" s="4" t="s">
        <v>183</v>
      </c>
      <c r="D610" s="68">
        <f>3920787.42+253276.49+108786.92+5413353.45+772227.88</f>
        <v>10468432.160000002</v>
      </c>
      <c r="E610" s="68"/>
      <c r="F610" s="68"/>
      <c r="G610" s="68"/>
      <c r="H610" s="67">
        <f t="shared" si="235"/>
        <v>0</v>
      </c>
      <c r="I610" s="68"/>
      <c r="J610" s="68"/>
      <c r="K610" s="68"/>
      <c r="L610" s="68"/>
      <c r="M610" s="68"/>
      <c r="N610" s="67">
        <f t="shared" si="236"/>
        <v>0</v>
      </c>
      <c r="O610" s="68">
        <f>4282850.83+5413353.45+772227.88</f>
        <v>10468432.160000002</v>
      </c>
      <c r="P610" s="68"/>
      <c r="Q610" s="68"/>
      <c r="R610" s="67">
        <f t="shared" si="237"/>
        <v>10468432.160000002</v>
      </c>
      <c r="S610" s="68"/>
      <c r="T610" s="68"/>
      <c r="U610" s="68"/>
      <c r="V610" s="68"/>
      <c r="W610" s="68"/>
      <c r="X610" s="67">
        <f t="shared" si="238"/>
        <v>10468432.160000002</v>
      </c>
      <c r="Y610" s="67">
        <f t="shared" si="239"/>
        <v>10468432.160000002</v>
      </c>
      <c r="Z610" s="67">
        <f t="shared" si="240"/>
        <v>0</v>
      </c>
      <c r="AA610" s="67">
        <f t="shared" si="241"/>
        <v>10468432.160000002</v>
      </c>
      <c r="AB610" s="67">
        <f t="shared" si="242"/>
        <v>0</v>
      </c>
    </row>
    <row r="611" spans="1:47" x14ac:dyDescent="0.25">
      <c r="A611" s="46"/>
      <c r="B611" s="26"/>
      <c r="C611" s="4" t="s">
        <v>38</v>
      </c>
      <c r="D611" s="68">
        <v>350830.46</v>
      </c>
      <c r="E611" s="68"/>
      <c r="F611" s="68"/>
      <c r="G611" s="68"/>
      <c r="H611" s="67">
        <f t="shared" si="235"/>
        <v>0</v>
      </c>
      <c r="I611" s="68"/>
      <c r="J611" s="68"/>
      <c r="K611" s="68"/>
      <c r="L611" s="68"/>
      <c r="M611" s="68"/>
      <c r="N611" s="67">
        <f t="shared" si="236"/>
        <v>0</v>
      </c>
      <c r="O611" s="68">
        <f>843176.8-843176.8</f>
        <v>0</v>
      </c>
      <c r="P611" s="68"/>
      <c r="Q611" s="68"/>
      <c r="R611" s="67">
        <f t="shared" si="237"/>
        <v>0</v>
      </c>
      <c r="S611" s="68"/>
      <c r="T611" s="68"/>
      <c r="U611" s="68"/>
      <c r="V611" s="68"/>
      <c r="W611" s="68"/>
      <c r="X611" s="67">
        <f t="shared" si="238"/>
        <v>0</v>
      </c>
      <c r="Y611" s="67">
        <f t="shared" si="239"/>
        <v>0</v>
      </c>
      <c r="Z611" s="67">
        <f t="shared" si="240"/>
        <v>350830.46</v>
      </c>
      <c r="AA611" s="67">
        <f t="shared" si="241"/>
        <v>0</v>
      </c>
      <c r="AB611" s="67">
        <f t="shared" si="242"/>
        <v>350830.46</v>
      </c>
    </row>
    <row r="612" spans="1:47" x14ac:dyDescent="0.25">
      <c r="A612" s="46"/>
      <c r="B612" s="26"/>
      <c r="C612" s="4" t="s">
        <v>184</v>
      </c>
      <c r="D612" s="68">
        <v>0</v>
      </c>
      <c r="E612" s="68"/>
      <c r="F612" s="68"/>
      <c r="G612" s="68"/>
      <c r="H612" s="67">
        <f t="shared" si="235"/>
        <v>0</v>
      </c>
      <c r="I612" s="68"/>
      <c r="J612" s="68"/>
      <c r="K612" s="68"/>
      <c r="L612" s="68"/>
      <c r="M612" s="68"/>
      <c r="N612" s="67">
        <f t="shared" si="236"/>
        <v>0</v>
      </c>
      <c r="O612" s="68"/>
      <c r="P612" s="68"/>
      <c r="Q612" s="68"/>
      <c r="R612" s="67">
        <f t="shared" si="237"/>
        <v>0</v>
      </c>
      <c r="S612" s="68"/>
      <c r="T612" s="68"/>
      <c r="U612" s="68"/>
      <c r="V612" s="68"/>
      <c r="W612" s="68"/>
      <c r="X612" s="67">
        <f t="shared" si="238"/>
        <v>0</v>
      </c>
      <c r="Y612" s="67">
        <f t="shared" si="239"/>
        <v>0</v>
      </c>
      <c r="Z612" s="67">
        <f t="shared" si="240"/>
        <v>0</v>
      </c>
      <c r="AA612" s="67">
        <f t="shared" si="241"/>
        <v>0</v>
      </c>
      <c r="AB612" s="67">
        <f t="shared" si="242"/>
        <v>0</v>
      </c>
    </row>
    <row r="613" spans="1:47" x14ac:dyDescent="0.25">
      <c r="A613" s="46"/>
      <c r="B613" s="26"/>
      <c r="C613" s="29" t="s">
        <v>266</v>
      </c>
      <c r="D613" s="68">
        <v>10000000</v>
      </c>
      <c r="E613" s="68">
        <v>6791289.1600000001</v>
      </c>
      <c r="F613" s="68"/>
      <c r="G613" s="68"/>
      <c r="H613" s="67">
        <f t="shared" si="235"/>
        <v>6791289.1600000001</v>
      </c>
      <c r="I613" s="68"/>
      <c r="J613" s="68"/>
      <c r="K613" s="68"/>
      <c r="L613" s="68"/>
      <c r="M613" s="68"/>
      <c r="N613" s="67">
        <f t="shared" si="236"/>
        <v>6791289.1600000001</v>
      </c>
      <c r="O613" s="68"/>
      <c r="P613" s="68"/>
      <c r="Q613" s="68"/>
      <c r="R613" s="67">
        <f t="shared" si="237"/>
        <v>0</v>
      </c>
      <c r="S613" s="68"/>
      <c r="T613" s="68"/>
      <c r="U613" s="68"/>
      <c r="V613" s="68"/>
      <c r="W613" s="68"/>
      <c r="X613" s="67">
        <f t="shared" si="238"/>
        <v>0</v>
      </c>
      <c r="Y613" s="67">
        <f t="shared" si="239"/>
        <v>6791289.1600000001</v>
      </c>
      <c r="Z613" s="67">
        <f t="shared" si="240"/>
        <v>3208710.84</v>
      </c>
      <c r="AA613" s="67">
        <f t="shared" si="241"/>
        <v>6791289.1600000001</v>
      </c>
      <c r="AB613" s="67">
        <f t="shared" si="242"/>
        <v>3208710.84</v>
      </c>
    </row>
    <row r="614" spans="1:47" x14ac:dyDescent="0.25">
      <c r="A614" s="46"/>
      <c r="B614" s="26"/>
      <c r="C614" s="4"/>
      <c r="D614" s="70" t="s">
        <v>40</v>
      </c>
      <c r="E614" s="70" t="s">
        <v>40</v>
      </c>
      <c r="F614" s="70" t="s">
        <v>40</v>
      </c>
      <c r="G614" s="70"/>
      <c r="H614" s="70" t="s">
        <v>40</v>
      </c>
      <c r="I614" s="70" t="s">
        <v>40</v>
      </c>
      <c r="J614" s="70" t="s">
        <v>40</v>
      </c>
      <c r="K614" s="70" t="s">
        <v>40</v>
      </c>
      <c r="L614" s="70" t="s">
        <v>40</v>
      </c>
      <c r="M614" s="70"/>
      <c r="N614" s="70" t="s">
        <v>40</v>
      </c>
      <c r="O614" s="70" t="s">
        <v>40</v>
      </c>
      <c r="P614" s="70" t="s">
        <v>40</v>
      </c>
      <c r="Q614" s="70"/>
      <c r="R614" s="70" t="s">
        <v>40</v>
      </c>
      <c r="S614" s="70" t="s">
        <v>40</v>
      </c>
      <c r="T614" s="70" t="s">
        <v>40</v>
      </c>
      <c r="U614" s="70" t="s">
        <v>40</v>
      </c>
      <c r="V614" s="70" t="s">
        <v>40</v>
      </c>
      <c r="W614" s="70"/>
      <c r="X614" s="70" t="s">
        <v>40</v>
      </c>
      <c r="Y614" s="70" t="s">
        <v>40</v>
      </c>
      <c r="Z614" s="70" t="s">
        <v>40</v>
      </c>
      <c r="AA614" s="70" t="s">
        <v>40</v>
      </c>
      <c r="AB614" s="70" t="s">
        <v>40</v>
      </c>
    </row>
    <row r="615" spans="1:47" x14ac:dyDescent="0.25">
      <c r="A615" s="46"/>
      <c r="B615" s="26"/>
      <c r="C615" s="4"/>
      <c r="D615" s="68">
        <f>SUM(D608:D613)</f>
        <v>31709218.350000001</v>
      </c>
      <c r="E615" s="68">
        <f t="shared" ref="E615:V615" si="243">SUM(E608:E613)</f>
        <v>8982585.1600000001</v>
      </c>
      <c r="F615" s="68">
        <f t="shared" si="243"/>
        <v>0</v>
      </c>
      <c r="G615" s="68"/>
      <c r="H615" s="67">
        <f>E615+F615</f>
        <v>8982585.1600000001</v>
      </c>
      <c r="I615" s="68">
        <f t="shared" si="243"/>
        <v>0</v>
      </c>
      <c r="J615" s="68">
        <f t="shared" si="243"/>
        <v>0</v>
      </c>
      <c r="K615" s="68">
        <f t="shared" si="243"/>
        <v>0</v>
      </c>
      <c r="L615" s="68">
        <f t="shared" si="243"/>
        <v>0</v>
      </c>
      <c r="M615" s="68"/>
      <c r="N615" s="67">
        <f>H615+L615</f>
        <v>8982585.1600000001</v>
      </c>
      <c r="O615" s="68">
        <f>SUM(O608:O613)</f>
        <v>19273663.850000001</v>
      </c>
      <c r="P615" s="68">
        <f t="shared" si="243"/>
        <v>0</v>
      </c>
      <c r="Q615" s="68"/>
      <c r="R615" s="67">
        <f>O615+P615</f>
        <v>19273663.850000001</v>
      </c>
      <c r="S615" s="68">
        <f t="shared" si="243"/>
        <v>0</v>
      </c>
      <c r="T615" s="68">
        <f t="shared" si="243"/>
        <v>0</v>
      </c>
      <c r="U615" s="68">
        <f t="shared" si="243"/>
        <v>0</v>
      </c>
      <c r="V615" s="68">
        <f t="shared" si="243"/>
        <v>0</v>
      </c>
      <c r="W615" s="68"/>
      <c r="X615" s="67">
        <f>+R615+V615</f>
        <v>19273663.850000001</v>
      </c>
      <c r="Y615" s="67">
        <f>R615+H615</f>
        <v>28256249.010000002</v>
      </c>
      <c r="Z615" s="67">
        <f>D615-Y615</f>
        <v>3452969.34</v>
      </c>
      <c r="AA615" s="67">
        <f>N615+X615</f>
        <v>28256249.010000002</v>
      </c>
      <c r="AB615" s="67">
        <f>D615-AA615</f>
        <v>3452969.34</v>
      </c>
    </row>
    <row r="616" spans="1:47" ht="15.75" customHeight="1" x14ac:dyDescent="0.25">
      <c r="A616" s="46"/>
      <c r="B616" s="4"/>
      <c r="C616" s="4"/>
      <c r="D616" s="70" t="s">
        <v>40</v>
      </c>
      <c r="E616" s="70" t="s">
        <v>40</v>
      </c>
      <c r="F616" s="70" t="s">
        <v>40</v>
      </c>
      <c r="G616" s="70"/>
      <c r="H616" s="70" t="s">
        <v>40</v>
      </c>
      <c r="I616" s="70" t="s">
        <v>40</v>
      </c>
      <c r="J616" s="70" t="s">
        <v>40</v>
      </c>
      <c r="K616" s="70" t="s">
        <v>40</v>
      </c>
      <c r="L616" s="70" t="s">
        <v>40</v>
      </c>
      <c r="M616" s="70"/>
      <c r="N616" s="70" t="s">
        <v>40</v>
      </c>
      <c r="O616" s="70" t="s">
        <v>40</v>
      </c>
      <c r="P616" s="70" t="s">
        <v>40</v>
      </c>
      <c r="Q616" s="70"/>
      <c r="R616" s="70" t="s">
        <v>40</v>
      </c>
      <c r="S616" s="70" t="s">
        <v>40</v>
      </c>
      <c r="T616" s="70" t="s">
        <v>40</v>
      </c>
      <c r="U616" s="70" t="s">
        <v>40</v>
      </c>
      <c r="V616" s="70" t="s">
        <v>40</v>
      </c>
      <c r="W616" s="70"/>
      <c r="X616" s="70"/>
      <c r="Y616" s="70" t="s">
        <v>40</v>
      </c>
      <c r="Z616" s="70" t="s">
        <v>40</v>
      </c>
      <c r="AA616" s="70" t="s">
        <v>40</v>
      </c>
      <c r="AB616" s="70" t="s">
        <v>40</v>
      </c>
    </row>
    <row r="617" spans="1:47" ht="15.75" customHeight="1" x14ac:dyDescent="0.35">
      <c r="A617" s="46"/>
      <c r="B617" s="112"/>
      <c r="C617" s="4"/>
      <c r="D617" s="104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136"/>
      <c r="P617" s="63"/>
      <c r="Q617" s="99"/>
      <c r="R617" s="118"/>
      <c r="S617" s="89"/>
      <c r="T617" s="89"/>
      <c r="U617" s="89"/>
      <c r="V617" s="90"/>
      <c r="W617" s="70"/>
      <c r="X617" s="70"/>
      <c r="Y617" s="72"/>
      <c r="Z617" s="70"/>
      <c r="AA617" s="70"/>
      <c r="AB617" s="70"/>
    </row>
    <row r="618" spans="1:47" ht="14.25" customHeight="1" x14ac:dyDescent="0.25">
      <c r="A618" s="46"/>
      <c r="B618" s="26"/>
      <c r="C618" s="4"/>
      <c r="D618" s="105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</row>
    <row r="619" spans="1:47" ht="15.75" customHeight="1" x14ac:dyDescent="0.25">
      <c r="A619" s="46">
        <v>62</v>
      </c>
      <c r="B619" s="26" t="s">
        <v>202</v>
      </c>
      <c r="C619" s="2" t="s">
        <v>35</v>
      </c>
      <c r="D619" s="68">
        <f>17805854.47+734</f>
        <v>17806588.469999999</v>
      </c>
      <c r="E619" s="68"/>
      <c r="F619" s="68"/>
      <c r="G619" s="68"/>
      <c r="H619" s="67">
        <f>E619+F619</f>
        <v>0</v>
      </c>
      <c r="I619" s="68"/>
      <c r="J619" s="68"/>
      <c r="K619" s="68"/>
      <c r="L619" s="68"/>
      <c r="M619" s="68"/>
      <c r="N619" s="67">
        <f>H619+L619</f>
        <v>0</v>
      </c>
      <c r="O619" s="68">
        <v>734</v>
      </c>
      <c r="P619" s="68"/>
      <c r="Q619" s="68"/>
      <c r="R619" s="67">
        <f>O619+P619</f>
        <v>734</v>
      </c>
      <c r="S619" s="68"/>
      <c r="T619" s="68"/>
      <c r="U619" s="68"/>
      <c r="V619" s="68"/>
      <c r="W619" s="68"/>
      <c r="X619" s="67">
        <f>R619+V619</f>
        <v>734</v>
      </c>
      <c r="Y619" s="67">
        <f>R619+H619</f>
        <v>734</v>
      </c>
      <c r="Z619" s="67">
        <f>D619-Y619</f>
        <v>17805854.469999999</v>
      </c>
      <c r="AA619" s="67">
        <f>N619+X619</f>
        <v>734</v>
      </c>
      <c r="AB619" s="67">
        <f>+D619-N619-X619</f>
        <v>17805854.469999999</v>
      </c>
    </row>
    <row r="620" spans="1:47" x14ac:dyDescent="0.25">
      <c r="A620" s="46"/>
      <c r="B620" s="26"/>
      <c r="C620" s="4" t="s">
        <v>36</v>
      </c>
      <c r="D620" s="68">
        <v>2107710</v>
      </c>
      <c r="E620" s="68">
        <v>2107710</v>
      </c>
      <c r="F620" s="68"/>
      <c r="G620" s="68"/>
      <c r="H620" s="67">
        <f>E620+F620</f>
        <v>2107710</v>
      </c>
      <c r="I620" s="68"/>
      <c r="J620" s="68"/>
      <c r="K620" s="68"/>
      <c r="L620" s="68"/>
      <c r="M620" s="68"/>
      <c r="N620" s="67">
        <f>H620+L620</f>
        <v>2107710</v>
      </c>
      <c r="O620" s="68">
        <v>0</v>
      </c>
      <c r="P620" s="68"/>
      <c r="Q620" s="68"/>
      <c r="R620" s="67">
        <f>O620+P620</f>
        <v>0</v>
      </c>
      <c r="S620" s="68"/>
      <c r="T620" s="68"/>
      <c r="U620" s="68"/>
      <c r="V620" s="68"/>
      <c r="W620" s="68"/>
      <c r="X620" s="67">
        <f>R620+V620</f>
        <v>0</v>
      </c>
      <c r="Y620" s="67">
        <f>R620+H620</f>
        <v>2107710</v>
      </c>
      <c r="Z620" s="67">
        <f>D620-Y620</f>
        <v>0</v>
      </c>
      <c r="AA620" s="67">
        <f>N620+X620</f>
        <v>2107710</v>
      </c>
      <c r="AB620" s="67">
        <f>+D620-N620-X620</f>
        <v>0</v>
      </c>
    </row>
    <row r="621" spans="1:47" x14ac:dyDescent="0.25">
      <c r="A621" s="46"/>
      <c r="B621" s="26"/>
      <c r="C621" s="4" t="s">
        <v>183</v>
      </c>
      <c r="D621" s="68">
        <f>758429.39</f>
        <v>758429.39</v>
      </c>
      <c r="E621" s="68"/>
      <c r="F621" s="68"/>
      <c r="G621" s="68"/>
      <c r="H621" s="67">
        <f>E621+F621</f>
        <v>0</v>
      </c>
      <c r="I621" s="68"/>
      <c r="J621" s="68"/>
      <c r="K621" s="68"/>
      <c r="L621" s="68"/>
      <c r="M621" s="68"/>
      <c r="N621" s="67">
        <f>H621+L621</f>
        <v>0</v>
      </c>
      <c r="O621" s="68">
        <v>0</v>
      </c>
      <c r="P621" s="68"/>
      <c r="Q621" s="68"/>
      <c r="R621" s="67">
        <f>O621+P621</f>
        <v>0</v>
      </c>
      <c r="S621" s="68"/>
      <c r="T621" s="68"/>
      <c r="U621" s="68"/>
      <c r="V621" s="68"/>
      <c r="W621" s="68"/>
      <c r="X621" s="67">
        <f>R621+V621</f>
        <v>0</v>
      </c>
      <c r="Y621" s="67">
        <f>R621+H621</f>
        <v>0</v>
      </c>
      <c r="Z621" s="67">
        <f>D621-Y621</f>
        <v>758429.39</v>
      </c>
      <c r="AA621" s="67">
        <f>N621+X621</f>
        <v>0</v>
      </c>
      <c r="AB621" s="67">
        <f>+D621-N621-X621</f>
        <v>758429.39</v>
      </c>
    </row>
    <row r="622" spans="1:47" x14ac:dyDescent="0.25">
      <c r="A622" s="46"/>
      <c r="B622" s="26"/>
      <c r="C622" s="4"/>
      <c r="D622" s="70" t="s">
        <v>40</v>
      </c>
      <c r="E622" s="70" t="s">
        <v>40</v>
      </c>
      <c r="F622" s="70" t="s">
        <v>40</v>
      </c>
      <c r="G622" s="70"/>
      <c r="H622" s="70" t="s">
        <v>40</v>
      </c>
      <c r="I622" s="70" t="s">
        <v>40</v>
      </c>
      <c r="J622" s="70" t="s">
        <v>40</v>
      </c>
      <c r="K622" s="70" t="s">
        <v>40</v>
      </c>
      <c r="L622" s="70" t="s">
        <v>40</v>
      </c>
      <c r="M622" s="70"/>
      <c r="N622" s="70" t="s">
        <v>40</v>
      </c>
      <c r="O622" s="70" t="s">
        <v>40</v>
      </c>
      <c r="P622" s="70" t="s">
        <v>40</v>
      </c>
      <c r="Q622" s="70"/>
      <c r="R622" s="70" t="s">
        <v>40</v>
      </c>
      <c r="S622" s="70" t="s">
        <v>40</v>
      </c>
      <c r="T622" s="70" t="s">
        <v>40</v>
      </c>
      <c r="U622" s="70" t="s">
        <v>40</v>
      </c>
      <c r="V622" s="70" t="s">
        <v>40</v>
      </c>
      <c r="W622" s="70"/>
      <c r="X622" s="70" t="s">
        <v>40</v>
      </c>
      <c r="Y622" s="70" t="s">
        <v>40</v>
      </c>
      <c r="Z622" s="70" t="s">
        <v>40</v>
      </c>
      <c r="AA622" s="70" t="s">
        <v>40</v>
      </c>
      <c r="AB622" s="70" t="s">
        <v>40</v>
      </c>
    </row>
    <row r="623" spans="1:47" x14ac:dyDescent="0.25">
      <c r="A623" s="46"/>
      <c r="B623" s="26"/>
      <c r="C623" s="4"/>
      <c r="D623" s="68">
        <f>SUM(D619:D621)</f>
        <v>20672727.859999999</v>
      </c>
      <c r="E623" s="68">
        <f t="shared" ref="E623:AB623" si="244">SUM(E619:E621)</f>
        <v>2107710</v>
      </c>
      <c r="F623" s="68">
        <f t="shared" si="244"/>
        <v>0</v>
      </c>
      <c r="G623" s="68"/>
      <c r="H623" s="68">
        <f t="shared" si="244"/>
        <v>2107710</v>
      </c>
      <c r="I623" s="68">
        <f t="shared" si="244"/>
        <v>0</v>
      </c>
      <c r="J623" s="68">
        <f t="shared" si="244"/>
        <v>0</v>
      </c>
      <c r="K623" s="68">
        <f t="shared" si="244"/>
        <v>0</v>
      </c>
      <c r="L623" s="68">
        <f t="shared" si="244"/>
        <v>0</v>
      </c>
      <c r="M623" s="68"/>
      <c r="N623" s="68">
        <f t="shared" si="244"/>
        <v>2107710</v>
      </c>
      <c r="O623" s="68">
        <f t="shared" si="244"/>
        <v>734</v>
      </c>
      <c r="P623" s="68">
        <f t="shared" si="244"/>
        <v>0</v>
      </c>
      <c r="Q623" s="68"/>
      <c r="R623" s="68">
        <f t="shared" si="244"/>
        <v>734</v>
      </c>
      <c r="S623" s="68">
        <f t="shared" si="244"/>
        <v>0</v>
      </c>
      <c r="T623" s="68">
        <f t="shared" si="244"/>
        <v>0</v>
      </c>
      <c r="U623" s="68">
        <f t="shared" si="244"/>
        <v>0</v>
      </c>
      <c r="V623" s="68">
        <f t="shared" si="244"/>
        <v>0</v>
      </c>
      <c r="W623" s="68"/>
      <c r="X623" s="68">
        <f t="shared" si="244"/>
        <v>734</v>
      </c>
      <c r="Y623" s="68">
        <f t="shared" si="244"/>
        <v>2108444</v>
      </c>
      <c r="Z623" s="68">
        <f t="shared" si="244"/>
        <v>18564283.859999999</v>
      </c>
      <c r="AA623" s="68">
        <f t="shared" si="244"/>
        <v>2108444</v>
      </c>
      <c r="AB623" s="68">
        <f t="shared" si="244"/>
        <v>18564283.859999999</v>
      </c>
      <c r="AU623" s="94"/>
    </row>
    <row r="624" spans="1:47" x14ac:dyDescent="0.25">
      <c r="A624" s="46"/>
      <c r="B624" s="26"/>
      <c r="C624" s="4"/>
      <c r="D624" s="70" t="s">
        <v>40</v>
      </c>
      <c r="E624" s="70" t="s">
        <v>40</v>
      </c>
      <c r="F624" s="70" t="s">
        <v>40</v>
      </c>
      <c r="G624" s="70"/>
      <c r="H624" s="70" t="s">
        <v>40</v>
      </c>
      <c r="I624" s="70" t="s">
        <v>40</v>
      </c>
      <c r="J624" s="70" t="s">
        <v>40</v>
      </c>
      <c r="K624" s="70" t="s">
        <v>40</v>
      </c>
      <c r="L624" s="70" t="s">
        <v>40</v>
      </c>
      <c r="M624" s="70"/>
      <c r="N624" s="70" t="s">
        <v>40</v>
      </c>
      <c r="O624" s="70" t="s">
        <v>40</v>
      </c>
      <c r="P624" s="70" t="s">
        <v>40</v>
      </c>
      <c r="Q624" s="70"/>
      <c r="R624" s="70" t="s">
        <v>40</v>
      </c>
      <c r="S624" s="70" t="s">
        <v>40</v>
      </c>
      <c r="T624" s="70" t="s">
        <v>40</v>
      </c>
      <c r="U624" s="70" t="s">
        <v>40</v>
      </c>
      <c r="V624" s="70" t="s">
        <v>40</v>
      </c>
      <c r="W624" s="70"/>
      <c r="X624" s="70" t="s">
        <v>40</v>
      </c>
      <c r="Y624" s="70" t="s">
        <v>40</v>
      </c>
      <c r="Z624" s="70" t="s">
        <v>40</v>
      </c>
      <c r="AA624" s="70" t="s">
        <v>40</v>
      </c>
      <c r="AB624" s="70" t="s">
        <v>40</v>
      </c>
    </row>
    <row r="625" spans="1:46" x14ac:dyDescent="0.25">
      <c r="A625" s="46">
        <v>63</v>
      </c>
      <c r="B625" s="26" t="s">
        <v>203</v>
      </c>
      <c r="C625" s="2" t="s">
        <v>35</v>
      </c>
      <c r="D625" s="68">
        <f>18121137.69-9903123.14-1158145.09</f>
        <v>7059869.4600000009</v>
      </c>
      <c r="E625" s="68"/>
      <c r="F625" s="68"/>
      <c r="G625" s="68"/>
      <c r="H625" s="67">
        <f>E625+F625</f>
        <v>0</v>
      </c>
      <c r="I625" s="68"/>
      <c r="J625" s="68"/>
      <c r="K625" s="68"/>
      <c r="L625" s="68"/>
      <c r="M625" s="68"/>
      <c r="N625" s="67">
        <f>H625+L625</f>
        <v>0</v>
      </c>
      <c r="O625" s="68">
        <v>117163.2</v>
      </c>
      <c r="P625" s="68"/>
      <c r="Q625" s="68"/>
      <c r="R625" s="67">
        <f>O625+P625</f>
        <v>117163.2</v>
      </c>
      <c r="S625" s="68"/>
      <c r="T625" s="68"/>
      <c r="U625" s="68"/>
      <c r="V625" s="68"/>
      <c r="W625" s="68"/>
      <c r="X625" s="67">
        <f>R625+V625</f>
        <v>117163.2</v>
      </c>
      <c r="Y625" s="67">
        <f>R625+H625</f>
        <v>117163.2</v>
      </c>
      <c r="Z625" s="67">
        <f>D625-Y625</f>
        <v>6942706.2600000007</v>
      </c>
      <c r="AA625" s="67">
        <f>N625+X625</f>
        <v>117163.2</v>
      </c>
      <c r="AB625" s="67">
        <f>+D625-N625-X625</f>
        <v>6942706.2600000007</v>
      </c>
    </row>
    <row r="626" spans="1:46" x14ac:dyDescent="0.25">
      <c r="A626" s="46"/>
      <c r="B626" s="26"/>
      <c r="C626" s="4" t="s">
        <v>36</v>
      </c>
      <c r="D626" s="68">
        <v>2879638</v>
      </c>
      <c r="E626" s="68">
        <v>2879638</v>
      </c>
      <c r="F626" s="68"/>
      <c r="G626" s="68"/>
      <c r="H626" s="67">
        <f>E626+F626</f>
        <v>2879638</v>
      </c>
      <c r="I626" s="68"/>
      <c r="J626" s="68"/>
      <c r="K626" s="68"/>
      <c r="L626" s="68"/>
      <c r="M626" s="68"/>
      <c r="N626" s="67">
        <f>H626+L626</f>
        <v>2879638</v>
      </c>
      <c r="O626" s="68"/>
      <c r="P626" s="68"/>
      <c r="Q626" s="68"/>
      <c r="R626" s="67">
        <f>O626+P626</f>
        <v>0</v>
      </c>
      <c r="S626" s="68"/>
      <c r="T626" s="68"/>
      <c r="U626" s="68"/>
      <c r="V626" s="68"/>
      <c r="W626" s="68"/>
      <c r="X626" s="67">
        <f>R626+V626</f>
        <v>0</v>
      </c>
      <c r="Y626" s="67">
        <f>R626+H626</f>
        <v>2879638</v>
      </c>
      <c r="Z626" s="67">
        <f>D626-Y626</f>
        <v>0</v>
      </c>
      <c r="AA626" s="67">
        <f>N626+X626</f>
        <v>2879638</v>
      </c>
      <c r="AB626" s="67">
        <f>+D626-N626-X626</f>
        <v>0</v>
      </c>
      <c r="AT626" s="94"/>
    </row>
    <row r="627" spans="1:46" ht="15" customHeight="1" x14ac:dyDescent="0.25">
      <c r="A627" s="46"/>
      <c r="B627" s="26"/>
      <c r="C627" s="4" t="s">
        <v>53</v>
      </c>
      <c r="D627" s="68">
        <v>9903123.1400000006</v>
      </c>
      <c r="E627" s="68"/>
      <c r="F627" s="68"/>
      <c r="G627" s="68"/>
      <c r="H627" s="67">
        <f>E627+F627</f>
        <v>0</v>
      </c>
      <c r="I627" s="68"/>
      <c r="J627" s="68"/>
      <c r="K627" s="68"/>
      <c r="L627" s="68"/>
      <c r="M627" s="68"/>
      <c r="N627" s="67">
        <f>H627+L627</f>
        <v>0</v>
      </c>
      <c r="O627" s="68">
        <v>9903123.1400000006</v>
      </c>
      <c r="P627" s="68"/>
      <c r="Q627" s="68"/>
      <c r="R627" s="67">
        <f>O627+P627</f>
        <v>9903123.1400000006</v>
      </c>
      <c r="S627" s="68"/>
      <c r="T627" s="68"/>
      <c r="U627" s="68"/>
      <c r="V627" s="68"/>
      <c r="W627" s="68"/>
      <c r="X627" s="67">
        <f>R627+V627</f>
        <v>9903123.1400000006</v>
      </c>
      <c r="Y627" s="67">
        <f>R627+H627</f>
        <v>9903123.1400000006</v>
      </c>
      <c r="Z627" s="67">
        <f>D627-Y627</f>
        <v>0</v>
      </c>
      <c r="AA627" s="67">
        <f>N627+X627</f>
        <v>9903123.1400000006</v>
      </c>
      <c r="AB627" s="67">
        <f>+D627-N627-X627</f>
        <v>0</v>
      </c>
    </row>
    <row r="628" spans="1:46" ht="17.25" customHeight="1" x14ac:dyDescent="0.25">
      <c r="A628" s="46"/>
      <c r="B628" s="26"/>
      <c r="C628" s="4" t="s">
        <v>38</v>
      </c>
      <c r="D628" s="68">
        <f>2516000-2516000</f>
        <v>0</v>
      </c>
      <c r="E628" s="68"/>
      <c r="F628" s="68"/>
      <c r="G628" s="68"/>
      <c r="H628" s="67">
        <f>E628+F628</f>
        <v>0</v>
      </c>
      <c r="I628" s="68"/>
      <c r="J628" s="68"/>
      <c r="K628" s="68"/>
      <c r="L628" s="68"/>
      <c r="M628" s="68"/>
      <c r="N628" s="67">
        <f>H628+L628</f>
        <v>0</v>
      </c>
      <c r="O628" s="68"/>
      <c r="P628" s="68"/>
      <c r="Q628" s="68"/>
      <c r="R628" s="67">
        <f>O628+P628</f>
        <v>0</v>
      </c>
      <c r="S628" s="68"/>
      <c r="T628" s="68"/>
      <c r="U628" s="68"/>
      <c r="V628" s="68"/>
      <c r="W628" s="68"/>
      <c r="X628" s="67">
        <f>R628+V628</f>
        <v>0</v>
      </c>
      <c r="Y628" s="67">
        <f>R628+H628</f>
        <v>0</v>
      </c>
      <c r="Z628" s="67">
        <f>D628-Y628</f>
        <v>0</v>
      </c>
      <c r="AA628" s="67">
        <f>N628+X628</f>
        <v>0</v>
      </c>
      <c r="AB628" s="67">
        <f>+D628-N628-X628</f>
        <v>0</v>
      </c>
    </row>
    <row r="629" spans="1:46" ht="17.25" customHeight="1" x14ac:dyDescent="0.25">
      <c r="A629" s="46"/>
      <c r="B629" s="26"/>
      <c r="C629" s="4" t="s">
        <v>54</v>
      </c>
      <c r="D629" s="68">
        <f>1422221.68+2516000+1158145.09</f>
        <v>5096366.7699999996</v>
      </c>
      <c r="E629" s="68"/>
      <c r="F629" s="68"/>
      <c r="G629" s="68"/>
      <c r="H629" s="67">
        <f>E629+F629</f>
        <v>0</v>
      </c>
      <c r="I629" s="68"/>
      <c r="J629" s="68"/>
      <c r="K629" s="68"/>
      <c r="L629" s="68"/>
      <c r="M629" s="68"/>
      <c r="N629" s="67">
        <f>H629+L629</f>
        <v>0</v>
      </c>
      <c r="O629" s="68">
        <v>5096366.7699999996</v>
      </c>
      <c r="P629" s="68"/>
      <c r="Q629" s="68"/>
      <c r="R629" s="67">
        <f>O629+P629</f>
        <v>5096366.7699999996</v>
      </c>
      <c r="S629" s="68"/>
      <c r="T629" s="68"/>
      <c r="U629" s="68"/>
      <c r="V629" s="68"/>
      <c r="W629" s="68"/>
      <c r="X629" s="67">
        <f>R629+V629</f>
        <v>5096366.7699999996</v>
      </c>
      <c r="Y629" s="67">
        <f>R629+H629</f>
        <v>5096366.7699999996</v>
      </c>
      <c r="Z629" s="67">
        <f>D629-Y629</f>
        <v>0</v>
      </c>
      <c r="AA629" s="67">
        <f>N629+X629</f>
        <v>5096366.7699999996</v>
      </c>
      <c r="AB629" s="67">
        <f>+D629-N629-X629</f>
        <v>0</v>
      </c>
    </row>
    <row r="630" spans="1:46" ht="15.75" customHeight="1" x14ac:dyDescent="0.25">
      <c r="A630" s="46"/>
      <c r="B630" s="26"/>
      <c r="C630" s="4"/>
      <c r="D630" s="70" t="s">
        <v>40</v>
      </c>
      <c r="E630" s="70" t="s">
        <v>40</v>
      </c>
      <c r="F630" s="70" t="s">
        <v>40</v>
      </c>
      <c r="G630" s="70"/>
      <c r="H630" s="70" t="s">
        <v>40</v>
      </c>
      <c r="I630" s="70" t="s">
        <v>40</v>
      </c>
      <c r="J630" s="70" t="s">
        <v>40</v>
      </c>
      <c r="K630" s="70" t="s">
        <v>40</v>
      </c>
      <c r="L630" s="70" t="s">
        <v>40</v>
      </c>
      <c r="M630" s="70"/>
      <c r="N630" s="70" t="s">
        <v>40</v>
      </c>
      <c r="O630" s="70" t="s">
        <v>40</v>
      </c>
      <c r="P630" s="70" t="s">
        <v>40</v>
      </c>
      <c r="Q630" s="70"/>
      <c r="R630" s="70" t="s">
        <v>40</v>
      </c>
      <c r="S630" s="70" t="s">
        <v>40</v>
      </c>
      <c r="T630" s="70" t="s">
        <v>40</v>
      </c>
      <c r="U630" s="70" t="s">
        <v>40</v>
      </c>
      <c r="V630" s="70" t="s">
        <v>40</v>
      </c>
      <c r="W630" s="70"/>
      <c r="X630" s="70" t="s">
        <v>40</v>
      </c>
      <c r="Y630" s="70" t="s">
        <v>40</v>
      </c>
      <c r="Z630" s="70" t="s">
        <v>40</v>
      </c>
      <c r="AA630" s="70" t="s">
        <v>40</v>
      </c>
      <c r="AB630" s="70" t="s">
        <v>40</v>
      </c>
    </row>
    <row r="631" spans="1:46" x14ac:dyDescent="0.25">
      <c r="A631" s="46"/>
      <c r="B631" s="26"/>
      <c r="C631" s="4"/>
      <c r="D631" s="68">
        <f>SUM(D625:D629)</f>
        <v>24938997.370000001</v>
      </c>
      <c r="E631" s="68">
        <f t="shared" ref="E631:AB631" si="245">SUM(E625:E629)</f>
        <v>2879638</v>
      </c>
      <c r="F631" s="68">
        <f t="shared" si="245"/>
        <v>0</v>
      </c>
      <c r="G631" s="68"/>
      <c r="H631" s="68">
        <f t="shared" si="245"/>
        <v>2879638</v>
      </c>
      <c r="I631" s="68">
        <f t="shared" si="245"/>
        <v>0</v>
      </c>
      <c r="J631" s="68">
        <f t="shared" si="245"/>
        <v>0</v>
      </c>
      <c r="K631" s="68">
        <f t="shared" si="245"/>
        <v>0</v>
      </c>
      <c r="L631" s="68">
        <f t="shared" si="245"/>
        <v>0</v>
      </c>
      <c r="M631" s="68"/>
      <c r="N631" s="68">
        <f t="shared" si="245"/>
        <v>2879638</v>
      </c>
      <c r="O631" s="68">
        <f t="shared" si="245"/>
        <v>15116653.109999999</v>
      </c>
      <c r="P631" s="68">
        <f t="shared" si="245"/>
        <v>0</v>
      </c>
      <c r="Q631" s="68"/>
      <c r="R631" s="68">
        <f t="shared" si="245"/>
        <v>15116653.109999999</v>
      </c>
      <c r="S631" s="68">
        <f t="shared" si="245"/>
        <v>0</v>
      </c>
      <c r="T631" s="68">
        <f t="shared" si="245"/>
        <v>0</v>
      </c>
      <c r="U631" s="68">
        <f t="shared" si="245"/>
        <v>0</v>
      </c>
      <c r="V631" s="68">
        <f t="shared" si="245"/>
        <v>0</v>
      </c>
      <c r="W631" s="68"/>
      <c r="X631" s="68">
        <f t="shared" si="245"/>
        <v>15116653.109999999</v>
      </c>
      <c r="Y631" s="68">
        <f t="shared" si="245"/>
        <v>17996291.109999999</v>
      </c>
      <c r="Z631" s="68">
        <f t="shared" si="245"/>
        <v>6942706.2600000007</v>
      </c>
      <c r="AA631" s="68">
        <f t="shared" si="245"/>
        <v>17996291.109999999</v>
      </c>
      <c r="AB631" s="68">
        <f t="shared" si="245"/>
        <v>6942706.2600000007</v>
      </c>
    </row>
    <row r="632" spans="1:46" x14ac:dyDescent="0.25">
      <c r="A632" s="46"/>
      <c r="B632" s="26"/>
      <c r="C632" s="4"/>
      <c r="D632" s="70" t="s">
        <v>40</v>
      </c>
      <c r="E632" s="70" t="s">
        <v>40</v>
      </c>
      <c r="F632" s="70" t="s">
        <v>40</v>
      </c>
      <c r="G632" s="70"/>
      <c r="H632" s="70" t="s">
        <v>40</v>
      </c>
      <c r="I632" s="70" t="s">
        <v>40</v>
      </c>
      <c r="J632" s="70" t="s">
        <v>40</v>
      </c>
      <c r="K632" s="70" t="s">
        <v>40</v>
      </c>
      <c r="L632" s="70" t="s">
        <v>40</v>
      </c>
      <c r="M632" s="70"/>
      <c r="N632" s="70" t="s">
        <v>40</v>
      </c>
      <c r="O632" s="70" t="s">
        <v>40</v>
      </c>
      <c r="P632" s="70" t="s">
        <v>40</v>
      </c>
      <c r="Q632" s="70"/>
      <c r="R632" s="70" t="s">
        <v>40</v>
      </c>
      <c r="S632" s="70" t="s">
        <v>40</v>
      </c>
      <c r="T632" s="70" t="s">
        <v>40</v>
      </c>
      <c r="U632" s="70" t="s">
        <v>40</v>
      </c>
      <c r="V632" s="70" t="s">
        <v>40</v>
      </c>
      <c r="W632" s="70"/>
      <c r="X632" s="70" t="s">
        <v>40</v>
      </c>
      <c r="Y632" s="70" t="s">
        <v>40</v>
      </c>
      <c r="Z632" s="70" t="s">
        <v>40</v>
      </c>
      <c r="AA632" s="70" t="s">
        <v>40</v>
      </c>
      <c r="AB632" s="70" t="s">
        <v>40</v>
      </c>
    </row>
    <row r="633" spans="1:46" ht="15.75" customHeight="1" x14ac:dyDescent="0.25">
      <c r="O633" s="117"/>
      <c r="P633" s="63"/>
      <c r="Q633" s="63"/>
      <c r="R633" s="63"/>
      <c r="S633" s="63"/>
      <c r="T633" s="63"/>
      <c r="U633" s="63"/>
      <c r="V633" s="63"/>
      <c r="W633" s="63"/>
      <c r="X633" s="63"/>
      <c r="AS633" s="94"/>
    </row>
    <row r="635" spans="1:46" ht="15.75" customHeight="1" x14ac:dyDescent="0.25">
      <c r="A635" s="46">
        <v>64</v>
      </c>
      <c r="B635" s="26" t="s">
        <v>204</v>
      </c>
      <c r="C635" s="2" t="s">
        <v>35</v>
      </c>
      <c r="D635" s="68">
        <v>390829.87</v>
      </c>
      <c r="E635" s="68"/>
      <c r="F635" s="68"/>
      <c r="G635" s="68"/>
      <c r="H635" s="67">
        <f>E635+F635</f>
        <v>0</v>
      </c>
      <c r="I635" s="68"/>
      <c r="J635" s="68"/>
      <c r="K635" s="68"/>
      <c r="L635" s="68"/>
      <c r="M635" s="68"/>
      <c r="N635" s="67">
        <f>H635+L635</f>
        <v>0</v>
      </c>
      <c r="O635" s="68">
        <v>137288.60999999999</v>
      </c>
      <c r="P635" s="68"/>
      <c r="Q635" s="68"/>
      <c r="R635" s="67">
        <f>O635+P635</f>
        <v>137288.60999999999</v>
      </c>
      <c r="S635" s="68"/>
      <c r="T635" s="68"/>
      <c r="U635" s="68"/>
      <c r="V635" s="68"/>
      <c r="W635" s="68"/>
      <c r="X635" s="67">
        <f>R635+V635</f>
        <v>137288.60999999999</v>
      </c>
      <c r="Y635" s="67">
        <f t="shared" ref="Y635:Y640" si="246">R635+H635</f>
        <v>137288.60999999999</v>
      </c>
      <c r="Z635" s="67">
        <f t="shared" ref="Z635:Z640" si="247">D635-Y635</f>
        <v>253541.26</v>
      </c>
      <c r="AA635" s="67">
        <f t="shared" ref="AA635:AA640" si="248">N635+X635</f>
        <v>137288.60999999999</v>
      </c>
      <c r="AB635" s="67">
        <f t="shared" ref="AB635:AB640" si="249">+D635-N635-X635</f>
        <v>253541.26</v>
      </c>
    </row>
    <row r="636" spans="1:46" ht="16.5" customHeight="1" x14ac:dyDescent="0.25">
      <c r="A636" s="46"/>
      <c r="B636" s="26"/>
      <c r="C636" s="4" t="s">
        <v>36</v>
      </c>
      <c r="D636" s="68">
        <v>1048781</v>
      </c>
      <c r="E636" s="68">
        <v>1048781</v>
      </c>
      <c r="F636" s="68"/>
      <c r="G636" s="68"/>
      <c r="H636" s="67">
        <f>E636+F636</f>
        <v>1048781</v>
      </c>
      <c r="I636" s="68"/>
      <c r="J636" s="68"/>
      <c r="K636" s="68"/>
      <c r="L636" s="68"/>
      <c r="M636" s="68"/>
      <c r="N636" s="67">
        <f>H636+L636</f>
        <v>1048781</v>
      </c>
      <c r="O636" s="68"/>
      <c r="P636" s="68"/>
      <c r="Q636" s="68"/>
      <c r="R636" s="67">
        <f>O636+P636</f>
        <v>0</v>
      </c>
      <c r="S636" s="68"/>
      <c r="T636" s="68"/>
      <c r="U636" s="68"/>
      <c r="V636" s="68"/>
      <c r="W636" s="68"/>
      <c r="X636" s="67">
        <f>R636+V636</f>
        <v>0</v>
      </c>
      <c r="Y636" s="67">
        <f t="shared" si="246"/>
        <v>1048781</v>
      </c>
      <c r="Z636" s="67">
        <f t="shared" si="247"/>
        <v>0</v>
      </c>
      <c r="AA636" s="67">
        <f t="shared" si="248"/>
        <v>1048781</v>
      </c>
      <c r="AB636" s="67">
        <f t="shared" si="249"/>
        <v>0</v>
      </c>
    </row>
    <row r="637" spans="1:46" ht="16.5" customHeight="1" x14ac:dyDescent="0.25">
      <c r="C637" s="4" t="s">
        <v>290</v>
      </c>
      <c r="D637" s="55">
        <f>30000000+30000000+30000000</f>
        <v>90000000</v>
      </c>
      <c r="E637" s="55">
        <f>30000000+30000000</f>
        <v>60000000</v>
      </c>
      <c r="F637" s="55">
        <v>30000000</v>
      </c>
      <c r="G637" s="55"/>
      <c r="H637" s="55">
        <f>+E637+F637</f>
        <v>90000000</v>
      </c>
      <c r="I637" s="55"/>
      <c r="J637" s="55"/>
      <c r="K637" s="55"/>
      <c r="L637" s="55"/>
      <c r="M637" s="55"/>
      <c r="N637" s="55">
        <f>+H637+L637</f>
        <v>90000000</v>
      </c>
      <c r="O637" s="55"/>
      <c r="P637" s="55"/>
      <c r="Q637" s="55"/>
      <c r="R637" s="58">
        <f>O637+P637</f>
        <v>0</v>
      </c>
      <c r="S637" s="55"/>
      <c r="T637" s="55"/>
      <c r="U637" s="55"/>
      <c r="V637" s="55"/>
      <c r="W637" s="55"/>
      <c r="X637" s="58">
        <f>R637+V637</f>
        <v>0</v>
      </c>
      <c r="Y637" s="67">
        <f t="shared" si="246"/>
        <v>90000000</v>
      </c>
      <c r="Z637" s="67">
        <f t="shared" si="247"/>
        <v>0</v>
      </c>
      <c r="AA637" s="67">
        <f t="shared" si="248"/>
        <v>90000000</v>
      </c>
      <c r="AB637" s="67">
        <f t="shared" si="249"/>
        <v>0</v>
      </c>
    </row>
    <row r="638" spans="1:46" ht="15.75" customHeight="1" x14ac:dyDescent="0.25">
      <c r="C638" s="4" t="s">
        <v>305</v>
      </c>
      <c r="D638" s="55">
        <v>48814406.009999998</v>
      </c>
      <c r="E638" s="55">
        <v>48814406.009999998</v>
      </c>
      <c r="F638" s="55"/>
      <c r="G638" s="55"/>
      <c r="H638" s="55">
        <f>+E638+F638</f>
        <v>48814406.009999998</v>
      </c>
      <c r="I638" s="55"/>
      <c r="J638" s="55"/>
      <c r="K638" s="55"/>
      <c r="L638" s="55"/>
      <c r="M638" s="55"/>
      <c r="N638" s="55">
        <f>+H638+L638</f>
        <v>48814406.009999998</v>
      </c>
      <c r="O638" s="55"/>
      <c r="P638" s="55"/>
      <c r="Q638" s="55"/>
      <c r="R638" s="55">
        <f>+O638+P638</f>
        <v>0</v>
      </c>
      <c r="S638" s="55"/>
      <c r="T638" s="55"/>
      <c r="U638" s="55"/>
      <c r="V638" s="55"/>
      <c r="W638" s="55"/>
      <c r="X638" s="55">
        <f>+R638+V638</f>
        <v>0</v>
      </c>
      <c r="Y638" s="67">
        <f t="shared" si="246"/>
        <v>48814406.009999998</v>
      </c>
      <c r="Z638" s="67">
        <f t="shared" si="247"/>
        <v>0</v>
      </c>
      <c r="AA638" s="67">
        <f t="shared" si="248"/>
        <v>48814406.009999998</v>
      </c>
      <c r="AB638" s="67">
        <f t="shared" si="249"/>
        <v>0</v>
      </c>
      <c r="AR638" s="94"/>
    </row>
    <row r="639" spans="1:46" x14ac:dyDescent="0.25">
      <c r="A639" s="46"/>
      <c r="B639" s="26"/>
      <c r="C639" s="4" t="s">
        <v>183</v>
      </c>
      <c r="D639" s="68">
        <v>8999353.7200000007</v>
      </c>
      <c r="E639" s="68"/>
      <c r="F639" s="68"/>
      <c r="G639" s="68"/>
      <c r="H639" s="67">
        <f>E639+F639</f>
        <v>0</v>
      </c>
      <c r="I639" s="68"/>
      <c r="J639" s="68"/>
      <c r="K639" s="68"/>
      <c r="L639" s="68"/>
      <c r="M639" s="68"/>
      <c r="N639" s="67">
        <f>H639+L639</f>
        <v>0</v>
      </c>
      <c r="O639" s="68"/>
      <c r="P639" s="68"/>
      <c r="Q639" s="68"/>
      <c r="R639" s="67">
        <f>O639+P639</f>
        <v>0</v>
      </c>
      <c r="S639" s="68"/>
      <c r="T639" s="68"/>
      <c r="U639" s="68"/>
      <c r="V639" s="68"/>
      <c r="W639" s="68"/>
      <c r="X639" s="67">
        <f>R639+V639</f>
        <v>0</v>
      </c>
      <c r="Y639" s="67">
        <f t="shared" si="246"/>
        <v>0</v>
      </c>
      <c r="Z639" s="67">
        <f t="shared" si="247"/>
        <v>8999353.7200000007</v>
      </c>
      <c r="AA639" s="67">
        <f t="shared" si="248"/>
        <v>0</v>
      </c>
      <c r="AB639" s="67">
        <f t="shared" si="249"/>
        <v>8999353.7200000007</v>
      </c>
    </row>
    <row r="640" spans="1:46" x14ac:dyDescent="0.25">
      <c r="A640" s="46"/>
      <c r="B640" s="26"/>
      <c r="C640" s="4" t="s">
        <v>184</v>
      </c>
      <c r="D640" s="68">
        <v>0</v>
      </c>
      <c r="E640" s="68"/>
      <c r="F640" s="68"/>
      <c r="G640" s="68"/>
      <c r="H640" s="67">
        <f>E640+F640</f>
        <v>0</v>
      </c>
      <c r="I640" s="68"/>
      <c r="J640" s="68"/>
      <c r="K640" s="68"/>
      <c r="L640" s="68"/>
      <c r="M640" s="68"/>
      <c r="N640" s="67">
        <f>H640+L640</f>
        <v>0</v>
      </c>
      <c r="O640" s="68"/>
      <c r="P640" s="68"/>
      <c r="Q640" s="68"/>
      <c r="R640" s="67">
        <f>O640+P640</f>
        <v>0</v>
      </c>
      <c r="S640" s="68"/>
      <c r="T640" s="68"/>
      <c r="U640" s="68"/>
      <c r="V640" s="68"/>
      <c r="W640" s="68"/>
      <c r="X640" s="67">
        <f>R640+V640</f>
        <v>0</v>
      </c>
      <c r="Y640" s="67">
        <f t="shared" si="246"/>
        <v>0</v>
      </c>
      <c r="Z640" s="67">
        <f t="shared" si="247"/>
        <v>0</v>
      </c>
      <c r="AA640" s="67">
        <f t="shared" si="248"/>
        <v>0</v>
      </c>
      <c r="AB640" s="67">
        <f t="shared" si="249"/>
        <v>0</v>
      </c>
    </row>
    <row r="641" spans="1:43" x14ac:dyDescent="0.25">
      <c r="A641" s="46"/>
      <c r="B641" s="26"/>
      <c r="C641" s="4"/>
      <c r="D641" s="70" t="s">
        <v>40</v>
      </c>
      <c r="E641" s="70" t="s">
        <v>40</v>
      </c>
      <c r="F641" s="70" t="s">
        <v>40</v>
      </c>
      <c r="G641" s="70"/>
      <c r="H641" s="70" t="s">
        <v>40</v>
      </c>
      <c r="I641" s="70" t="s">
        <v>40</v>
      </c>
      <c r="J641" s="70" t="s">
        <v>40</v>
      </c>
      <c r="K641" s="70" t="s">
        <v>40</v>
      </c>
      <c r="L641" s="70" t="s">
        <v>40</v>
      </c>
      <c r="M641" s="70"/>
      <c r="N641" s="70" t="s">
        <v>40</v>
      </c>
      <c r="O641" s="70" t="s">
        <v>40</v>
      </c>
      <c r="P641" s="70" t="s">
        <v>40</v>
      </c>
      <c r="Q641" s="70"/>
      <c r="R641" s="70" t="s">
        <v>40</v>
      </c>
      <c r="S641" s="70" t="s">
        <v>40</v>
      </c>
      <c r="T641" s="70" t="s">
        <v>40</v>
      </c>
      <c r="U641" s="70" t="s">
        <v>40</v>
      </c>
      <c r="V641" s="70" t="s">
        <v>40</v>
      </c>
      <c r="W641" s="70"/>
      <c r="X641" s="70" t="s">
        <v>40</v>
      </c>
      <c r="Y641" s="70" t="s">
        <v>40</v>
      </c>
      <c r="Z641" s="70" t="s">
        <v>40</v>
      </c>
      <c r="AA641" s="70" t="s">
        <v>40</v>
      </c>
      <c r="AB641" s="70" t="s">
        <v>40</v>
      </c>
    </row>
    <row r="642" spans="1:43" x14ac:dyDescent="0.25">
      <c r="A642" s="46"/>
      <c r="B642" s="26"/>
      <c r="C642" s="4"/>
      <c r="D642" s="68">
        <f>SUM(D635:D640)</f>
        <v>149253370.59999999</v>
      </c>
      <c r="E642" s="68">
        <f>SUM(E635:E640)</f>
        <v>109863187.00999999</v>
      </c>
      <c r="F642" s="68">
        <f>SUM(F635:F640)</f>
        <v>30000000</v>
      </c>
      <c r="G642" s="68"/>
      <c r="H642" s="68">
        <f>SUM(H635:H640)</f>
        <v>139863187.00999999</v>
      </c>
      <c r="I642" s="68">
        <f>SUM(I635:I640)</f>
        <v>0</v>
      </c>
      <c r="J642" s="68">
        <f>SUM(J635:J640)</f>
        <v>0</v>
      </c>
      <c r="K642" s="68">
        <f>SUM(K635:K640)</f>
        <v>0</v>
      </c>
      <c r="L642" s="68">
        <f>SUM(L635:L640)</f>
        <v>0</v>
      </c>
      <c r="M642" s="68"/>
      <c r="N642" s="68">
        <f>SUM(N635:N640)</f>
        <v>139863187.00999999</v>
      </c>
      <c r="O642" s="68">
        <f>SUM(O635:O640)</f>
        <v>137288.60999999999</v>
      </c>
      <c r="P642" s="68">
        <f>SUM(P635:P640)</f>
        <v>0</v>
      </c>
      <c r="Q642" s="68"/>
      <c r="R642" s="68">
        <f>SUM(R635:R640)</f>
        <v>137288.60999999999</v>
      </c>
      <c r="S642" s="68">
        <f>SUM(S635:S640)</f>
        <v>0</v>
      </c>
      <c r="T642" s="68">
        <f>SUM(T635:T640)</f>
        <v>0</v>
      </c>
      <c r="U642" s="68">
        <f>SUM(U635:U640)</f>
        <v>0</v>
      </c>
      <c r="V642" s="68">
        <f>SUM(V635:V640)</f>
        <v>0</v>
      </c>
      <c r="W642" s="68"/>
      <c r="X642" s="68">
        <f>SUM(X635:X640)</f>
        <v>137288.60999999999</v>
      </c>
      <c r="Y642" s="68">
        <f>SUM(Y635:Y640)</f>
        <v>140000475.62</v>
      </c>
      <c r="Z642" s="68">
        <f>SUM(Z635:Z640)</f>
        <v>9252894.9800000004</v>
      </c>
      <c r="AA642" s="68">
        <f>SUM(AA635:AA640)</f>
        <v>140000475.62</v>
      </c>
      <c r="AB642" s="68">
        <f>SUM(AB635:AB640)</f>
        <v>9252894.9800000004</v>
      </c>
    </row>
    <row r="643" spans="1:43" ht="15.75" customHeight="1" x14ac:dyDescent="0.25">
      <c r="A643" s="46"/>
      <c r="B643" s="26"/>
      <c r="C643" s="4"/>
      <c r="D643" s="70" t="s">
        <v>40</v>
      </c>
      <c r="E643" s="70" t="s">
        <v>40</v>
      </c>
      <c r="F643" s="70" t="s">
        <v>40</v>
      </c>
      <c r="G643" s="70"/>
      <c r="H643" s="70" t="s">
        <v>40</v>
      </c>
      <c r="I643" s="70" t="s">
        <v>40</v>
      </c>
      <c r="J643" s="70" t="s">
        <v>40</v>
      </c>
      <c r="K643" s="70" t="s">
        <v>40</v>
      </c>
      <c r="L643" s="70" t="s">
        <v>40</v>
      </c>
      <c r="M643" s="70"/>
      <c r="N643" s="70" t="s">
        <v>40</v>
      </c>
      <c r="O643" s="70" t="s">
        <v>40</v>
      </c>
      <c r="P643" s="70" t="s">
        <v>40</v>
      </c>
      <c r="Q643" s="70"/>
      <c r="R643" s="70" t="s">
        <v>40</v>
      </c>
      <c r="S643" s="70" t="s">
        <v>40</v>
      </c>
      <c r="T643" s="70" t="s">
        <v>40</v>
      </c>
      <c r="U643" s="70" t="s">
        <v>40</v>
      </c>
      <c r="V643" s="70" t="s">
        <v>40</v>
      </c>
      <c r="W643" s="70"/>
      <c r="X643" s="70" t="s">
        <v>40</v>
      </c>
      <c r="Y643" s="70" t="s">
        <v>40</v>
      </c>
      <c r="Z643" s="70" t="s">
        <v>40</v>
      </c>
      <c r="AA643" s="70" t="s">
        <v>40</v>
      </c>
      <c r="AB643" s="70" t="s">
        <v>40</v>
      </c>
    </row>
    <row r="644" spans="1:43" x14ac:dyDescent="0.25">
      <c r="A644" s="46">
        <v>65</v>
      </c>
      <c r="B644" s="26" t="s">
        <v>205</v>
      </c>
      <c r="C644" s="2" t="s">
        <v>35</v>
      </c>
      <c r="D644" s="68">
        <v>0</v>
      </c>
      <c r="E644" s="68"/>
      <c r="F644" s="68"/>
      <c r="G644" s="68"/>
      <c r="H644" s="67">
        <f>E644+F644</f>
        <v>0</v>
      </c>
      <c r="I644" s="68"/>
      <c r="J644" s="68"/>
      <c r="K644" s="68"/>
      <c r="L644" s="68"/>
      <c r="M644" s="68"/>
      <c r="N644" s="67">
        <f>H644+L644</f>
        <v>0</v>
      </c>
      <c r="O644" s="68"/>
      <c r="P644" s="68"/>
      <c r="Q644" s="68"/>
      <c r="R644" s="67">
        <f>O644+P644</f>
        <v>0</v>
      </c>
      <c r="S644" s="68"/>
      <c r="T644" s="68"/>
      <c r="U644" s="68"/>
      <c r="V644" s="68"/>
      <c r="W644" s="68"/>
      <c r="X644" s="67">
        <f>R644+V644</f>
        <v>0</v>
      </c>
      <c r="Y644" s="67">
        <f>R644+H644</f>
        <v>0</v>
      </c>
      <c r="Z644" s="67">
        <f>D644-Y644</f>
        <v>0</v>
      </c>
      <c r="AA644" s="67">
        <f>N644+X644</f>
        <v>0</v>
      </c>
      <c r="AB644" s="67">
        <f>+D644-N644-X644</f>
        <v>0</v>
      </c>
    </row>
    <row r="645" spans="1:43" x14ac:dyDescent="0.25">
      <c r="A645" s="46"/>
      <c r="B645" s="26"/>
      <c r="C645" s="4" t="s">
        <v>36</v>
      </c>
      <c r="D645" s="68">
        <v>1175671</v>
      </c>
      <c r="E645" s="68">
        <v>1175671</v>
      </c>
      <c r="F645" s="68"/>
      <c r="G645" s="68"/>
      <c r="H645" s="67">
        <f>E645+F645</f>
        <v>1175671</v>
      </c>
      <c r="I645" s="68"/>
      <c r="J645" s="68"/>
      <c r="K645" s="68"/>
      <c r="L645" s="68"/>
      <c r="M645" s="68"/>
      <c r="N645" s="67">
        <f>H645+L645</f>
        <v>1175671</v>
      </c>
      <c r="O645" s="68"/>
      <c r="P645" s="68"/>
      <c r="Q645" s="68"/>
      <c r="R645" s="67">
        <f>O645+P645</f>
        <v>0</v>
      </c>
      <c r="S645" s="68"/>
      <c r="T645" s="68"/>
      <c r="U645" s="68"/>
      <c r="V645" s="68"/>
      <c r="W645" s="68"/>
      <c r="X645" s="67">
        <f>R645+V645</f>
        <v>0</v>
      </c>
      <c r="Y645" s="67">
        <f>R645+H645</f>
        <v>1175671</v>
      </c>
      <c r="Z645" s="67">
        <f>D645-Y645</f>
        <v>0</v>
      </c>
      <c r="AA645" s="67">
        <f>N645+X645</f>
        <v>1175671</v>
      </c>
      <c r="AB645" s="67">
        <f>+D645-N645-X645</f>
        <v>0</v>
      </c>
    </row>
    <row r="646" spans="1:43" x14ac:dyDescent="0.25">
      <c r="C646" s="4" t="s">
        <v>317</v>
      </c>
      <c r="D646" s="55">
        <v>7200537.5</v>
      </c>
      <c r="E646" s="55">
        <v>7200537.5</v>
      </c>
      <c r="F646" s="55"/>
      <c r="G646" s="55"/>
      <c r="H646" s="55">
        <f>+E646+F646</f>
        <v>7200537.5</v>
      </c>
      <c r="I646" s="55"/>
      <c r="J646" s="55"/>
      <c r="K646" s="55"/>
      <c r="L646" s="55"/>
      <c r="M646" s="55"/>
      <c r="N646" s="55">
        <f>+H646+L646</f>
        <v>7200537.5</v>
      </c>
      <c r="O646" s="55"/>
      <c r="P646" s="55"/>
      <c r="Q646" s="55"/>
      <c r="R646" s="55">
        <f>+O646+P646</f>
        <v>0</v>
      </c>
      <c r="S646" s="55"/>
      <c r="T646" s="55"/>
      <c r="U646" s="55"/>
      <c r="V646" s="55"/>
      <c r="W646" s="55"/>
      <c r="X646" s="55">
        <f>+R646+V646</f>
        <v>0</v>
      </c>
      <c r="Y646" s="67">
        <f>R646+H646</f>
        <v>7200537.5</v>
      </c>
      <c r="Z646" s="67">
        <f>D646-Y646</f>
        <v>0</v>
      </c>
      <c r="AA646" s="67">
        <f>N646+X646</f>
        <v>7200537.5</v>
      </c>
      <c r="AB646" s="67">
        <f>+D646-N646-X646</f>
        <v>0</v>
      </c>
    </row>
    <row r="647" spans="1:43" x14ac:dyDescent="0.25">
      <c r="A647" s="46"/>
      <c r="B647" s="26"/>
      <c r="C647" s="4" t="s">
        <v>183</v>
      </c>
      <c r="D647" s="68">
        <f>30785382.77-7200537.5</f>
        <v>23584845.27</v>
      </c>
      <c r="E647" s="68"/>
      <c r="F647" s="68"/>
      <c r="G647" s="68"/>
      <c r="H647" s="67">
        <f>E647+F647</f>
        <v>0</v>
      </c>
      <c r="I647" s="68"/>
      <c r="J647" s="68"/>
      <c r="K647" s="68"/>
      <c r="L647" s="68"/>
      <c r="M647" s="68"/>
      <c r="N647" s="67">
        <f>H647+L647</f>
        <v>0</v>
      </c>
      <c r="O647" s="68"/>
      <c r="P647" s="68"/>
      <c r="Q647" s="68"/>
      <c r="R647" s="67">
        <f>O647+P647</f>
        <v>0</v>
      </c>
      <c r="S647" s="68"/>
      <c r="T647" s="68"/>
      <c r="U647" s="68"/>
      <c r="V647" s="68"/>
      <c r="W647" s="68"/>
      <c r="X647" s="67">
        <f>R647+V647</f>
        <v>0</v>
      </c>
      <c r="Y647" s="67">
        <f>R647+H647</f>
        <v>0</v>
      </c>
      <c r="Z647" s="67">
        <f>D647-Y647</f>
        <v>23584845.27</v>
      </c>
      <c r="AA647" s="67">
        <f>N647+X647</f>
        <v>0</v>
      </c>
      <c r="AB647" s="67">
        <f>+D647-N647-X647</f>
        <v>23584845.27</v>
      </c>
    </row>
    <row r="648" spans="1:43" x14ac:dyDescent="0.25">
      <c r="A648" s="46"/>
      <c r="B648" s="26"/>
      <c r="C648" s="4"/>
      <c r="D648" s="70" t="s">
        <v>40</v>
      </c>
      <c r="E648" s="70" t="s">
        <v>40</v>
      </c>
      <c r="F648" s="70" t="s">
        <v>40</v>
      </c>
      <c r="G648" s="70"/>
      <c r="H648" s="70" t="s">
        <v>40</v>
      </c>
      <c r="I648" s="70" t="s">
        <v>40</v>
      </c>
      <c r="J648" s="70" t="s">
        <v>40</v>
      </c>
      <c r="K648" s="70" t="s">
        <v>40</v>
      </c>
      <c r="L648" s="70" t="s">
        <v>40</v>
      </c>
      <c r="M648" s="70"/>
      <c r="N648" s="70" t="s">
        <v>40</v>
      </c>
      <c r="O648" s="70" t="s">
        <v>40</v>
      </c>
      <c r="P648" s="70" t="s">
        <v>40</v>
      </c>
      <c r="Q648" s="70"/>
      <c r="R648" s="70" t="s">
        <v>40</v>
      </c>
      <c r="S648" s="70" t="s">
        <v>40</v>
      </c>
      <c r="T648" s="70" t="s">
        <v>40</v>
      </c>
      <c r="U648" s="70" t="s">
        <v>40</v>
      </c>
      <c r="V648" s="70" t="s">
        <v>40</v>
      </c>
      <c r="W648" s="70"/>
      <c r="X648" s="70" t="s">
        <v>40</v>
      </c>
      <c r="Y648" s="70" t="s">
        <v>40</v>
      </c>
      <c r="Z648" s="70" t="s">
        <v>40</v>
      </c>
      <c r="AA648" s="70" t="s">
        <v>40</v>
      </c>
      <c r="AB648" s="70" t="s">
        <v>40</v>
      </c>
    </row>
    <row r="649" spans="1:43" ht="18.75" customHeight="1" x14ac:dyDescent="0.25">
      <c r="A649" s="46"/>
      <c r="B649" s="26"/>
      <c r="C649" s="4"/>
      <c r="D649" s="68">
        <f>SUM(D644:D647)</f>
        <v>31961053.77</v>
      </c>
      <c r="E649" s="68">
        <f>SUM(E644:E647)</f>
        <v>8376208.5</v>
      </c>
      <c r="F649" s="68">
        <f>SUM(F644:F647)</f>
        <v>0</v>
      </c>
      <c r="G649" s="68"/>
      <c r="H649" s="68">
        <f>SUM(H644:H647)</f>
        <v>8376208.5</v>
      </c>
      <c r="I649" s="68">
        <f>SUM(I644:I647)</f>
        <v>0</v>
      </c>
      <c r="J649" s="68">
        <f>SUM(J644:J647)</f>
        <v>0</v>
      </c>
      <c r="K649" s="68">
        <f>SUM(K644:K647)</f>
        <v>0</v>
      </c>
      <c r="L649" s="68">
        <f>SUM(L644:L647)</f>
        <v>0</v>
      </c>
      <c r="M649" s="68"/>
      <c r="N649" s="68">
        <f>SUM(N644:N647)</f>
        <v>8376208.5</v>
      </c>
      <c r="O649" s="68">
        <f>SUM(O644:O647)</f>
        <v>0</v>
      </c>
      <c r="P649" s="68">
        <f>SUM(P644:P647)</f>
        <v>0</v>
      </c>
      <c r="Q649" s="68"/>
      <c r="R649" s="68">
        <f>SUM(R644:R647)</f>
        <v>0</v>
      </c>
      <c r="S649" s="68">
        <f>SUM(S644:S647)</f>
        <v>0</v>
      </c>
      <c r="T649" s="68">
        <f>SUM(T644:T647)</f>
        <v>0</v>
      </c>
      <c r="U649" s="68">
        <f>SUM(U644:U647)</f>
        <v>0</v>
      </c>
      <c r="V649" s="68">
        <f>SUM(V644:V647)</f>
        <v>0</v>
      </c>
      <c r="W649" s="68"/>
      <c r="X649" s="68">
        <f>SUM(X644:X647)</f>
        <v>0</v>
      </c>
      <c r="Y649" s="68">
        <f>SUM(Y644:Y647)</f>
        <v>8376208.5</v>
      </c>
      <c r="Z649" s="68">
        <f>SUM(Z644:Z647)</f>
        <v>23584845.27</v>
      </c>
      <c r="AA649" s="68">
        <f>SUM(AA644:AA647)</f>
        <v>8376208.5</v>
      </c>
      <c r="AB649" s="68">
        <f>SUM(AB644:AB647)</f>
        <v>23584845.27</v>
      </c>
    </row>
    <row r="650" spans="1:43" x14ac:dyDescent="0.25">
      <c r="A650" s="46"/>
      <c r="B650" s="26"/>
      <c r="C650" s="4"/>
      <c r="D650" s="70" t="s">
        <v>40</v>
      </c>
      <c r="E650" s="70" t="s">
        <v>40</v>
      </c>
      <c r="F650" s="70" t="s">
        <v>40</v>
      </c>
      <c r="G650" s="70"/>
      <c r="H650" s="70" t="s">
        <v>40</v>
      </c>
      <c r="I650" s="70" t="s">
        <v>40</v>
      </c>
      <c r="J650" s="70" t="s">
        <v>40</v>
      </c>
      <c r="K650" s="70" t="s">
        <v>40</v>
      </c>
      <c r="L650" s="70" t="s">
        <v>40</v>
      </c>
      <c r="M650" s="70"/>
      <c r="N650" s="70" t="s">
        <v>40</v>
      </c>
      <c r="O650" s="70" t="s">
        <v>40</v>
      </c>
      <c r="P650" s="70" t="s">
        <v>40</v>
      </c>
      <c r="Q650" s="70"/>
      <c r="R650" s="70" t="s">
        <v>40</v>
      </c>
      <c r="S650" s="70" t="s">
        <v>40</v>
      </c>
      <c r="T650" s="70" t="s">
        <v>40</v>
      </c>
      <c r="U650" s="70" t="s">
        <v>40</v>
      </c>
      <c r="V650" s="70" t="s">
        <v>40</v>
      </c>
      <c r="W650" s="70"/>
      <c r="X650" s="70" t="s">
        <v>40</v>
      </c>
      <c r="Y650" s="70" t="s">
        <v>40</v>
      </c>
      <c r="Z650" s="70" t="s">
        <v>40</v>
      </c>
      <c r="AA650" s="70" t="s">
        <v>40</v>
      </c>
      <c r="AB650" s="70" t="s">
        <v>40</v>
      </c>
    </row>
    <row r="651" spans="1:43" x14ac:dyDescent="0.25">
      <c r="A651" s="46">
        <v>66</v>
      </c>
      <c r="B651" s="26" t="s">
        <v>206</v>
      </c>
      <c r="C651" s="2" t="s">
        <v>35</v>
      </c>
      <c r="D651" s="68">
        <v>17329614.469999999</v>
      </c>
      <c r="E651" s="68"/>
      <c r="F651" s="68"/>
      <c r="G651" s="68"/>
      <c r="H651" s="67">
        <f>E651+F651</f>
        <v>0</v>
      </c>
      <c r="I651" s="68"/>
      <c r="J651" s="68"/>
      <c r="K651" s="68"/>
      <c r="L651" s="68"/>
      <c r="M651" s="68"/>
      <c r="N651" s="67">
        <f>H651+L651</f>
        <v>0</v>
      </c>
      <c r="O651" s="68"/>
      <c r="P651" s="68"/>
      <c r="Q651" s="68"/>
      <c r="R651" s="67">
        <f>O651+P651</f>
        <v>0</v>
      </c>
      <c r="S651" s="68"/>
      <c r="T651" s="68"/>
      <c r="U651" s="68"/>
      <c r="V651" s="68"/>
      <c r="W651" s="68"/>
      <c r="X651" s="67">
        <f>R651+V651</f>
        <v>0</v>
      </c>
      <c r="Y651" s="67">
        <f t="shared" ref="Y651:Y658" si="250">R651+H651</f>
        <v>0</v>
      </c>
      <c r="Z651" s="67">
        <f t="shared" ref="Z651:Z658" si="251">D651-Y651</f>
        <v>17329614.469999999</v>
      </c>
      <c r="AA651" s="67">
        <f t="shared" ref="AA651:AA658" si="252">N651+X651</f>
        <v>0</v>
      </c>
      <c r="AB651" s="67">
        <f t="shared" ref="AB651:AB658" si="253">+D651-N651-X651</f>
        <v>17329614.469999999</v>
      </c>
    </row>
    <row r="652" spans="1:43" x14ac:dyDescent="0.25">
      <c r="C652" s="4" t="s">
        <v>298</v>
      </c>
      <c r="D652" s="55">
        <v>3000000</v>
      </c>
      <c r="E652" s="55">
        <v>3000000</v>
      </c>
      <c r="F652" s="55"/>
      <c r="G652" s="55"/>
      <c r="H652" s="55">
        <f>+E652+F652</f>
        <v>3000000</v>
      </c>
      <c r="I652" s="55"/>
      <c r="J652" s="55"/>
      <c r="K652" s="55"/>
      <c r="L652" s="55"/>
      <c r="M652" s="55"/>
      <c r="N652" s="55">
        <f>+H652+L652</f>
        <v>3000000</v>
      </c>
      <c r="O652" s="55"/>
      <c r="P652" s="55"/>
      <c r="Q652" s="55"/>
      <c r="R652" s="55">
        <f>+O652+P652</f>
        <v>0</v>
      </c>
      <c r="S652" s="55"/>
      <c r="T652" s="55"/>
      <c r="U652" s="55"/>
      <c r="V652" s="55"/>
      <c r="W652" s="55"/>
      <c r="X652" s="55">
        <f>+R652+V652</f>
        <v>0</v>
      </c>
      <c r="Y652" s="67">
        <f t="shared" si="250"/>
        <v>3000000</v>
      </c>
      <c r="Z652" s="67">
        <f t="shared" si="251"/>
        <v>0</v>
      </c>
      <c r="AA652" s="67">
        <f t="shared" si="252"/>
        <v>3000000</v>
      </c>
      <c r="AB652" s="67">
        <f t="shared" si="253"/>
        <v>0</v>
      </c>
      <c r="AC652" s="49" t="s">
        <v>298</v>
      </c>
      <c r="AD652" s="94">
        <f>+D652</f>
        <v>3000000</v>
      </c>
      <c r="AE652" s="94">
        <f>+E652</f>
        <v>3000000</v>
      </c>
      <c r="AF652" s="94">
        <f>+F652</f>
        <v>0</v>
      </c>
      <c r="AG652" s="94">
        <f>+AE652+AF652</f>
        <v>3000000</v>
      </c>
      <c r="AH652" s="94">
        <f>+L652</f>
        <v>0</v>
      </c>
      <c r="AI652" s="94">
        <f>+AG652+AH652</f>
        <v>3000000</v>
      </c>
      <c r="AJ652" s="94">
        <f>+O652</f>
        <v>0</v>
      </c>
      <c r="AK652" s="94">
        <f>+P652</f>
        <v>0</v>
      </c>
      <c r="AL652" s="94">
        <f>+AJ652+AK652</f>
        <v>0</v>
      </c>
      <c r="AM652" s="94">
        <f>+V652</f>
        <v>0</v>
      </c>
      <c r="AN652" s="94">
        <f>+AL652+AM652</f>
        <v>0</v>
      </c>
      <c r="AO652" s="94">
        <f>+AG652+AL652</f>
        <v>3000000</v>
      </c>
      <c r="AP652" s="94">
        <f>+AD652-AO652</f>
        <v>0</v>
      </c>
      <c r="AQ652" s="94">
        <f>+AD652-AI652-AN652</f>
        <v>0</v>
      </c>
    </row>
    <row r="653" spans="1:43" x14ac:dyDescent="0.25">
      <c r="A653" s="46"/>
      <c r="B653" s="26"/>
      <c r="C653" s="4" t="s">
        <v>36</v>
      </c>
      <c r="D653" s="68">
        <v>2119977</v>
      </c>
      <c r="E653" s="68">
        <v>2119977</v>
      </c>
      <c r="F653" s="68"/>
      <c r="G653" s="68"/>
      <c r="H653" s="67">
        <f>E653+F653</f>
        <v>2119977</v>
      </c>
      <c r="I653" s="68"/>
      <c r="J653" s="68"/>
      <c r="K653" s="68"/>
      <c r="L653" s="68"/>
      <c r="M653" s="68"/>
      <c r="N653" s="67">
        <f>H653+L653</f>
        <v>2119977</v>
      </c>
      <c r="O653" s="68"/>
      <c r="P653" s="68"/>
      <c r="Q653" s="68"/>
      <c r="R653" s="67">
        <f>O653+P653</f>
        <v>0</v>
      </c>
      <c r="S653" s="68"/>
      <c r="T653" s="68"/>
      <c r="U653" s="68"/>
      <c r="V653" s="68"/>
      <c r="W653" s="68"/>
      <c r="X653" s="67">
        <f>R653+V653</f>
        <v>0</v>
      </c>
      <c r="Y653" s="67">
        <f t="shared" si="250"/>
        <v>2119977</v>
      </c>
      <c r="Z653" s="67">
        <f t="shared" si="251"/>
        <v>0</v>
      </c>
      <c r="AA653" s="67">
        <f t="shared" si="252"/>
        <v>2119977</v>
      </c>
      <c r="AB653" s="67">
        <f t="shared" si="253"/>
        <v>0</v>
      </c>
      <c r="AC653" s="49" t="s">
        <v>317</v>
      </c>
      <c r="AD653" s="94">
        <f>+D646+D602+D584</f>
        <v>21733412.829999998</v>
      </c>
      <c r="AE653" s="94">
        <f>+E646+E602+E584</f>
        <v>21733412.829999998</v>
      </c>
      <c r="AF653" s="94">
        <f>+F646+F602+F584</f>
        <v>0</v>
      </c>
      <c r="AG653" s="94">
        <f>+AE653+AF653</f>
        <v>21733412.829999998</v>
      </c>
      <c r="AH653" s="94">
        <f>+L584</f>
        <v>0</v>
      </c>
      <c r="AI653" s="94">
        <f>+AG653+AH653</f>
        <v>21733412.829999998</v>
      </c>
      <c r="AJ653" s="94">
        <f>+O646+O602+O584</f>
        <v>0</v>
      </c>
      <c r="AK653" s="94">
        <f>+P646+P602+P584</f>
        <v>0</v>
      </c>
      <c r="AL653" s="94">
        <f>+AJ653+AK653</f>
        <v>0</v>
      </c>
      <c r="AM653" s="94">
        <f>+V584</f>
        <v>0</v>
      </c>
      <c r="AN653" s="94">
        <f>+AL653+AM653</f>
        <v>0</v>
      </c>
      <c r="AO653" s="94">
        <f>+AG653+AL653</f>
        <v>21733412.829999998</v>
      </c>
      <c r="AP653" s="94">
        <f>+AD653-AO653</f>
        <v>0</v>
      </c>
      <c r="AQ653" s="94">
        <f>+AD653-AI653-AN653</f>
        <v>0</v>
      </c>
    </row>
    <row r="654" spans="1:43" x14ac:dyDescent="0.25">
      <c r="A654" s="46"/>
      <c r="B654" s="26"/>
      <c r="C654" s="4" t="s">
        <v>207</v>
      </c>
      <c r="D654" s="68">
        <v>9500000</v>
      </c>
      <c r="E654" s="68">
        <v>9500000</v>
      </c>
      <c r="F654" s="68"/>
      <c r="G654" s="68"/>
      <c r="H654" s="67">
        <f>E654+F654</f>
        <v>9500000</v>
      </c>
      <c r="I654" s="68"/>
      <c r="J654" s="68"/>
      <c r="K654" s="68"/>
      <c r="L654" s="68"/>
      <c r="M654" s="68"/>
      <c r="N654" s="67">
        <f>H654+L654</f>
        <v>9500000</v>
      </c>
      <c r="O654" s="68"/>
      <c r="P654" s="68"/>
      <c r="Q654" s="68"/>
      <c r="R654" s="67">
        <f>O654+P654</f>
        <v>0</v>
      </c>
      <c r="S654" s="68"/>
      <c r="T654" s="68"/>
      <c r="U654" s="68"/>
      <c r="V654" s="68"/>
      <c r="W654" s="68"/>
      <c r="X654" s="67">
        <f>R654+V654</f>
        <v>0</v>
      </c>
      <c r="Y654" s="67">
        <f t="shared" si="250"/>
        <v>9500000</v>
      </c>
      <c r="Z654" s="67">
        <f t="shared" si="251"/>
        <v>0</v>
      </c>
      <c r="AA654" s="67">
        <f t="shared" si="252"/>
        <v>9500000</v>
      </c>
      <c r="AB654" s="67">
        <f t="shared" si="253"/>
        <v>0</v>
      </c>
      <c r="AC654" s="49" t="s">
        <v>305</v>
      </c>
      <c r="AD654" s="94">
        <f>+D600+D583+D638</f>
        <v>111259448.73999999</v>
      </c>
      <c r="AE654" s="94">
        <f>+E600+E583+E638</f>
        <v>111259448.73999999</v>
      </c>
      <c r="AF654" s="94">
        <f>+F583+F638</f>
        <v>0</v>
      </c>
      <c r="AG654" s="94">
        <f>+AE654+AF654</f>
        <v>111259448.73999999</v>
      </c>
      <c r="AH654" s="94">
        <f>+L583</f>
        <v>0</v>
      </c>
      <c r="AI654" s="94">
        <f>+AG654+AH654</f>
        <v>111259448.73999999</v>
      </c>
      <c r="AJ654" s="94">
        <f>+O583+O638</f>
        <v>0</v>
      </c>
      <c r="AK654" s="94">
        <f>+P583+P638</f>
        <v>0</v>
      </c>
      <c r="AL654" s="94">
        <f>+AJ654+AK654</f>
        <v>0</v>
      </c>
      <c r="AM654" s="94">
        <f>+V583+V638</f>
        <v>0</v>
      </c>
      <c r="AN654" s="94">
        <f>+AL654+AM654</f>
        <v>0</v>
      </c>
      <c r="AO654" s="94">
        <f>+AG654+AL654</f>
        <v>111259448.73999999</v>
      </c>
      <c r="AP654" s="94">
        <f>+AD654-AO654</f>
        <v>0</v>
      </c>
      <c r="AQ654" s="94">
        <f>+AD654-AI654-AN654</f>
        <v>0</v>
      </c>
    </row>
    <row r="655" spans="1:43" x14ac:dyDescent="0.25">
      <c r="C655" s="4" t="s">
        <v>290</v>
      </c>
      <c r="D655" s="55">
        <f>10000000+10000000+10000000+15000000+20000000+20000000+15000000+25000000</f>
        <v>125000000</v>
      </c>
      <c r="E655" s="55">
        <f>10000000+10000000+10000000+15000000+20000000+20000000+15000000</f>
        <v>100000000</v>
      </c>
      <c r="F655" s="55">
        <v>25000000</v>
      </c>
      <c r="G655" s="55"/>
      <c r="H655" s="55">
        <f>+E655+F655</f>
        <v>125000000</v>
      </c>
      <c r="I655" s="55"/>
      <c r="J655" s="55"/>
      <c r="K655" s="55"/>
      <c r="L655" s="55"/>
      <c r="M655" s="55"/>
      <c r="N655" s="55">
        <f>+H655+L655</f>
        <v>125000000</v>
      </c>
      <c r="O655" s="55"/>
      <c r="P655" s="55"/>
      <c r="Q655" s="55"/>
      <c r="R655" s="55">
        <f>+O655+P655</f>
        <v>0</v>
      </c>
      <c r="S655" s="55"/>
      <c r="T655" s="55"/>
      <c r="U655" s="55"/>
      <c r="V655" s="55"/>
      <c r="W655" s="55"/>
      <c r="X655" s="55">
        <f>+R655+V655</f>
        <v>0</v>
      </c>
      <c r="Y655" s="67">
        <f t="shared" si="250"/>
        <v>125000000</v>
      </c>
      <c r="Z655" s="67">
        <f t="shared" si="251"/>
        <v>0</v>
      </c>
      <c r="AA655" s="67">
        <f t="shared" si="252"/>
        <v>125000000</v>
      </c>
      <c r="AB655" s="67">
        <f t="shared" si="253"/>
        <v>0</v>
      </c>
    </row>
    <row r="656" spans="1:43" x14ac:dyDescent="0.25">
      <c r="A656" s="46"/>
      <c r="B656" s="26"/>
      <c r="C656" s="4" t="s">
        <v>208</v>
      </c>
      <c r="D656" s="68">
        <v>815039.36</v>
      </c>
      <c r="E656" s="68"/>
      <c r="F656" s="68"/>
      <c r="G656" s="68"/>
      <c r="H656" s="67">
        <f>E656+F656</f>
        <v>0</v>
      </c>
      <c r="I656" s="68"/>
      <c r="J656" s="68"/>
      <c r="K656" s="68"/>
      <c r="L656" s="68"/>
      <c r="M656" s="68"/>
      <c r="N656" s="67">
        <f>H656+L656</f>
        <v>0</v>
      </c>
      <c r="O656" s="68"/>
      <c r="P656" s="68"/>
      <c r="Q656" s="68"/>
      <c r="R656" s="67">
        <f>O656+P656</f>
        <v>0</v>
      </c>
      <c r="S656" s="68"/>
      <c r="T656" s="68"/>
      <c r="U656" s="68"/>
      <c r="V656" s="68"/>
      <c r="W656" s="68"/>
      <c r="X656" s="67">
        <f>R656+V656</f>
        <v>0</v>
      </c>
      <c r="Y656" s="67">
        <f t="shared" si="250"/>
        <v>0</v>
      </c>
      <c r="Z656" s="67">
        <f t="shared" si="251"/>
        <v>815039.36</v>
      </c>
      <c r="AA656" s="67">
        <f t="shared" si="252"/>
        <v>0</v>
      </c>
      <c r="AB656" s="67">
        <f t="shared" si="253"/>
        <v>815039.36</v>
      </c>
      <c r="AC656" s="49" t="s">
        <v>303</v>
      </c>
      <c r="AD656" s="94">
        <f>+D603+D655+D637+D585</f>
        <v>523045398.30000001</v>
      </c>
      <c r="AE656" s="94">
        <f>+E603+E655+E637+E585</f>
        <v>421045398.30000001</v>
      </c>
      <c r="AF656" s="94">
        <f>+F655+F603+F637+F585</f>
        <v>102000000</v>
      </c>
      <c r="AG656" s="94">
        <f>+AE656+AF656</f>
        <v>523045398.30000001</v>
      </c>
      <c r="AH656" s="94">
        <f>+L603+L655+L637+L585</f>
        <v>0</v>
      </c>
      <c r="AI656" s="94">
        <f>+AG656+AH656</f>
        <v>523045398.30000001</v>
      </c>
      <c r="AJ656" s="94">
        <f>+O603+O655+O637+O585</f>
        <v>0</v>
      </c>
      <c r="AK656" s="94">
        <f>+P603+P655+P637+P585</f>
        <v>0</v>
      </c>
      <c r="AL656" s="94">
        <f>+AJ656+AK656</f>
        <v>0</v>
      </c>
      <c r="AM656" s="94">
        <f>+V603+V655+V637+V585</f>
        <v>0</v>
      </c>
      <c r="AN656" s="94">
        <f>+AL656+AM656</f>
        <v>0</v>
      </c>
      <c r="AO656" s="94">
        <f>+AG656+AL656</f>
        <v>523045398.30000001</v>
      </c>
      <c r="AP656" s="94">
        <f>+AD656-AO656</f>
        <v>0</v>
      </c>
      <c r="AQ656" s="94">
        <f>+AD656-AI656-AN656</f>
        <v>0</v>
      </c>
    </row>
    <row r="657" spans="1:43" x14ac:dyDescent="0.25">
      <c r="A657" s="46"/>
      <c r="B657" s="26"/>
      <c r="C657" s="4" t="s">
        <v>183</v>
      </c>
      <c r="D657" s="68">
        <v>76759930.730000004</v>
      </c>
      <c r="E657" s="68"/>
      <c r="F657" s="68"/>
      <c r="G657" s="68"/>
      <c r="H657" s="67">
        <f>E657+F657</f>
        <v>0</v>
      </c>
      <c r="I657" s="68"/>
      <c r="J657" s="68"/>
      <c r="K657" s="68"/>
      <c r="L657" s="68"/>
      <c r="M657" s="68"/>
      <c r="N657" s="67">
        <f>H657+L657</f>
        <v>0</v>
      </c>
      <c r="O657" s="68">
        <v>1138553.9099999999</v>
      </c>
      <c r="P657" s="68"/>
      <c r="Q657" s="68"/>
      <c r="R657" s="67">
        <f>O657+P657</f>
        <v>1138553.9099999999</v>
      </c>
      <c r="S657" s="68"/>
      <c r="T657" s="68"/>
      <c r="U657" s="68"/>
      <c r="V657" s="68"/>
      <c r="W657" s="68"/>
      <c r="X657" s="67">
        <f>R657+V657</f>
        <v>1138553.9099999999</v>
      </c>
      <c r="Y657" s="67">
        <f t="shared" si="250"/>
        <v>1138553.9099999999</v>
      </c>
      <c r="Z657" s="67">
        <f t="shared" si="251"/>
        <v>75621376.820000008</v>
      </c>
      <c r="AA657" s="67">
        <f t="shared" si="252"/>
        <v>1138553.9099999999</v>
      </c>
      <c r="AB657" s="67">
        <f t="shared" si="253"/>
        <v>75621376.820000008</v>
      </c>
      <c r="AC657" s="49" t="s">
        <v>47</v>
      </c>
      <c r="AD657" s="94">
        <f>D581+D592+D598+D608+D619+D625+D635+D644+D651+D662</f>
        <v>180838928.22</v>
      </c>
      <c r="AE657" s="94">
        <f>E581+E592+E598+E608+E619+E625+E635+E644+E651+E662</f>
        <v>31075446</v>
      </c>
      <c r="AF657" s="94">
        <f>F581+F592+F598+F608+F619+F625+F635+F644+F651+F662</f>
        <v>0</v>
      </c>
      <c r="AG657" s="94">
        <f>+AE657+AF657</f>
        <v>31075446</v>
      </c>
      <c r="AH657" s="94">
        <f>L581+L592+L598+L608+L619+L625+L635+L644+L651+L662</f>
        <v>0</v>
      </c>
      <c r="AI657" s="94">
        <f>+AG657+AH657</f>
        <v>31075446</v>
      </c>
      <c r="AJ657" s="94">
        <f>O581+O592+O598+O608+O619+O625+O635+O644+O651+O662</f>
        <v>11878680.859999999</v>
      </c>
      <c r="AK657" s="94">
        <f>P581+P592+P598+P608+P619+P625+P635+P644+P651+P662</f>
        <v>0</v>
      </c>
      <c r="AL657" s="94">
        <f>+AJ657+AK657</f>
        <v>11878680.859999999</v>
      </c>
      <c r="AM657" s="94">
        <f>V581+V592+V598+V608+V619+V625+V635+V644+V651+V662</f>
        <v>0</v>
      </c>
      <c r="AN657" s="94">
        <f>+AL657+AM657</f>
        <v>11878680.859999999</v>
      </c>
      <c r="AO657" s="94">
        <f>+AG657+AL657</f>
        <v>42954126.859999999</v>
      </c>
      <c r="AP657" s="94">
        <f>+AD657-AO657</f>
        <v>137884801.36000001</v>
      </c>
      <c r="AQ657" s="94">
        <f>+AD657-AI657-AN657</f>
        <v>137884801.36000001</v>
      </c>
    </row>
    <row r="658" spans="1:43" ht="22.5" customHeight="1" x14ac:dyDescent="0.25">
      <c r="A658" s="46"/>
      <c r="B658" s="26"/>
      <c r="C658" s="4" t="s">
        <v>184</v>
      </c>
      <c r="D658" s="68">
        <v>1531712.09</v>
      </c>
      <c r="E658" s="68"/>
      <c r="F658" s="68"/>
      <c r="G658" s="68"/>
      <c r="H658" s="67">
        <f>E658+F658</f>
        <v>0</v>
      </c>
      <c r="I658" s="68"/>
      <c r="J658" s="68"/>
      <c r="K658" s="68"/>
      <c r="L658" s="68"/>
      <c r="M658" s="68"/>
      <c r="N658" s="67">
        <f>H658+L658</f>
        <v>0</v>
      </c>
      <c r="O658" s="68"/>
      <c r="P658" s="68"/>
      <c r="Q658" s="68"/>
      <c r="R658" s="67">
        <f>O658+P658</f>
        <v>0</v>
      </c>
      <c r="S658" s="68"/>
      <c r="T658" s="68"/>
      <c r="U658" s="68"/>
      <c r="V658" s="68"/>
      <c r="W658" s="68"/>
      <c r="X658" s="67">
        <f>R658+V658</f>
        <v>0</v>
      </c>
      <c r="Y658" s="67">
        <f t="shared" si="250"/>
        <v>0</v>
      </c>
      <c r="Z658" s="67">
        <f t="shared" si="251"/>
        <v>1531712.09</v>
      </c>
      <c r="AA658" s="67">
        <f t="shared" si="252"/>
        <v>0</v>
      </c>
      <c r="AB658" s="67">
        <f t="shared" si="253"/>
        <v>1531712.09</v>
      </c>
      <c r="AC658" s="49" t="s">
        <v>36</v>
      </c>
      <c r="AD658" s="94">
        <f>D582+D593+D599+D609+D620+D626+D636+D645+D653+D663</f>
        <v>18305903</v>
      </c>
      <c r="AE658" s="94">
        <f>E582+E593+E599+E609+E620+E626+E636+E645+E653+E663</f>
        <v>18305903</v>
      </c>
      <c r="AF658" s="94">
        <f>F582+F593+F599+F609+F620+F626+F636+F645+F653+F663</f>
        <v>0</v>
      </c>
      <c r="AG658" s="94">
        <f t="shared" ref="AG658:AG667" si="254">+AE658+AF658</f>
        <v>18305903</v>
      </c>
      <c r="AH658" s="94">
        <f>L582+L593+L599+L609+L620+L626+L636+L645+L653+L663</f>
        <v>0</v>
      </c>
      <c r="AI658" s="94">
        <f t="shared" ref="AI658:AI667" si="255">+AG658+AH658</f>
        <v>18305903</v>
      </c>
      <c r="AJ658" s="94">
        <f>O582+O593+O599+O609+O620+O626+O636+O645+O653+O663</f>
        <v>0</v>
      </c>
      <c r="AK658" s="94">
        <f>P582+P593+P599+P609+P620+P626+P636+P645+P653+P663</f>
        <v>0</v>
      </c>
      <c r="AL658" s="94">
        <f t="shared" ref="AL658:AL667" si="256">+AJ658+AK658</f>
        <v>0</v>
      </c>
      <c r="AM658" s="94">
        <f>V582+V593+V599+V609+V620+V626+V636+V645+V653+V663</f>
        <v>0</v>
      </c>
      <c r="AN658" s="94">
        <f t="shared" ref="AN658:AN667" si="257">+AL658+AM658</f>
        <v>0</v>
      </c>
      <c r="AO658" s="94">
        <f t="shared" ref="AO658:AO667" si="258">+AG658+AL658</f>
        <v>18305903</v>
      </c>
      <c r="AP658" s="94">
        <f t="shared" ref="AP658:AP667" si="259">+AD658-AO658</f>
        <v>0</v>
      </c>
      <c r="AQ658" s="94">
        <f t="shared" ref="AQ658:AQ667" si="260">+AD658-AI658-AN658</f>
        <v>0</v>
      </c>
    </row>
    <row r="659" spans="1:43" x14ac:dyDescent="0.25">
      <c r="A659" s="46"/>
      <c r="B659" s="26"/>
      <c r="C659" s="4"/>
      <c r="D659" s="70" t="s">
        <v>40</v>
      </c>
      <c r="E659" s="70" t="s">
        <v>40</v>
      </c>
      <c r="F659" s="70" t="s">
        <v>40</v>
      </c>
      <c r="G659" s="70"/>
      <c r="H659" s="70" t="s">
        <v>40</v>
      </c>
      <c r="I659" s="70" t="s">
        <v>40</v>
      </c>
      <c r="J659" s="70" t="s">
        <v>40</v>
      </c>
      <c r="K659" s="70" t="s">
        <v>40</v>
      </c>
      <c r="L659" s="70" t="s">
        <v>40</v>
      </c>
      <c r="M659" s="70"/>
      <c r="N659" s="70" t="s">
        <v>40</v>
      </c>
      <c r="O659" s="70" t="s">
        <v>40</v>
      </c>
      <c r="P659" s="70" t="s">
        <v>40</v>
      </c>
      <c r="Q659" s="70"/>
      <c r="R659" s="70" t="s">
        <v>40</v>
      </c>
      <c r="S659" s="70" t="s">
        <v>40</v>
      </c>
      <c r="T659" s="70" t="s">
        <v>40</v>
      </c>
      <c r="U659" s="70" t="s">
        <v>40</v>
      </c>
      <c r="V659" s="70" t="s">
        <v>40</v>
      </c>
      <c r="W659" s="70"/>
      <c r="X659" s="70" t="s">
        <v>40</v>
      </c>
      <c r="Y659" s="70" t="s">
        <v>40</v>
      </c>
      <c r="Z659" s="70" t="s">
        <v>40</v>
      </c>
      <c r="AA659" s="70" t="s">
        <v>40</v>
      </c>
      <c r="AB659" s="70" t="s">
        <v>40</v>
      </c>
      <c r="AC659" s="49" t="s">
        <v>183</v>
      </c>
      <c r="AD659" s="94">
        <f>D587+D601+D610+D621+D639+D647+D657</f>
        <v>166379756.44</v>
      </c>
      <c r="AE659" s="94">
        <f>E587+E601+E610+E621+E639+E647+E657</f>
        <v>0</v>
      </c>
      <c r="AF659" s="94">
        <f>F587+F601+F610+F621+F639+F647+F657</f>
        <v>0</v>
      </c>
      <c r="AG659" s="94">
        <f t="shared" si="254"/>
        <v>0</v>
      </c>
      <c r="AH659" s="94">
        <f>L587+L601+L610+L621+L639+L647+L657</f>
        <v>0</v>
      </c>
      <c r="AI659" s="94">
        <f t="shared" si="255"/>
        <v>0</v>
      </c>
      <c r="AJ659" s="94">
        <f>O587+O601+O610+O621+O639+O647+O657</f>
        <v>24169132.949999999</v>
      </c>
      <c r="AK659" s="94">
        <f>P587+P601+P610+P621+P639+P647+P657</f>
        <v>0</v>
      </c>
      <c r="AL659" s="94">
        <f t="shared" si="256"/>
        <v>24169132.949999999</v>
      </c>
      <c r="AM659" s="94">
        <f>V587+V601+V610+V621+V639+V647+V657</f>
        <v>0</v>
      </c>
      <c r="AN659" s="94">
        <f t="shared" si="257"/>
        <v>24169132.949999999</v>
      </c>
      <c r="AO659" s="94">
        <f t="shared" si="258"/>
        <v>24169132.949999999</v>
      </c>
      <c r="AP659" s="94">
        <f t="shared" si="259"/>
        <v>142210623.49000001</v>
      </c>
      <c r="AQ659" s="94">
        <f t="shared" si="260"/>
        <v>142210623.49000001</v>
      </c>
    </row>
    <row r="660" spans="1:43" ht="25.5" customHeight="1" x14ac:dyDescent="0.25">
      <c r="A660" s="46"/>
      <c r="B660" s="26"/>
      <c r="C660" s="4"/>
      <c r="D660" s="68">
        <f>SUM(D651:D658)</f>
        <v>236056273.65000001</v>
      </c>
      <c r="E660" s="68">
        <f>SUM(E651:E658)</f>
        <v>114619977</v>
      </c>
      <c r="F660" s="68">
        <f>SUM(F651:F658)</f>
        <v>25000000</v>
      </c>
      <c r="G660" s="68"/>
      <c r="H660" s="68">
        <f>SUM(H651:H658)</f>
        <v>139619977</v>
      </c>
      <c r="I660" s="68">
        <f>SUM(I651:I658)</f>
        <v>0</v>
      </c>
      <c r="J660" s="68">
        <f>SUM(J651:J658)</f>
        <v>0</v>
      </c>
      <c r="K660" s="68">
        <f>SUM(K651:K658)</f>
        <v>0</v>
      </c>
      <c r="L660" s="68">
        <f>SUM(L651:L658)</f>
        <v>0</v>
      </c>
      <c r="M660" s="68"/>
      <c r="N660" s="68">
        <f>SUM(N651:N658)</f>
        <v>139619977</v>
      </c>
      <c r="O660" s="68">
        <f>SUM(O651:O658)</f>
        <v>1138553.9099999999</v>
      </c>
      <c r="P660" s="68">
        <f>SUM(P651:P658)</f>
        <v>0</v>
      </c>
      <c r="Q660" s="68"/>
      <c r="R660" s="68">
        <f>SUM(R651:R658)</f>
        <v>1138553.9099999999</v>
      </c>
      <c r="S660" s="68">
        <f>SUM(S651:S658)</f>
        <v>0</v>
      </c>
      <c r="T660" s="68">
        <f>SUM(T651:T658)</f>
        <v>0</v>
      </c>
      <c r="U660" s="68">
        <f>SUM(U651:U658)</f>
        <v>0</v>
      </c>
      <c r="V660" s="68">
        <f>SUM(V651:V658)</f>
        <v>0</v>
      </c>
      <c r="W660" s="68"/>
      <c r="X660" s="68">
        <f>SUM(X651:X658)</f>
        <v>1138553.9099999999</v>
      </c>
      <c r="Y660" s="68">
        <f>SUM(Y651:Y658)</f>
        <v>140758530.91</v>
      </c>
      <c r="Z660" s="68">
        <f>SUM(Z651:Z658)</f>
        <v>95297742.74000001</v>
      </c>
      <c r="AA660" s="68">
        <f>SUM(AA651:AA658)</f>
        <v>140758530.91</v>
      </c>
      <c r="AB660" s="68">
        <f>SUM(AB651:AB658)</f>
        <v>95297742.74000001</v>
      </c>
      <c r="AC660" s="49" t="s">
        <v>184</v>
      </c>
      <c r="AD660" s="94">
        <f>D612+D640+D658</f>
        <v>1531712.09</v>
      </c>
      <c r="AE660" s="94">
        <f>E612+E640+E658</f>
        <v>0</v>
      </c>
      <c r="AF660" s="94">
        <f>F612+F640+F658</f>
        <v>0</v>
      </c>
      <c r="AG660" s="94">
        <f t="shared" si="254"/>
        <v>0</v>
      </c>
      <c r="AH660" s="94">
        <f>L612+L640+L658</f>
        <v>0</v>
      </c>
      <c r="AI660" s="94">
        <f t="shared" si="255"/>
        <v>0</v>
      </c>
      <c r="AJ660" s="94">
        <f>O612+O640+O658</f>
        <v>0</v>
      </c>
      <c r="AK660" s="94">
        <f>P612+P640+P658</f>
        <v>0</v>
      </c>
      <c r="AL660" s="94">
        <f t="shared" si="256"/>
        <v>0</v>
      </c>
      <c r="AM660" s="94">
        <f>V612+V640+V658</f>
        <v>0</v>
      </c>
      <c r="AN660" s="94">
        <f t="shared" si="257"/>
        <v>0</v>
      </c>
      <c r="AO660" s="94">
        <f t="shared" si="258"/>
        <v>0</v>
      </c>
      <c r="AP660" s="94">
        <f t="shared" si="259"/>
        <v>1531712.09</v>
      </c>
      <c r="AQ660" s="94">
        <f t="shared" si="260"/>
        <v>1531712.09</v>
      </c>
    </row>
    <row r="661" spans="1:43" x14ac:dyDescent="0.25">
      <c r="A661" s="46"/>
      <c r="B661" s="26"/>
      <c r="C661" s="4"/>
      <c r="D661" s="70" t="s">
        <v>40</v>
      </c>
      <c r="E661" s="70" t="s">
        <v>40</v>
      </c>
      <c r="F661" s="70" t="s">
        <v>40</v>
      </c>
      <c r="G661" s="70"/>
      <c r="H661" s="70" t="s">
        <v>40</v>
      </c>
      <c r="I661" s="70" t="s">
        <v>40</v>
      </c>
      <c r="J661" s="70" t="s">
        <v>40</v>
      </c>
      <c r="K661" s="70" t="s">
        <v>40</v>
      </c>
      <c r="L661" s="70" t="s">
        <v>40</v>
      </c>
      <c r="M661" s="70"/>
      <c r="N661" s="70" t="s">
        <v>40</v>
      </c>
      <c r="O661" s="70" t="s">
        <v>40</v>
      </c>
      <c r="P661" s="70" t="s">
        <v>40</v>
      </c>
      <c r="Q661" s="70"/>
      <c r="R661" s="70" t="s">
        <v>40</v>
      </c>
      <c r="S661" s="70" t="s">
        <v>40</v>
      </c>
      <c r="T661" s="70" t="s">
        <v>40</v>
      </c>
      <c r="U661" s="70" t="s">
        <v>40</v>
      </c>
      <c r="V661" s="70" t="s">
        <v>40</v>
      </c>
      <c r="W661" s="70"/>
      <c r="X661" s="70" t="s">
        <v>40</v>
      </c>
      <c r="Y661" s="70" t="s">
        <v>40</v>
      </c>
      <c r="Z661" s="70" t="s">
        <v>40</v>
      </c>
      <c r="AA661" s="70" t="s">
        <v>40</v>
      </c>
      <c r="AB661" s="70" t="s">
        <v>40</v>
      </c>
      <c r="AC661" s="49" t="s">
        <v>38</v>
      </c>
      <c r="AD661" s="94">
        <f>D604+D611+D628</f>
        <v>1702413.45</v>
      </c>
      <c r="AE661" s="94">
        <f>E604+E611+E628</f>
        <v>0</v>
      </c>
      <c r="AF661" s="94">
        <f>F604+F611+F628</f>
        <v>0</v>
      </c>
      <c r="AG661" s="94">
        <f t="shared" si="254"/>
        <v>0</v>
      </c>
      <c r="AH661" s="94">
        <f>L604+L611+L628</f>
        <v>0</v>
      </c>
      <c r="AI661" s="94">
        <f t="shared" si="255"/>
        <v>0</v>
      </c>
      <c r="AJ661" s="94">
        <f>O604+O611+O628</f>
        <v>0</v>
      </c>
      <c r="AK661" s="94">
        <f>P604+P611+P628</f>
        <v>0</v>
      </c>
      <c r="AL661" s="94">
        <f t="shared" si="256"/>
        <v>0</v>
      </c>
      <c r="AM661" s="94">
        <f>V604+V611+V628</f>
        <v>0</v>
      </c>
      <c r="AN661" s="94">
        <f t="shared" si="257"/>
        <v>0</v>
      </c>
      <c r="AO661" s="94">
        <f t="shared" si="258"/>
        <v>0</v>
      </c>
      <c r="AP661" s="94">
        <f t="shared" si="259"/>
        <v>1702413.45</v>
      </c>
      <c r="AQ661" s="94">
        <f t="shared" si="260"/>
        <v>1702413.45</v>
      </c>
    </row>
    <row r="662" spans="1:43" x14ac:dyDescent="0.25">
      <c r="A662" s="46">
        <v>67</v>
      </c>
      <c r="B662" s="26" t="s">
        <v>209</v>
      </c>
      <c r="C662" s="2" t="s">
        <v>35</v>
      </c>
      <c r="D662" s="68">
        <v>61351709.689999998</v>
      </c>
      <c r="E662" s="75"/>
      <c r="F662" s="68"/>
      <c r="G662" s="68"/>
      <c r="H662" s="67">
        <f>+E662+F662</f>
        <v>0</v>
      </c>
      <c r="I662" s="68"/>
      <c r="J662" s="68"/>
      <c r="K662" s="68"/>
      <c r="L662" s="68"/>
      <c r="M662" s="68"/>
      <c r="N662" s="67">
        <f>H662+L662</f>
        <v>0</v>
      </c>
      <c r="O662" s="68"/>
      <c r="P662" s="68"/>
      <c r="Q662" s="68"/>
      <c r="R662" s="67">
        <f>O662+P662</f>
        <v>0</v>
      </c>
      <c r="S662" s="68"/>
      <c r="T662" s="68"/>
      <c r="U662" s="68"/>
      <c r="V662" s="68"/>
      <c r="W662" s="68"/>
      <c r="X662" s="67">
        <f>R662+V662</f>
        <v>0</v>
      </c>
      <c r="Y662" s="67">
        <f>R662+H662</f>
        <v>0</v>
      </c>
      <c r="Z662" s="67">
        <f>D662-Y662</f>
        <v>61351709.689999998</v>
      </c>
      <c r="AA662" s="67">
        <f>N662+X662</f>
        <v>0</v>
      </c>
      <c r="AB662" s="67">
        <f>+D662-N662-X662</f>
        <v>61351709.689999998</v>
      </c>
      <c r="AC662" s="49" t="s">
        <v>272</v>
      </c>
      <c r="AD662" s="94">
        <f>+D664</f>
        <v>2000000</v>
      </c>
      <c r="AE662" s="94">
        <f>+E664</f>
        <v>2000000</v>
      </c>
      <c r="AF662" s="94">
        <f>+F664</f>
        <v>0</v>
      </c>
      <c r="AG662" s="94">
        <f t="shared" si="254"/>
        <v>2000000</v>
      </c>
      <c r="AH662" s="94">
        <f>+L664</f>
        <v>0</v>
      </c>
      <c r="AI662" s="94">
        <f t="shared" si="255"/>
        <v>2000000</v>
      </c>
      <c r="AJ662" s="94">
        <f>+O664</f>
        <v>0</v>
      </c>
      <c r="AK662" s="94">
        <f>+P664</f>
        <v>0</v>
      </c>
      <c r="AL662" s="94">
        <f t="shared" si="256"/>
        <v>0</v>
      </c>
      <c r="AM662" s="94">
        <f>+V664</f>
        <v>0</v>
      </c>
      <c r="AN662" s="94">
        <f t="shared" si="257"/>
        <v>0</v>
      </c>
      <c r="AO662" s="94">
        <f t="shared" si="258"/>
        <v>2000000</v>
      </c>
      <c r="AP662" s="94">
        <f t="shared" si="259"/>
        <v>0</v>
      </c>
      <c r="AQ662" s="94">
        <f t="shared" si="260"/>
        <v>0</v>
      </c>
    </row>
    <row r="663" spans="1:43" ht="18" customHeight="1" x14ac:dyDescent="0.25">
      <c r="A663" s="46"/>
      <c r="B663" s="26"/>
      <c r="C663" s="4" t="s">
        <v>36</v>
      </c>
      <c r="D663" s="68">
        <v>1185800</v>
      </c>
      <c r="E663" s="68">
        <v>1185800</v>
      </c>
      <c r="F663" s="68"/>
      <c r="G663" s="68"/>
      <c r="H663" s="67">
        <f>D663+F663</f>
        <v>1185800</v>
      </c>
      <c r="I663" s="68"/>
      <c r="J663" s="68"/>
      <c r="K663" s="68"/>
      <c r="L663" s="68"/>
      <c r="M663" s="68"/>
      <c r="N663" s="67">
        <f>H663+L663</f>
        <v>1185800</v>
      </c>
      <c r="O663" s="68"/>
      <c r="P663" s="68"/>
      <c r="Q663" s="68"/>
      <c r="R663" s="67">
        <f>O663+P663</f>
        <v>0</v>
      </c>
      <c r="S663" s="68"/>
      <c r="T663" s="68"/>
      <c r="U663" s="68"/>
      <c r="V663" s="68"/>
      <c r="W663" s="68"/>
      <c r="X663" s="67">
        <f>R663+V663</f>
        <v>0</v>
      </c>
      <c r="Y663" s="67">
        <f>R663+H663</f>
        <v>1185800</v>
      </c>
      <c r="Z663" s="67">
        <f>D663-Y663</f>
        <v>0</v>
      </c>
      <c r="AA663" s="67">
        <f>N663+X663</f>
        <v>1185800</v>
      </c>
      <c r="AB663" s="67">
        <f>+D663-N663-X663</f>
        <v>0</v>
      </c>
      <c r="AC663" s="49" t="s">
        <v>270</v>
      </c>
      <c r="AD663" s="94">
        <f>+D654</f>
        <v>9500000</v>
      </c>
      <c r="AE663" s="94">
        <f>+E654</f>
        <v>9500000</v>
      </c>
      <c r="AF663" s="94">
        <f>+F654</f>
        <v>0</v>
      </c>
      <c r="AG663" s="94">
        <f t="shared" si="254"/>
        <v>9500000</v>
      </c>
      <c r="AH663" s="94">
        <f>+L654</f>
        <v>0</v>
      </c>
      <c r="AI663" s="94">
        <f t="shared" si="255"/>
        <v>9500000</v>
      </c>
      <c r="AJ663" s="94">
        <f>+O654</f>
        <v>0</v>
      </c>
      <c r="AK663" s="94">
        <f>+P654</f>
        <v>0</v>
      </c>
      <c r="AL663" s="94">
        <f t="shared" si="256"/>
        <v>0</v>
      </c>
      <c r="AM663" s="94">
        <f>+V654</f>
        <v>0</v>
      </c>
      <c r="AN663" s="94">
        <f t="shared" si="257"/>
        <v>0</v>
      </c>
      <c r="AO663" s="94">
        <f t="shared" si="258"/>
        <v>9500000</v>
      </c>
      <c r="AP663" s="94">
        <f t="shared" si="259"/>
        <v>0</v>
      </c>
      <c r="AQ663" s="94">
        <f t="shared" si="260"/>
        <v>0</v>
      </c>
    </row>
    <row r="664" spans="1:43" x14ac:dyDescent="0.25">
      <c r="A664" s="46"/>
      <c r="B664" s="29" t="s">
        <v>269</v>
      </c>
      <c r="D664" s="68">
        <v>2000000</v>
      </c>
      <c r="E664" s="68">
        <v>2000000</v>
      </c>
      <c r="F664" s="68"/>
      <c r="G664" s="68"/>
      <c r="H664" s="67">
        <f>D664+F664</f>
        <v>2000000</v>
      </c>
      <c r="I664" s="68"/>
      <c r="J664" s="68"/>
      <c r="K664" s="68"/>
      <c r="L664" s="68"/>
      <c r="M664" s="68"/>
      <c r="N664" s="67">
        <f>H664+L664</f>
        <v>2000000</v>
      </c>
      <c r="O664" s="68"/>
      <c r="P664" s="68"/>
      <c r="Q664" s="68"/>
      <c r="R664" s="67">
        <f>O664+P664</f>
        <v>0</v>
      </c>
      <c r="S664" s="68"/>
      <c r="T664" s="68"/>
      <c r="U664" s="68"/>
      <c r="V664" s="68"/>
      <c r="W664" s="68"/>
      <c r="X664" s="67">
        <f>R664+V664</f>
        <v>0</v>
      </c>
      <c r="Y664" s="67">
        <f>R664+H664</f>
        <v>2000000</v>
      </c>
      <c r="Z664" s="67">
        <f>D664-Y664</f>
        <v>0</v>
      </c>
      <c r="AA664" s="67">
        <f>N664+X664</f>
        <v>2000000</v>
      </c>
      <c r="AB664" s="67">
        <f>+D664-N664-X664</f>
        <v>0</v>
      </c>
      <c r="AC664" s="49" t="s">
        <v>267</v>
      </c>
      <c r="AD664" s="94">
        <f>+D613</f>
        <v>10000000</v>
      </c>
      <c r="AE664" s="94">
        <f>+E613</f>
        <v>6791289.1600000001</v>
      </c>
      <c r="AF664" s="94">
        <f>+F613</f>
        <v>0</v>
      </c>
      <c r="AG664" s="94">
        <f t="shared" si="254"/>
        <v>6791289.1600000001</v>
      </c>
      <c r="AH664" s="94">
        <f>+L613</f>
        <v>0</v>
      </c>
      <c r="AI664" s="94">
        <f t="shared" si="255"/>
        <v>6791289.1600000001</v>
      </c>
      <c r="AJ664" s="94">
        <f>+O613</f>
        <v>0</v>
      </c>
      <c r="AK664" s="94">
        <f>+P613</f>
        <v>0</v>
      </c>
      <c r="AL664" s="94">
        <f t="shared" si="256"/>
        <v>0</v>
      </c>
      <c r="AM664" s="94">
        <f>+V613</f>
        <v>0</v>
      </c>
      <c r="AN664" s="94">
        <f t="shared" si="257"/>
        <v>0</v>
      </c>
      <c r="AO664" s="94">
        <f t="shared" si="258"/>
        <v>6791289.1600000001</v>
      </c>
      <c r="AP664" s="94">
        <f t="shared" si="259"/>
        <v>3208710.84</v>
      </c>
      <c r="AQ664" s="94">
        <f t="shared" si="260"/>
        <v>3208710.84</v>
      </c>
    </row>
    <row r="665" spans="1:43" x14ac:dyDescent="0.25">
      <c r="A665" s="46"/>
      <c r="B665" s="26"/>
      <c r="C665" s="4"/>
      <c r="D665" s="70" t="s">
        <v>40</v>
      </c>
      <c r="E665" s="70" t="s">
        <v>40</v>
      </c>
      <c r="F665" s="70" t="s">
        <v>40</v>
      </c>
      <c r="G665" s="70"/>
      <c r="H665" s="70" t="s">
        <v>40</v>
      </c>
      <c r="I665" s="70" t="s">
        <v>40</v>
      </c>
      <c r="J665" s="70" t="s">
        <v>40</v>
      </c>
      <c r="K665" s="70" t="s">
        <v>40</v>
      </c>
      <c r="L665" s="70" t="s">
        <v>40</v>
      </c>
      <c r="M665" s="70"/>
      <c r="N665" s="70" t="s">
        <v>40</v>
      </c>
      <c r="O665" s="70" t="s">
        <v>40</v>
      </c>
      <c r="P665" s="70" t="s">
        <v>40</v>
      </c>
      <c r="Q665" s="70"/>
      <c r="R665" s="70" t="s">
        <v>40</v>
      </c>
      <c r="S665" s="70" t="s">
        <v>40</v>
      </c>
      <c r="T665" s="70" t="s">
        <v>40</v>
      </c>
      <c r="U665" s="70" t="s">
        <v>40</v>
      </c>
      <c r="V665" s="70" t="s">
        <v>40</v>
      </c>
      <c r="W665" s="70"/>
      <c r="X665" s="70" t="s">
        <v>40</v>
      </c>
      <c r="Y665" s="70" t="s">
        <v>40</v>
      </c>
      <c r="Z665" s="70" t="s">
        <v>40</v>
      </c>
      <c r="AA665" s="70" t="s">
        <v>40</v>
      </c>
      <c r="AB665" s="70" t="s">
        <v>40</v>
      </c>
      <c r="AC665" s="49" t="s">
        <v>53</v>
      </c>
      <c r="AD665" s="94">
        <f>+D594+D627</f>
        <v>10196519.34</v>
      </c>
      <c r="AE665" s="94">
        <f>+E594+E627</f>
        <v>0</v>
      </c>
      <c r="AF665" s="94">
        <f>+F594+F627</f>
        <v>0</v>
      </c>
      <c r="AG665" s="94">
        <f t="shared" si="254"/>
        <v>0</v>
      </c>
      <c r="AH665" s="94">
        <f>+L594+L627</f>
        <v>0</v>
      </c>
      <c r="AI665" s="94">
        <f t="shared" si="255"/>
        <v>0</v>
      </c>
      <c r="AJ665" s="94">
        <f>+O594+O627</f>
        <v>9903123.1400000006</v>
      </c>
      <c r="AK665" s="94">
        <f>+P594+P627</f>
        <v>0</v>
      </c>
      <c r="AL665" s="94">
        <f t="shared" si="256"/>
        <v>9903123.1400000006</v>
      </c>
      <c r="AM665" s="94">
        <f>+V594+V627</f>
        <v>0</v>
      </c>
      <c r="AN665" s="94">
        <f t="shared" si="257"/>
        <v>9903123.1400000006</v>
      </c>
      <c r="AO665" s="94">
        <f t="shared" si="258"/>
        <v>9903123.1400000006</v>
      </c>
      <c r="AP665" s="94">
        <f t="shared" si="259"/>
        <v>293396.19999999925</v>
      </c>
      <c r="AQ665" s="94">
        <f t="shared" si="260"/>
        <v>293396.19999999925</v>
      </c>
    </row>
    <row r="666" spans="1:43" x14ac:dyDescent="0.25">
      <c r="A666" s="46"/>
      <c r="B666" s="26"/>
      <c r="C666" s="4"/>
      <c r="D666" s="68">
        <f>SUM(D662:D664)</f>
        <v>64537509.689999998</v>
      </c>
      <c r="E666" s="68">
        <f t="shared" ref="E666:AB666" si="261">SUM(E662:E664)</f>
        <v>3185800</v>
      </c>
      <c r="F666" s="68">
        <f t="shared" si="261"/>
        <v>0</v>
      </c>
      <c r="G666" s="68"/>
      <c r="H666" s="68">
        <f t="shared" si="261"/>
        <v>3185800</v>
      </c>
      <c r="I666" s="68">
        <f t="shared" si="261"/>
        <v>0</v>
      </c>
      <c r="J666" s="68">
        <f t="shared" si="261"/>
        <v>0</v>
      </c>
      <c r="K666" s="68">
        <f t="shared" si="261"/>
        <v>0</v>
      </c>
      <c r="L666" s="68">
        <f t="shared" si="261"/>
        <v>0</v>
      </c>
      <c r="M666" s="68"/>
      <c r="N666" s="68">
        <f t="shared" si="261"/>
        <v>3185800</v>
      </c>
      <c r="O666" s="68">
        <f t="shared" si="261"/>
        <v>0</v>
      </c>
      <c r="P666" s="68">
        <f t="shared" si="261"/>
        <v>0</v>
      </c>
      <c r="Q666" s="68"/>
      <c r="R666" s="68">
        <f t="shared" si="261"/>
        <v>0</v>
      </c>
      <c r="S666" s="68">
        <f t="shared" si="261"/>
        <v>0</v>
      </c>
      <c r="T666" s="68">
        <f t="shared" si="261"/>
        <v>0</v>
      </c>
      <c r="U666" s="68">
        <f t="shared" si="261"/>
        <v>0</v>
      </c>
      <c r="V666" s="68">
        <f t="shared" si="261"/>
        <v>0</v>
      </c>
      <c r="W666" s="68"/>
      <c r="X666" s="68">
        <f t="shared" si="261"/>
        <v>0</v>
      </c>
      <c r="Y666" s="68">
        <f t="shared" si="261"/>
        <v>3185800</v>
      </c>
      <c r="Z666" s="68">
        <f t="shared" si="261"/>
        <v>61351709.689999998</v>
      </c>
      <c r="AA666" s="68">
        <f t="shared" si="261"/>
        <v>3185800</v>
      </c>
      <c r="AB666" s="68">
        <f t="shared" si="261"/>
        <v>61351709.689999998</v>
      </c>
      <c r="AC666" s="49" t="s">
        <v>54</v>
      </c>
      <c r="AD666" s="94">
        <f>+D629</f>
        <v>5096366.7699999996</v>
      </c>
      <c r="AE666" s="94">
        <f>+E629</f>
        <v>0</v>
      </c>
      <c r="AF666" s="94">
        <f>+F629</f>
        <v>0</v>
      </c>
      <c r="AG666" s="94">
        <f t="shared" si="254"/>
        <v>0</v>
      </c>
      <c r="AH666" s="94">
        <f>+L629</f>
        <v>0</v>
      </c>
      <c r="AI666" s="94">
        <f t="shared" si="255"/>
        <v>0</v>
      </c>
      <c r="AJ666" s="94">
        <f>+O629</f>
        <v>5096366.7699999996</v>
      </c>
      <c r="AK666" s="94">
        <f>+P629</f>
        <v>0</v>
      </c>
      <c r="AL666" s="94">
        <f t="shared" si="256"/>
        <v>5096366.7699999996</v>
      </c>
      <c r="AM666" s="94">
        <f>+V629</f>
        <v>0</v>
      </c>
      <c r="AN666" s="94">
        <f t="shared" si="257"/>
        <v>5096366.7699999996</v>
      </c>
      <c r="AO666" s="94">
        <f t="shared" si="258"/>
        <v>5096366.7699999996</v>
      </c>
      <c r="AP666" s="94">
        <f t="shared" si="259"/>
        <v>0</v>
      </c>
      <c r="AQ666" s="94">
        <f t="shared" si="260"/>
        <v>0</v>
      </c>
    </row>
    <row r="667" spans="1:43" x14ac:dyDescent="0.25">
      <c r="A667" s="46"/>
      <c r="B667" s="26"/>
      <c r="C667" s="4"/>
      <c r="D667" s="70" t="s">
        <v>40</v>
      </c>
      <c r="E667" s="70" t="s">
        <v>40</v>
      </c>
      <c r="F667" s="70" t="s">
        <v>40</v>
      </c>
      <c r="G667" s="70"/>
      <c r="H667" s="70" t="s">
        <v>40</v>
      </c>
      <c r="I667" s="70" t="s">
        <v>40</v>
      </c>
      <c r="J667" s="70" t="s">
        <v>40</v>
      </c>
      <c r="K667" s="70" t="s">
        <v>40</v>
      </c>
      <c r="L667" s="70" t="s">
        <v>40</v>
      </c>
      <c r="M667" s="70"/>
      <c r="N667" s="70" t="s">
        <v>40</v>
      </c>
      <c r="O667" s="70" t="s">
        <v>40</v>
      </c>
      <c r="P667" s="70" t="s">
        <v>40</v>
      </c>
      <c r="Q667" s="70"/>
      <c r="R667" s="70" t="s">
        <v>40</v>
      </c>
      <c r="S667" s="70" t="s">
        <v>40</v>
      </c>
      <c r="T667" s="70" t="s">
        <v>40</v>
      </c>
      <c r="U667" s="70" t="s">
        <v>40</v>
      </c>
      <c r="V667" s="70" t="s">
        <v>40</v>
      </c>
      <c r="W667" s="70"/>
      <c r="X667" s="70" t="s">
        <v>40</v>
      </c>
      <c r="Y667" s="70" t="s">
        <v>40</v>
      </c>
      <c r="Z667" s="70" t="s">
        <v>40</v>
      </c>
      <c r="AA667" s="70" t="s">
        <v>40</v>
      </c>
      <c r="AB667" s="70" t="s">
        <v>40</v>
      </c>
      <c r="AC667" s="49" t="s">
        <v>264</v>
      </c>
      <c r="AD667" s="94">
        <f>+D586+D656</f>
        <v>1471101.76</v>
      </c>
      <c r="AE667" s="94">
        <f>+E586+E656</f>
        <v>0</v>
      </c>
      <c r="AF667" s="94">
        <f>+F586+F656</f>
        <v>0</v>
      </c>
      <c r="AG667" s="94">
        <f t="shared" si="254"/>
        <v>0</v>
      </c>
      <c r="AH667" s="94">
        <f>+L586+L656</f>
        <v>0</v>
      </c>
      <c r="AI667" s="94">
        <f t="shared" si="255"/>
        <v>0</v>
      </c>
      <c r="AJ667" s="94">
        <f>+O586+O656</f>
        <v>0</v>
      </c>
      <c r="AK667" s="94">
        <f>+P586+P656</f>
        <v>0</v>
      </c>
      <c r="AL667" s="94">
        <f t="shared" si="256"/>
        <v>0</v>
      </c>
      <c r="AM667" s="94">
        <f>+V586+V656</f>
        <v>0</v>
      </c>
      <c r="AN667" s="94">
        <f t="shared" si="257"/>
        <v>0</v>
      </c>
      <c r="AO667" s="94">
        <f t="shared" si="258"/>
        <v>0</v>
      </c>
      <c r="AP667" s="94">
        <f t="shared" si="259"/>
        <v>1471101.76</v>
      </c>
      <c r="AQ667" s="94">
        <f t="shared" si="260"/>
        <v>1471101.76</v>
      </c>
    </row>
    <row r="668" spans="1:43" x14ac:dyDescent="0.25">
      <c r="A668" s="46"/>
      <c r="B668" s="36" t="s">
        <v>3</v>
      </c>
      <c r="C668" s="21" t="s">
        <v>196</v>
      </c>
      <c r="D668" s="68">
        <f>D589+D596+D606+D615+D623+D631+D642+D649+D660+D666</f>
        <v>1066060960.9400001</v>
      </c>
      <c r="E668" s="68">
        <f>E589+E596+E606+E615+E623+E631+E642+E649+E660+E666</f>
        <v>624710898.02999997</v>
      </c>
      <c r="F668" s="68">
        <f>F589+F596+F606+F615+F623+F631+F642+F649+F660+F666</f>
        <v>102000000</v>
      </c>
      <c r="G668" s="68"/>
      <c r="H668" s="68">
        <f>H589+H596+H606+H615+H623+H631+H642+H649+H660+H666</f>
        <v>726710898.02999997</v>
      </c>
      <c r="I668" s="68">
        <f>I589+I596+I606+I615+I623+I631+I642+I649+I660+I666</f>
        <v>0</v>
      </c>
      <c r="J668" s="68">
        <f>J589+J596+J606+J615+J623+J631+J642+J649+J660+J666</f>
        <v>0</v>
      </c>
      <c r="K668" s="68">
        <f>K589+K596+K606+K615+K623+K631+K642+K649+K660+K666</f>
        <v>0</v>
      </c>
      <c r="L668" s="68">
        <f>L589+L596+L606+L615+L623+L631+L642+L649+L660+L666</f>
        <v>0</v>
      </c>
      <c r="M668" s="68"/>
      <c r="N668" s="68">
        <f>N589+N596+N606+N615+N623+N631+N642+N649+N660+N666</f>
        <v>726710898.02999997</v>
      </c>
      <c r="O668" s="68">
        <f>O589+O596+O606+O615+O623+O631+O642+O649+O660+O666</f>
        <v>51047303.719999999</v>
      </c>
      <c r="P668" s="68">
        <f>P589+P596+P606+P615+P623+P631+P642+P649+P660+P666</f>
        <v>0</v>
      </c>
      <c r="Q668" s="68"/>
      <c r="R668" s="68">
        <f>R589+R596+R606+R615+R623+R631+R642+R649+R660+R666</f>
        <v>51047303.719999999</v>
      </c>
      <c r="S668" s="68">
        <f>S589+S596+S606+S615+S623+S631+S642+S649+S660+S666</f>
        <v>0</v>
      </c>
      <c r="T668" s="68">
        <f>T589+T596+T606+T615+T623+T631+T642+T649+T660+T666</f>
        <v>0</v>
      </c>
      <c r="U668" s="68">
        <f>U589+U596+U606+U615+U623+U631+U642+U649+U660+U666</f>
        <v>0</v>
      </c>
      <c r="V668" s="68">
        <f>V589+V596+V606+V615+V623+V631+V642+V649+V660+V666</f>
        <v>0</v>
      </c>
      <c r="W668" s="68"/>
      <c r="X668" s="68">
        <f>X589+X596+X606+X615+X623+X631+X642+X649+X660+X666</f>
        <v>51047303.719999999</v>
      </c>
      <c r="Y668" s="68">
        <f>Y589+Y596+Y606+Y615+Y623+Y631+Y642+Y649+Y660+Y666</f>
        <v>777758201.75</v>
      </c>
      <c r="Z668" s="68">
        <f>Z589+Z596+Z606+Z615+Z623+Z631+Z642+Z649+Z660+Z666</f>
        <v>288302759.19000006</v>
      </c>
      <c r="AA668" s="68">
        <f>AA589+AA596+AA606+AA615+AA623+AA631+AA642+AA649+AA660+AA666</f>
        <v>777758201.75</v>
      </c>
      <c r="AB668" s="68">
        <f>AB589+AB596+AB606+AB615+AB623+AB631+AB642+AB649+AB660+AB666</f>
        <v>288302759.19</v>
      </c>
      <c r="AD668" s="95">
        <f t="shared" ref="AD668:AQ668" si="262">SUM(AD652:AD667)</f>
        <v>1066060960.9400001</v>
      </c>
      <c r="AE668" s="95">
        <f t="shared" si="262"/>
        <v>624710898.02999997</v>
      </c>
      <c r="AF668" s="95">
        <f t="shared" si="262"/>
        <v>102000000</v>
      </c>
      <c r="AG668" s="95">
        <f t="shared" si="262"/>
        <v>726710898.02999997</v>
      </c>
      <c r="AH668" s="95">
        <f t="shared" si="262"/>
        <v>0</v>
      </c>
      <c r="AI668" s="95">
        <f t="shared" si="262"/>
        <v>726710898.02999997</v>
      </c>
      <c r="AJ668" s="95">
        <f t="shared" si="262"/>
        <v>51047303.719999999</v>
      </c>
      <c r="AK668" s="95">
        <f t="shared" si="262"/>
        <v>0</v>
      </c>
      <c r="AL668" s="95">
        <f t="shared" si="262"/>
        <v>51047303.719999999</v>
      </c>
      <c r="AM668" s="95">
        <f t="shared" si="262"/>
        <v>0</v>
      </c>
      <c r="AN668" s="95">
        <f t="shared" si="262"/>
        <v>51047303.719999999</v>
      </c>
      <c r="AO668" s="95">
        <f t="shared" si="262"/>
        <v>777758201.75</v>
      </c>
      <c r="AP668" s="95">
        <f t="shared" si="262"/>
        <v>288302759.18999994</v>
      </c>
      <c r="AQ668" s="95">
        <f t="shared" si="262"/>
        <v>288302759.18999994</v>
      </c>
    </row>
    <row r="669" spans="1:43" x14ac:dyDescent="0.25">
      <c r="A669" s="46"/>
      <c r="B669" s="26"/>
      <c r="C669" s="4"/>
      <c r="D669" s="70" t="s">
        <v>50</v>
      </c>
      <c r="E669" s="70" t="s">
        <v>50</v>
      </c>
      <c r="F669" s="70" t="s">
        <v>50</v>
      </c>
      <c r="G669" s="70"/>
      <c r="H669" s="70" t="s">
        <v>50</v>
      </c>
      <c r="I669" s="70" t="s">
        <v>50</v>
      </c>
      <c r="J669" s="70" t="s">
        <v>50</v>
      </c>
      <c r="K669" s="70" t="s">
        <v>50</v>
      </c>
      <c r="L669" s="70" t="s">
        <v>50</v>
      </c>
      <c r="M669" s="70"/>
      <c r="N669" s="70" t="s">
        <v>50</v>
      </c>
      <c r="O669" s="70" t="s">
        <v>50</v>
      </c>
      <c r="P669" s="70" t="s">
        <v>50</v>
      </c>
      <c r="Q669" s="70"/>
      <c r="R669" s="70" t="s">
        <v>50</v>
      </c>
      <c r="S669" s="70" t="s">
        <v>50</v>
      </c>
      <c r="T669" s="70" t="s">
        <v>50</v>
      </c>
      <c r="U669" s="70" t="s">
        <v>50</v>
      </c>
      <c r="V669" s="70" t="s">
        <v>50</v>
      </c>
      <c r="W669" s="70"/>
      <c r="X669" s="70" t="s">
        <v>50</v>
      </c>
      <c r="Y669" s="70" t="s">
        <v>50</v>
      </c>
      <c r="Z669" s="70" t="s">
        <v>50</v>
      </c>
      <c r="AA669" s="70" t="s">
        <v>50</v>
      </c>
      <c r="AB669" s="70" t="s">
        <v>50</v>
      </c>
    </row>
    <row r="670" spans="1:43" x14ac:dyDescent="0.25">
      <c r="A670" s="46"/>
      <c r="B670" s="26"/>
      <c r="C670" s="20"/>
      <c r="D670" s="75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P670" s="94"/>
      <c r="AQ670" s="94"/>
    </row>
    <row r="671" spans="1:43" ht="19.5" x14ac:dyDescent="0.35">
      <c r="A671" s="46"/>
      <c r="B671" s="47" t="s">
        <v>94</v>
      </c>
      <c r="C671" s="4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</row>
    <row r="672" spans="1:43" ht="15" customHeight="1" x14ac:dyDescent="0.25">
      <c r="A672" s="46"/>
      <c r="B672" s="26"/>
      <c r="C672" s="4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</row>
    <row r="673" spans="1:28" x14ac:dyDescent="0.25">
      <c r="A673" s="46">
        <v>68</v>
      </c>
      <c r="B673" s="23" t="s">
        <v>95</v>
      </c>
      <c r="C673" s="2" t="s">
        <v>35</v>
      </c>
      <c r="D673" s="67">
        <v>23827504.09</v>
      </c>
      <c r="E673" s="67">
        <v>0</v>
      </c>
      <c r="F673" s="68"/>
      <c r="G673" s="68"/>
      <c r="H673" s="67">
        <f>E673+F673</f>
        <v>0</v>
      </c>
      <c r="I673" s="68"/>
      <c r="J673" s="68"/>
      <c r="K673" s="68"/>
      <c r="L673" s="67"/>
      <c r="M673" s="67"/>
      <c r="N673" s="67">
        <f>H673+L673</f>
        <v>0</v>
      </c>
      <c r="O673" s="67">
        <v>3633082.84</v>
      </c>
      <c r="P673" s="68"/>
      <c r="Q673" s="68"/>
      <c r="R673" s="67">
        <f>O673+P673</f>
        <v>3633082.84</v>
      </c>
      <c r="S673" s="68"/>
      <c r="T673" s="68"/>
      <c r="U673" s="68"/>
      <c r="V673" s="67"/>
      <c r="W673" s="67"/>
      <c r="X673" s="67">
        <f>R673+V673</f>
        <v>3633082.84</v>
      </c>
      <c r="Y673" s="67">
        <f>R673+H673</f>
        <v>3633082.84</v>
      </c>
      <c r="Z673" s="67">
        <f>D673-Y673</f>
        <v>20194421.25</v>
      </c>
      <c r="AA673" s="67">
        <f>N673+X673</f>
        <v>3633082.84</v>
      </c>
      <c r="AB673" s="67">
        <f>+D673-N673-X673</f>
        <v>20194421.25</v>
      </c>
    </row>
    <row r="674" spans="1:28" x14ac:dyDescent="0.25">
      <c r="A674" s="46"/>
      <c r="B674" s="26"/>
      <c r="C674" s="2" t="s">
        <v>37</v>
      </c>
      <c r="D674" s="67">
        <v>813905.19</v>
      </c>
      <c r="E674" s="67">
        <v>0</v>
      </c>
      <c r="F674" s="68"/>
      <c r="G674" s="68"/>
      <c r="H674" s="67">
        <f>E674+F674</f>
        <v>0</v>
      </c>
      <c r="I674" s="68"/>
      <c r="J674" s="68"/>
      <c r="K674" s="68"/>
      <c r="L674" s="67"/>
      <c r="M674" s="67"/>
      <c r="N674" s="67">
        <f>H674+L674</f>
        <v>0</v>
      </c>
      <c r="O674" s="67">
        <v>0</v>
      </c>
      <c r="P674" s="68"/>
      <c r="Q674" s="68"/>
      <c r="R674" s="67">
        <f>O674+P674</f>
        <v>0</v>
      </c>
      <c r="S674" s="67"/>
      <c r="T674" s="68"/>
      <c r="U674" s="68"/>
      <c r="V674" s="67"/>
      <c r="W674" s="67"/>
      <c r="X674" s="67">
        <f>R674+V674</f>
        <v>0</v>
      </c>
      <c r="Y674" s="67">
        <f>R674+H674</f>
        <v>0</v>
      </c>
      <c r="Z674" s="67">
        <f>D674-Y674</f>
        <v>813905.19</v>
      </c>
      <c r="AA674" s="67">
        <f>N674+X674</f>
        <v>0</v>
      </c>
      <c r="AB674" s="67">
        <f>+D674-N674-X674</f>
        <v>813905.19</v>
      </c>
    </row>
    <row r="675" spans="1:28" ht="15.75" customHeight="1" x14ac:dyDescent="0.25">
      <c r="A675" s="46"/>
      <c r="B675" s="26"/>
      <c r="C675" s="2" t="s">
        <v>38</v>
      </c>
      <c r="D675" s="67">
        <v>3400000</v>
      </c>
      <c r="E675" s="67">
        <v>0</v>
      </c>
      <c r="F675" s="68"/>
      <c r="G675" s="68"/>
      <c r="H675" s="67">
        <f>E675+F675</f>
        <v>0</v>
      </c>
      <c r="I675" s="68"/>
      <c r="J675" s="68"/>
      <c r="K675" s="68"/>
      <c r="L675" s="67"/>
      <c r="M675" s="67"/>
      <c r="N675" s="67">
        <f>H675+L675</f>
        <v>0</v>
      </c>
      <c r="O675" s="67">
        <v>0</v>
      </c>
      <c r="P675" s="68"/>
      <c r="Q675" s="68"/>
      <c r="R675" s="67">
        <f>O675+P675</f>
        <v>0</v>
      </c>
      <c r="S675" s="68"/>
      <c r="T675" s="68"/>
      <c r="U675" s="68"/>
      <c r="V675" s="67"/>
      <c r="W675" s="67"/>
      <c r="X675" s="67">
        <f>R675+V675</f>
        <v>0</v>
      </c>
      <c r="Y675" s="67">
        <f>R675+H675</f>
        <v>0</v>
      </c>
      <c r="Z675" s="67">
        <f>D675-Y675</f>
        <v>3400000</v>
      </c>
      <c r="AA675" s="67">
        <f>N675+X675</f>
        <v>0</v>
      </c>
      <c r="AB675" s="67">
        <f>+D675-N675-X675</f>
        <v>3400000</v>
      </c>
    </row>
    <row r="676" spans="1:28" ht="15.75" customHeight="1" x14ac:dyDescent="0.25">
      <c r="A676" s="46"/>
      <c r="B676" s="26"/>
      <c r="C676" s="4"/>
      <c r="D676" s="70" t="s">
        <v>40</v>
      </c>
      <c r="E676" s="70" t="s">
        <v>40</v>
      </c>
      <c r="F676" s="70" t="s">
        <v>40</v>
      </c>
      <c r="G676" s="70"/>
      <c r="H676" s="70" t="s">
        <v>40</v>
      </c>
      <c r="I676" s="70" t="s">
        <v>40</v>
      </c>
      <c r="J676" s="70" t="s">
        <v>40</v>
      </c>
      <c r="K676" s="70" t="s">
        <v>40</v>
      </c>
      <c r="L676" s="70" t="s">
        <v>40</v>
      </c>
      <c r="M676" s="70"/>
      <c r="N676" s="70" t="s">
        <v>40</v>
      </c>
      <c r="O676" s="70" t="s">
        <v>40</v>
      </c>
      <c r="P676" s="70" t="s">
        <v>40</v>
      </c>
      <c r="Q676" s="70"/>
      <c r="R676" s="70" t="s">
        <v>40</v>
      </c>
      <c r="S676" s="70" t="s">
        <v>40</v>
      </c>
      <c r="T676" s="70" t="s">
        <v>40</v>
      </c>
      <c r="U676" s="70" t="s">
        <v>40</v>
      </c>
      <c r="V676" s="70" t="s">
        <v>40</v>
      </c>
      <c r="W676" s="70"/>
      <c r="X676" s="70" t="s">
        <v>40</v>
      </c>
      <c r="Y676" s="70" t="s">
        <v>40</v>
      </c>
      <c r="Z676" s="70" t="s">
        <v>40</v>
      </c>
      <c r="AA676" s="70" t="s">
        <v>40</v>
      </c>
      <c r="AB676" s="70" t="s">
        <v>40</v>
      </c>
    </row>
    <row r="677" spans="1:28" x14ac:dyDescent="0.25">
      <c r="A677" s="46"/>
      <c r="B677" s="26"/>
      <c r="C677" s="4"/>
      <c r="D677" s="67">
        <f t="shared" ref="D677:AB677" si="263">SUM(D673:D675)</f>
        <v>28041409.280000001</v>
      </c>
      <c r="E677" s="67">
        <f t="shared" si="263"/>
        <v>0</v>
      </c>
      <c r="F677" s="67">
        <f t="shared" si="263"/>
        <v>0</v>
      </c>
      <c r="G677" s="67"/>
      <c r="H677" s="67">
        <f t="shared" si="263"/>
        <v>0</v>
      </c>
      <c r="I677" s="67">
        <f t="shared" si="263"/>
        <v>0</v>
      </c>
      <c r="J677" s="67">
        <f t="shared" si="263"/>
        <v>0</v>
      </c>
      <c r="K677" s="67">
        <f t="shared" si="263"/>
        <v>0</v>
      </c>
      <c r="L677" s="67">
        <f t="shared" si="263"/>
        <v>0</v>
      </c>
      <c r="M677" s="67"/>
      <c r="N677" s="67">
        <f t="shared" si="263"/>
        <v>0</v>
      </c>
      <c r="O677" s="67">
        <f t="shared" si="263"/>
        <v>3633082.84</v>
      </c>
      <c r="P677" s="67">
        <f t="shared" si="263"/>
        <v>0</v>
      </c>
      <c r="Q677" s="67"/>
      <c r="R677" s="67">
        <f t="shared" si="263"/>
        <v>3633082.84</v>
      </c>
      <c r="S677" s="67">
        <f t="shared" si="263"/>
        <v>0</v>
      </c>
      <c r="T677" s="67">
        <f t="shared" si="263"/>
        <v>0</v>
      </c>
      <c r="U677" s="67">
        <f t="shared" si="263"/>
        <v>0</v>
      </c>
      <c r="V677" s="67">
        <f t="shared" si="263"/>
        <v>0</v>
      </c>
      <c r="W677" s="67"/>
      <c r="X677" s="67">
        <f t="shared" si="263"/>
        <v>3633082.84</v>
      </c>
      <c r="Y677" s="67">
        <f t="shared" si="263"/>
        <v>3633082.84</v>
      </c>
      <c r="Z677" s="67">
        <f t="shared" si="263"/>
        <v>24408326.440000001</v>
      </c>
      <c r="AA677" s="67">
        <f t="shared" si="263"/>
        <v>3633082.84</v>
      </c>
      <c r="AB677" s="67">
        <f t="shared" si="263"/>
        <v>24408326.440000001</v>
      </c>
    </row>
    <row r="678" spans="1:28" ht="16.5" customHeight="1" x14ac:dyDescent="0.25">
      <c r="A678" s="46"/>
      <c r="B678" s="26"/>
      <c r="C678" s="4"/>
      <c r="D678" s="70" t="s">
        <v>40</v>
      </c>
      <c r="E678" s="70" t="s">
        <v>40</v>
      </c>
      <c r="F678" s="70" t="s">
        <v>40</v>
      </c>
      <c r="G678" s="70"/>
      <c r="H678" s="70" t="s">
        <v>40</v>
      </c>
      <c r="I678" s="70" t="s">
        <v>40</v>
      </c>
      <c r="J678" s="70" t="s">
        <v>40</v>
      </c>
      <c r="K678" s="70" t="s">
        <v>40</v>
      </c>
      <c r="L678" s="70" t="s">
        <v>40</v>
      </c>
      <c r="M678" s="70"/>
      <c r="N678" s="70" t="s">
        <v>40</v>
      </c>
      <c r="O678" s="70" t="s">
        <v>40</v>
      </c>
      <c r="P678" s="70" t="s">
        <v>40</v>
      </c>
      <c r="Q678" s="70"/>
      <c r="R678" s="70" t="s">
        <v>40</v>
      </c>
      <c r="S678" s="70" t="s">
        <v>40</v>
      </c>
      <c r="T678" s="70" t="s">
        <v>40</v>
      </c>
      <c r="U678" s="70" t="s">
        <v>40</v>
      </c>
      <c r="V678" s="70" t="s">
        <v>40</v>
      </c>
      <c r="W678" s="70"/>
      <c r="X678" s="70" t="s">
        <v>40</v>
      </c>
      <c r="Y678" s="70" t="s">
        <v>40</v>
      </c>
      <c r="Z678" s="70" t="s">
        <v>40</v>
      </c>
      <c r="AA678" s="70" t="s">
        <v>40</v>
      </c>
      <c r="AB678" s="70" t="s">
        <v>40</v>
      </c>
    </row>
    <row r="679" spans="1:28" x14ac:dyDescent="0.25">
      <c r="A679" s="46"/>
      <c r="B679" s="26"/>
      <c r="C679" s="4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</row>
    <row r="680" spans="1:28" ht="15.75" customHeight="1" x14ac:dyDescent="0.25">
      <c r="A680" s="46">
        <v>69</v>
      </c>
      <c r="B680" s="23" t="s">
        <v>96</v>
      </c>
      <c r="C680" s="2" t="s">
        <v>35</v>
      </c>
      <c r="D680" s="67">
        <v>248438.46</v>
      </c>
      <c r="E680" s="67">
        <v>0</v>
      </c>
      <c r="F680" s="68"/>
      <c r="G680" s="68"/>
      <c r="H680" s="67">
        <f>E680+F680</f>
        <v>0</v>
      </c>
      <c r="I680" s="68"/>
      <c r="J680" s="68"/>
      <c r="K680" s="68"/>
      <c r="L680" s="67"/>
      <c r="M680" s="67"/>
      <c r="N680" s="67">
        <f>H680+L680</f>
        <v>0</v>
      </c>
      <c r="O680" s="67">
        <v>9751</v>
      </c>
      <c r="P680" s="68"/>
      <c r="Q680" s="68"/>
      <c r="R680" s="67">
        <f>O680+P680</f>
        <v>9751</v>
      </c>
      <c r="S680" s="68"/>
      <c r="T680" s="68"/>
      <c r="U680" s="68"/>
      <c r="V680" s="67"/>
      <c r="W680" s="67"/>
      <c r="X680" s="67">
        <f>R680+V680</f>
        <v>9751</v>
      </c>
      <c r="Y680" s="67">
        <f>R680+H680</f>
        <v>9751</v>
      </c>
      <c r="Z680" s="67">
        <f>D680-Y680</f>
        <v>238687.46</v>
      </c>
      <c r="AA680" s="67">
        <f>N680+X680</f>
        <v>9751</v>
      </c>
      <c r="AB680" s="67">
        <f>+D680-N680-X680</f>
        <v>238687.46</v>
      </c>
    </row>
    <row r="681" spans="1:28" x14ac:dyDescent="0.25">
      <c r="A681" s="46"/>
      <c r="B681" s="26"/>
      <c r="C681" s="3" t="s">
        <v>36</v>
      </c>
      <c r="D681" s="67">
        <v>36000</v>
      </c>
      <c r="E681" s="67">
        <v>36000</v>
      </c>
      <c r="F681" s="68"/>
      <c r="G681" s="68"/>
      <c r="H681" s="67">
        <f>E681+F681</f>
        <v>36000</v>
      </c>
      <c r="I681" s="68"/>
      <c r="J681" s="68"/>
      <c r="K681" s="68"/>
      <c r="L681" s="67"/>
      <c r="M681" s="67"/>
      <c r="N681" s="67">
        <f>H681+L681</f>
        <v>36000</v>
      </c>
      <c r="O681" s="67">
        <v>0</v>
      </c>
      <c r="P681" s="68"/>
      <c r="Q681" s="68"/>
      <c r="R681" s="67">
        <f>O681+P681</f>
        <v>0</v>
      </c>
      <c r="S681" s="68"/>
      <c r="T681" s="68"/>
      <c r="U681" s="68"/>
      <c r="V681" s="67"/>
      <c r="W681" s="67"/>
      <c r="X681" s="67">
        <f>R681+V681</f>
        <v>0</v>
      </c>
      <c r="Y681" s="67">
        <f>R681+H681</f>
        <v>36000</v>
      </c>
      <c r="Z681" s="67">
        <f>D681-Y681</f>
        <v>0</v>
      </c>
      <c r="AA681" s="67">
        <f>N681+X681</f>
        <v>36000</v>
      </c>
      <c r="AB681" s="67">
        <f>+D681-N681-X681</f>
        <v>0</v>
      </c>
    </row>
    <row r="682" spans="1:28" ht="15.75" customHeight="1" x14ac:dyDescent="0.25">
      <c r="A682" s="46"/>
      <c r="B682" s="26"/>
      <c r="C682" s="2" t="s">
        <v>76</v>
      </c>
      <c r="D682" s="67">
        <v>2181839.42</v>
      </c>
      <c r="E682" s="67">
        <v>0</v>
      </c>
      <c r="F682" s="68"/>
      <c r="G682" s="68"/>
      <c r="H682" s="67">
        <f>E682+F682</f>
        <v>0</v>
      </c>
      <c r="I682" s="68"/>
      <c r="J682" s="68"/>
      <c r="K682" s="68"/>
      <c r="L682" s="67"/>
      <c r="M682" s="67"/>
      <c r="N682" s="67">
        <f>H682+L682</f>
        <v>0</v>
      </c>
      <c r="O682" s="67">
        <v>0</v>
      </c>
      <c r="P682" s="68"/>
      <c r="Q682" s="68"/>
      <c r="R682" s="67">
        <f>O682+P682</f>
        <v>0</v>
      </c>
      <c r="S682" s="68"/>
      <c r="T682" s="68"/>
      <c r="U682" s="68"/>
      <c r="V682" s="67"/>
      <c r="W682" s="67"/>
      <c r="X682" s="67">
        <f>R682+V682</f>
        <v>0</v>
      </c>
      <c r="Y682" s="67">
        <f>R682+H682</f>
        <v>0</v>
      </c>
      <c r="Z682" s="67">
        <f>D682-Y682</f>
        <v>2181839.42</v>
      </c>
      <c r="AA682" s="67">
        <f>N682+X682</f>
        <v>0</v>
      </c>
      <c r="AB682" s="67">
        <f>+D682-N682-X682</f>
        <v>2181839.42</v>
      </c>
    </row>
    <row r="683" spans="1:28" ht="16.5" customHeight="1" x14ac:dyDescent="0.25">
      <c r="A683" s="46"/>
      <c r="B683" s="26"/>
      <c r="C683" s="2" t="s">
        <v>53</v>
      </c>
      <c r="D683" s="67">
        <v>7022706.3499999996</v>
      </c>
      <c r="E683" s="67">
        <v>0</v>
      </c>
      <c r="F683" s="68"/>
      <c r="G683" s="68"/>
      <c r="H683" s="67">
        <f>E683+F683</f>
        <v>0</v>
      </c>
      <c r="I683" s="68"/>
      <c r="J683" s="68"/>
      <c r="K683" s="68"/>
      <c r="L683" s="67"/>
      <c r="M683" s="67"/>
      <c r="N683" s="67">
        <f>H683+L683</f>
        <v>0</v>
      </c>
      <c r="O683" s="67">
        <f>16308742.77-11368569.7+70893.52</f>
        <v>5011066.59</v>
      </c>
      <c r="P683" s="67"/>
      <c r="Q683" s="67"/>
      <c r="R683" s="67">
        <f>O683+P683</f>
        <v>5011066.59</v>
      </c>
      <c r="S683" s="68"/>
      <c r="T683" s="68"/>
      <c r="U683" s="68"/>
      <c r="V683" s="67"/>
      <c r="W683" s="67"/>
      <c r="X683" s="67">
        <f>R683+V683</f>
        <v>5011066.59</v>
      </c>
      <c r="Y683" s="67">
        <f>R683+H683</f>
        <v>5011066.59</v>
      </c>
      <c r="Z683" s="67">
        <f>D683-Y683</f>
        <v>2011639.7599999998</v>
      </c>
      <c r="AA683" s="67">
        <f>N683+X683</f>
        <v>5011066.59</v>
      </c>
      <c r="AB683" s="67">
        <f>+D683-N683-X683</f>
        <v>2011639.7599999998</v>
      </c>
    </row>
    <row r="684" spans="1:28" ht="15.75" customHeight="1" x14ac:dyDescent="0.25">
      <c r="A684" s="46"/>
      <c r="B684" s="26"/>
      <c r="C684" s="2" t="s">
        <v>54</v>
      </c>
      <c r="D684" s="67">
        <v>11330000</v>
      </c>
      <c r="E684" s="67">
        <v>0</v>
      </c>
      <c r="F684" s="68"/>
      <c r="G684" s="68"/>
      <c r="H684" s="67">
        <f>E684+F684</f>
        <v>0</v>
      </c>
      <c r="I684" s="68"/>
      <c r="J684" s="68"/>
      <c r="K684" s="68"/>
      <c r="L684" s="67"/>
      <c r="M684" s="67"/>
      <c r="N684" s="67">
        <f>H684+L684</f>
        <v>0</v>
      </c>
      <c r="O684" s="67">
        <v>5603896.2599999998</v>
      </c>
      <c r="P684" s="68"/>
      <c r="Q684" s="68"/>
      <c r="R684" s="67">
        <f>O684+P684</f>
        <v>5603896.2599999998</v>
      </c>
      <c r="S684" s="68"/>
      <c r="T684" s="68"/>
      <c r="U684" s="68"/>
      <c r="V684" s="67"/>
      <c r="W684" s="67"/>
      <c r="X684" s="67">
        <f>R684+V684</f>
        <v>5603896.2599999998</v>
      </c>
      <c r="Y684" s="67">
        <f>R684+H684</f>
        <v>5603896.2599999998</v>
      </c>
      <c r="Z684" s="67">
        <f>D684-Y684</f>
        <v>5726103.7400000002</v>
      </c>
      <c r="AA684" s="67">
        <f>N684+X684</f>
        <v>5603896.2599999998</v>
      </c>
      <c r="AB684" s="67">
        <f>+D684-N684-X684</f>
        <v>5726103.7400000002</v>
      </c>
    </row>
    <row r="685" spans="1:28" x14ac:dyDescent="0.25">
      <c r="A685" s="46"/>
      <c r="B685" s="26"/>
      <c r="C685" s="4"/>
      <c r="D685" s="70" t="s">
        <v>40</v>
      </c>
      <c r="E685" s="70" t="s">
        <v>40</v>
      </c>
      <c r="F685" s="70" t="s">
        <v>40</v>
      </c>
      <c r="G685" s="70"/>
      <c r="H685" s="70" t="s">
        <v>40</v>
      </c>
      <c r="I685" s="70" t="s">
        <v>40</v>
      </c>
      <c r="J685" s="70" t="s">
        <v>40</v>
      </c>
      <c r="K685" s="70" t="s">
        <v>40</v>
      </c>
      <c r="L685" s="70" t="s">
        <v>40</v>
      </c>
      <c r="M685" s="70"/>
      <c r="N685" s="70" t="s">
        <v>40</v>
      </c>
      <c r="O685" s="70" t="s">
        <v>40</v>
      </c>
      <c r="P685" s="70" t="s">
        <v>40</v>
      </c>
      <c r="Q685" s="70"/>
      <c r="R685" s="70" t="s">
        <v>40</v>
      </c>
      <c r="S685" s="70" t="s">
        <v>40</v>
      </c>
      <c r="T685" s="70" t="s">
        <v>40</v>
      </c>
      <c r="U685" s="70" t="s">
        <v>40</v>
      </c>
      <c r="V685" s="70" t="s">
        <v>40</v>
      </c>
      <c r="W685" s="70"/>
      <c r="X685" s="70" t="s">
        <v>40</v>
      </c>
      <c r="Y685" s="70" t="s">
        <v>40</v>
      </c>
      <c r="Z685" s="70" t="s">
        <v>40</v>
      </c>
      <c r="AA685" s="70" t="s">
        <v>40</v>
      </c>
      <c r="AB685" s="70" t="s">
        <v>40</v>
      </c>
    </row>
    <row r="686" spans="1:28" x14ac:dyDescent="0.25">
      <c r="A686" s="46"/>
      <c r="B686" s="26"/>
      <c r="C686" s="4"/>
      <c r="D686" s="67">
        <f t="shared" ref="D686:AB686" si="264">SUM(D680:D684)</f>
        <v>20818984.23</v>
      </c>
      <c r="E686" s="67">
        <f t="shared" si="264"/>
        <v>36000</v>
      </c>
      <c r="F686" s="67">
        <f t="shared" si="264"/>
        <v>0</v>
      </c>
      <c r="G686" s="67"/>
      <c r="H686" s="67">
        <f t="shared" si="264"/>
        <v>36000</v>
      </c>
      <c r="I686" s="67">
        <f t="shared" si="264"/>
        <v>0</v>
      </c>
      <c r="J686" s="67">
        <f t="shared" si="264"/>
        <v>0</v>
      </c>
      <c r="K686" s="67">
        <f t="shared" si="264"/>
        <v>0</v>
      </c>
      <c r="L686" s="67">
        <f t="shared" si="264"/>
        <v>0</v>
      </c>
      <c r="M686" s="67"/>
      <c r="N686" s="67">
        <f t="shared" si="264"/>
        <v>36000</v>
      </c>
      <c r="O686" s="67">
        <f t="shared" si="264"/>
        <v>10624713.85</v>
      </c>
      <c r="P686" s="67">
        <f t="shared" si="264"/>
        <v>0</v>
      </c>
      <c r="Q686" s="67"/>
      <c r="R686" s="67">
        <f t="shared" si="264"/>
        <v>10624713.85</v>
      </c>
      <c r="S686" s="67">
        <f t="shared" si="264"/>
        <v>0</v>
      </c>
      <c r="T686" s="67">
        <f t="shared" si="264"/>
        <v>0</v>
      </c>
      <c r="U686" s="67">
        <f t="shared" si="264"/>
        <v>0</v>
      </c>
      <c r="V686" s="67">
        <f t="shared" si="264"/>
        <v>0</v>
      </c>
      <c r="W686" s="67"/>
      <c r="X686" s="67">
        <f t="shared" si="264"/>
        <v>10624713.85</v>
      </c>
      <c r="Y686" s="67">
        <f t="shared" si="264"/>
        <v>10660713.85</v>
      </c>
      <c r="Z686" s="67">
        <f t="shared" si="264"/>
        <v>10158270.379999999</v>
      </c>
      <c r="AA686" s="67">
        <f t="shared" si="264"/>
        <v>10660713.85</v>
      </c>
      <c r="AB686" s="67">
        <f t="shared" si="264"/>
        <v>10158270.379999999</v>
      </c>
    </row>
    <row r="687" spans="1:28" x14ac:dyDescent="0.25">
      <c r="A687" s="46"/>
      <c r="B687" s="26"/>
      <c r="C687" s="4"/>
      <c r="D687" s="70" t="s">
        <v>40</v>
      </c>
      <c r="E687" s="70" t="s">
        <v>40</v>
      </c>
      <c r="F687" s="70" t="s">
        <v>40</v>
      </c>
      <c r="G687" s="70"/>
      <c r="H687" s="70" t="s">
        <v>40</v>
      </c>
      <c r="I687" s="70" t="s">
        <v>40</v>
      </c>
      <c r="J687" s="70" t="s">
        <v>40</v>
      </c>
      <c r="K687" s="70" t="s">
        <v>40</v>
      </c>
      <c r="L687" s="70" t="s">
        <v>40</v>
      </c>
      <c r="M687" s="70"/>
      <c r="N687" s="70" t="s">
        <v>40</v>
      </c>
      <c r="O687" s="70" t="s">
        <v>40</v>
      </c>
      <c r="P687" s="70" t="s">
        <v>40</v>
      </c>
      <c r="Q687" s="70"/>
      <c r="R687" s="70" t="s">
        <v>40</v>
      </c>
      <c r="S687" s="70" t="s">
        <v>40</v>
      </c>
      <c r="T687" s="70" t="s">
        <v>40</v>
      </c>
      <c r="U687" s="70" t="s">
        <v>40</v>
      </c>
      <c r="V687" s="70" t="s">
        <v>40</v>
      </c>
      <c r="W687" s="70"/>
      <c r="X687" s="70" t="s">
        <v>40</v>
      </c>
      <c r="Y687" s="70" t="s">
        <v>40</v>
      </c>
      <c r="Z687" s="70" t="s">
        <v>40</v>
      </c>
      <c r="AA687" s="70" t="s">
        <v>40</v>
      </c>
      <c r="AB687" s="70" t="s">
        <v>40</v>
      </c>
    </row>
    <row r="688" spans="1:28" ht="16.5" customHeight="1" x14ac:dyDescent="0.25">
      <c r="A688" s="46"/>
      <c r="B688" s="26"/>
      <c r="C688" s="4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</row>
    <row r="689" spans="1:28" ht="15.75" customHeight="1" x14ac:dyDescent="0.25">
      <c r="A689" s="46">
        <v>70</v>
      </c>
      <c r="B689" s="35" t="s">
        <v>97</v>
      </c>
      <c r="C689" s="3" t="s">
        <v>35</v>
      </c>
      <c r="D689" s="67">
        <v>33537.919999999998</v>
      </c>
      <c r="E689" s="67">
        <v>0</v>
      </c>
      <c r="F689" s="68"/>
      <c r="G689" s="68"/>
      <c r="H689" s="67">
        <f>E689+F689</f>
        <v>0</v>
      </c>
      <c r="I689" s="68"/>
      <c r="J689" s="68"/>
      <c r="K689" s="68"/>
      <c r="L689" s="67"/>
      <c r="M689" s="67"/>
      <c r="N689" s="67">
        <f>H689+L689</f>
        <v>0</v>
      </c>
      <c r="O689" s="67">
        <f>11850+33537.92-2240.55-9609.45</f>
        <v>33537.919999999998</v>
      </c>
      <c r="P689" s="68"/>
      <c r="Q689" s="68"/>
      <c r="R689" s="67">
        <f>+O689+P689</f>
        <v>33537.919999999998</v>
      </c>
      <c r="S689" s="67"/>
      <c r="T689" s="68"/>
      <c r="U689" s="68"/>
      <c r="V689" s="67"/>
      <c r="W689" s="67"/>
      <c r="X689" s="67">
        <f>R689+V689</f>
        <v>33537.919999999998</v>
      </c>
      <c r="Y689" s="67">
        <f>R689+H689</f>
        <v>33537.919999999998</v>
      </c>
      <c r="Z689" s="67">
        <f>D689-Y689</f>
        <v>0</v>
      </c>
      <c r="AA689" s="67">
        <f>N689+X689</f>
        <v>33537.919999999998</v>
      </c>
      <c r="AB689" s="67">
        <f>+D689-N689-X689</f>
        <v>0</v>
      </c>
    </row>
    <row r="690" spans="1:28" x14ac:dyDescent="0.25">
      <c r="A690" s="46"/>
      <c r="B690" s="26"/>
      <c r="C690" s="3" t="s">
        <v>36</v>
      </c>
      <c r="D690" s="67">
        <v>2222894</v>
      </c>
      <c r="E690" s="67">
        <v>2222894</v>
      </c>
      <c r="F690" s="68"/>
      <c r="G690" s="68"/>
      <c r="H690" s="67">
        <f>E690+F690</f>
        <v>2222894</v>
      </c>
      <c r="I690" s="68"/>
      <c r="J690" s="68"/>
      <c r="K690" s="68"/>
      <c r="L690" s="67"/>
      <c r="M690" s="67"/>
      <c r="N690" s="67">
        <f>H690+L690</f>
        <v>2222894</v>
      </c>
      <c r="O690" s="67">
        <v>0</v>
      </c>
      <c r="P690" s="68"/>
      <c r="Q690" s="68"/>
      <c r="R690" s="67">
        <f>O690+P690</f>
        <v>0</v>
      </c>
      <c r="S690" s="67"/>
      <c r="T690" s="68"/>
      <c r="U690" s="68"/>
      <c r="V690" s="67"/>
      <c r="W690" s="67"/>
      <c r="X690" s="67">
        <f>R690+V690</f>
        <v>0</v>
      </c>
      <c r="Y690" s="67">
        <f>R690+H690</f>
        <v>2222894</v>
      </c>
      <c r="Z690" s="67">
        <f>D690-Y690</f>
        <v>0</v>
      </c>
      <c r="AA690" s="67">
        <f>N690+X690</f>
        <v>2222894</v>
      </c>
      <c r="AB690" s="67">
        <f>+D690-N690-X690</f>
        <v>0</v>
      </c>
    </row>
    <row r="691" spans="1:28" x14ac:dyDescent="0.25">
      <c r="A691" s="46"/>
      <c r="B691" s="26"/>
      <c r="C691" s="2" t="s">
        <v>37</v>
      </c>
      <c r="D691" s="67">
        <v>0</v>
      </c>
      <c r="E691" s="67">
        <v>0</v>
      </c>
      <c r="F691" s="68"/>
      <c r="G691" s="68"/>
      <c r="H691" s="67">
        <f>E691+F691</f>
        <v>0</v>
      </c>
      <c r="I691" s="68"/>
      <c r="J691" s="68"/>
      <c r="K691" s="68"/>
      <c r="L691" s="67"/>
      <c r="M691" s="67"/>
      <c r="N691" s="67">
        <f>H691+L691</f>
        <v>0</v>
      </c>
      <c r="O691" s="67">
        <f>-2240.55+2240.55</f>
        <v>0</v>
      </c>
      <c r="P691" s="68"/>
      <c r="Q691" s="68"/>
      <c r="R691" s="67">
        <f>O691+P691</f>
        <v>0</v>
      </c>
      <c r="S691" s="67"/>
      <c r="T691" s="68"/>
      <c r="U691" s="68"/>
      <c r="V691" s="67"/>
      <c r="W691" s="67"/>
      <c r="X691" s="67">
        <f>R691+V691</f>
        <v>0</v>
      </c>
      <c r="Y691" s="67">
        <f>R691+H691</f>
        <v>0</v>
      </c>
      <c r="Z691" s="67">
        <f>D691-Y691</f>
        <v>0</v>
      </c>
      <c r="AA691" s="67">
        <f>N691+X691</f>
        <v>0</v>
      </c>
      <c r="AB691" s="67">
        <f>+D691-N691-X691</f>
        <v>0</v>
      </c>
    </row>
    <row r="692" spans="1:28" ht="15.75" customHeight="1" x14ac:dyDescent="0.25">
      <c r="A692" s="46"/>
      <c r="B692" s="26"/>
      <c r="C692" s="8" t="s">
        <v>39</v>
      </c>
      <c r="D692" s="67">
        <v>0</v>
      </c>
      <c r="E692" s="67">
        <v>0</v>
      </c>
      <c r="F692" s="68"/>
      <c r="G692" s="68"/>
      <c r="H692" s="67">
        <f>E692+F692</f>
        <v>0</v>
      </c>
      <c r="I692" s="68"/>
      <c r="J692" s="68"/>
      <c r="K692" s="68"/>
      <c r="L692" s="67"/>
      <c r="M692" s="67"/>
      <c r="N692" s="67">
        <f>H692+L692</f>
        <v>0</v>
      </c>
      <c r="O692" s="67">
        <v>0</v>
      </c>
      <c r="P692" s="68"/>
      <c r="Q692" s="68"/>
      <c r="R692" s="67">
        <f>O692+P692</f>
        <v>0</v>
      </c>
      <c r="S692" s="67"/>
      <c r="T692" s="68"/>
      <c r="U692" s="68"/>
      <c r="V692" s="67"/>
      <c r="W692" s="67"/>
      <c r="X692" s="67">
        <f>R692+V692</f>
        <v>0</v>
      </c>
      <c r="Y692" s="67">
        <f>R692+H692</f>
        <v>0</v>
      </c>
      <c r="Z692" s="67">
        <f>D692-Y692</f>
        <v>0</v>
      </c>
      <c r="AA692" s="67">
        <f>N692+X692</f>
        <v>0</v>
      </c>
      <c r="AB692" s="67">
        <f>+D692-N692-X692</f>
        <v>0</v>
      </c>
    </row>
    <row r="693" spans="1:28" ht="15.75" customHeight="1" x14ac:dyDescent="0.25">
      <c r="A693" s="46"/>
      <c r="B693" s="26"/>
      <c r="C693" s="28" t="str">
        <f>+C87</f>
        <v>EL-CONCESSIONAL</v>
      </c>
      <c r="D693" s="67">
        <v>3406124</v>
      </c>
      <c r="E693" s="67">
        <v>3406124</v>
      </c>
      <c r="F693" s="68"/>
      <c r="G693" s="68"/>
      <c r="H693" s="67">
        <f>E693+F693</f>
        <v>3406124</v>
      </c>
      <c r="I693" s="68"/>
      <c r="J693" s="68"/>
      <c r="K693" s="68"/>
      <c r="L693" s="67"/>
      <c r="M693" s="67"/>
      <c r="N693" s="67">
        <f>H693+L693</f>
        <v>3406124</v>
      </c>
      <c r="O693" s="67">
        <v>0</v>
      </c>
      <c r="P693" s="68"/>
      <c r="Q693" s="68"/>
      <c r="R693" s="67">
        <f>O693+P693</f>
        <v>0</v>
      </c>
      <c r="S693" s="67"/>
      <c r="T693" s="68"/>
      <c r="U693" s="68"/>
      <c r="V693" s="67"/>
      <c r="W693" s="67"/>
      <c r="X693" s="67">
        <f>R693+V693</f>
        <v>0</v>
      </c>
      <c r="Y693" s="67">
        <f>R693+H693</f>
        <v>3406124</v>
      </c>
      <c r="Z693" s="67">
        <f>D693-Y693</f>
        <v>0</v>
      </c>
      <c r="AA693" s="67">
        <f>N693+X693</f>
        <v>3406124</v>
      </c>
      <c r="AB693" s="67">
        <f>+D693-N693-X693</f>
        <v>0</v>
      </c>
    </row>
    <row r="694" spans="1:28" x14ac:dyDescent="0.25">
      <c r="A694" s="46"/>
      <c r="B694" s="26"/>
      <c r="C694" s="4"/>
      <c r="D694" s="70" t="s">
        <v>40</v>
      </c>
      <c r="E694" s="70" t="s">
        <v>40</v>
      </c>
      <c r="F694" s="70" t="s">
        <v>40</v>
      </c>
      <c r="G694" s="70"/>
      <c r="H694" s="70" t="s">
        <v>40</v>
      </c>
      <c r="I694" s="70" t="s">
        <v>40</v>
      </c>
      <c r="J694" s="70" t="s">
        <v>40</v>
      </c>
      <c r="K694" s="70" t="s">
        <v>40</v>
      </c>
      <c r="L694" s="70" t="s">
        <v>40</v>
      </c>
      <c r="M694" s="70"/>
      <c r="N694" s="70" t="s">
        <v>40</v>
      </c>
      <c r="O694" s="70" t="s">
        <v>40</v>
      </c>
      <c r="P694" s="70" t="s">
        <v>40</v>
      </c>
      <c r="Q694" s="70"/>
      <c r="R694" s="70" t="s">
        <v>40</v>
      </c>
      <c r="S694" s="70" t="s">
        <v>40</v>
      </c>
      <c r="T694" s="70" t="s">
        <v>40</v>
      </c>
      <c r="U694" s="70" t="s">
        <v>40</v>
      </c>
      <c r="V694" s="70" t="s">
        <v>40</v>
      </c>
      <c r="W694" s="70"/>
      <c r="X694" s="70" t="s">
        <v>40</v>
      </c>
      <c r="Y694" s="70" t="s">
        <v>40</v>
      </c>
      <c r="Z694" s="70" t="s">
        <v>40</v>
      </c>
      <c r="AA694" s="70" t="s">
        <v>40</v>
      </c>
      <c r="AB694" s="70" t="s">
        <v>40</v>
      </c>
    </row>
    <row r="695" spans="1:28" ht="15.75" customHeight="1" x14ac:dyDescent="0.25">
      <c r="A695" s="46"/>
      <c r="B695" s="26"/>
      <c r="C695" s="4"/>
      <c r="D695" s="67">
        <f t="shared" ref="D695:AB695" si="265">SUM(D689:D693)</f>
        <v>5662555.9199999999</v>
      </c>
      <c r="E695" s="67">
        <f t="shared" si="265"/>
        <v>5629018</v>
      </c>
      <c r="F695" s="67">
        <f t="shared" si="265"/>
        <v>0</v>
      </c>
      <c r="G695" s="67"/>
      <c r="H695" s="67">
        <f t="shared" si="265"/>
        <v>5629018</v>
      </c>
      <c r="I695" s="67">
        <f t="shared" si="265"/>
        <v>0</v>
      </c>
      <c r="J695" s="67">
        <f t="shared" si="265"/>
        <v>0</v>
      </c>
      <c r="K695" s="67">
        <f t="shared" si="265"/>
        <v>0</v>
      </c>
      <c r="L695" s="67">
        <f t="shared" si="265"/>
        <v>0</v>
      </c>
      <c r="M695" s="67"/>
      <c r="N695" s="67">
        <f t="shared" si="265"/>
        <v>5629018</v>
      </c>
      <c r="O695" s="67">
        <f t="shared" si="265"/>
        <v>33537.919999999998</v>
      </c>
      <c r="P695" s="67">
        <f t="shared" si="265"/>
        <v>0</v>
      </c>
      <c r="Q695" s="67"/>
      <c r="R695" s="67">
        <f t="shared" si="265"/>
        <v>33537.919999999998</v>
      </c>
      <c r="S695" s="67">
        <f t="shared" si="265"/>
        <v>0</v>
      </c>
      <c r="T695" s="67">
        <f t="shared" si="265"/>
        <v>0</v>
      </c>
      <c r="U695" s="67">
        <f t="shared" si="265"/>
        <v>0</v>
      </c>
      <c r="V695" s="67">
        <f t="shared" si="265"/>
        <v>0</v>
      </c>
      <c r="W695" s="67"/>
      <c r="X695" s="67">
        <f t="shared" si="265"/>
        <v>33537.919999999998</v>
      </c>
      <c r="Y695" s="67">
        <f t="shared" si="265"/>
        <v>5662555.9199999999</v>
      </c>
      <c r="Z695" s="67">
        <f t="shared" si="265"/>
        <v>0</v>
      </c>
      <c r="AA695" s="67">
        <f t="shared" si="265"/>
        <v>5662555.9199999999</v>
      </c>
      <c r="AB695" s="67">
        <f t="shared" si="265"/>
        <v>0</v>
      </c>
    </row>
    <row r="696" spans="1:28" ht="15.75" customHeight="1" x14ac:dyDescent="0.25">
      <c r="A696" s="46"/>
      <c r="B696" s="4" t="s">
        <v>311</v>
      </c>
      <c r="C696" s="4"/>
      <c r="D696" s="70" t="s">
        <v>40</v>
      </c>
      <c r="E696" s="70" t="s">
        <v>40</v>
      </c>
      <c r="F696" s="70" t="s">
        <v>40</v>
      </c>
      <c r="G696" s="70"/>
      <c r="H696" s="70" t="s">
        <v>40</v>
      </c>
      <c r="I696" s="70" t="s">
        <v>40</v>
      </c>
      <c r="J696" s="70" t="s">
        <v>40</v>
      </c>
      <c r="K696" s="70" t="s">
        <v>40</v>
      </c>
      <c r="L696" s="70" t="s">
        <v>40</v>
      </c>
      <c r="M696" s="70"/>
      <c r="N696" s="70" t="s">
        <v>40</v>
      </c>
      <c r="O696" s="70" t="s">
        <v>40</v>
      </c>
      <c r="P696" s="70" t="s">
        <v>40</v>
      </c>
      <c r="Q696" s="70"/>
      <c r="R696" s="70" t="s">
        <v>40</v>
      </c>
      <c r="S696" s="70" t="s">
        <v>40</v>
      </c>
      <c r="T696" s="70" t="s">
        <v>40</v>
      </c>
      <c r="U696" s="70" t="s">
        <v>40</v>
      </c>
      <c r="V696" s="70" t="s">
        <v>40</v>
      </c>
      <c r="W696" s="70"/>
      <c r="X696" s="70" t="s">
        <v>40</v>
      </c>
      <c r="Y696" s="70" t="s">
        <v>40</v>
      </c>
      <c r="Z696" s="70" t="s">
        <v>40</v>
      </c>
      <c r="AA696" s="70" t="s">
        <v>40</v>
      </c>
      <c r="AB696" s="70" t="s">
        <v>40</v>
      </c>
    </row>
    <row r="697" spans="1:28" ht="15.75" customHeight="1" thickBot="1" x14ac:dyDescent="0.3">
      <c r="A697" s="46"/>
      <c r="B697" s="112" t="s">
        <v>292</v>
      </c>
      <c r="C697" s="4"/>
      <c r="D697" s="113">
        <f>11457+798814.95+196677.11</f>
        <v>1006949.0599999999</v>
      </c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113">
        <f>11457+995492.06</f>
        <v>1006949.06</v>
      </c>
      <c r="P697" s="104"/>
      <c r="Q697" s="70"/>
      <c r="R697" s="113">
        <f>+O697+P697</f>
        <v>1006949.06</v>
      </c>
      <c r="S697" s="70"/>
      <c r="T697" s="70"/>
      <c r="U697" s="70"/>
      <c r="V697" s="70"/>
      <c r="W697" s="70"/>
      <c r="X697" s="70"/>
      <c r="Y697" s="104"/>
      <c r="Z697" s="70"/>
      <c r="AA697" s="70"/>
      <c r="AB697" s="70"/>
    </row>
    <row r="698" spans="1:28" ht="55.5" customHeight="1" thickTop="1" x14ac:dyDescent="0.25">
      <c r="A698" s="46">
        <v>71</v>
      </c>
      <c r="B698" s="23" t="s">
        <v>98</v>
      </c>
      <c r="C698" s="2" t="s">
        <v>35</v>
      </c>
      <c r="D698" s="67">
        <v>12106728.84</v>
      </c>
      <c r="E698" s="67">
        <v>0</v>
      </c>
      <c r="F698" s="68"/>
      <c r="G698" s="68"/>
      <c r="H698" s="67">
        <f>E698+F698</f>
        <v>0</v>
      </c>
      <c r="I698" s="68"/>
      <c r="J698" s="68"/>
      <c r="K698" s="68"/>
      <c r="L698" s="67"/>
      <c r="M698" s="67"/>
      <c r="N698" s="67">
        <f>H698+L698</f>
        <v>0</v>
      </c>
      <c r="O698" s="67">
        <v>0</v>
      </c>
      <c r="P698" s="68"/>
      <c r="Q698" s="68"/>
      <c r="R698" s="67">
        <f>O698+P698</f>
        <v>0</v>
      </c>
      <c r="S698" s="68"/>
      <c r="T698" s="68"/>
      <c r="U698" s="68"/>
      <c r="V698" s="67"/>
      <c r="W698" s="67"/>
      <c r="X698" s="67">
        <f>R698+V698</f>
        <v>0</v>
      </c>
      <c r="Y698" s="67">
        <f>R698+H698</f>
        <v>0</v>
      </c>
      <c r="Z698" s="67">
        <f>D698-Y698</f>
        <v>12106728.84</v>
      </c>
      <c r="AA698" s="67">
        <f>N698+X698</f>
        <v>0</v>
      </c>
      <c r="AB698" s="67">
        <f>+D698-N698-X698</f>
        <v>12106728.84</v>
      </c>
    </row>
    <row r="699" spans="1:28" ht="15.75" customHeight="1" x14ac:dyDescent="0.25">
      <c r="A699" s="46"/>
      <c r="B699" s="26"/>
      <c r="C699" s="3" t="s">
        <v>36</v>
      </c>
      <c r="D699" s="67">
        <f>912000+1200000+888000</f>
        <v>3000000</v>
      </c>
      <c r="E699" s="67">
        <f>912000+1200000+888000</f>
        <v>3000000</v>
      </c>
      <c r="F699" s="68"/>
      <c r="G699" s="68"/>
      <c r="H699" s="67">
        <f>E699+F699</f>
        <v>3000000</v>
      </c>
      <c r="I699" s="68"/>
      <c r="J699" s="68"/>
      <c r="K699" s="68"/>
      <c r="L699" s="67"/>
      <c r="M699" s="67"/>
      <c r="N699" s="67">
        <f>H699+L699</f>
        <v>3000000</v>
      </c>
      <c r="O699" s="67">
        <v>0</v>
      </c>
      <c r="P699" s="68"/>
      <c r="Q699" s="68"/>
      <c r="R699" s="67">
        <f>O699+P699</f>
        <v>0</v>
      </c>
      <c r="S699" s="68"/>
      <c r="T699" s="68"/>
      <c r="U699" s="68"/>
      <c r="V699" s="67"/>
      <c r="W699" s="67"/>
      <c r="X699" s="67">
        <f>R699+V699</f>
        <v>0</v>
      </c>
      <c r="Y699" s="67">
        <f>R699+H699</f>
        <v>3000000</v>
      </c>
      <c r="Z699" s="67">
        <f>D699-Y699</f>
        <v>0</v>
      </c>
      <c r="AA699" s="67">
        <f>N699+X699</f>
        <v>3000000</v>
      </c>
      <c r="AB699" s="67">
        <f>+D699-N699-X699</f>
        <v>0</v>
      </c>
    </row>
    <row r="700" spans="1:28" x14ac:dyDescent="0.25">
      <c r="A700" s="46"/>
      <c r="B700" s="26"/>
      <c r="C700" s="2" t="s">
        <v>37</v>
      </c>
      <c r="D700" s="67">
        <f>6194389.29-316310.35</f>
        <v>5878078.9400000004</v>
      </c>
      <c r="E700" s="67">
        <v>0</v>
      </c>
      <c r="F700" s="68"/>
      <c r="G700" s="68"/>
      <c r="H700" s="67">
        <f>E700+F700</f>
        <v>0</v>
      </c>
      <c r="I700" s="68"/>
      <c r="J700" s="68"/>
      <c r="K700" s="68"/>
      <c r="L700" s="67"/>
      <c r="M700" s="67"/>
      <c r="N700" s="67">
        <f>H700+L700</f>
        <v>0</v>
      </c>
      <c r="O700" s="67">
        <v>0</v>
      </c>
      <c r="P700" s="68"/>
      <c r="Q700" s="68"/>
      <c r="R700" s="67">
        <f>O700+P700</f>
        <v>0</v>
      </c>
      <c r="S700" s="68"/>
      <c r="T700" s="68"/>
      <c r="U700" s="68"/>
      <c r="V700" s="67"/>
      <c r="W700" s="67"/>
      <c r="X700" s="67">
        <f>R700+V700</f>
        <v>0</v>
      </c>
      <c r="Y700" s="67">
        <f>R700+H700</f>
        <v>0</v>
      </c>
      <c r="Z700" s="67">
        <f>D700-Y700</f>
        <v>5878078.9400000004</v>
      </c>
      <c r="AA700" s="67">
        <f>N700+X700</f>
        <v>0</v>
      </c>
      <c r="AB700" s="67">
        <f>+D700-N700-X700</f>
        <v>5878078.9400000004</v>
      </c>
    </row>
    <row r="701" spans="1:28" x14ac:dyDescent="0.25">
      <c r="A701" s="46"/>
      <c r="B701" s="26"/>
      <c r="C701" s="8" t="s">
        <v>39</v>
      </c>
      <c r="D701" s="67">
        <v>87995.66</v>
      </c>
      <c r="E701" s="67">
        <v>0</v>
      </c>
      <c r="F701" s="68"/>
      <c r="G701" s="68"/>
      <c r="H701" s="67">
        <f>E701+F701</f>
        <v>0</v>
      </c>
      <c r="I701" s="68"/>
      <c r="J701" s="68"/>
      <c r="K701" s="68"/>
      <c r="L701" s="67"/>
      <c r="M701" s="67"/>
      <c r="N701" s="67">
        <f>H701+L701</f>
        <v>0</v>
      </c>
      <c r="O701" s="67">
        <v>0</v>
      </c>
      <c r="P701" s="68"/>
      <c r="Q701" s="68"/>
      <c r="R701" s="67">
        <f>O701+P701</f>
        <v>0</v>
      </c>
      <c r="S701" s="68"/>
      <c r="T701" s="68"/>
      <c r="U701" s="68"/>
      <c r="V701" s="67"/>
      <c r="W701" s="67"/>
      <c r="X701" s="67">
        <f>R701+V701</f>
        <v>0</v>
      </c>
      <c r="Y701" s="67">
        <f>R701+H701</f>
        <v>0</v>
      </c>
      <c r="Z701" s="67">
        <f>D701-Y701</f>
        <v>87995.66</v>
      </c>
      <c r="AA701" s="67">
        <f>N701+X701</f>
        <v>0</v>
      </c>
      <c r="AB701" s="67">
        <f>+D701-N701-X701</f>
        <v>87995.66</v>
      </c>
    </row>
    <row r="702" spans="1:28" x14ac:dyDescent="0.25">
      <c r="A702" s="46"/>
      <c r="B702" s="26"/>
      <c r="C702" s="4"/>
      <c r="D702" s="70" t="s">
        <v>40</v>
      </c>
      <c r="E702" s="70" t="s">
        <v>40</v>
      </c>
      <c r="F702" s="70" t="s">
        <v>40</v>
      </c>
      <c r="G702" s="70"/>
      <c r="H702" s="70" t="s">
        <v>40</v>
      </c>
      <c r="I702" s="70" t="s">
        <v>40</v>
      </c>
      <c r="J702" s="70" t="s">
        <v>40</v>
      </c>
      <c r="K702" s="70" t="s">
        <v>40</v>
      </c>
      <c r="L702" s="70" t="s">
        <v>40</v>
      </c>
      <c r="M702" s="70"/>
      <c r="N702" s="70" t="s">
        <v>40</v>
      </c>
      <c r="O702" s="70" t="s">
        <v>40</v>
      </c>
      <c r="P702" s="70" t="s">
        <v>40</v>
      </c>
      <c r="Q702" s="70"/>
      <c r="R702" s="70" t="s">
        <v>40</v>
      </c>
      <c r="S702" s="70" t="s">
        <v>40</v>
      </c>
      <c r="T702" s="70" t="s">
        <v>40</v>
      </c>
      <c r="U702" s="70" t="s">
        <v>40</v>
      </c>
      <c r="V702" s="70" t="s">
        <v>40</v>
      </c>
      <c r="W702" s="70"/>
      <c r="X702" s="70" t="s">
        <v>40</v>
      </c>
      <c r="Y702" s="70" t="s">
        <v>40</v>
      </c>
      <c r="Z702" s="70" t="s">
        <v>40</v>
      </c>
      <c r="AA702" s="70" t="s">
        <v>40</v>
      </c>
      <c r="AB702" s="70" t="s">
        <v>40</v>
      </c>
    </row>
    <row r="703" spans="1:28" x14ac:dyDescent="0.25">
      <c r="A703" s="46"/>
      <c r="B703" s="26"/>
      <c r="C703" s="4"/>
      <c r="D703" s="67">
        <f t="shared" ref="D703:AB703" si="266">SUM(D698:D701)</f>
        <v>21072803.440000001</v>
      </c>
      <c r="E703" s="67">
        <f t="shared" si="266"/>
        <v>3000000</v>
      </c>
      <c r="F703" s="67">
        <f t="shared" si="266"/>
        <v>0</v>
      </c>
      <c r="G703" s="67"/>
      <c r="H703" s="67">
        <f t="shared" si="266"/>
        <v>3000000</v>
      </c>
      <c r="I703" s="67">
        <f t="shared" si="266"/>
        <v>0</v>
      </c>
      <c r="J703" s="67">
        <f t="shared" si="266"/>
        <v>0</v>
      </c>
      <c r="K703" s="67">
        <f t="shared" si="266"/>
        <v>0</v>
      </c>
      <c r="L703" s="67">
        <f t="shared" si="266"/>
        <v>0</v>
      </c>
      <c r="M703" s="67"/>
      <c r="N703" s="67">
        <f t="shared" si="266"/>
        <v>3000000</v>
      </c>
      <c r="O703" s="67">
        <f t="shared" si="266"/>
        <v>0</v>
      </c>
      <c r="P703" s="67">
        <f t="shared" si="266"/>
        <v>0</v>
      </c>
      <c r="Q703" s="67"/>
      <c r="R703" s="67">
        <f t="shared" si="266"/>
        <v>0</v>
      </c>
      <c r="S703" s="67">
        <f t="shared" si="266"/>
        <v>0</v>
      </c>
      <c r="T703" s="67">
        <f t="shared" si="266"/>
        <v>0</v>
      </c>
      <c r="U703" s="67">
        <f t="shared" si="266"/>
        <v>0</v>
      </c>
      <c r="V703" s="67">
        <f t="shared" si="266"/>
        <v>0</v>
      </c>
      <c r="W703" s="67"/>
      <c r="X703" s="67">
        <f t="shared" si="266"/>
        <v>0</v>
      </c>
      <c r="Y703" s="67">
        <f t="shared" si="266"/>
        <v>3000000</v>
      </c>
      <c r="Z703" s="67">
        <f t="shared" si="266"/>
        <v>18072803.440000001</v>
      </c>
      <c r="AA703" s="67">
        <f t="shared" si="266"/>
        <v>3000000</v>
      </c>
      <c r="AB703" s="67">
        <f t="shared" si="266"/>
        <v>18072803.440000001</v>
      </c>
    </row>
    <row r="704" spans="1:28" ht="15.75" customHeight="1" x14ac:dyDescent="0.25">
      <c r="A704" s="46"/>
      <c r="B704" s="26"/>
      <c r="C704" s="4"/>
      <c r="D704" s="70" t="s">
        <v>40</v>
      </c>
      <c r="E704" s="70" t="s">
        <v>40</v>
      </c>
      <c r="F704" s="70" t="s">
        <v>40</v>
      </c>
      <c r="G704" s="70"/>
      <c r="H704" s="70" t="s">
        <v>40</v>
      </c>
      <c r="I704" s="70" t="s">
        <v>40</v>
      </c>
      <c r="J704" s="70" t="s">
        <v>40</v>
      </c>
      <c r="K704" s="70" t="s">
        <v>40</v>
      </c>
      <c r="L704" s="70" t="s">
        <v>40</v>
      </c>
      <c r="M704" s="70"/>
      <c r="N704" s="70" t="s">
        <v>40</v>
      </c>
      <c r="O704" s="70" t="s">
        <v>40</v>
      </c>
      <c r="P704" s="70" t="s">
        <v>40</v>
      </c>
      <c r="Q704" s="70"/>
      <c r="R704" s="70" t="s">
        <v>40</v>
      </c>
      <c r="S704" s="70" t="s">
        <v>40</v>
      </c>
      <c r="T704" s="70" t="s">
        <v>40</v>
      </c>
      <c r="U704" s="70" t="s">
        <v>40</v>
      </c>
      <c r="V704" s="70" t="s">
        <v>40</v>
      </c>
      <c r="W704" s="70"/>
      <c r="X704" s="70" t="s">
        <v>40</v>
      </c>
      <c r="Y704" s="70" t="s">
        <v>40</v>
      </c>
      <c r="Z704" s="70" t="s">
        <v>40</v>
      </c>
      <c r="AA704" s="70" t="s">
        <v>40</v>
      </c>
      <c r="AB704" s="70" t="s">
        <v>40</v>
      </c>
    </row>
    <row r="705" spans="1:28" ht="15.75" customHeight="1" x14ac:dyDescent="0.25">
      <c r="A705" s="46"/>
      <c r="B705" s="26"/>
      <c r="C705" s="4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</row>
    <row r="706" spans="1:28" ht="15.75" customHeight="1" x14ac:dyDescent="0.25">
      <c r="A706" s="46">
        <v>72</v>
      </c>
      <c r="B706" s="23" t="s">
        <v>99</v>
      </c>
      <c r="C706" s="2" t="s">
        <v>35</v>
      </c>
      <c r="D706" s="67">
        <v>10685213.609999999</v>
      </c>
      <c r="E706" s="67">
        <v>0</v>
      </c>
      <c r="F706" s="68"/>
      <c r="G706" s="68"/>
      <c r="H706" s="67">
        <f>E706+F706</f>
        <v>0</v>
      </c>
      <c r="I706" s="68"/>
      <c r="J706" s="68"/>
      <c r="K706" s="68"/>
      <c r="L706" s="67"/>
      <c r="M706" s="67"/>
      <c r="N706" s="67">
        <f>H706+L706</f>
        <v>0</v>
      </c>
      <c r="O706" s="67">
        <v>0</v>
      </c>
      <c r="P706" s="68"/>
      <c r="Q706" s="68"/>
      <c r="R706" s="67">
        <f>O706+P706</f>
        <v>0</v>
      </c>
      <c r="S706" s="68"/>
      <c r="T706" s="68"/>
      <c r="U706" s="68"/>
      <c r="V706" s="67"/>
      <c r="W706" s="67"/>
      <c r="X706" s="67">
        <f>R706+V706</f>
        <v>0</v>
      </c>
      <c r="Y706" s="67">
        <f>R706+H706</f>
        <v>0</v>
      </c>
      <c r="Z706" s="67">
        <f>D706-Y706</f>
        <v>10685213.609999999</v>
      </c>
      <c r="AA706" s="67">
        <f>N706+X706</f>
        <v>0</v>
      </c>
      <c r="AB706" s="67">
        <f>+D706-N706-X706</f>
        <v>10685213.609999999</v>
      </c>
    </row>
    <row r="707" spans="1:28" x14ac:dyDescent="0.25">
      <c r="A707" s="46"/>
      <c r="B707" s="26"/>
      <c r="C707" s="3" t="s">
        <v>36</v>
      </c>
      <c r="D707" s="67">
        <f>7750+1852565</f>
        <v>1860315</v>
      </c>
      <c r="E707" s="67">
        <f>7750+1852565</f>
        <v>1860315</v>
      </c>
      <c r="F707" s="68"/>
      <c r="G707" s="68"/>
      <c r="H707" s="67">
        <f>E707+F707</f>
        <v>1860315</v>
      </c>
      <c r="I707" s="68"/>
      <c r="J707" s="68"/>
      <c r="K707" s="68"/>
      <c r="L707" s="67"/>
      <c r="M707" s="67"/>
      <c r="N707" s="67">
        <f>H707+L707</f>
        <v>1860315</v>
      </c>
      <c r="O707" s="67">
        <v>0</v>
      </c>
      <c r="P707" s="68"/>
      <c r="Q707" s="68"/>
      <c r="R707" s="67">
        <f>O707+P707</f>
        <v>0</v>
      </c>
      <c r="S707" s="68"/>
      <c r="T707" s="68"/>
      <c r="U707" s="68"/>
      <c r="V707" s="67"/>
      <c r="W707" s="67"/>
      <c r="X707" s="67">
        <f>R707+V707</f>
        <v>0</v>
      </c>
      <c r="Y707" s="67">
        <f>R707+H707</f>
        <v>1860315</v>
      </c>
      <c r="Z707" s="67">
        <f>D707-Y707</f>
        <v>0</v>
      </c>
      <c r="AA707" s="67">
        <f>N707+X707</f>
        <v>1860315</v>
      </c>
      <c r="AB707" s="67">
        <f>+D707-N707-X707</f>
        <v>0</v>
      </c>
    </row>
    <row r="708" spans="1:28" ht="16.5" customHeight="1" x14ac:dyDescent="0.25">
      <c r="C708" s="4" t="s">
        <v>314</v>
      </c>
      <c r="D708" s="55">
        <f>3000000+5000000+5000000</f>
        <v>13000000</v>
      </c>
      <c r="E708" s="55">
        <f>3000000+5000000+5000000</f>
        <v>13000000</v>
      </c>
      <c r="F708" s="55"/>
      <c r="G708" s="55"/>
      <c r="H708" s="55">
        <f>+E708+F708</f>
        <v>13000000</v>
      </c>
      <c r="I708" s="55"/>
      <c r="J708" s="55"/>
      <c r="K708" s="55"/>
      <c r="L708" s="55"/>
      <c r="M708" s="55"/>
      <c r="N708" s="55">
        <f>+H708+L708</f>
        <v>13000000</v>
      </c>
      <c r="O708" s="55">
        <v>0</v>
      </c>
      <c r="P708" s="55"/>
      <c r="Q708" s="55"/>
      <c r="R708" s="55">
        <f>+O708+P708</f>
        <v>0</v>
      </c>
      <c r="S708" s="55"/>
      <c r="T708" s="55"/>
      <c r="U708" s="55"/>
      <c r="V708" s="55"/>
      <c r="W708" s="55"/>
      <c r="X708" s="55">
        <f>+R708+V708</f>
        <v>0</v>
      </c>
      <c r="Y708" s="67">
        <f>R708+H708</f>
        <v>13000000</v>
      </c>
      <c r="Z708" s="67">
        <f>D708-Y708</f>
        <v>0</v>
      </c>
      <c r="AA708" s="67">
        <f>N708+X708</f>
        <v>13000000</v>
      </c>
      <c r="AB708" s="67">
        <f>+D708-N708-X708</f>
        <v>0</v>
      </c>
    </row>
    <row r="709" spans="1:28" ht="15.75" customHeight="1" x14ac:dyDescent="0.25">
      <c r="A709" s="46"/>
      <c r="B709" s="26"/>
      <c r="C709" s="2" t="s">
        <v>37</v>
      </c>
      <c r="D709" s="67">
        <v>21381879.050000001</v>
      </c>
      <c r="E709" s="67">
        <v>0</v>
      </c>
      <c r="F709" s="68"/>
      <c r="G709" s="68"/>
      <c r="H709" s="67">
        <f>E709+F709</f>
        <v>0</v>
      </c>
      <c r="I709" s="68"/>
      <c r="J709" s="68"/>
      <c r="K709" s="68"/>
      <c r="L709" s="67"/>
      <c r="M709" s="67"/>
      <c r="N709" s="67">
        <f>H709+L709</f>
        <v>0</v>
      </c>
      <c r="O709" s="67">
        <v>0</v>
      </c>
      <c r="P709" s="68"/>
      <c r="Q709" s="68"/>
      <c r="R709" s="67">
        <f>O709+P709</f>
        <v>0</v>
      </c>
      <c r="S709" s="68"/>
      <c r="T709" s="68"/>
      <c r="U709" s="68"/>
      <c r="V709" s="67"/>
      <c r="W709" s="67"/>
      <c r="X709" s="67">
        <f>R709+V709</f>
        <v>0</v>
      </c>
      <c r="Y709" s="67">
        <f>R709+H709</f>
        <v>0</v>
      </c>
      <c r="Z709" s="67">
        <f>D709-Y709</f>
        <v>21381879.050000001</v>
      </c>
      <c r="AA709" s="67">
        <f>N709+X709</f>
        <v>0</v>
      </c>
      <c r="AB709" s="67">
        <f>+D709-N709-X709</f>
        <v>21381879.050000001</v>
      </c>
    </row>
    <row r="710" spans="1:28" ht="15.75" customHeight="1" x14ac:dyDescent="0.25">
      <c r="A710" s="46"/>
      <c r="B710" s="26"/>
      <c r="C710" s="8" t="s">
        <v>39</v>
      </c>
      <c r="D710" s="67">
        <v>191104.28</v>
      </c>
      <c r="E710" s="67">
        <v>0</v>
      </c>
      <c r="F710" s="68"/>
      <c r="G710" s="68"/>
      <c r="H710" s="67">
        <f>E710+F710</f>
        <v>0</v>
      </c>
      <c r="I710" s="68"/>
      <c r="J710" s="68"/>
      <c r="K710" s="68"/>
      <c r="L710" s="67"/>
      <c r="M710" s="67"/>
      <c r="N710" s="67">
        <f>H710+L710</f>
        <v>0</v>
      </c>
      <c r="O710" s="67">
        <f>235272-235272</f>
        <v>0</v>
      </c>
      <c r="P710" s="68"/>
      <c r="Q710" s="68"/>
      <c r="R710" s="67">
        <f>O710+P710</f>
        <v>0</v>
      </c>
      <c r="S710" s="68"/>
      <c r="T710" s="68"/>
      <c r="U710" s="68"/>
      <c r="V710" s="67"/>
      <c r="W710" s="67"/>
      <c r="X710" s="67">
        <f>R710+V710</f>
        <v>0</v>
      </c>
      <c r="Y710" s="67">
        <f>R710+H710</f>
        <v>0</v>
      </c>
      <c r="Z710" s="67">
        <f>D710-Y710</f>
        <v>191104.28</v>
      </c>
      <c r="AA710" s="67">
        <f>N710+X710</f>
        <v>0</v>
      </c>
      <c r="AB710" s="67">
        <f>+D710-N710-X710</f>
        <v>191104.28</v>
      </c>
    </row>
    <row r="711" spans="1:28" x14ac:dyDescent="0.25">
      <c r="A711" s="46"/>
      <c r="B711" s="26"/>
      <c r="C711" s="4"/>
      <c r="D711" s="70" t="s">
        <v>40</v>
      </c>
      <c r="E711" s="70" t="s">
        <v>40</v>
      </c>
      <c r="F711" s="70" t="s">
        <v>40</v>
      </c>
      <c r="G711" s="70"/>
      <c r="H711" s="70" t="s">
        <v>40</v>
      </c>
      <c r="I711" s="70" t="s">
        <v>40</v>
      </c>
      <c r="J711" s="70" t="s">
        <v>40</v>
      </c>
      <c r="K711" s="70" t="s">
        <v>40</v>
      </c>
      <c r="L711" s="70" t="s">
        <v>40</v>
      </c>
      <c r="M711" s="70"/>
      <c r="N711" s="70" t="s">
        <v>40</v>
      </c>
      <c r="O711" s="70" t="s">
        <v>40</v>
      </c>
      <c r="P711" s="70" t="s">
        <v>40</v>
      </c>
      <c r="Q711" s="70"/>
      <c r="R711" s="70" t="s">
        <v>40</v>
      </c>
      <c r="S711" s="70" t="s">
        <v>40</v>
      </c>
      <c r="T711" s="70" t="s">
        <v>40</v>
      </c>
      <c r="U711" s="70" t="s">
        <v>40</v>
      </c>
      <c r="V711" s="70" t="s">
        <v>40</v>
      </c>
      <c r="W711" s="70"/>
      <c r="X711" s="70" t="s">
        <v>40</v>
      </c>
      <c r="Y711" s="70" t="s">
        <v>40</v>
      </c>
      <c r="Z711" s="70" t="s">
        <v>40</v>
      </c>
      <c r="AA711" s="70" t="s">
        <v>40</v>
      </c>
      <c r="AB711" s="70" t="s">
        <v>40</v>
      </c>
    </row>
    <row r="712" spans="1:28" ht="15.75" customHeight="1" x14ac:dyDescent="0.25">
      <c r="A712" s="46"/>
      <c r="B712" s="30"/>
      <c r="C712" s="4"/>
      <c r="D712" s="67">
        <f>SUM(D706:D710)</f>
        <v>47118511.939999998</v>
      </c>
      <c r="E712" s="67">
        <f>SUM(E706:E710)</f>
        <v>14860315</v>
      </c>
      <c r="F712" s="67">
        <f>SUM(F706:F710)</f>
        <v>0</v>
      </c>
      <c r="G712" s="67"/>
      <c r="H712" s="67">
        <f>SUM(H706:H710)</f>
        <v>14860315</v>
      </c>
      <c r="I712" s="67">
        <f>SUM(I706:I710)</f>
        <v>0</v>
      </c>
      <c r="J712" s="67">
        <f>SUM(J706:J710)</f>
        <v>0</v>
      </c>
      <c r="K712" s="67">
        <f>SUM(K706:K710)</f>
        <v>0</v>
      </c>
      <c r="L712" s="67">
        <f>SUM(L706:L710)</f>
        <v>0</v>
      </c>
      <c r="M712" s="67"/>
      <c r="N712" s="67">
        <f>SUM(N706:N710)</f>
        <v>14860315</v>
      </c>
      <c r="O712" s="67">
        <f>SUM(O706:O710)</f>
        <v>0</v>
      </c>
      <c r="P712" s="67">
        <f>SUM(P706:P710)</f>
        <v>0</v>
      </c>
      <c r="Q712" s="67"/>
      <c r="R712" s="67">
        <f>SUM(R706:R710)</f>
        <v>0</v>
      </c>
      <c r="S712" s="67">
        <f>SUM(S706:S710)</f>
        <v>0</v>
      </c>
      <c r="T712" s="67">
        <f>SUM(T706:T710)</f>
        <v>0</v>
      </c>
      <c r="U712" s="67">
        <f>SUM(U706:U710)</f>
        <v>0</v>
      </c>
      <c r="V712" s="67">
        <f>SUM(V706:V710)</f>
        <v>0</v>
      </c>
      <c r="W712" s="67"/>
      <c r="X712" s="67">
        <f>SUM(X706:X710)</f>
        <v>0</v>
      </c>
      <c r="Y712" s="67">
        <f>SUM(Y706:Y710)</f>
        <v>14860315</v>
      </c>
      <c r="Z712" s="67">
        <f>SUM(Z706:Z710)</f>
        <v>32258196.940000001</v>
      </c>
      <c r="AA712" s="67">
        <f>SUM(AA706:AA710)</f>
        <v>14860315</v>
      </c>
      <c r="AB712" s="67">
        <f>SUM(AB706:AB710)</f>
        <v>32258196.940000001</v>
      </c>
    </row>
    <row r="713" spans="1:28" ht="15.75" customHeight="1" x14ac:dyDescent="0.25">
      <c r="A713" s="46"/>
      <c r="B713" s="4" t="s">
        <v>341</v>
      </c>
      <c r="C713" s="4"/>
      <c r="D713" s="70" t="s">
        <v>40</v>
      </c>
      <c r="E713" s="70" t="s">
        <v>40</v>
      </c>
      <c r="F713" s="70" t="s">
        <v>40</v>
      </c>
      <c r="G713" s="70"/>
      <c r="H713" s="70" t="s">
        <v>40</v>
      </c>
      <c r="I713" s="70" t="s">
        <v>40</v>
      </c>
      <c r="J713" s="70" t="s">
        <v>40</v>
      </c>
      <c r="K713" s="70" t="s">
        <v>40</v>
      </c>
      <c r="L713" s="70" t="s">
        <v>40</v>
      </c>
      <c r="M713" s="70"/>
      <c r="N713" s="70" t="s">
        <v>40</v>
      </c>
      <c r="O713" s="70" t="s">
        <v>40</v>
      </c>
      <c r="P713" s="70" t="s">
        <v>40</v>
      </c>
      <c r="Q713" s="70"/>
      <c r="R713" s="70" t="s">
        <v>40</v>
      </c>
      <c r="S713" s="70" t="s">
        <v>40</v>
      </c>
      <c r="T713" s="70" t="s">
        <v>40</v>
      </c>
      <c r="U713" s="70" t="s">
        <v>40</v>
      </c>
      <c r="V713" s="70" t="s">
        <v>40</v>
      </c>
      <c r="W713" s="70"/>
      <c r="X713" s="70" t="s">
        <v>40</v>
      </c>
      <c r="Y713" s="70" t="s">
        <v>40</v>
      </c>
      <c r="Z713" s="70" t="s">
        <v>40</v>
      </c>
      <c r="AA713" s="70" t="s">
        <v>40</v>
      </c>
      <c r="AB713" s="70" t="s">
        <v>40</v>
      </c>
    </row>
    <row r="714" spans="1:28" ht="15.75" customHeight="1" thickBot="1" x14ac:dyDescent="0.3">
      <c r="A714" s="46"/>
      <c r="B714" s="112" t="s">
        <v>292</v>
      </c>
      <c r="C714" s="4"/>
      <c r="D714" s="113">
        <v>235272</v>
      </c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113">
        <v>235272</v>
      </c>
      <c r="P714" s="156"/>
      <c r="Q714" s="152"/>
      <c r="R714" s="153">
        <f>+O714+P714</f>
        <v>235272</v>
      </c>
      <c r="S714" s="152"/>
      <c r="T714" s="152"/>
      <c r="U714" s="152"/>
      <c r="V714" s="152"/>
      <c r="W714" s="152"/>
      <c r="X714" s="152"/>
      <c r="Y714" s="152"/>
      <c r="Z714" s="152"/>
      <c r="AA714" s="70"/>
      <c r="AB714" s="70"/>
    </row>
    <row r="715" spans="1:28" ht="55.5" customHeight="1" thickTop="1" x14ac:dyDescent="0.25">
      <c r="A715" s="46">
        <v>73</v>
      </c>
      <c r="B715" s="38" t="s">
        <v>100</v>
      </c>
      <c r="C715" s="2" t="s">
        <v>35</v>
      </c>
      <c r="D715" s="67">
        <f>19339323.57-1500000</f>
        <v>17839323.57</v>
      </c>
      <c r="E715" s="67">
        <v>0</v>
      </c>
      <c r="F715" s="68"/>
      <c r="G715" s="68"/>
      <c r="H715" s="67">
        <f>E715+F715</f>
        <v>0</v>
      </c>
      <c r="I715" s="68"/>
      <c r="J715" s="68"/>
      <c r="K715" s="68"/>
      <c r="L715" s="67"/>
      <c r="M715" s="67"/>
      <c r="N715" s="67">
        <f>H715+L715</f>
        <v>0</v>
      </c>
      <c r="O715" s="67">
        <f>107341.2+8368</f>
        <v>115709.2</v>
      </c>
      <c r="P715" s="68"/>
      <c r="Q715" s="68"/>
      <c r="R715" s="67">
        <f>O715+P715</f>
        <v>115709.2</v>
      </c>
      <c r="S715" s="68"/>
      <c r="T715" s="68"/>
      <c r="U715" s="68"/>
      <c r="V715" s="67"/>
      <c r="W715" s="67"/>
      <c r="X715" s="67">
        <f>R715+V715</f>
        <v>115709.2</v>
      </c>
      <c r="Y715" s="67">
        <f>R715+H715</f>
        <v>115709.2</v>
      </c>
      <c r="Z715" s="67">
        <f>D715-Y715</f>
        <v>17723614.370000001</v>
      </c>
      <c r="AA715" s="67">
        <f>N715+X715</f>
        <v>115709.2</v>
      </c>
      <c r="AB715" s="67">
        <f>+D715-N715-X715</f>
        <v>17723614.370000001</v>
      </c>
    </row>
    <row r="716" spans="1:28" ht="14.25" customHeight="1" x14ac:dyDescent="0.25">
      <c r="A716" s="46"/>
      <c r="B716" s="38"/>
      <c r="C716" s="3" t="s">
        <v>36</v>
      </c>
      <c r="D716" s="67">
        <v>2008032</v>
      </c>
      <c r="E716" s="67">
        <v>2008032</v>
      </c>
      <c r="F716" s="68"/>
      <c r="G716" s="68"/>
      <c r="H716" s="67">
        <f>E716+F716</f>
        <v>2008032</v>
      </c>
      <c r="I716" s="68"/>
      <c r="J716" s="68"/>
      <c r="K716" s="68"/>
      <c r="L716" s="67"/>
      <c r="M716" s="67"/>
      <c r="N716" s="67">
        <f>H716+L716</f>
        <v>2008032</v>
      </c>
      <c r="O716" s="67">
        <v>0</v>
      </c>
      <c r="P716" s="68"/>
      <c r="Q716" s="68"/>
      <c r="R716" s="67">
        <f>O716+P716</f>
        <v>0</v>
      </c>
      <c r="S716" s="68"/>
      <c r="T716" s="68"/>
      <c r="U716" s="68"/>
      <c r="V716" s="67"/>
      <c r="W716" s="67"/>
      <c r="X716" s="67">
        <f>R716+V716</f>
        <v>0</v>
      </c>
      <c r="Y716" s="67">
        <f>R716+H716</f>
        <v>2008032</v>
      </c>
      <c r="Z716" s="67">
        <f>D716-Y716</f>
        <v>0</v>
      </c>
      <c r="AA716" s="67">
        <f>N716+X716</f>
        <v>2008032</v>
      </c>
      <c r="AB716" s="67">
        <f>+D716-N716-X716</f>
        <v>0</v>
      </c>
    </row>
    <row r="717" spans="1:28" x14ac:dyDescent="0.25">
      <c r="C717" s="4" t="s">
        <v>317</v>
      </c>
      <c r="D717" s="55">
        <v>1500000</v>
      </c>
      <c r="E717" s="55">
        <v>0</v>
      </c>
      <c r="F717" s="55">
        <v>1500000</v>
      </c>
      <c r="G717" s="55"/>
      <c r="H717" s="55">
        <f>+E717+F717</f>
        <v>1500000</v>
      </c>
      <c r="I717" s="55"/>
      <c r="J717" s="55"/>
      <c r="K717" s="55"/>
      <c r="L717" s="55"/>
      <c r="M717" s="55"/>
      <c r="N717" s="55">
        <f>+H717+L717</f>
        <v>1500000</v>
      </c>
      <c r="O717" s="55">
        <v>0</v>
      </c>
      <c r="P717" s="55"/>
      <c r="Q717" s="55"/>
      <c r="R717" s="55">
        <f>+O717+P717</f>
        <v>0</v>
      </c>
      <c r="S717" s="55"/>
      <c r="T717" s="55"/>
      <c r="U717" s="55"/>
      <c r="V717" s="55"/>
      <c r="W717" s="55"/>
      <c r="X717" s="55">
        <f>+R717+V717</f>
        <v>0</v>
      </c>
      <c r="Y717" s="67">
        <f>R717+H717</f>
        <v>1500000</v>
      </c>
      <c r="Z717" s="67">
        <f>D717-Y717</f>
        <v>0</v>
      </c>
      <c r="AA717" s="67">
        <f>N717+X717</f>
        <v>1500000</v>
      </c>
      <c r="AB717" s="67">
        <f>+D717-N717-X717</f>
        <v>0</v>
      </c>
    </row>
    <row r="718" spans="1:28" x14ac:dyDescent="0.25">
      <c r="A718" s="46"/>
      <c r="B718" s="26"/>
      <c r="C718" s="2" t="s">
        <v>53</v>
      </c>
      <c r="D718" s="67">
        <v>0</v>
      </c>
      <c r="E718" s="67">
        <v>0</v>
      </c>
      <c r="F718" s="68"/>
      <c r="G718" s="68"/>
      <c r="H718" s="67">
        <f>E718+F718</f>
        <v>0</v>
      </c>
      <c r="I718" s="68"/>
      <c r="J718" s="68"/>
      <c r="K718" s="68"/>
      <c r="L718" s="67"/>
      <c r="M718" s="67"/>
      <c r="N718" s="67">
        <f>H718+L718</f>
        <v>0</v>
      </c>
      <c r="O718" s="67">
        <v>0</v>
      </c>
      <c r="P718" s="68"/>
      <c r="Q718" s="68"/>
      <c r="R718" s="67">
        <f>O718+P718</f>
        <v>0</v>
      </c>
      <c r="S718" s="68"/>
      <c r="T718" s="68"/>
      <c r="U718" s="68"/>
      <c r="V718" s="67"/>
      <c r="W718" s="67"/>
      <c r="X718" s="67">
        <f>R718+V718</f>
        <v>0</v>
      </c>
      <c r="Y718" s="67">
        <f>R718+H718</f>
        <v>0</v>
      </c>
      <c r="Z718" s="67">
        <f>D718-Y718</f>
        <v>0</v>
      </c>
      <c r="AA718" s="67">
        <f>N718+X718</f>
        <v>0</v>
      </c>
      <c r="AB718" s="67">
        <f>+D718-N718-X718</f>
        <v>0</v>
      </c>
    </row>
    <row r="719" spans="1:28" x14ac:dyDescent="0.25">
      <c r="A719" s="46"/>
      <c r="B719" s="26"/>
      <c r="C719" s="2" t="s">
        <v>54</v>
      </c>
      <c r="D719" s="67">
        <f>879189.19-76848.3</f>
        <v>802340.8899999999</v>
      </c>
      <c r="E719" s="67">
        <v>0</v>
      </c>
      <c r="F719" s="68"/>
      <c r="G719" s="68"/>
      <c r="H719" s="67">
        <f>E719+F719</f>
        <v>0</v>
      </c>
      <c r="I719" s="68"/>
      <c r="J719" s="68"/>
      <c r="K719" s="68"/>
      <c r="L719" s="67"/>
      <c r="M719" s="67"/>
      <c r="N719" s="67">
        <f>H719+L719</f>
        <v>0</v>
      </c>
      <c r="O719" s="67">
        <f>188191.13-188191.13</f>
        <v>0</v>
      </c>
      <c r="P719" s="68"/>
      <c r="Q719" s="68"/>
      <c r="R719" s="67">
        <f>O719+P719</f>
        <v>0</v>
      </c>
      <c r="S719" s="68"/>
      <c r="T719" s="68"/>
      <c r="U719" s="68"/>
      <c r="V719" s="67"/>
      <c r="W719" s="67"/>
      <c r="X719" s="67">
        <f>R719+V719</f>
        <v>0</v>
      </c>
      <c r="Y719" s="67">
        <f>R719+H719</f>
        <v>0</v>
      </c>
      <c r="Z719" s="67">
        <f>D719-Y719</f>
        <v>802340.8899999999</v>
      </c>
      <c r="AA719" s="67">
        <f>N719+X719</f>
        <v>0</v>
      </c>
      <c r="AB719" s="67">
        <f>+D719-N719-X719</f>
        <v>802340.8899999999</v>
      </c>
    </row>
    <row r="720" spans="1:28" x14ac:dyDescent="0.25">
      <c r="A720" s="46"/>
      <c r="B720" s="26"/>
      <c r="C720" s="4"/>
      <c r="D720" s="70" t="s">
        <v>40</v>
      </c>
      <c r="E720" s="70" t="s">
        <v>40</v>
      </c>
      <c r="F720" s="70" t="s">
        <v>40</v>
      </c>
      <c r="G720" s="70"/>
      <c r="H720" s="70" t="s">
        <v>40</v>
      </c>
      <c r="I720" s="70" t="s">
        <v>40</v>
      </c>
      <c r="J720" s="70" t="s">
        <v>40</v>
      </c>
      <c r="K720" s="70" t="s">
        <v>40</v>
      </c>
      <c r="L720" s="70" t="s">
        <v>40</v>
      </c>
      <c r="M720" s="70"/>
      <c r="N720" s="70" t="s">
        <v>40</v>
      </c>
      <c r="O720" s="70" t="s">
        <v>40</v>
      </c>
      <c r="P720" s="70" t="s">
        <v>40</v>
      </c>
      <c r="Q720" s="70"/>
      <c r="R720" s="70" t="s">
        <v>40</v>
      </c>
      <c r="S720" s="70" t="s">
        <v>40</v>
      </c>
      <c r="T720" s="70" t="s">
        <v>40</v>
      </c>
      <c r="U720" s="70" t="s">
        <v>40</v>
      </c>
      <c r="V720" s="70" t="s">
        <v>40</v>
      </c>
      <c r="W720" s="70"/>
      <c r="X720" s="70" t="s">
        <v>40</v>
      </c>
      <c r="Y720" s="70" t="s">
        <v>40</v>
      </c>
      <c r="Z720" s="70" t="s">
        <v>40</v>
      </c>
      <c r="AA720" s="70" t="s">
        <v>40</v>
      </c>
      <c r="AB720" s="70" t="s">
        <v>40</v>
      </c>
    </row>
    <row r="721" spans="1:28" x14ac:dyDescent="0.25">
      <c r="A721" s="46"/>
      <c r="B721" s="26"/>
      <c r="C721" s="4"/>
      <c r="D721" s="67">
        <f>SUM(D715:D719)</f>
        <v>22149696.460000001</v>
      </c>
      <c r="E721" s="67">
        <f>SUM(E715:E719)</f>
        <v>2008032</v>
      </c>
      <c r="F721" s="67">
        <f>SUM(F715:F719)</f>
        <v>1500000</v>
      </c>
      <c r="G721" s="67"/>
      <c r="H721" s="67">
        <f>SUM(H715:H719)</f>
        <v>3508032</v>
      </c>
      <c r="I721" s="67">
        <f>SUM(I715:I719)</f>
        <v>0</v>
      </c>
      <c r="J721" s="67">
        <f>SUM(J715:J719)</f>
        <v>0</v>
      </c>
      <c r="K721" s="67">
        <f>SUM(K715:K719)</f>
        <v>0</v>
      </c>
      <c r="L721" s="67">
        <f>SUM(L715:L719)</f>
        <v>0</v>
      </c>
      <c r="M721" s="67"/>
      <c r="N721" s="67">
        <f>SUM(N715:N719)</f>
        <v>3508032</v>
      </c>
      <c r="O721" s="67">
        <f>SUM(O715:O719)</f>
        <v>115709.2</v>
      </c>
      <c r="P721" s="67">
        <f>SUM(P715:P719)</f>
        <v>0</v>
      </c>
      <c r="Q721" s="67"/>
      <c r="R721" s="67">
        <f>SUM(R715:R719)</f>
        <v>115709.2</v>
      </c>
      <c r="S721" s="67">
        <f>SUM(S715:S719)</f>
        <v>0</v>
      </c>
      <c r="T721" s="67">
        <f>SUM(T715:T719)</f>
        <v>0</v>
      </c>
      <c r="U721" s="67">
        <f>SUM(U715:U719)</f>
        <v>0</v>
      </c>
      <c r="V721" s="67">
        <f>SUM(V715:V719)</f>
        <v>0</v>
      </c>
      <c r="W721" s="67"/>
      <c r="X721" s="67">
        <f>SUM(X715:X719)</f>
        <v>115709.2</v>
      </c>
      <c r="Y721" s="67">
        <f>SUM(Y715:Y719)</f>
        <v>3623741.2</v>
      </c>
      <c r="Z721" s="67">
        <f>SUM(Z715:Z719)</f>
        <v>18525955.260000002</v>
      </c>
      <c r="AA721" s="67">
        <f>SUM(AA715:AA719)</f>
        <v>3623741.2</v>
      </c>
      <c r="AB721" s="67">
        <f>SUM(AB715:AB719)</f>
        <v>18525955.260000002</v>
      </c>
    </row>
    <row r="722" spans="1:28" ht="15.75" customHeight="1" x14ac:dyDescent="0.25">
      <c r="A722" s="46"/>
      <c r="B722" s="30"/>
      <c r="C722" s="4"/>
      <c r="D722" s="70" t="s">
        <v>40</v>
      </c>
      <c r="E722" s="70" t="s">
        <v>40</v>
      </c>
      <c r="F722" s="70" t="s">
        <v>40</v>
      </c>
      <c r="G722" s="70"/>
      <c r="H722" s="70" t="s">
        <v>40</v>
      </c>
      <c r="I722" s="70" t="s">
        <v>40</v>
      </c>
      <c r="J722" s="70" t="s">
        <v>40</v>
      </c>
      <c r="K722" s="70" t="s">
        <v>40</v>
      </c>
      <c r="L722" s="70" t="s">
        <v>40</v>
      </c>
      <c r="M722" s="70"/>
      <c r="N722" s="70" t="s">
        <v>40</v>
      </c>
      <c r="O722" s="70" t="s">
        <v>40</v>
      </c>
      <c r="P722" s="70" t="s">
        <v>40</v>
      </c>
      <c r="Q722" s="70"/>
      <c r="R722" s="70" t="s">
        <v>40</v>
      </c>
      <c r="S722" s="70" t="s">
        <v>40</v>
      </c>
      <c r="T722" s="70" t="s">
        <v>40</v>
      </c>
      <c r="U722" s="70" t="s">
        <v>40</v>
      </c>
      <c r="V722" s="70" t="s">
        <v>40</v>
      </c>
      <c r="W722" s="70"/>
      <c r="X722" s="70" t="s">
        <v>40</v>
      </c>
      <c r="Y722" s="70" t="s">
        <v>40</v>
      </c>
      <c r="Z722" s="70" t="s">
        <v>40</v>
      </c>
      <c r="AA722" s="70" t="s">
        <v>40</v>
      </c>
      <c r="AB722" s="70" t="s">
        <v>40</v>
      </c>
    </row>
    <row r="723" spans="1:28" ht="15.75" customHeight="1" x14ac:dyDescent="0.25">
      <c r="A723" s="46"/>
      <c r="B723" s="30"/>
      <c r="C723" s="4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6"/>
      <c r="R723" s="70"/>
      <c r="S723" s="70"/>
      <c r="T723" s="70"/>
      <c r="U723" s="70"/>
      <c r="W723" s="70"/>
      <c r="X723" s="70"/>
      <c r="Y723" s="70"/>
      <c r="Z723" s="70"/>
      <c r="AA723" s="70"/>
      <c r="AB723" s="70"/>
    </row>
    <row r="724" spans="1:28" x14ac:dyDescent="0.25">
      <c r="A724" s="46"/>
      <c r="B724" s="30"/>
      <c r="C724" s="4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</row>
    <row r="725" spans="1:28" x14ac:dyDescent="0.25">
      <c r="A725" s="46"/>
      <c r="B725" s="30"/>
      <c r="C725" s="4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</row>
    <row r="726" spans="1:28" ht="15.75" customHeight="1" x14ac:dyDescent="0.25">
      <c r="A726" s="46">
        <v>74</v>
      </c>
      <c r="B726" s="38" t="s">
        <v>101</v>
      </c>
      <c r="C726" s="3" t="s">
        <v>35</v>
      </c>
      <c r="D726" s="67">
        <v>0</v>
      </c>
      <c r="E726" s="67">
        <v>0</v>
      </c>
      <c r="F726" s="68"/>
      <c r="G726" s="68"/>
      <c r="H726" s="67">
        <f>E726+F726</f>
        <v>0</v>
      </c>
      <c r="I726" s="68"/>
      <c r="J726" s="68"/>
      <c r="K726" s="68"/>
      <c r="L726" s="67"/>
      <c r="M726" s="67"/>
      <c r="N726" s="67">
        <f>H726+L726</f>
        <v>0</v>
      </c>
      <c r="O726" s="67">
        <f>23379.4-23379.4</f>
        <v>0</v>
      </c>
      <c r="P726" s="68"/>
      <c r="Q726" s="55"/>
      <c r="R726" s="67">
        <f>O726+P726</f>
        <v>0</v>
      </c>
      <c r="S726" s="68"/>
      <c r="T726" s="68"/>
      <c r="U726" s="68"/>
      <c r="V726" s="67"/>
      <c r="W726" s="67"/>
      <c r="X726" s="67">
        <f>R726+V726</f>
        <v>0</v>
      </c>
      <c r="Y726" s="67">
        <f>R726+H726</f>
        <v>0</v>
      </c>
      <c r="Z726" s="67">
        <f>D726-Y726</f>
        <v>0</v>
      </c>
      <c r="AA726" s="67">
        <f>N726+X726</f>
        <v>0</v>
      </c>
      <c r="AB726" s="67">
        <f>+D726-N726-X726</f>
        <v>0</v>
      </c>
    </row>
    <row r="727" spans="1:28" ht="15.75" customHeight="1" x14ac:dyDescent="0.25">
      <c r="A727" s="46"/>
      <c r="B727" s="26"/>
      <c r="C727" s="3" t="s">
        <v>36</v>
      </c>
      <c r="D727" s="67">
        <v>140000</v>
      </c>
      <c r="E727" s="67">
        <v>140000</v>
      </c>
      <c r="F727" s="68"/>
      <c r="G727" s="68"/>
      <c r="H727" s="67">
        <f>E727+F727</f>
        <v>140000</v>
      </c>
      <c r="I727" s="68"/>
      <c r="J727" s="68"/>
      <c r="K727" s="68"/>
      <c r="L727" s="67"/>
      <c r="M727" s="67"/>
      <c r="N727" s="67">
        <f>H727+L727</f>
        <v>140000</v>
      </c>
      <c r="O727" s="67">
        <v>0</v>
      </c>
      <c r="P727" s="68"/>
      <c r="Q727" s="68"/>
      <c r="R727" s="67">
        <f>O727+P727</f>
        <v>0</v>
      </c>
      <c r="S727" s="68"/>
      <c r="T727" s="68"/>
      <c r="U727" s="68"/>
      <c r="V727" s="67"/>
      <c r="W727" s="67"/>
      <c r="X727" s="67">
        <f>R727+V727</f>
        <v>0</v>
      </c>
      <c r="Y727" s="67">
        <f>R727+H727</f>
        <v>140000</v>
      </c>
      <c r="Z727" s="67">
        <f>D727-Y727</f>
        <v>0</v>
      </c>
      <c r="AA727" s="67">
        <f>N727+X727</f>
        <v>140000</v>
      </c>
      <c r="AB727" s="67">
        <f>+D727-N727-X727</f>
        <v>0</v>
      </c>
    </row>
    <row r="728" spans="1:28" x14ac:dyDescent="0.25">
      <c r="A728" s="46"/>
      <c r="B728" s="26"/>
      <c r="C728" s="3" t="s">
        <v>76</v>
      </c>
      <c r="D728" s="67">
        <v>0</v>
      </c>
      <c r="E728" s="67">
        <v>0</v>
      </c>
      <c r="F728" s="68"/>
      <c r="G728" s="68"/>
      <c r="H728" s="67">
        <f>E728+F728</f>
        <v>0</v>
      </c>
      <c r="I728" s="68"/>
      <c r="J728" s="68"/>
      <c r="K728" s="68"/>
      <c r="L728" s="67"/>
      <c r="M728" s="67"/>
      <c r="N728" s="67">
        <f>H728+L728</f>
        <v>0</v>
      </c>
      <c r="O728" s="67">
        <v>0</v>
      </c>
      <c r="P728" s="68"/>
      <c r="Q728" s="68"/>
      <c r="R728" s="67">
        <f>O728+P728</f>
        <v>0</v>
      </c>
      <c r="S728" s="68"/>
      <c r="T728" s="68"/>
      <c r="U728" s="68"/>
      <c r="V728" s="67"/>
      <c r="W728" s="67"/>
      <c r="X728" s="67">
        <f>R728+V728</f>
        <v>0</v>
      </c>
      <c r="Y728" s="67">
        <f>R728+H728</f>
        <v>0</v>
      </c>
      <c r="Z728" s="67">
        <f>D728-Y728</f>
        <v>0</v>
      </c>
      <c r="AA728" s="67">
        <f>N728+X728</f>
        <v>0</v>
      </c>
      <c r="AB728" s="67">
        <f>+D728-N728-X728</f>
        <v>0</v>
      </c>
    </row>
    <row r="729" spans="1:28" x14ac:dyDescent="0.25">
      <c r="A729" s="46"/>
      <c r="B729" s="26"/>
      <c r="C729" s="4"/>
      <c r="D729" s="70" t="s">
        <v>40</v>
      </c>
      <c r="E729" s="70" t="s">
        <v>40</v>
      </c>
      <c r="F729" s="70" t="s">
        <v>40</v>
      </c>
      <c r="G729" s="70"/>
      <c r="H729" s="70" t="s">
        <v>40</v>
      </c>
      <c r="I729" s="70" t="s">
        <v>40</v>
      </c>
      <c r="J729" s="70" t="s">
        <v>40</v>
      </c>
      <c r="K729" s="70" t="s">
        <v>40</v>
      </c>
      <c r="L729" s="70" t="s">
        <v>40</v>
      </c>
      <c r="M729" s="70"/>
      <c r="N729" s="70" t="s">
        <v>40</v>
      </c>
      <c r="O729" s="70" t="s">
        <v>40</v>
      </c>
      <c r="P729" s="70" t="s">
        <v>40</v>
      </c>
      <c r="Q729" s="70"/>
      <c r="R729" s="70" t="s">
        <v>40</v>
      </c>
      <c r="S729" s="70" t="s">
        <v>40</v>
      </c>
      <c r="T729" s="70" t="s">
        <v>40</v>
      </c>
      <c r="U729" s="70" t="s">
        <v>40</v>
      </c>
      <c r="V729" s="70" t="s">
        <v>40</v>
      </c>
      <c r="W729" s="70"/>
      <c r="X729" s="70" t="s">
        <v>40</v>
      </c>
      <c r="Y729" s="70" t="s">
        <v>40</v>
      </c>
      <c r="Z729" s="70" t="s">
        <v>40</v>
      </c>
      <c r="AA729" s="70" t="s">
        <v>40</v>
      </c>
      <c r="AB729" s="70" t="s">
        <v>40</v>
      </c>
    </row>
    <row r="730" spans="1:28" ht="15.75" customHeight="1" x14ac:dyDescent="0.25">
      <c r="A730" s="46"/>
      <c r="B730" s="26"/>
      <c r="C730" s="4"/>
      <c r="D730" s="67">
        <f t="shared" ref="D730:AB730" si="267">SUM(D726:D728)</f>
        <v>140000</v>
      </c>
      <c r="E730" s="67">
        <f t="shared" si="267"/>
        <v>140000</v>
      </c>
      <c r="F730" s="67">
        <f t="shared" si="267"/>
        <v>0</v>
      </c>
      <c r="G730" s="67"/>
      <c r="H730" s="67">
        <f t="shared" si="267"/>
        <v>140000</v>
      </c>
      <c r="I730" s="67">
        <f t="shared" si="267"/>
        <v>0</v>
      </c>
      <c r="J730" s="67">
        <f t="shared" si="267"/>
        <v>0</v>
      </c>
      <c r="K730" s="67">
        <f t="shared" si="267"/>
        <v>0</v>
      </c>
      <c r="L730" s="67">
        <f t="shared" si="267"/>
        <v>0</v>
      </c>
      <c r="M730" s="67"/>
      <c r="N730" s="67">
        <f t="shared" si="267"/>
        <v>140000</v>
      </c>
      <c r="O730" s="67">
        <f t="shared" si="267"/>
        <v>0</v>
      </c>
      <c r="P730" s="67">
        <f t="shared" si="267"/>
        <v>0</v>
      </c>
      <c r="Q730" s="67"/>
      <c r="R730" s="67">
        <f t="shared" si="267"/>
        <v>0</v>
      </c>
      <c r="S730" s="67">
        <f t="shared" si="267"/>
        <v>0</v>
      </c>
      <c r="T730" s="67">
        <f t="shared" si="267"/>
        <v>0</v>
      </c>
      <c r="U730" s="67">
        <f t="shared" si="267"/>
        <v>0</v>
      </c>
      <c r="V730" s="67">
        <f t="shared" si="267"/>
        <v>0</v>
      </c>
      <c r="W730" s="67"/>
      <c r="X730" s="67">
        <f t="shared" si="267"/>
        <v>0</v>
      </c>
      <c r="Y730" s="67">
        <f t="shared" si="267"/>
        <v>140000</v>
      </c>
      <c r="Z730" s="67">
        <f t="shared" si="267"/>
        <v>0</v>
      </c>
      <c r="AA730" s="67">
        <f t="shared" si="267"/>
        <v>140000</v>
      </c>
      <c r="AB730" s="67">
        <f t="shared" si="267"/>
        <v>0</v>
      </c>
    </row>
    <row r="731" spans="1:28" x14ac:dyDescent="0.25">
      <c r="A731" s="46"/>
      <c r="B731" s="26" t="s">
        <v>101</v>
      </c>
      <c r="C731" s="4"/>
      <c r="D731" s="70" t="s">
        <v>40</v>
      </c>
      <c r="E731" s="70" t="s">
        <v>40</v>
      </c>
      <c r="F731" s="70" t="s">
        <v>40</v>
      </c>
      <c r="G731" s="70"/>
      <c r="H731" s="70" t="s">
        <v>40</v>
      </c>
      <c r="I731" s="70" t="s">
        <v>40</v>
      </c>
      <c r="J731" s="70" t="s">
        <v>40</v>
      </c>
      <c r="K731" s="70" t="s">
        <v>40</v>
      </c>
      <c r="L731" s="70" t="s">
        <v>40</v>
      </c>
      <c r="M731" s="70"/>
      <c r="N731" s="70" t="s">
        <v>40</v>
      </c>
      <c r="O731" s="70" t="s">
        <v>40</v>
      </c>
      <c r="P731" s="70" t="s">
        <v>40</v>
      </c>
      <c r="Q731" s="70"/>
      <c r="R731" s="70" t="s">
        <v>40</v>
      </c>
      <c r="S731" s="70" t="s">
        <v>40</v>
      </c>
      <c r="T731" s="70" t="s">
        <v>40</v>
      </c>
      <c r="U731" s="70" t="s">
        <v>40</v>
      </c>
      <c r="V731" s="70" t="s">
        <v>40</v>
      </c>
      <c r="W731" s="70"/>
      <c r="X731" s="70" t="s">
        <v>40</v>
      </c>
      <c r="Y731" s="70" t="s">
        <v>40</v>
      </c>
      <c r="Z731" s="70" t="s">
        <v>40</v>
      </c>
      <c r="AA731" s="70" t="s">
        <v>40</v>
      </c>
      <c r="AB731" s="70" t="s">
        <v>40</v>
      </c>
    </row>
    <row r="732" spans="1:28" ht="16.5" thickBot="1" x14ac:dyDescent="0.3">
      <c r="A732" s="46"/>
      <c r="B732" s="112" t="s">
        <v>292</v>
      </c>
      <c r="C732" s="4"/>
      <c r="D732" s="113">
        <f>636117.89+2110816.28</f>
        <v>2746934.17</v>
      </c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113">
        <v>2746934.17</v>
      </c>
      <c r="P732" s="157"/>
      <c r="Q732" s="70"/>
      <c r="R732" s="113">
        <f>+O732+P732</f>
        <v>2746934.17</v>
      </c>
      <c r="S732" s="70"/>
      <c r="T732" s="70"/>
      <c r="U732" s="70"/>
      <c r="V732" s="70"/>
      <c r="W732" s="70"/>
      <c r="X732" s="70"/>
      <c r="Y732" s="70"/>
      <c r="Z732" s="70"/>
      <c r="AA732" s="70"/>
      <c r="AB732" s="70"/>
    </row>
    <row r="733" spans="1:28" ht="54.75" customHeight="1" thickTop="1" x14ac:dyDescent="0.25">
      <c r="A733" s="46">
        <v>75</v>
      </c>
      <c r="B733" s="23" t="s">
        <v>102</v>
      </c>
      <c r="C733" s="2" t="s">
        <v>35</v>
      </c>
      <c r="D733" s="67">
        <v>13919821.32</v>
      </c>
      <c r="E733" s="67">
        <v>0</v>
      </c>
      <c r="F733" s="68"/>
      <c r="G733" s="68"/>
      <c r="H733" s="67">
        <f>E733+F733</f>
        <v>0</v>
      </c>
      <c r="I733" s="68"/>
      <c r="J733" s="68"/>
      <c r="K733" s="68"/>
      <c r="L733" s="67"/>
      <c r="M733" s="67"/>
      <c r="N733" s="67">
        <f>H733+L733</f>
        <v>0</v>
      </c>
      <c r="O733" s="67">
        <v>0</v>
      </c>
      <c r="P733" s="68"/>
      <c r="Q733" s="68"/>
      <c r="R733" s="67">
        <f>O733+P733</f>
        <v>0</v>
      </c>
      <c r="S733" s="68"/>
      <c r="T733" s="68"/>
      <c r="U733" s="68"/>
      <c r="V733" s="67"/>
      <c r="W733" s="67"/>
      <c r="X733" s="67">
        <f>R733+V733</f>
        <v>0</v>
      </c>
      <c r="Y733" s="67">
        <f>R733+H733</f>
        <v>0</v>
      </c>
      <c r="Z733" s="67">
        <f>D733-Y733</f>
        <v>13919821.32</v>
      </c>
      <c r="AA733" s="67">
        <f>N733+X733</f>
        <v>0</v>
      </c>
      <c r="AB733" s="67">
        <f>+D733-N733-X733</f>
        <v>13919821.32</v>
      </c>
    </row>
    <row r="734" spans="1:28" x14ac:dyDescent="0.25">
      <c r="A734" s="46"/>
      <c r="B734" s="26"/>
      <c r="C734" s="3" t="s">
        <v>36</v>
      </c>
      <c r="D734" s="67">
        <f>2098990+2326694</f>
        <v>4425684</v>
      </c>
      <c r="E734" s="67">
        <f>2098990+2326694</f>
        <v>4425684</v>
      </c>
      <c r="F734" s="68"/>
      <c r="G734" s="68"/>
      <c r="H734" s="67">
        <f>E734+F734</f>
        <v>4425684</v>
      </c>
      <c r="I734" s="68"/>
      <c r="J734" s="68"/>
      <c r="K734" s="68"/>
      <c r="L734" s="67"/>
      <c r="M734" s="67"/>
      <c r="N734" s="67">
        <f>H734+L734</f>
        <v>4425684</v>
      </c>
      <c r="O734" s="67">
        <v>0</v>
      </c>
      <c r="P734" s="68"/>
      <c r="Q734" s="68"/>
      <c r="R734" s="67">
        <f>O734+P734</f>
        <v>0</v>
      </c>
      <c r="S734" s="68"/>
      <c r="T734" s="68"/>
      <c r="U734" s="68"/>
      <c r="V734" s="67"/>
      <c r="W734" s="67"/>
      <c r="X734" s="67">
        <f>R734+V734</f>
        <v>0</v>
      </c>
      <c r="Y734" s="67">
        <f>R734+H734</f>
        <v>4425684</v>
      </c>
      <c r="Z734" s="67">
        <f>D734-Y734</f>
        <v>0</v>
      </c>
      <c r="AA734" s="67">
        <f>N734+X734</f>
        <v>4425684</v>
      </c>
      <c r="AB734" s="67">
        <f>+D734-N734-X734</f>
        <v>0</v>
      </c>
    </row>
    <row r="735" spans="1:28" x14ac:dyDescent="0.25">
      <c r="C735" s="4" t="s">
        <v>290</v>
      </c>
      <c r="D735" s="55">
        <v>3500000</v>
      </c>
      <c r="E735" s="55">
        <v>3500000</v>
      </c>
      <c r="F735" s="55"/>
      <c r="G735" s="55"/>
      <c r="H735" s="55">
        <f>+E735+F735</f>
        <v>3500000</v>
      </c>
      <c r="I735" s="55"/>
      <c r="J735" s="55"/>
      <c r="K735" s="55"/>
      <c r="L735" s="55"/>
      <c r="M735" s="55"/>
      <c r="N735" s="55">
        <f>+H735+L735</f>
        <v>3500000</v>
      </c>
      <c r="O735" s="55">
        <v>0</v>
      </c>
      <c r="P735" s="55"/>
      <c r="Q735" s="55"/>
      <c r="R735" s="55">
        <f>+O735+P735</f>
        <v>0</v>
      </c>
      <c r="S735" s="55"/>
      <c r="T735" s="55"/>
      <c r="U735" s="55"/>
      <c r="V735" s="55"/>
      <c r="W735" s="55"/>
      <c r="X735" s="55">
        <f>+R735+V735</f>
        <v>0</v>
      </c>
      <c r="Y735" s="67">
        <f>R735+H735</f>
        <v>3500000</v>
      </c>
      <c r="Z735" s="67">
        <f>D735-Y735</f>
        <v>0</v>
      </c>
      <c r="AA735" s="67">
        <f>N735+X735</f>
        <v>3500000</v>
      </c>
      <c r="AB735" s="67">
        <f>+D735-N735-X735</f>
        <v>0</v>
      </c>
    </row>
    <row r="736" spans="1:28" x14ac:dyDescent="0.25">
      <c r="A736" s="46"/>
      <c r="B736" s="26"/>
      <c r="C736" s="2" t="s">
        <v>38</v>
      </c>
      <c r="D736" s="67">
        <v>2145700</v>
      </c>
      <c r="E736" s="67">
        <v>0</v>
      </c>
      <c r="F736" s="68"/>
      <c r="G736" s="68"/>
      <c r="H736" s="67">
        <f>E736+F736</f>
        <v>0</v>
      </c>
      <c r="I736" s="68"/>
      <c r="J736" s="68"/>
      <c r="K736" s="68"/>
      <c r="L736" s="67"/>
      <c r="M736" s="67"/>
      <c r="N736" s="67">
        <f>H736+L736</f>
        <v>0</v>
      </c>
      <c r="O736" s="67">
        <v>0</v>
      </c>
      <c r="P736" s="68"/>
      <c r="Q736" s="68"/>
      <c r="R736" s="67">
        <f>O736+P736</f>
        <v>0</v>
      </c>
      <c r="S736" s="68"/>
      <c r="T736" s="68"/>
      <c r="U736" s="68"/>
      <c r="V736" s="67"/>
      <c r="W736" s="67"/>
      <c r="X736" s="67">
        <f>R736+V736</f>
        <v>0</v>
      </c>
      <c r="Y736" s="67">
        <f>R736+H736</f>
        <v>0</v>
      </c>
      <c r="Z736" s="67">
        <f>D736-Y736</f>
        <v>2145700</v>
      </c>
      <c r="AA736" s="67">
        <f>N736+X736</f>
        <v>0</v>
      </c>
      <c r="AB736" s="67">
        <f>+D736-N736-X736</f>
        <v>2145700</v>
      </c>
    </row>
    <row r="737" spans="1:43" x14ac:dyDescent="0.25">
      <c r="A737" s="46"/>
      <c r="B737" s="26"/>
      <c r="C737" s="4"/>
      <c r="D737" s="70" t="s">
        <v>40</v>
      </c>
      <c r="E737" s="70" t="s">
        <v>40</v>
      </c>
      <c r="F737" s="70" t="s">
        <v>40</v>
      </c>
      <c r="G737" s="70"/>
      <c r="H737" s="70" t="s">
        <v>40</v>
      </c>
      <c r="I737" s="70" t="s">
        <v>40</v>
      </c>
      <c r="J737" s="70" t="s">
        <v>40</v>
      </c>
      <c r="K737" s="70" t="s">
        <v>40</v>
      </c>
      <c r="L737" s="70" t="s">
        <v>40</v>
      </c>
      <c r="M737" s="70"/>
      <c r="N737" s="70" t="s">
        <v>40</v>
      </c>
      <c r="O737" s="70" t="s">
        <v>40</v>
      </c>
      <c r="P737" s="70" t="s">
        <v>40</v>
      </c>
      <c r="Q737" s="70"/>
      <c r="R737" s="70" t="s">
        <v>40</v>
      </c>
      <c r="S737" s="70" t="s">
        <v>40</v>
      </c>
      <c r="T737" s="70" t="s">
        <v>40</v>
      </c>
      <c r="U737" s="70" t="s">
        <v>40</v>
      </c>
      <c r="V737" s="70" t="s">
        <v>40</v>
      </c>
      <c r="W737" s="70"/>
      <c r="X737" s="70" t="s">
        <v>40</v>
      </c>
      <c r="Y737" s="70" t="s">
        <v>40</v>
      </c>
      <c r="Z737" s="70" t="s">
        <v>40</v>
      </c>
      <c r="AA737" s="70" t="s">
        <v>40</v>
      </c>
      <c r="AB737" s="70" t="s">
        <v>40</v>
      </c>
    </row>
    <row r="738" spans="1:43" x14ac:dyDescent="0.25">
      <c r="A738" s="46"/>
      <c r="B738" s="26"/>
      <c r="C738" s="4"/>
      <c r="D738" s="67">
        <f>SUM(D733:D736)</f>
        <v>23991205.32</v>
      </c>
      <c r="E738" s="67">
        <f>SUM(E733:E736)</f>
        <v>7925684</v>
      </c>
      <c r="F738" s="67">
        <f>SUM(F733:F736)</f>
        <v>0</v>
      </c>
      <c r="G738" s="67"/>
      <c r="H738" s="67">
        <f>SUM(H733:H736)</f>
        <v>7925684</v>
      </c>
      <c r="I738" s="67">
        <f>SUM(I733:I736)</f>
        <v>0</v>
      </c>
      <c r="J738" s="67">
        <f>SUM(J733:J736)</f>
        <v>0</v>
      </c>
      <c r="K738" s="67">
        <f>SUM(K733:K736)</f>
        <v>0</v>
      </c>
      <c r="L738" s="67">
        <f>SUM(L733:L736)</f>
        <v>0</v>
      </c>
      <c r="M738" s="67"/>
      <c r="N738" s="67">
        <f>SUM(N733:N736)</f>
        <v>7925684</v>
      </c>
      <c r="O738" s="67">
        <f>SUM(O733:O736)</f>
        <v>0</v>
      </c>
      <c r="P738" s="67">
        <f>SUM(P733:P736)</f>
        <v>0</v>
      </c>
      <c r="Q738" s="67"/>
      <c r="R738" s="67">
        <f>SUM(R733:R736)</f>
        <v>0</v>
      </c>
      <c r="S738" s="67">
        <f>SUM(S733:S736)</f>
        <v>0</v>
      </c>
      <c r="T738" s="67">
        <f>SUM(T733:T736)</f>
        <v>0</v>
      </c>
      <c r="U738" s="67">
        <f>SUM(U733:U736)</f>
        <v>0</v>
      </c>
      <c r="V738" s="67">
        <f>SUM(V733:V736)</f>
        <v>0</v>
      </c>
      <c r="W738" s="67"/>
      <c r="X738" s="67">
        <f>SUM(X733:X736)</f>
        <v>0</v>
      </c>
      <c r="Y738" s="67">
        <f>SUM(Y733:Y736)</f>
        <v>7925684</v>
      </c>
      <c r="Z738" s="67">
        <f>SUM(Z733:Z736)</f>
        <v>16065521.32</v>
      </c>
      <c r="AA738" s="67">
        <f>SUM(AA733:AA736)</f>
        <v>7925684</v>
      </c>
      <c r="AB738" s="67">
        <f>SUM(AB733:AB736)</f>
        <v>16065521.32</v>
      </c>
    </row>
    <row r="739" spans="1:43" x14ac:dyDescent="0.25">
      <c r="A739" s="46"/>
      <c r="B739" s="26"/>
      <c r="C739" s="4"/>
      <c r="D739" s="70" t="s">
        <v>40</v>
      </c>
      <c r="E739" s="70" t="s">
        <v>40</v>
      </c>
      <c r="F739" s="70" t="s">
        <v>40</v>
      </c>
      <c r="G739" s="70"/>
      <c r="H739" s="70" t="s">
        <v>40</v>
      </c>
      <c r="I739" s="70" t="s">
        <v>40</v>
      </c>
      <c r="J739" s="70" t="s">
        <v>40</v>
      </c>
      <c r="K739" s="70" t="s">
        <v>40</v>
      </c>
      <c r="L739" s="70" t="s">
        <v>40</v>
      </c>
      <c r="M739" s="70"/>
      <c r="N739" s="70" t="s">
        <v>40</v>
      </c>
      <c r="O739" s="70" t="s">
        <v>40</v>
      </c>
      <c r="P739" s="70" t="s">
        <v>40</v>
      </c>
      <c r="Q739" s="70"/>
      <c r="R739" s="70" t="s">
        <v>40</v>
      </c>
      <c r="S739" s="70" t="s">
        <v>40</v>
      </c>
      <c r="T739" s="70" t="s">
        <v>40</v>
      </c>
      <c r="U739" s="70" t="s">
        <v>40</v>
      </c>
      <c r="V739" s="70" t="s">
        <v>40</v>
      </c>
      <c r="W739" s="70"/>
      <c r="X739" s="70" t="s">
        <v>40</v>
      </c>
      <c r="Y739" s="70" t="s">
        <v>40</v>
      </c>
      <c r="Z739" s="70" t="s">
        <v>40</v>
      </c>
      <c r="AA739" s="70" t="s">
        <v>40</v>
      </c>
      <c r="AB739" s="70" t="s">
        <v>40</v>
      </c>
    </row>
    <row r="740" spans="1:43" x14ac:dyDescent="0.25">
      <c r="A740" s="46"/>
      <c r="B740" s="26"/>
      <c r="C740" s="4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</row>
    <row r="741" spans="1:43" x14ac:dyDescent="0.25">
      <c r="A741" s="46">
        <v>76</v>
      </c>
      <c r="B741" s="23" t="s">
        <v>103</v>
      </c>
      <c r="C741" s="2" t="s">
        <v>35</v>
      </c>
      <c r="D741" s="67">
        <v>4323437.87</v>
      </c>
      <c r="E741" s="67">
        <v>0</v>
      </c>
      <c r="F741" s="68"/>
      <c r="G741" s="68"/>
      <c r="H741" s="67">
        <f>E741+F741</f>
        <v>0</v>
      </c>
      <c r="I741" s="68"/>
      <c r="J741" s="68"/>
      <c r="K741" s="68"/>
      <c r="L741" s="67"/>
      <c r="M741" s="67"/>
      <c r="N741" s="67">
        <f>H741+L741</f>
        <v>0</v>
      </c>
      <c r="O741" s="67">
        <v>0</v>
      </c>
      <c r="P741" s="68"/>
      <c r="Q741" s="68"/>
      <c r="R741" s="67">
        <f>O741+P741</f>
        <v>0</v>
      </c>
      <c r="S741" s="68"/>
      <c r="T741" s="68"/>
      <c r="U741" s="68"/>
      <c r="V741" s="67"/>
      <c r="W741" s="67"/>
      <c r="X741" s="67">
        <f>R741+V741</f>
        <v>0</v>
      </c>
      <c r="Y741" s="67">
        <f>R741+H741</f>
        <v>0</v>
      </c>
      <c r="Z741" s="67">
        <f>D741-Y741</f>
        <v>4323437.87</v>
      </c>
      <c r="AA741" s="67">
        <f>N741+X741</f>
        <v>0</v>
      </c>
      <c r="AB741" s="67">
        <f>+D741-N741-X741</f>
        <v>4323437.87</v>
      </c>
    </row>
    <row r="742" spans="1:43" x14ac:dyDescent="0.25">
      <c r="A742" s="46"/>
      <c r="B742" s="26"/>
      <c r="C742" s="3" t="s">
        <v>36</v>
      </c>
      <c r="D742" s="67">
        <f>1480097+569207.5</f>
        <v>2049304.5</v>
      </c>
      <c r="E742" s="67">
        <f>1480097+569207.5</f>
        <v>2049304.5</v>
      </c>
      <c r="F742" s="68"/>
      <c r="G742" s="68"/>
      <c r="H742" s="67">
        <f>E742+F742</f>
        <v>2049304.5</v>
      </c>
      <c r="I742" s="68"/>
      <c r="J742" s="68"/>
      <c r="K742" s="68"/>
      <c r="L742" s="67"/>
      <c r="M742" s="67"/>
      <c r="N742" s="67">
        <f>+H742+L742</f>
        <v>2049304.5</v>
      </c>
      <c r="O742" s="67">
        <v>0</v>
      </c>
      <c r="P742" s="68"/>
      <c r="Q742" s="68"/>
      <c r="R742" s="67">
        <f>O742+P742</f>
        <v>0</v>
      </c>
      <c r="S742" s="68"/>
      <c r="T742" s="68"/>
      <c r="U742" s="68"/>
      <c r="V742" s="67"/>
      <c r="W742" s="67"/>
      <c r="X742" s="67">
        <f>R742+V742</f>
        <v>0</v>
      </c>
      <c r="Y742" s="67">
        <f>R742+H742</f>
        <v>2049304.5</v>
      </c>
      <c r="Z742" s="67">
        <f>D742-Y742</f>
        <v>0</v>
      </c>
      <c r="AA742" s="67">
        <f>N742+X742</f>
        <v>2049304.5</v>
      </c>
      <c r="AB742" s="67">
        <f>+D742-N742-X742</f>
        <v>0</v>
      </c>
      <c r="AC742" s="49" t="s">
        <v>317</v>
      </c>
      <c r="AD742" s="94">
        <f>+D717</f>
        <v>1500000</v>
      </c>
      <c r="AE742" s="94">
        <f>+E717</f>
        <v>0</v>
      </c>
      <c r="AF742" s="94">
        <f>+F717</f>
        <v>1500000</v>
      </c>
      <c r="AG742" s="94">
        <f>+AE742+AF742</f>
        <v>1500000</v>
      </c>
      <c r="AH742" s="94">
        <f>+L717</f>
        <v>0</v>
      </c>
      <c r="AI742" s="94">
        <f>+AG742+AH742</f>
        <v>1500000</v>
      </c>
      <c r="AJ742" s="94">
        <f>+O717</f>
        <v>0</v>
      </c>
      <c r="AK742" s="94">
        <f>+P717</f>
        <v>0</v>
      </c>
      <c r="AL742" s="94">
        <f>+AJ742+AK742</f>
        <v>0</v>
      </c>
      <c r="AM742" s="94">
        <f>+V717</f>
        <v>0</v>
      </c>
      <c r="AN742" s="94">
        <f>+AL742+AM742</f>
        <v>0</v>
      </c>
      <c r="AO742" s="94">
        <f>+AG742+AL742</f>
        <v>1500000</v>
      </c>
      <c r="AP742" s="94">
        <f>+AD742-AO742</f>
        <v>0</v>
      </c>
      <c r="AQ742" s="94">
        <f>+AD742-AI742-AN742</f>
        <v>0</v>
      </c>
    </row>
    <row r="743" spans="1:43" x14ac:dyDescent="0.25">
      <c r="A743" s="46"/>
      <c r="B743" s="26"/>
      <c r="C743" s="2" t="s">
        <v>38</v>
      </c>
      <c r="D743" s="67">
        <v>4520373</v>
      </c>
      <c r="E743" s="67">
        <v>0</v>
      </c>
      <c r="F743" s="68"/>
      <c r="G743" s="68"/>
      <c r="H743" s="67">
        <f>E743+F743</f>
        <v>0</v>
      </c>
      <c r="I743" s="68"/>
      <c r="J743" s="68"/>
      <c r="K743" s="68"/>
      <c r="L743" s="67"/>
      <c r="M743" s="67"/>
      <c r="N743" s="67">
        <f>H743+L743</f>
        <v>0</v>
      </c>
      <c r="O743" s="67">
        <v>141345.20000000001</v>
      </c>
      <c r="P743" s="68"/>
      <c r="Q743" s="68"/>
      <c r="R743" s="67">
        <f>O743+P743</f>
        <v>141345.20000000001</v>
      </c>
      <c r="S743" s="68"/>
      <c r="T743" s="68"/>
      <c r="U743" s="68"/>
      <c r="V743" s="67"/>
      <c r="W743" s="67"/>
      <c r="X743" s="67">
        <f>R743+V743</f>
        <v>141345.20000000001</v>
      </c>
      <c r="Y743" s="67">
        <f>R743+H743</f>
        <v>141345.20000000001</v>
      </c>
      <c r="Z743" s="67">
        <f>D743-Y743</f>
        <v>4379027.8</v>
      </c>
      <c r="AA743" s="67">
        <f>N743+X743</f>
        <v>141345.20000000001</v>
      </c>
      <c r="AB743" s="67">
        <f>+D743-N743-X743</f>
        <v>4379027.8</v>
      </c>
      <c r="AC743" s="49" t="s">
        <v>303</v>
      </c>
      <c r="AD743" s="94">
        <f>+D735</f>
        <v>3500000</v>
      </c>
      <c r="AE743" s="94">
        <f>+E735</f>
        <v>3500000</v>
      </c>
      <c r="AF743" s="94">
        <f>+F735</f>
        <v>0</v>
      </c>
      <c r="AG743" s="94">
        <f>+AE743+AF743</f>
        <v>3500000</v>
      </c>
      <c r="AH743" s="94">
        <f>+L735</f>
        <v>0</v>
      </c>
      <c r="AI743" s="94">
        <f>+AG743+AH743</f>
        <v>3500000</v>
      </c>
      <c r="AJ743" s="94">
        <f>+O735</f>
        <v>0</v>
      </c>
      <c r="AK743" s="94">
        <f>+P735</f>
        <v>0</v>
      </c>
      <c r="AL743" s="94">
        <f>+AJ743+AK743</f>
        <v>0</v>
      </c>
      <c r="AM743" s="94">
        <f>+V735</f>
        <v>0</v>
      </c>
      <c r="AN743" s="94">
        <f>+AL743+AM743</f>
        <v>0</v>
      </c>
      <c r="AO743" s="94">
        <f>+AG743+AL743</f>
        <v>3500000</v>
      </c>
      <c r="AP743" s="94">
        <f>+AD743-AO743</f>
        <v>0</v>
      </c>
      <c r="AQ743" s="94">
        <f>+AD743-AI743-AN743</f>
        <v>0</v>
      </c>
    </row>
    <row r="744" spans="1:43" x14ac:dyDescent="0.25">
      <c r="A744" s="46"/>
      <c r="B744" s="30"/>
      <c r="C744" s="4"/>
      <c r="D744" s="70" t="s">
        <v>40</v>
      </c>
      <c r="E744" s="70" t="s">
        <v>40</v>
      </c>
      <c r="F744" s="70" t="s">
        <v>40</v>
      </c>
      <c r="G744" s="70"/>
      <c r="H744" s="70" t="s">
        <v>40</v>
      </c>
      <c r="I744" s="70" t="s">
        <v>40</v>
      </c>
      <c r="J744" s="70" t="s">
        <v>40</v>
      </c>
      <c r="K744" s="70" t="s">
        <v>40</v>
      </c>
      <c r="L744" s="70" t="s">
        <v>40</v>
      </c>
      <c r="M744" s="70"/>
      <c r="N744" s="70" t="s">
        <v>40</v>
      </c>
      <c r="O744" s="70" t="s">
        <v>40</v>
      </c>
      <c r="P744" s="70" t="s">
        <v>40</v>
      </c>
      <c r="Q744" s="70"/>
      <c r="R744" s="70" t="s">
        <v>40</v>
      </c>
      <c r="S744" s="70" t="s">
        <v>40</v>
      </c>
      <c r="T744" s="70" t="s">
        <v>40</v>
      </c>
      <c r="U744" s="70" t="s">
        <v>40</v>
      </c>
      <c r="V744" s="70" t="s">
        <v>40</v>
      </c>
      <c r="W744" s="70"/>
      <c r="X744" s="70" t="s">
        <v>40</v>
      </c>
      <c r="Y744" s="70" t="s">
        <v>40</v>
      </c>
      <c r="Z744" s="70" t="s">
        <v>40</v>
      </c>
      <c r="AA744" s="70" t="s">
        <v>40</v>
      </c>
      <c r="AB744" s="70" t="s">
        <v>40</v>
      </c>
      <c r="AC744" s="124" t="s">
        <v>315</v>
      </c>
      <c r="AD744" s="138">
        <f>+D708</f>
        <v>13000000</v>
      </c>
      <c r="AE744" s="94">
        <f>E708</f>
        <v>13000000</v>
      </c>
      <c r="AF744" s="94">
        <f>F708</f>
        <v>0</v>
      </c>
      <c r="AG744" s="94">
        <f>+AE744+AF744</f>
        <v>13000000</v>
      </c>
      <c r="AH744" s="94">
        <f>L708</f>
        <v>0</v>
      </c>
      <c r="AI744" s="94">
        <f>+AG744+AH744</f>
        <v>13000000</v>
      </c>
      <c r="AJ744" s="94">
        <f>O708</f>
        <v>0</v>
      </c>
      <c r="AK744" s="94">
        <f>P708</f>
        <v>0</v>
      </c>
      <c r="AL744" s="94">
        <f>+AJ744+AK744</f>
        <v>0</v>
      </c>
      <c r="AM744" s="94">
        <f>V708</f>
        <v>0</v>
      </c>
      <c r="AN744" s="94">
        <f>+AL744+AM744</f>
        <v>0</v>
      </c>
      <c r="AO744" s="94">
        <f>+AG744+AL744</f>
        <v>13000000</v>
      </c>
      <c r="AP744" s="94">
        <f>+AD744-AO744</f>
        <v>0</v>
      </c>
      <c r="AQ744" s="94">
        <f>+AD744-AI744-AN744</f>
        <v>0</v>
      </c>
    </row>
    <row r="745" spans="1:43" x14ac:dyDescent="0.25">
      <c r="A745" s="46"/>
      <c r="B745" s="26"/>
      <c r="C745" s="4"/>
      <c r="D745" s="67">
        <f t="shared" ref="D745:AB745" si="268">SUM(D741:D743)</f>
        <v>10893115.370000001</v>
      </c>
      <c r="E745" s="67">
        <f t="shared" si="268"/>
        <v>2049304.5</v>
      </c>
      <c r="F745" s="67">
        <f t="shared" si="268"/>
        <v>0</v>
      </c>
      <c r="G745" s="67"/>
      <c r="H745" s="67">
        <f t="shared" si="268"/>
        <v>2049304.5</v>
      </c>
      <c r="I745" s="67">
        <f t="shared" si="268"/>
        <v>0</v>
      </c>
      <c r="J745" s="67">
        <f t="shared" si="268"/>
        <v>0</v>
      </c>
      <c r="K745" s="67">
        <f t="shared" si="268"/>
        <v>0</v>
      </c>
      <c r="L745" s="67">
        <f t="shared" si="268"/>
        <v>0</v>
      </c>
      <c r="M745" s="67"/>
      <c r="N745" s="67">
        <f t="shared" si="268"/>
        <v>2049304.5</v>
      </c>
      <c r="O745" s="67">
        <f t="shared" si="268"/>
        <v>141345.20000000001</v>
      </c>
      <c r="P745" s="67">
        <f t="shared" si="268"/>
        <v>0</v>
      </c>
      <c r="Q745" s="67"/>
      <c r="R745" s="67">
        <f t="shared" si="268"/>
        <v>141345.20000000001</v>
      </c>
      <c r="S745" s="67">
        <f t="shared" si="268"/>
        <v>0</v>
      </c>
      <c r="T745" s="67">
        <f t="shared" si="268"/>
        <v>0</v>
      </c>
      <c r="U745" s="67">
        <f t="shared" si="268"/>
        <v>0</v>
      </c>
      <c r="V745" s="67">
        <f t="shared" si="268"/>
        <v>0</v>
      </c>
      <c r="W745" s="67"/>
      <c r="X745" s="67">
        <f t="shared" si="268"/>
        <v>141345.20000000001</v>
      </c>
      <c r="Y745" s="67">
        <f t="shared" si="268"/>
        <v>2190649.7000000002</v>
      </c>
      <c r="Z745" s="67">
        <f t="shared" si="268"/>
        <v>8702465.6699999999</v>
      </c>
      <c r="AA745" s="67">
        <f t="shared" si="268"/>
        <v>2190649.7000000002</v>
      </c>
      <c r="AB745" s="67">
        <f t="shared" si="268"/>
        <v>8702465.6699999999</v>
      </c>
      <c r="AC745" s="49" t="s">
        <v>47</v>
      </c>
      <c r="AD745" s="94">
        <f>D673+D680+D689+D698+D706+D715+D726+D733+D741+D748</f>
        <v>86237341.320000008</v>
      </c>
      <c r="AE745" s="94">
        <f>E673+E680+E689+E698+E706+E715+E726+E733+E741+E748</f>
        <v>0</v>
      </c>
      <c r="AF745" s="94">
        <f>F673+F680+F689+F698+F706+F715+F726+F733+F741+F748</f>
        <v>0</v>
      </c>
      <c r="AG745" s="94">
        <f>+AE745+AF745</f>
        <v>0</v>
      </c>
      <c r="AH745" s="94">
        <f>L673+L680+L689+L698+L706+L715+L726+L733+L741+L748</f>
        <v>0</v>
      </c>
      <c r="AI745" s="94">
        <f>+AG745+AH745</f>
        <v>0</v>
      </c>
      <c r="AJ745" s="94">
        <f>O673+O680+O689+O698+O706+O715+O726+O733+O741+O748</f>
        <v>3792080.96</v>
      </c>
      <c r="AK745" s="94">
        <f>P673+P680+P689+P698+P706+P715+P726+P733+P741+P748</f>
        <v>0</v>
      </c>
      <c r="AL745" s="94">
        <f>+AJ745+AK745</f>
        <v>3792080.96</v>
      </c>
      <c r="AM745" s="94">
        <f>V673+V680+V689+V698+V706+V715+V726+V733+V741+V748</f>
        <v>0</v>
      </c>
      <c r="AN745" s="94">
        <f>+AL745+AM745</f>
        <v>3792080.96</v>
      </c>
      <c r="AO745" s="94">
        <f>+AG745+AL745</f>
        <v>3792080.96</v>
      </c>
      <c r="AP745" s="94">
        <f>+AD745-AO745</f>
        <v>82445260.360000014</v>
      </c>
      <c r="AQ745" s="94">
        <f>+AD745-AI745-AN745</f>
        <v>82445260.360000014</v>
      </c>
    </row>
    <row r="746" spans="1:43" x14ac:dyDescent="0.25">
      <c r="A746" s="46"/>
      <c r="B746" s="26"/>
      <c r="C746" s="4"/>
      <c r="D746" s="70" t="s">
        <v>40</v>
      </c>
      <c r="E746" s="70" t="s">
        <v>40</v>
      </c>
      <c r="F746" s="70" t="s">
        <v>40</v>
      </c>
      <c r="G746" s="70"/>
      <c r="H746" s="70" t="s">
        <v>40</v>
      </c>
      <c r="I746" s="70" t="s">
        <v>40</v>
      </c>
      <c r="J746" s="70" t="s">
        <v>40</v>
      </c>
      <c r="K746" s="70" t="s">
        <v>40</v>
      </c>
      <c r="L746" s="70" t="s">
        <v>40</v>
      </c>
      <c r="M746" s="70"/>
      <c r="N746" s="70" t="s">
        <v>40</v>
      </c>
      <c r="O746" s="70" t="s">
        <v>40</v>
      </c>
      <c r="P746" s="70" t="s">
        <v>40</v>
      </c>
      <c r="Q746" s="70"/>
      <c r="R746" s="70" t="s">
        <v>40</v>
      </c>
      <c r="S746" s="70" t="s">
        <v>40</v>
      </c>
      <c r="T746" s="70" t="s">
        <v>40</v>
      </c>
      <c r="U746" s="70" t="s">
        <v>40</v>
      </c>
      <c r="V746" s="70" t="s">
        <v>40</v>
      </c>
      <c r="W746" s="70"/>
      <c r="X746" s="70" t="s">
        <v>40</v>
      </c>
      <c r="Y746" s="70" t="s">
        <v>40</v>
      </c>
      <c r="Z746" s="70" t="s">
        <v>40</v>
      </c>
      <c r="AA746" s="70" t="s">
        <v>40</v>
      </c>
      <c r="AB746" s="70" t="s">
        <v>40</v>
      </c>
      <c r="AC746" s="49" t="s">
        <v>36</v>
      </c>
      <c r="AD746" s="94">
        <f>D681+D690+D699+D707+D716+D727+D734+D742+D749</f>
        <v>20610119.5</v>
      </c>
      <c r="AE746" s="94">
        <f>E681+E690+E699+E707+E716+E727+E734+E742+E749</f>
        <v>20610119.5</v>
      </c>
      <c r="AF746" s="94">
        <f>F681+F690+F699+F707+F716+F727+F734+F742+F749</f>
        <v>0</v>
      </c>
      <c r="AG746" s="94">
        <f t="shared" ref="AG746:AG753" si="269">+AE746+AF746</f>
        <v>20610119.5</v>
      </c>
      <c r="AH746" s="94">
        <f>L681+L690+L699+L707+L716+L727+L734+L742+L749</f>
        <v>0</v>
      </c>
      <c r="AI746" s="94">
        <f t="shared" ref="AI746:AI753" si="270">+AG746+AH746</f>
        <v>20610119.5</v>
      </c>
      <c r="AJ746" s="94">
        <f>O681+O690+O699+O707+O716+O727+O734+O742+O749</f>
        <v>0</v>
      </c>
      <c r="AK746" s="94">
        <f>P681+P690+P699+P707+P716+P727+P734+P742+P749</f>
        <v>0</v>
      </c>
      <c r="AL746" s="94">
        <f t="shared" ref="AL746:AL753" si="271">+AJ746+AK746</f>
        <v>0</v>
      </c>
      <c r="AM746" s="94">
        <f>V681+V690+V699+V707+V716+V727+V734+V742+V749</f>
        <v>0</v>
      </c>
      <c r="AN746" s="94">
        <f t="shared" ref="AN746:AN753" si="272">+AL746+AM746</f>
        <v>0</v>
      </c>
      <c r="AO746" s="94">
        <f t="shared" ref="AO746:AO753" si="273">+AG746+AL746</f>
        <v>20610119.5</v>
      </c>
      <c r="AP746" s="94">
        <f t="shared" ref="AP746:AP753" si="274">+AD746-AO746</f>
        <v>0</v>
      </c>
      <c r="AQ746" s="94">
        <f t="shared" ref="AQ746:AQ753" si="275">+AD746-AI746-AN746</f>
        <v>0</v>
      </c>
    </row>
    <row r="747" spans="1:43" x14ac:dyDescent="0.25">
      <c r="A747" s="46"/>
      <c r="B747" s="26"/>
      <c r="C747" s="4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49" t="s">
        <v>183</v>
      </c>
      <c r="AD747" s="94">
        <f>D674+D691+D700+D709</f>
        <v>28073863.18</v>
      </c>
      <c r="AE747" s="94">
        <f>E674+E691+E700+E709</f>
        <v>0</v>
      </c>
      <c r="AF747" s="94">
        <f>F674+F691+F700+F709</f>
        <v>0</v>
      </c>
      <c r="AG747" s="94">
        <f t="shared" si="269"/>
        <v>0</v>
      </c>
      <c r="AH747" s="94">
        <f>L674+L691+L700+L709</f>
        <v>0</v>
      </c>
      <c r="AI747" s="94">
        <f t="shared" si="270"/>
        <v>0</v>
      </c>
      <c r="AJ747" s="94">
        <f>O674+O691+O700+O709</f>
        <v>0</v>
      </c>
      <c r="AK747" s="94">
        <f>P674+P691+P700+P709</f>
        <v>0</v>
      </c>
      <c r="AL747" s="94">
        <f t="shared" si="271"/>
        <v>0</v>
      </c>
      <c r="AM747" s="94">
        <f>V674+V691+V700+V709</f>
        <v>0</v>
      </c>
      <c r="AN747" s="94">
        <f t="shared" si="272"/>
        <v>0</v>
      </c>
      <c r="AO747" s="94">
        <f t="shared" si="273"/>
        <v>0</v>
      </c>
      <c r="AP747" s="94">
        <f t="shared" si="274"/>
        <v>28073863.18</v>
      </c>
      <c r="AQ747" s="94">
        <f t="shared" si="275"/>
        <v>28073863.18</v>
      </c>
    </row>
    <row r="748" spans="1:43" x14ac:dyDescent="0.25">
      <c r="A748" s="46">
        <v>77</v>
      </c>
      <c r="B748" s="23" t="s">
        <v>104</v>
      </c>
      <c r="C748" s="2" t="s">
        <v>35</v>
      </c>
      <c r="D748" s="67">
        <v>3253335.64</v>
      </c>
      <c r="E748" s="67">
        <v>0</v>
      </c>
      <c r="F748" s="68"/>
      <c r="G748" s="68"/>
      <c r="H748" s="67">
        <f>E748+F748</f>
        <v>0</v>
      </c>
      <c r="I748" s="68"/>
      <c r="J748" s="68"/>
      <c r="K748" s="68"/>
      <c r="L748" s="67"/>
      <c r="M748" s="67"/>
      <c r="N748" s="67">
        <f>H748+L748</f>
        <v>0</v>
      </c>
      <c r="O748" s="67">
        <v>0</v>
      </c>
      <c r="P748" s="68"/>
      <c r="Q748" s="68"/>
      <c r="R748" s="67">
        <f>O748+P748</f>
        <v>0</v>
      </c>
      <c r="S748" s="68"/>
      <c r="T748" s="68"/>
      <c r="U748" s="68"/>
      <c r="V748" s="67"/>
      <c r="W748" s="67"/>
      <c r="X748" s="67">
        <f>R748+V748</f>
        <v>0</v>
      </c>
      <c r="Y748" s="67">
        <f>R748+H748</f>
        <v>0</v>
      </c>
      <c r="Z748" s="67">
        <f>D748-Y748</f>
        <v>3253335.64</v>
      </c>
      <c r="AA748" s="67">
        <f>N748+X748</f>
        <v>0</v>
      </c>
      <c r="AB748" s="67">
        <f>+D748-N748-X748</f>
        <v>3253335.64</v>
      </c>
      <c r="AC748" s="49" t="s">
        <v>184</v>
      </c>
      <c r="AD748" s="94">
        <f>D692+D701+D710</f>
        <v>279099.94</v>
      </c>
      <c r="AE748" s="94">
        <f>E692+E701+E710</f>
        <v>0</v>
      </c>
      <c r="AF748" s="94">
        <f>F692+F701+F710</f>
        <v>0</v>
      </c>
      <c r="AG748" s="94">
        <f t="shared" si="269"/>
        <v>0</v>
      </c>
      <c r="AH748" s="94">
        <f>L692+L701+L710</f>
        <v>0</v>
      </c>
      <c r="AI748" s="94">
        <f t="shared" si="270"/>
        <v>0</v>
      </c>
      <c r="AJ748" s="94">
        <f>O692+O701+O710</f>
        <v>0</v>
      </c>
      <c r="AK748" s="94">
        <f>P692+P701+P710</f>
        <v>0</v>
      </c>
      <c r="AL748" s="94">
        <f t="shared" si="271"/>
        <v>0</v>
      </c>
      <c r="AM748" s="94">
        <f>V692+V701+V710</f>
        <v>0</v>
      </c>
      <c r="AN748" s="94">
        <f t="shared" si="272"/>
        <v>0</v>
      </c>
      <c r="AO748" s="94">
        <f t="shared" si="273"/>
        <v>0</v>
      </c>
      <c r="AP748" s="94">
        <f t="shared" si="274"/>
        <v>279099.94</v>
      </c>
      <c r="AQ748" s="94">
        <f t="shared" si="275"/>
        <v>279099.94</v>
      </c>
    </row>
    <row r="749" spans="1:43" x14ac:dyDescent="0.25">
      <c r="A749" s="46"/>
      <c r="B749" s="26"/>
      <c r="C749" s="3" t="s">
        <v>36</v>
      </c>
      <c r="D749" s="67">
        <f>2041693+326197+2500000</f>
        <v>4867890</v>
      </c>
      <c r="E749" s="67">
        <f>2041693+326197+2500000</f>
        <v>4867890</v>
      </c>
      <c r="F749" s="68"/>
      <c r="G749" s="68"/>
      <c r="H749" s="67">
        <f>E749+F749</f>
        <v>4867890</v>
      </c>
      <c r="I749" s="68"/>
      <c r="J749" s="68"/>
      <c r="K749" s="68"/>
      <c r="L749" s="67"/>
      <c r="M749" s="67"/>
      <c r="N749" s="67">
        <f>H749+L749</f>
        <v>4867890</v>
      </c>
      <c r="O749" s="67">
        <v>0</v>
      </c>
      <c r="P749" s="68"/>
      <c r="Q749" s="68"/>
      <c r="R749" s="67">
        <f>O749+P749</f>
        <v>0</v>
      </c>
      <c r="S749" s="68"/>
      <c r="T749" s="68"/>
      <c r="U749" s="68"/>
      <c r="V749" s="67"/>
      <c r="W749" s="67"/>
      <c r="X749" s="67">
        <f>R749+V749</f>
        <v>0</v>
      </c>
      <c r="Y749" s="67">
        <f>R749+H749</f>
        <v>4867890</v>
      </c>
      <c r="Z749" s="67">
        <f>D749-Y749</f>
        <v>0</v>
      </c>
      <c r="AA749" s="67">
        <f>N749+X749</f>
        <v>4867890</v>
      </c>
      <c r="AB749" s="67">
        <f>+D749-N749-X749</f>
        <v>0</v>
      </c>
      <c r="AC749" s="49" t="s">
        <v>38</v>
      </c>
      <c r="AD749" s="94">
        <f>D675+D736+D743</f>
        <v>10066073</v>
      </c>
      <c r="AE749" s="94">
        <f>E675+E736+E743</f>
        <v>0</v>
      </c>
      <c r="AF749" s="94">
        <f>F675+F736+F743</f>
        <v>0</v>
      </c>
      <c r="AG749" s="94">
        <f t="shared" si="269"/>
        <v>0</v>
      </c>
      <c r="AH749" s="94">
        <f>L675+L736+L743</f>
        <v>0</v>
      </c>
      <c r="AI749" s="94">
        <f t="shared" si="270"/>
        <v>0</v>
      </c>
      <c r="AJ749" s="94">
        <f>O675+O736+O743</f>
        <v>141345.20000000001</v>
      </c>
      <c r="AK749" s="94">
        <f>P675+P736+P743</f>
        <v>0</v>
      </c>
      <c r="AL749" s="94">
        <f t="shared" si="271"/>
        <v>141345.20000000001</v>
      </c>
      <c r="AM749" s="94">
        <f>V675+V736+V743</f>
        <v>0</v>
      </c>
      <c r="AN749" s="94">
        <f t="shared" si="272"/>
        <v>141345.20000000001</v>
      </c>
      <c r="AO749" s="94">
        <f t="shared" si="273"/>
        <v>141345.20000000001</v>
      </c>
      <c r="AP749" s="94">
        <f t="shared" si="274"/>
        <v>9924727.8000000007</v>
      </c>
      <c r="AQ749" s="94">
        <f t="shared" si="275"/>
        <v>9924727.8000000007</v>
      </c>
    </row>
    <row r="750" spans="1:43" x14ac:dyDescent="0.25">
      <c r="A750" s="46"/>
      <c r="B750" s="26"/>
      <c r="C750" s="4"/>
      <c r="D750" s="70" t="s">
        <v>40</v>
      </c>
      <c r="E750" s="70" t="s">
        <v>40</v>
      </c>
      <c r="F750" s="70" t="s">
        <v>40</v>
      </c>
      <c r="G750" s="70"/>
      <c r="H750" s="70" t="s">
        <v>40</v>
      </c>
      <c r="I750" s="70" t="s">
        <v>40</v>
      </c>
      <c r="J750" s="70" t="s">
        <v>40</v>
      </c>
      <c r="K750" s="70" t="s">
        <v>40</v>
      </c>
      <c r="L750" s="70" t="s">
        <v>40</v>
      </c>
      <c r="M750" s="70"/>
      <c r="N750" s="70" t="s">
        <v>40</v>
      </c>
      <c r="O750" s="70" t="s">
        <v>40</v>
      </c>
      <c r="P750" s="70" t="s">
        <v>40</v>
      </c>
      <c r="Q750" s="70"/>
      <c r="R750" s="70" t="s">
        <v>40</v>
      </c>
      <c r="S750" s="70" t="s">
        <v>40</v>
      </c>
      <c r="T750" s="70" t="s">
        <v>40</v>
      </c>
      <c r="U750" s="70" t="s">
        <v>40</v>
      </c>
      <c r="V750" s="70" t="s">
        <v>40</v>
      </c>
      <c r="W750" s="70"/>
      <c r="X750" s="70" t="s">
        <v>40</v>
      </c>
      <c r="Y750" s="70" t="s">
        <v>40</v>
      </c>
      <c r="Z750" s="70" t="s">
        <v>40</v>
      </c>
      <c r="AA750" s="70" t="s">
        <v>40</v>
      </c>
      <c r="AB750" s="70" t="s">
        <v>40</v>
      </c>
      <c r="AC750" s="49" t="s">
        <v>264</v>
      </c>
      <c r="AD750" s="94">
        <f>D682+D728</f>
        <v>2181839.42</v>
      </c>
      <c r="AE750" s="94">
        <f>E682+E728</f>
        <v>0</v>
      </c>
      <c r="AF750" s="94">
        <f>F682+F728</f>
        <v>0</v>
      </c>
      <c r="AG750" s="94">
        <f t="shared" si="269"/>
        <v>0</v>
      </c>
      <c r="AH750" s="94">
        <f>L682+L728</f>
        <v>0</v>
      </c>
      <c r="AI750" s="94">
        <f t="shared" si="270"/>
        <v>0</v>
      </c>
      <c r="AJ750" s="94">
        <f>O682+O728</f>
        <v>0</v>
      </c>
      <c r="AK750" s="94">
        <f>P682+P728</f>
        <v>0</v>
      </c>
      <c r="AL750" s="94">
        <f t="shared" si="271"/>
        <v>0</v>
      </c>
      <c r="AM750" s="94">
        <f>V682+V728</f>
        <v>0</v>
      </c>
      <c r="AN750" s="94">
        <f t="shared" si="272"/>
        <v>0</v>
      </c>
      <c r="AO750" s="94">
        <f t="shared" si="273"/>
        <v>0</v>
      </c>
      <c r="AP750" s="94">
        <f t="shared" si="274"/>
        <v>2181839.42</v>
      </c>
      <c r="AQ750" s="94">
        <f t="shared" si="275"/>
        <v>2181839.42</v>
      </c>
    </row>
    <row r="751" spans="1:43" x14ac:dyDescent="0.25">
      <c r="A751" s="46"/>
      <c r="B751" s="26"/>
      <c r="C751" s="4"/>
      <c r="D751" s="67">
        <f t="shared" ref="D751:AB751" si="276">D748+D749</f>
        <v>8121225.6400000006</v>
      </c>
      <c r="E751" s="67">
        <f t="shared" si="276"/>
        <v>4867890</v>
      </c>
      <c r="F751" s="67">
        <f t="shared" si="276"/>
        <v>0</v>
      </c>
      <c r="G751" s="67"/>
      <c r="H751" s="67">
        <f t="shared" si="276"/>
        <v>4867890</v>
      </c>
      <c r="I751" s="67">
        <f t="shared" si="276"/>
        <v>0</v>
      </c>
      <c r="J751" s="67">
        <f t="shared" si="276"/>
        <v>0</v>
      </c>
      <c r="K751" s="67">
        <f t="shared" si="276"/>
        <v>0</v>
      </c>
      <c r="L751" s="67">
        <f t="shared" si="276"/>
        <v>0</v>
      </c>
      <c r="M751" s="67"/>
      <c r="N751" s="67">
        <f t="shared" si="276"/>
        <v>4867890</v>
      </c>
      <c r="O751" s="67">
        <f t="shared" si="276"/>
        <v>0</v>
      </c>
      <c r="P751" s="67">
        <f t="shared" si="276"/>
        <v>0</v>
      </c>
      <c r="Q751" s="67"/>
      <c r="R751" s="67">
        <f t="shared" si="276"/>
        <v>0</v>
      </c>
      <c r="S751" s="67">
        <f t="shared" si="276"/>
        <v>0</v>
      </c>
      <c r="T751" s="67">
        <f t="shared" si="276"/>
        <v>0</v>
      </c>
      <c r="U751" s="67">
        <f t="shared" si="276"/>
        <v>0</v>
      </c>
      <c r="V751" s="67">
        <f t="shared" si="276"/>
        <v>0</v>
      </c>
      <c r="W751" s="67"/>
      <c r="X751" s="67">
        <f t="shared" si="276"/>
        <v>0</v>
      </c>
      <c r="Y751" s="67">
        <f t="shared" si="276"/>
        <v>4867890</v>
      </c>
      <c r="Z751" s="67">
        <f t="shared" si="276"/>
        <v>3253335.64</v>
      </c>
      <c r="AA751" s="67">
        <f t="shared" si="276"/>
        <v>4867890</v>
      </c>
      <c r="AB751" s="67">
        <f t="shared" si="276"/>
        <v>3253335.64</v>
      </c>
      <c r="AC751" s="49" t="s">
        <v>53</v>
      </c>
      <c r="AD751" s="94">
        <f t="shared" ref="AD751:AF752" si="277">D683+D718</f>
        <v>7022706.3499999996</v>
      </c>
      <c r="AE751" s="94">
        <f t="shared" si="277"/>
        <v>0</v>
      </c>
      <c r="AF751" s="94">
        <f t="shared" si="277"/>
        <v>0</v>
      </c>
      <c r="AG751" s="94">
        <f t="shared" si="269"/>
        <v>0</v>
      </c>
      <c r="AH751" s="94">
        <f>L683+L718</f>
        <v>0</v>
      </c>
      <c r="AI751" s="94">
        <f t="shared" si="270"/>
        <v>0</v>
      </c>
      <c r="AJ751" s="94">
        <f>O683+O718</f>
        <v>5011066.59</v>
      </c>
      <c r="AK751" s="94">
        <f>P683+P718</f>
        <v>0</v>
      </c>
      <c r="AL751" s="94">
        <f t="shared" si="271"/>
        <v>5011066.59</v>
      </c>
      <c r="AM751" s="94">
        <f>V683+V718</f>
        <v>0</v>
      </c>
      <c r="AN751" s="94">
        <f t="shared" si="272"/>
        <v>5011066.59</v>
      </c>
      <c r="AO751" s="94">
        <f t="shared" si="273"/>
        <v>5011066.59</v>
      </c>
      <c r="AP751" s="94">
        <f t="shared" si="274"/>
        <v>2011639.7599999998</v>
      </c>
      <c r="AQ751" s="94">
        <f t="shared" si="275"/>
        <v>2011639.7599999998</v>
      </c>
    </row>
    <row r="752" spans="1:43" x14ac:dyDescent="0.25">
      <c r="A752" s="46"/>
      <c r="B752" s="26"/>
      <c r="C752" s="4"/>
      <c r="D752" s="70" t="s">
        <v>40</v>
      </c>
      <c r="E752" s="70" t="s">
        <v>40</v>
      </c>
      <c r="F752" s="70" t="s">
        <v>40</v>
      </c>
      <c r="G752" s="70"/>
      <c r="H752" s="70" t="s">
        <v>40</v>
      </c>
      <c r="I752" s="70" t="s">
        <v>40</v>
      </c>
      <c r="J752" s="70" t="s">
        <v>40</v>
      </c>
      <c r="K752" s="70" t="s">
        <v>40</v>
      </c>
      <c r="L752" s="70" t="s">
        <v>40</v>
      </c>
      <c r="M752" s="70"/>
      <c r="N752" s="70" t="s">
        <v>40</v>
      </c>
      <c r="O752" s="70" t="s">
        <v>40</v>
      </c>
      <c r="P752" s="70" t="s">
        <v>40</v>
      </c>
      <c r="Q752" s="70"/>
      <c r="R752" s="70" t="s">
        <v>40</v>
      </c>
      <c r="S752" s="70" t="s">
        <v>40</v>
      </c>
      <c r="T752" s="70" t="s">
        <v>40</v>
      </c>
      <c r="U752" s="70" t="s">
        <v>40</v>
      </c>
      <c r="V752" s="70" t="s">
        <v>40</v>
      </c>
      <c r="W752" s="70"/>
      <c r="X752" s="70" t="s">
        <v>40</v>
      </c>
      <c r="Y752" s="70" t="s">
        <v>40</v>
      </c>
      <c r="Z752" s="70" t="s">
        <v>40</v>
      </c>
      <c r="AA752" s="70" t="s">
        <v>40</v>
      </c>
      <c r="AB752" s="70" t="s">
        <v>40</v>
      </c>
      <c r="AC752" s="49" t="s">
        <v>54</v>
      </c>
      <c r="AD752" s="94">
        <f t="shared" si="277"/>
        <v>12132340.890000001</v>
      </c>
      <c r="AE752" s="94">
        <f t="shared" si="277"/>
        <v>0</v>
      </c>
      <c r="AF752" s="94">
        <f t="shared" si="277"/>
        <v>0</v>
      </c>
      <c r="AG752" s="94">
        <f t="shared" si="269"/>
        <v>0</v>
      </c>
      <c r="AH752" s="94">
        <f>L684+L719</f>
        <v>0</v>
      </c>
      <c r="AI752" s="94">
        <f t="shared" si="270"/>
        <v>0</v>
      </c>
      <c r="AJ752" s="94">
        <f>O684+O719</f>
        <v>5603896.2599999998</v>
      </c>
      <c r="AK752" s="94">
        <f>P684+P719</f>
        <v>0</v>
      </c>
      <c r="AL752" s="94">
        <f t="shared" si="271"/>
        <v>5603896.2599999998</v>
      </c>
      <c r="AM752" s="94">
        <f>V684+V719</f>
        <v>0</v>
      </c>
      <c r="AN752" s="94">
        <f t="shared" si="272"/>
        <v>5603896.2599999998</v>
      </c>
      <c r="AO752" s="94">
        <f t="shared" si="273"/>
        <v>5603896.2599999998</v>
      </c>
      <c r="AP752" s="94">
        <f t="shared" si="274"/>
        <v>6528444.6300000008</v>
      </c>
      <c r="AQ752" s="94">
        <f t="shared" si="275"/>
        <v>6528444.6300000008</v>
      </c>
    </row>
    <row r="753" spans="1:106" x14ac:dyDescent="0.25">
      <c r="A753" s="46"/>
      <c r="B753" s="26"/>
      <c r="C753" s="4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49" t="s">
        <v>261</v>
      </c>
      <c r="AD753" s="94">
        <f>+D693</f>
        <v>3406124</v>
      </c>
      <c r="AE753" s="94">
        <f>+E693</f>
        <v>3406124</v>
      </c>
      <c r="AF753" s="94">
        <f>+F693</f>
        <v>0</v>
      </c>
      <c r="AG753" s="94">
        <f t="shared" si="269"/>
        <v>3406124</v>
      </c>
      <c r="AH753" s="94">
        <f>+L693</f>
        <v>0</v>
      </c>
      <c r="AI753" s="94">
        <f t="shared" si="270"/>
        <v>3406124</v>
      </c>
      <c r="AJ753" s="94">
        <f>+O693</f>
        <v>0</v>
      </c>
      <c r="AK753" s="94">
        <f>+P693</f>
        <v>0</v>
      </c>
      <c r="AL753" s="94">
        <f t="shared" si="271"/>
        <v>0</v>
      </c>
      <c r="AM753" s="94">
        <f>+V693</f>
        <v>0</v>
      </c>
      <c r="AN753" s="94">
        <f t="shared" si="272"/>
        <v>0</v>
      </c>
      <c r="AO753" s="94">
        <f t="shared" si="273"/>
        <v>3406124</v>
      </c>
      <c r="AP753" s="94">
        <f t="shared" si="274"/>
        <v>0</v>
      </c>
      <c r="AQ753" s="94">
        <f t="shared" si="275"/>
        <v>0</v>
      </c>
    </row>
    <row r="754" spans="1:106" x14ac:dyDescent="0.25">
      <c r="A754" s="46"/>
      <c r="B754" s="37" t="s">
        <v>26</v>
      </c>
      <c r="C754" s="7" t="s">
        <v>94</v>
      </c>
      <c r="D754" s="67">
        <f>D751+D745+D738+D721+D712+D703+D695+D686+D677+D730</f>
        <v>188009507.59999996</v>
      </c>
      <c r="E754" s="67">
        <f>E751+E745+E738+E721+E712+E703+E695+E686+E677+E730</f>
        <v>40516243.5</v>
      </c>
      <c r="F754" s="67">
        <f>F751+F745+F738+F721+F712+F703+F695+F686+F677+F730</f>
        <v>1500000</v>
      </c>
      <c r="G754" s="67"/>
      <c r="H754" s="67">
        <f>H751+H745+H738+H721+H712+H703+H695+H686+H677+H730</f>
        <v>42016243.5</v>
      </c>
      <c r="I754" s="67">
        <f>I751+I745+I738+I721+I712+I703+I695+I686+I677+I730</f>
        <v>0</v>
      </c>
      <c r="J754" s="67">
        <f>J751+J745+J738+J721+J712+J703+J695+J686+J677+J730</f>
        <v>0</v>
      </c>
      <c r="K754" s="67">
        <f>K751+K745+K738+K721+K712+K703+K695+K686+K677+K730</f>
        <v>0</v>
      </c>
      <c r="L754" s="67">
        <f>L751+L745+L738+L721+L712+L703+L695+L686+L677+L730</f>
        <v>0</v>
      </c>
      <c r="M754" s="67"/>
      <c r="N754" s="67">
        <f>N751+N745+N738+N721+N712+N703+N695+N686+N677+N730</f>
        <v>42016243.5</v>
      </c>
      <c r="O754" s="67">
        <f>O751+O745+O738+O721+O712+O703+O695+O686+O677+O730</f>
        <v>14548389.01</v>
      </c>
      <c r="P754" s="67">
        <f>P751+P745+P738+P721+P712+P703+P695+P686+P677+P730</f>
        <v>0</v>
      </c>
      <c r="Q754" s="67"/>
      <c r="R754" s="67">
        <f>R751+R745+R738+R721+R712+R703+R695+R686+R677+R730</f>
        <v>14548389.01</v>
      </c>
      <c r="S754" s="67">
        <f>S751+S745+S738+S721+S712+S703+S695+S686+S677+S730</f>
        <v>0</v>
      </c>
      <c r="T754" s="67">
        <f>T751+T745+T738+T721+T712+T703+T695+T686+T677+T730</f>
        <v>0</v>
      </c>
      <c r="U754" s="67">
        <f>U751+U745+U738+U721+U712+U703+U695+U686+U677+U730</f>
        <v>0</v>
      </c>
      <c r="V754" s="67">
        <f>V751+V745+V738+V721+V712+V703+V695+V686+V677+V730</f>
        <v>0</v>
      </c>
      <c r="W754" s="67"/>
      <c r="X754" s="67">
        <f>X751+X745+X738+X721+X712+X703+X695+X686+X677+X730</f>
        <v>14548389.01</v>
      </c>
      <c r="Y754" s="67">
        <f>Y751+Y745+Y738+Y721+Y712+Y703+Y695+Y686+Y677+Y730</f>
        <v>56564632.510000005</v>
      </c>
      <c r="Z754" s="67">
        <f>Z751+Z745+Z738+Z721+Z712+Z703+Z695+Z686+Z677+Z730</f>
        <v>131444875.08999999</v>
      </c>
      <c r="AA754" s="67">
        <f>AA751+AA745+AA738+AA721+AA712+AA703+AA695+AA686+AA677+AA730</f>
        <v>56564632.510000005</v>
      </c>
      <c r="AB754" s="67">
        <f>AB751+AB745+AB738+AB721+AB712+AB703+AB695+AB686+AB677+AB730</f>
        <v>131444875.08999999</v>
      </c>
      <c r="AD754" s="95">
        <f>SUM(AD742:AD753)</f>
        <v>188009507.59999996</v>
      </c>
      <c r="AE754" s="95">
        <f t="shared" ref="AE754:AQ754" si="278">SUM(AE742:AE753)</f>
        <v>40516243.5</v>
      </c>
      <c r="AF754" s="95">
        <f t="shared" si="278"/>
        <v>1500000</v>
      </c>
      <c r="AG754" s="95">
        <f t="shared" si="278"/>
        <v>42016243.5</v>
      </c>
      <c r="AH754" s="95">
        <f t="shared" si="278"/>
        <v>0</v>
      </c>
      <c r="AI754" s="95">
        <f t="shared" si="278"/>
        <v>42016243.5</v>
      </c>
      <c r="AJ754" s="95">
        <f t="shared" si="278"/>
        <v>14548389.01</v>
      </c>
      <c r="AK754" s="95">
        <f t="shared" si="278"/>
        <v>0</v>
      </c>
      <c r="AL754" s="95">
        <f t="shared" si="278"/>
        <v>14548389.01</v>
      </c>
      <c r="AM754" s="95">
        <f t="shared" si="278"/>
        <v>0</v>
      </c>
      <c r="AN754" s="95">
        <f t="shared" si="278"/>
        <v>14548389.01</v>
      </c>
      <c r="AO754" s="95">
        <f t="shared" si="278"/>
        <v>56564632.509999998</v>
      </c>
      <c r="AP754" s="95">
        <f t="shared" si="278"/>
        <v>131444875.09000002</v>
      </c>
      <c r="AQ754" s="95">
        <f t="shared" si="278"/>
        <v>131444875.09000002</v>
      </c>
    </row>
    <row r="755" spans="1:106" x14ac:dyDescent="0.25">
      <c r="A755" s="46"/>
      <c r="B755" s="26"/>
      <c r="C755" s="4"/>
      <c r="D755" s="70" t="s">
        <v>50</v>
      </c>
      <c r="E755" s="70" t="s">
        <v>50</v>
      </c>
      <c r="F755" s="70" t="s">
        <v>50</v>
      </c>
      <c r="G755" s="70"/>
      <c r="H755" s="70" t="s">
        <v>50</v>
      </c>
      <c r="I755" s="70" t="s">
        <v>50</v>
      </c>
      <c r="J755" s="70" t="s">
        <v>50</v>
      </c>
      <c r="K755" s="70" t="s">
        <v>50</v>
      </c>
      <c r="L755" s="70" t="s">
        <v>50</v>
      </c>
      <c r="M755" s="70"/>
      <c r="N755" s="70" t="s">
        <v>50</v>
      </c>
      <c r="O755" s="70" t="s">
        <v>50</v>
      </c>
      <c r="P755" s="70" t="s">
        <v>50</v>
      </c>
      <c r="Q755" s="70"/>
      <c r="R755" s="70" t="s">
        <v>50</v>
      </c>
      <c r="S755" s="70" t="s">
        <v>50</v>
      </c>
      <c r="T755" s="70" t="s">
        <v>50</v>
      </c>
      <c r="U755" s="70" t="s">
        <v>50</v>
      </c>
      <c r="V755" s="70" t="s">
        <v>50</v>
      </c>
      <c r="W755" s="70"/>
      <c r="X755" s="70" t="s">
        <v>50</v>
      </c>
      <c r="Y755" s="70" t="s">
        <v>50</v>
      </c>
      <c r="Z755" s="70" t="s">
        <v>50</v>
      </c>
      <c r="AA755" s="70" t="s">
        <v>50</v>
      </c>
      <c r="AB755" s="70" t="s">
        <v>50</v>
      </c>
    </row>
    <row r="756" spans="1:106" s="4" customFormat="1" x14ac:dyDescent="0.25">
      <c r="A756" s="46"/>
      <c r="B756" s="26"/>
      <c r="C756" s="20"/>
      <c r="D756" s="75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/>
      <c r="AD756" s="94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</row>
    <row r="757" spans="1:106" ht="19.5" x14ac:dyDescent="0.35">
      <c r="A757" s="46"/>
      <c r="B757" s="48" t="s">
        <v>210</v>
      </c>
      <c r="C757" s="4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</row>
    <row r="758" spans="1:106" x14ac:dyDescent="0.25">
      <c r="A758" s="46"/>
      <c r="B758" s="26"/>
      <c r="C758" s="4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</row>
    <row r="759" spans="1:106" x14ac:dyDescent="0.25">
      <c r="A759" s="46">
        <v>78</v>
      </c>
      <c r="B759" s="26" t="s">
        <v>349</v>
      </c>
      <c r="C759" s="2" t="s">
        <v>35</v>
      </c>
      <c r="D759" s="68">
        <v>0</v>
      </c>
      <c r="E759" s="75"/>
      <c r="F759" s="68"/>
      <c r="G759" s="68"/>
      <c r="H759" s="67">
        <f>+E759+F759</f>
        <v>0</v>
      </c>
      <c r="I759" s="68"/>
      <c r="J759" s="68"/>
      <c r="K759" s="68"/>
      <c r="L759" s="68"/>
      <c r="M759" s="68"/>
      <c r="N759" s="67">
        <f>H759+L759</f>
        <v>0</v>
      </c>
      <c r="O759" s="68"/>
      <c r="P759" s="68"/>
      <c r="Q759" s="68"/>
      <c r="R759" s="67">
        <f>O759+P759</f>
        <v>0</v>
      </c>
      <c r="S759" s="68"/>
      <c r="T759" s="68"/>
      <c r="U759" s="68"/>
      <c r="V759" s="68"/>
      <c r="W759" s="68"/>
      <c r="X759" s="67">
        <f>R759+V759</f>
        <v>0</v>
      </c>
      <c r="Y759" s="67">
        <f>R759+H759</f>
        <v>0</v>
      </c>
      <c r="Z759" s="67">
        <f>D759-Y759</f>
        <v>0</v>
      </c>
      <c r="AA759" s="67">
        <f>N759+X759</f>
        <v>0</v>
      </c>
      <c r="AB759" s="67">
        <f>+D759-N759-X759</f>
        <v>0</v>
      </c>
    </row>
    <row r="760" spans="1:106" ht="15.75" customHeight="1" x14ac:dyDescent="0.25">
      <c r="A760" s="46"/>
      <c r="B760" s="26"/>
      <c r="C760" s="4" t="s">
        <v>36</v>
      </c>
      <c r="D760" s="68">
        <v>1870946</v>
      </c>
      <c r="E760" s="68">
        <v>1870946</v>
      </c>
      <c r="F760" s="68"/>
      <c r="G760" s="68"/>
      <c r="H760" s="67">
        <f>+E760+F760</f>
        <v>1870946</v>
      </c>
      <c r="I760" s="68"/>
      <c r="J760" s="68"/>
      <c r="K760" s="68"/>
      <c r="L760" s="68"/>
      <c r="M760" s="68"/>
      <c r="N760" s="67">
        <f>H760+L760</f>
        <v>1870946</v>
      </c>
      <c r="O760" s="68"/>
      <c r="P760" s="68"/>
      <c r="Q760" s="68"/>
      <c r="R760" s="67">
        <f>O760+P760</f>
        <v>0</v>
      </c>
      <c r="S760" s="68"/>
      <c r="T760" s="68"/>
      <c r="U760" s="68"/>
      <c r="V760" s="68"/>
      <c r="W760" s="68"/>
      <c r="X760" s="67">
        <f>R760+V760</f>
        <v>0</v>
      </c>
      <c r="Y760" s="67">
        <f>R760+H760</f>
        <v>1870946</v>
      </c>
      <c r="Z760" s="67">
        <f>D760-Y760</f>
        <v>0</v>
      </c>
      <c r="AA760" s="67">
        <f>N760+X760</f>
        <v>1870946</v>
      </c>
      <c r="AB760" s="67">
        <f>+D760-N760-X760</f>
        <v>0</v>
      </c>
      <c r="CD760" s="4"/>
      <c r="CE760" s="4"/>
      <c r="CF760" s="4"/>
      <c r="CG760" s="4"/>
      <c r="CH760" s="4"/>
      <c r="CI760" s="4"/>
    </row>
    <row r="761" spans="1:106" x14ac:dyDescent="0.25">
      <c r="C761" s="4" t="s">
        <v>290</v>
      </c>
      <c r="D761" s="55">
        <f>10000000+10000000+10000000+9994351.06+10000000+9500000+10000000+10000000</f>
        <v>79494351.060000002</v>
      </c>
      <c r="E761" s="55">
        <f>10000000+10000000+10000000+9994351.06+10000000+9500000+10000000</f>
        <v>69494351.060000002</v>
      </c>
      <c r="F761" s="55">
        <v>10000000</v>
      </c>
      <c r="G761" s="55"/>
      <c r="H761" s="55">
        <f>+E761+F761</f>
        <v>79494351.060000002</v>
      </c>
      <c r="I761" s="55"/>
      <c r="J761" s="55"/>
      <c r="K761" s="55"/>
      <c r="L761" s="55"/>
      <c r="M761" s="55"/>
      <c r="N761" s="55">
        <f>+H761+L761</f>
        <v>79494351.060000002</v>
      </c>
      <c r="O761" s="55"/>
      <c r="P761" s="55"/>
      <c r="Q761" s="55"/>
      <c r="R761" s="55">
        <f>+O761+P761</f>
        <v>0</v>
      </c>
      <c r="S761" s="55"/>
      <c r="T761" s="55"/>
      <c r="U761" s="55"/>
      <c r="V761" s="55"/>
      <c r="W761" s="55"/>
      <c r="X761" s="55">
        <f>+R761+V761</f>
        <v>0</v>
      </c>
      <c r="Y761" s="67">
        <f>R761+H761</f>
        <v>79494351.060000002</v>
      </c>
      <c r="Z761" s="67">
        <f>D761-Y761</f>
        <v>0</v>
      </c>
      <c r="AA761" s="67">
        <f>N761+X761</f>
        <v>79494351.060000002</v>
      </c>
      <c r="AB761" s="67">
        <f>+D761-N761-X761</f>
        <v>0</v>
      </c>
      <c r="BZ761" s="4"/>
      <c r="CA761" s="4"/>
      <c r="CB761" s="4"/>
      <c r="CC761" s="4"/>
    </row>
    <row r="762" spans="1:106" ht="15.75" customHeight="1" x14ac:dyDescent="0.25">
      <c r="A762" s="46"/>
      <c r="B762" s="26"/>
      <c r="C762" s="4" t="s">
        <v>53</v>
      </c>
      <c r="D762" s="68">
        <v>12938291.029999999</v>
      </c>
      <c r="E762" s="68"/>
      <c r="F762" s="68"/>
      <c r="G762" s="68"/>
      <c r="H762" s="67">
        <f>+E762+F762</f>
        <v>0</v>
      </c>
      <c r="I762" s="68"/>
      <c r="J762" s="68"/>
      <c r="K762" s="68"/>
      <c r="L762" s="68"/>
      <c r="M762" s="68"/>
      <c r="N762" s="67">
        <f>H762+L762</f>
        <v>0</v>
      </c>
      <c r="O762" s="68">
        <f>380310.74+891578.77</f>
        <v>1271889.51</v>
      </c>
      <c r="P762" s="68"/>
      <c r="Q762" s="68"/>
      <c r="R762" s="67">
        <f>O762+P762</f>
        <v>1271889.51</v>
      </c>
      <c r="S762" s="68"/>
      <c r="T762" s="68"/>
      <c r="U762" s="68"/>
      <c r="V762" s="68"/>
      <c r="W762" s="68"/>
      <c r="X762" s="67">
        <f>R762+V762</f>
        <v>1271889.51</v>
      </c>
      <c r="Y762" s="67">
        <f>R762+H762</f>
        <v>1271889.51</v>
      </c>
      <c r="Z762" s="67">
        <f>D762-Y762</f>
        <v>11666401.52</v>
      </c>
      <c r="AA762" s="67">
        <f>N762+X762</f>
        <v>1271889.51</v>
      </c>
      <c r="AB762" s="67">
        <f>+D762-N762-X762</f>
        <v>11666401.52</v>
      </c>
      <c r="BY762" s="4"/>
    </row>
    <row r="763" spans="1:106" x14ac:dyDescent="0.25">
      <c r="A763" s="46"/>
      <c r="B763" s="26"/>
      <c r="C763" s="4" t="s">
        <v>54</v>
      </c>
      <c r="D763" s="68">
        <f>15488129.63+308500.17</f>
        <v>15796629.800000001</v>
      </c>
      <c r="E763" s="68"/>
      <c r="F763" s="68"/>
      <c r="G763" s="68"/>
      <c r="H763" s="67">
        <f>+E763+F763</f>
        <v>0</v>
      </c>
      <c r="I763" s="68"/>
      <c r="J763" s="68"/>
      <c r="K763" s="68"/>
      <c r="L763" s="68"/>
      <c r="M763" s="68"/>
      <c r="N763" s="67">
        <f>H763+L763</f>
        <v>0</v>
      </c>
      <c r="O763" s="68">
        <f>15796629.8+308500.17</f>
        <v>16105129.970000001</v>
      </c>
      <c r="P763" s="68"/>
      <c r="Q763" s="68"/>
      <c r="R763" s="67">
        <f>O763+P763</f>
        <v>16105129.970000001</v>
      </c>
      <c r="S763" s="68"/>
      <c r="T763" s="68"/>
      <c r="U763" s="68"/>
      <c r="V763" s="68"/>
      <c r="W763" s="68"/>
      <c r="X763" s="67">
        <f>R763+V763</f>
        <v>16105129.970000001</v>
      </c>
      <c r="Y763" s="67">
        <f>R763+H763</f>
        <v>16105129.970000001</v>
      </c>
      <c r="Z763" s="67">
        <f>D763-Y763</f>
        <v>-308500.16999999993</v>
      </c>
      <c r="AA763" s="67">
        <f>N763+X763</f>
        <v>16105129.970000001</v>
      </c>
      <c r="AB763" s="67">
        <f>+D763-N763-X763</f>
        <v>-308500.16999999993</v>
      </c>
      <c r="AC763" s="4" t="s">
        <v>321</v>
      </c>
    </row>
    <row r="764" spans="1:106" x14ac:dyDescent="0.25">
      <c r="A764" s="46"/>
      <c r="B764" s="26"/>
      <c r="C764" s="4"/>
      <c r="D764" s="70" t="s">
        <v>40</v>
      </c>
      <c r="E764" s="70" t="s">
        <v>40</v>
      </c>
      <c r="F764" s="70" t="s">
        <v>40</v>
      </c>
      <c r="G764" s="70"/>
      <c r="H764" s="70" t="s">
        <v>40</v>
      </c>
      <c r="I764" s="70" t="s">
        <v>40</v>
      </c>
      <c r="J764" s="70" t="s">
        <v>40</v>
      </c>
      <c r="K764" s="70" t="s">
        <v>40</v>
      </c>
      <c r="L764" s="70" t="s">
        <v>40</v>
      </c>
      <c r="M764" s="70"/>
      <c r="N764" s="70" t="s">
        <v>40</v>
      </c>
      <c r="O764" s="70" t="s">
        <v>40</v>
      </c>
      <c r="P764" s="70" t="s">
        <v>40</v>
      </c>
      <c r="Q764" s="70"/>
      <c r="R764" s="70" t="s">
        <v>40</v>
      </c>
      <c r="S764" s="70" t="s">
        <v>40</v>
      </c>
      <c r="T764" s="70" t="s">
        <v>40</v>
      </c>
      <c r="U764" s="70" t="s">
        <v>40</v>
      </c>
      <c r="V764" s="70" t="s">
        <v>40</v>
      </c>
      <c r="W764" s="70"/>
      <c r="X764" s="70" t="s">
        <v>40</v>
      </c>
      <c r="Y764" s="70" t="s">
        <v>40</v>
      </c>
      <c r="Z764" s="70" t="s">
        <v>40</v>
      </c>
      <c r="AA764" s="70" t="s">
        <v>40</v>
      </c>
      <c r="AB764" s="70" t="s">
        <v>40</v>
      </c>
      <c r="BW764" s="4"/>
      <c r="BX764" s="4"/>
    </row>
    <row r="765" spans="1:106" x14ac:dyDescent="0.25">
      <c r="A765" s="46"/>
      <c r="B765" s="26"/>
      <c r="C765" s="4"/>
      <c r="D765" s="68">
        <f>SUM(D759:D763)</f>
        <v>110100217.89</v>
      </c>
      <c r="E765" s="68">
        <f>SUM(E759:E763)</f>
        <v>71365297.060000002</v>
      </c>
      <c r="F765" s="68">
        <f>SUM(F759:F763)</f>
        <v>10000000</v>
      </c>
      <c r="G765" s="68"/>
      <c r="H765" s="68">
        <f>SUM(H759:H763)</f>
        <v>81365297.060000002</v>
      </c>
      <c r="I765" s="68">
        <f>SUM(I759:I763)</f>
        <v>0</v>
      </c>
      <c r="J765" s="68">
        <f>SUM(J759:J763)</f>
        <v>0</v>
      </c>
      <c r="K765" s="68">
        <f>SUM(K759:K763)</f>
        <v>0</v>
      </c>
      <c r="L765" s="68">
        <f>SUM(L759:L763)</f>
        <v>0</v>
      </c>
      <c r="M765" s="68"/>
      <c r="N765" s="68">
        <f>SUM(N759:N763)</f>
        <v>81365297.060000002</v>
      </c>
      <c r="O765" s="68">
        <f>SUM(O759:O763)</f>
        <v>17377019.48</v>
      </c>
      <c r="P765" s="68">
        <f>SUM(P759:P763)</f>
        <v>0</v>
      </c>
      <c r="Q765" s="68"/>
      <c r="R765" s="68">
        <f>SUM(R759:R763)</f>
        <v>17377019.48</v>
      </c>
      <c r="S765" s="68">
        <f>SUM(S759:S763)</f>
        <v>0</v>
      </c>
      <c r="T765" s="68">
        <f>SUM(T759:T763)</f>
        <v>0</v>
      </c>
      <c r="U765" s="68">
        <f>SUM(U759:U763)</f>
        <v>0</v>
      </c>
      <c r="V765" s="68">
        <f>SUM(V759:V763)</f>
        <v>0</v>
      </c>
      <c r="W765" s="68"/>
      <c r="X765" s="68">
        <f>SUM(X759:X763)</f>
        <v>17377019.48</v>
      </c>
      <c r="Y765" s="68">
        <f>SUM(Y759:Y763)</f>
        <v>98742316.540000007</v>
      </c>
      <c r="Z765" s="68">
        <f>SUM(Z759:Z763)</f>
        <v>11357901.35</v>
      </c>
      <c r="AA765" s="68">
        <f>SUM(AA759:AA763)</f>
        <v>98742316.540000007</v>
      </c>
      <c r="AB765" s="68">
        <f>SUM(AB759:AB763)</f>
        <v>11357901.35</v>
      </c>
    </row>
    <row r="766" spans="1:106" x14ac:dyDescent="0.25">
      <c r="A766" s="46"/>
      <c r="B766" s="26"/>
      <c r="C766" s="4"/>
      <c r="D766" s="70" t="s">
        <v>40</v>
      </c>
      <c r="E766" s="70" t="s">
        <v>40</v>
      </c>
      <c r="F766" s="70" t="s">
        <v>40</v>
      </c>
      <c r="G766" s="70"/>
      <c r="H766" s="70" t="s">
        <v>40</v>
      </c>
      <c r="I766" s="70" t="s">
        <v>40</v>
      </c>
      <c r="J766" s="70" t="s">
        <v>40</v>
      </c>
      <c r="K766" s="70" t="s">
        <v>40</v>
      </c>
      <c r="L766" s="70" t="s">
        <v>40</v>
      </c>
      <c r="M766" s="70"/>
      <c r="N766" s="70" t="s">
        <v>40</v>
      </c>
      <c r="O766" s="70" t="s">
        <v>40</v>
      </c>
      <c r="P766" s="70" t="s">
        <v>40</v>
      </c>
      <c r="Q766" s="70"/>
      <c r="R766" s="70" t="s">
        <v>40</v>
      </c>
      <c r="S766" s="70" t="s">
        <v>40</v>
      </c>
      <c r="T766" s="70" t="s">
        <v>40</v>
      </c>
      <c r="U766" s="70" t="s">
        <v>40</v>
      </c>
      <c r="V766" s="70" t="s">
        <v>40</v>
      </c>
      <c r="W766" s="70"/>
      <c r="X766" s="70" t="s">
        <v>40</v>
      </c>
      <c r="Y766" s="70" t="s">
        <v>40</v>
      </c>
      <c r="Z766" s="70" t="s">
        <v>40</v>
      </c>
      <c r="AA766" s="70" t="s">
        <v>40</v>
      </c>
      <c r="AB766" s="70" t="s">
        <v>40</v>
      </c>
      <c r="BR766" s="4"/>
      <c r="BS766" s="4"/>
      <c r="BT766" s="4"/>
      <c r="BU766" s="4"/>
      <c r="BV766" s="4"/>
    </row>
    <row r="767" spans="1:106" ht="16.5" thickBot="1" x14ac:dyDescent="0.3">
      <c r="Z767" s="87" t="s">
        <v>353</v>
      </c>
      <c r="AA767" s="154"/>
      <c r="AB767" s="117"/>
      <c r="BN767" s="4"/>
      <c r="BO767" s="4"/>
      <c r="BP767" s="4"/>
      <c r="BQ767" s="4"/>
    </row>
    <row r="768" spans="1:106" ht="16.5" thickTop="1" x14ac:dyDescent="0.25">
      <c r="A768" s="46">
        <v>79</v>
      </c>
      <c r="B768" s="26" t="s">
        <v>212</v>
      </c>
      <c r="C768" s="2" t="s">
        <v>35</v>
      </c>
      <c r="D768" s="68">
        <v>34526520.799999997</v>
      </c>
      <c r="E768" s="68"/>
      <c r="F768" s="68"/>
      <c r="G768" s="68"/>
      <c r="H768" s="67">
        <f>+E768+F768</f>
        <v>0</v>
      </c>
      <c r="I768" s="68"/>
      <c r="J768" s="68"/>
      <c r="K768" s="68"/>
      <c r="L768" s="68"/>
      <c r="M768" s="68"/>
      <c r="N768" s="67">
        <f>H768+L768</f>
        <v>0</v>
      </c>
      <c r="O768" s="68">
        <v>56072</v>
      </c>
      <c r="P768" s="68"/>
      <c r="Q768" s="68"/>
      <c r="R768" s="67">
        <f>O768+P768</f>
        <v>56072</v>
      </c>
      <c r="S768" s="68"/>
      <c r="T768" s="68"/>
      <c r="U768" s="68"/>
      <c r="V768" s="68"/>
      <c r="W768" s="68"/>
      <c r="X768" s="67">
        <f>R768+V768</f>
        <v>56072</v>
      </c>
      <c r="Y768" s="67">
        <f>R768+H768</f>
        <v>56072</v>
      </c>
      <c r="Z768" s="67">
        <f>D768-Y768</f>
        <v>34470448.799999997</v>
      </c>
      <c r="AA768" s="67">
        <f>N768+X768</f>
        <v>56072</v>
      </c>
      <c r="AB768" s="67">
        <f>+D768-N768-X768</f>
        <v>34470448.799999997</v>
      </c>
      <c r="BM768" s="4"/>
    </row>
    <row r="769" spans="1:64" x14ac:dyDescent="0.25">
      <c r="A769" s="46"/>
      <c r="B769" s="26"/>
      <c r="C769" s="4" t="s">
        <v>36</v>
      </c>
      <c r="D769" s="68">
        <v>564161</v>
      </c>
      <c r="E769" s="68">
        <v>564161</v>
      </c>
      <c r="F769" s="68"/>
      <c r="G769" s="68"/>
      <c r="H769" s="67">
        <f>+E769+F769</f>
        <v>564161</v>
      </c>
      <c r="I769" s="68"/>
      <c r="J769" s="68"/>
      <c r="K769" s="68"/>
      <c r="L769" s="68"/>
      <c r="M769" s="68"/>
      <c r="N769" s="67">
        <f>H769+L769</f>
        <v>564161</v>
      </c>
      <c r="O769" s="68"/>
      <c r="P769" s="68"/>
      <c r="Q769" s="68"/>
      <c r="R769" s="67">
        <f>O769+P769</f>
        <v>0</v>
      </c>
      <c r="S769" s="68"/>
      <c r="T769" s="68"/>
      <c r="U769" s="68"/>
      <c r="V769" s="68"/>
      <c r="W769" s="68"/>
      <c r="X769" s="67">
        <f>R769+V769</f>
        <v>0</v>
      </c>
      <c r="Y769" s="67">
        <f>R769+H769</f>
        <v>564161</v>
      </c>
      <c r="Z769" s="67">
        <f>D769-Y769</f>
        <v>0</v>
      </c>
      <c r="AA769" s="67">
        <f>N769+X769</f>
        <v>564161</v>
      </c>
      <c r="AB769" s="67">
        <f>+D769-N769-X769</f>
        <v>0</v>
      </c>
    </row>
    <row r="770" spans="1:64" x14ac:dyDescent="0.25">
      <c r="A770" s="46"/>
      <c r="B770" s="26"/>
      <c r="C770" s="4" t="s">
        <v>53</v>
      </c>
      <c r="D770" s="68">
        <f>2046673.66+460343.79</f>
        <v>2507017.4499999997</v>
      </c>
      <c r="E770" s="68"/>
      <c r="F770" s="68"/>
      <c r="G770" s="68"/>
      <c r="H770" s="67">
        <f>+E770+F770</f>
        <v>0</v>
      </c>
      <c r="I770" s="68"/>
      <c r="J770" s="68"/>
      <c r="K770" s="68"/>
      <c r="L770" s="68"/>
      <c r="M770" s="68"/>
      <c r="N770" s="67">
        <f>H770+L770</f>
        <v>0</v>
      </c>
      <c r="O770" s="68">
        <f>2046673.66+460343.79</f>
        <v>2507017.4499999997</v>
      </c>
      <c r="P770" s="68"/>
      <c r="Q770" s="68"/>
      <c r="R770" s="67">
        <f>O770+P770</f>
        <v>2507017.4499999997</v>
      </c>
      <c r="S770" s="68"/>
      <c r="T770" s="68"/>
      <c r="U770" s="68"/>
      <c r="V770" s="68"/>
      <c r="W770" s="68"/>
      <c r="X770" s="67">
        <f>R770+V770</f>
        <v>2507017.4499999997</v>
      </c>
      <c r="Y770" s="67">
        <f>R770+H770</f>
        <v>2507017.4499999997</v>
      </c>
      <c r="Z770" s="67">
        <f>D770-Y770</f>
        <v>0</v>
      </c>
      <c r="AA770" s="67">
        <f>N770+X770</f>
        <v>2507017.4499999997</v>
      </c>
      <c r="AB770" s="67">
        <f>+D770-N770-X770</f>
        <v>0</v>
      </c>
      <c r="BL770" s="4"/>
    </row>
    <row r="771" spans="1:64" x14ac:dyDescent="0.25">
      <c r="A771" s="46"/>
      <c r="B771" s="26"/>
      <c r="C771" s="4" t="s">
        <v>54</v>
      </c>
      <c r="D771" s="68">
        <f>2699794.12+13604365.17</f>
        <v>16304159.289999999</v>
      </c>
      <c r="E771" s="68"/>
      <c r="F771" s="68"/>
      <c r="G771" s="68"/>
      <c r="H771" s="67">
        <f>+E771+F771</f>
        <v>0</v>
      </c>
      <c r="I771" s="68"/>
      <c r="J771" s="68"/>
      <c r="K771" s="68"/>
      <c r="L771" s="68"/>
      <c r="M771" s="68"/>
      <c r="N771" s="67">
        <f>H771+L771</f>
        <v>0</v>
      </c>
      <c r="O771" s="68">
        <v>16304159.289999999</v>
      </c>
      <c r="P771" s="68"/>
      <c r="Q771" s="68"/>
      <c r="R771" s="67">
        <f>O771+P771</f>
        <v>16304159.289999999</v>
      </c>
      <c r="S771" s="68"/>
      <c r="T771" s="68"/>
      <c r="U771" s="68"/>
      <c r="V771" s="68"/>
      <c r="W771" s="68"/>
      <c r="X771" s="67">
        <f>R771+V771</f>
        <v>16304159.289999999</v>
      </c>
      <c r="Y771" s="67">
        <f>R771+H771</f>
        <v>16304159.289999999</v>
      </c>
      <c r="Z771" s="67">
        <f>D771-Y771</f>
        <v>0</v>
      </c>
      <c r="AA771" s="67">
        <f>N771+X771</f>
        <v>16304159.289999999</v>
      </c>
      <c r="AB771" s="67">
        <f>+D771-N771-X771</f>
        <v>0</v>
      </c>
      <c r="BG771" s="4"/>
      <c r="BH771" s="4"/>
      <c r="BI771" s="4"/>
      <c r="BJ771" s="4"/>
      <c r="BK771" s="4"/>
    </row>
    <row r="772" spans="1:64" x14ac:dyDescent="0.25">
      <c r="A772" s="46"/>
      <c r="B772" s="26"/>
      <c r="C772" s="4"/>
      <c r="D772" s="70" t="s">
        <v>40</v>
      </c>
      <c r="E772" s="70" t="s">
        <v>40</v>
      </c>
      <c r="F772" s="70" t="s">
        <v>40</v>
      </c>
      <c r="G772" s="70"/>
      <c r="H772" s="70" t="s">
        <v>40</v>
      </c>
      <c r="I772" s="70" t="s">
        <v>40</v>
      </c>
      <c r="J772" s="70" t="s">
        <v>40</v>
      </c>
      <c r="K772" s="70" t="s">
        <v>40</v>
      </c>
      <c r="L772" s="70" t="s">
        <v>40</v>
      </c>
      <c r="M772" s="70"/>
      <c r="N772" s="70" t="s">
        <v>40</v>
      </c>
      <c r="O772" s="70" t="s">
        <v>40</v>
      </c>
      <c r="P772" s="70" t="s">
        <v>40</v>
      </c>
      <c r="Q772" s="70"/>
      <c r="R772" s="70" t="s">
        <v>40</v>
      </c>
      <c r="S772" s="70" t="s">
        <v>40</v>
      </c>
      <c r="T772" s="70" t="s">
        <v>40</v>
      </c>
      <c r="U772" s="70" t="s">
        <v>40</v>
      </c>
      <c r="V772" s="70" t="s">
        <v>40</v>
      </c>
      <c r="W772" s="70"/>
      <c r="X772" s="70" t="s">
        <v>40</v>
      </c>
      <c r="Y772" s="70" t="s">
        <v>40</v>
      </c>
      <c r="Z772" s="70" t="s">
        <v>40</v>
      </c>
      <c r="AA772" s="70" t="s">
        <v>40</v>
      </c>
      <c r="AB772" s="70" t="s">
        <v>40</v>
      </c>
      <c r="BF772" s="4"/>
    </row>
    <row r="773" spans="1:64" x14ac:dyDescent="0.25">
      <c r="A773" s="46"/>
      <c r="B773" s="26"/>
      <c r="C773" s="4"/>
      <c r="D773" s="68">
        <f>SUM(D768:D771)</f>
        <v>53901858.539999999</v>
      </c>
      <c r="E773" s="68">
        <f t="shared" ref="E773:AB773" si="279">SUM(E768:E771)</f>
        <v>564161</v>
      </c>
      <c r="F773" s="68">
        <f t="shared" si="279"/>
        <v>0</v>
      </c>
      <c r="G773" s="68"/>
      <c r="H773" s="68">
        <f t="shared" si="279"/>
        <v>564161</v>
      </c>
      <c r="I773" s="68">
        <f t="shared" si="279"/>
        <v>0</v>
      </c>
      <c r="J773" s="68">
        <f t="shared" si="279"/>
        <v>0</v>
      </c>
      <c r="K773" s="68">
        <f t="shared" si="279"/>
        <v>0</v>
      </c>
      <c r="L773" s="68">
        <f t="shared" si="279"/>
        <v>0</v>
      </c>
      <c r="M773" s="68"/>
      <c r="N773" s="68">
        <f t="shared" si="279"/>
        <v>564161</v>
      </c>
      <c r="O773" s="68">
        <f t="shared" si="279"/>
        <v>18867248.739999998</v>
      </c>
      <c r="P773" s="68">
        <f t="shared" si="279"/>
        <v>0</v>
      </c>
      <c r="Q773" s="68"/>
      <c r="R773" s="68">
        <f t="shared" si="279"/>
        <v>18867248.739999998</v>
      </c>
      <c r="S773" s="68">
        <f t="shared" si="279"/>
        <v>0</v>
      </c>
      <c r="T773" s="68">
        <f t="shared" si="279"/>
        <v>0</v>
      </c>
      <c r="U773" s="68">
        <f t="shared" si="279"/>
        <v>0</v>
      </c>
      <c r="V773" s="68">
        <f t="shared" si="279"/>
        <v>0</v>
      </c>
      <c r="W773" s="68"/>
      <c r="X773" s="68">
        <f t="shared" si="279"/>
        <v>18867248.739999998</v>
      </c>
      <c r="Y773" s="68">
        <f t="shared" si="279"/>
        <v>19431409.739999998</v>
      </c>
      <c r="Z773" s="68">
        <f t="shared" si="279"/>
        <v>34470448.799999997</v>
      </c>
      <c r="AA773" s="68">
        <f t="shared" si="279"/>
        <v>19431409.739999998</v>
      </c>
      <c r="AB773" s="68">
        <f t="shared" si="279"/>
        <v>34470448.799999997</v>
      </c>
    </row>
    <row r="774" spans="1:64" x14ac:dyDescent="0.25">
      <c r="A774" s="46"/>
      <c r="B774" s="26"/>
      <c r="C774" s="4"/>
      <c r="D774" s="70" t="s">
        <v>40</v>
      </c>
      <c r="E774" s="70" t="s">
        <v>40</v>
      </c>
      <c r="F774" s="70" t="s">
        <v>40</v>
      </c>
      <c r="G774" s="70"/>
      <c r="H774" s="70" t="s">
        <v>40</v>
      </c>
      <c r="I774" s="70" t="s">
        <v>40</v>
      </c>
      <c r="J774" s="70" t="s">
        <v>40</v>
      </c>
      <c r="K774" s="70" t="s">
        <v>40</v>
      </c>
      <c r="L774" s="70" t="s">
        <v>40</v>
      </c>
      <c r="M774" s="70"/>
      <c r="N774" s="70" t="s">
        <v>40</v>
      </c>
      <c r="O774" s="70" t="s">
        <v>40</v>
      </c>
      <c r="P774" s="70" t="s">
        <v>40</v>
      </c>
      <c r="Q774" s="70"/>
      <c r="R774" s="70" t="s">
        <v>40</v>
      </c>
      <c r="S774" s="70" t="s">
        <v>40</v>
      </c>
      <c r="T774" s="70" t="s">
        <v>40</v>
      </c>
      <c r="U774" s="70" t="s">
        <v>40</v>
      </c>
      <c r="V774" s="70" t="s">
        <v>40</v>
      </c>
      <c r="W774" s="70"/>
      <c r="X774" s="70" t="s">
        <v>40</v>
      </c>
      <c r="Y774" s="70" t="s">
        <v>40</v>
      </c>
      <c r="Z774" s="70" t="s">
        <v>40</v>
      </c>
      <c r="AA774" s="70" t="s">
        <v>40</v>
      </c>
      <c r="AB774" s="70" t="s">
        <v>40</v>
      </c>
      <c r="BD774" s="4"/>
      <c r="BE774" s="4"/>
    </row>
    <row r="775" spans="1:64" x14ac:dyDescent="0.25">
      <c r="A775" s="46">
        <v>80</v>
      </c>
      <c r="B775" s="26" t="s">
        <v>213</v>
      </c>
      <c r="C775" s="2" t="s">
        <v>35</v>
      </c>
      <c r="D775" s="68">
        <v>2557619.83</v>
      </c>
      <c r="E775" s="68"/>
      <c r="F775" s="68"/>
      <c r="G775" s="68"/>
      <c r="H775" s="67">
        <f>+E775+F775</f>
        <v>0</v>
      </c>
      <c r="I775" s="68"/>
      <c r="J775" s="68"/>
      <c r="K775" s="68"/>
      <c r="L775" s="68"/>
      <c r="M775" s="68"/>
      <c r="N775" s="67">
        <f>H775+L775</f>
        <v>0</v>
      </c>
      <c r="O775" s="68"/>
      <c r="P775" s="68"/>
      <c r="Q775" s="68"/>
      <c r="R775" s="67">
        <f>O775+P775</f>
        <v>0</v>
      </c>
      <c r="S775" s="68"/>
      <c r="T775" s="68"/>
      <c r="U775" s="68"/>
      <c r="V775" s="68"/>
      <c r="W775" s="68"/>
      <c r="X775" s="67">
        <f>R775+V775</f>
        <v>0</v>
      </c>
      <c r="Y775" s="67">
        <f>R775+H775</f>
        <v>0</v>
      </c>
      <c r="Z775" s="67">
        <f>D775-Y775</f>
        <v>2557619.83</v>
      </c>
      <c r="AA775" s="67">
        <f>N775+X775</f>
        <v>0</v>
      </c>
      <c r="AB775" s="67">
        <f>+D775-N775-X775</f>
        <v>2557619.83</v>
      </c>
      <c r="BC775" s="4"/>
    </row>
    <row r="776" spans="1:64" x14ac:dyDescent="0.25">
      <c r="A776" s="46"/>
      <c r="B776" s="26"/>
      <c r="C776" s="4" t="s">
        <v>36</v>
      </c>
      <c r="D776" s="68">
        <v>1697084</v>
      </c>
      <c r="E776" s="68">
        <v>1697084</v>
      </c>
      <c r="F776" s="68"/>
      <c r="G776" s="68"/>
      <c r="H776" s="67">
        <f>+E776+F776</f>
        <v>1697084</v>
      </c>
      <c r="I776" s="68"/>
      <c r="J776" s="68"/>
      <c r="K776" s="68"/>
      <c r="L776" s="68"/>
      <c r="M776" s="68"/>
      <c r="N776" s="67">
        <f>H776+L776</f>
        <v>1697084</v>
      </c>
      <c r="O776" s="68"/>
      <c r="P776" s="68"/>
      <c r="Q776" s="68"/>
      <c r="R776" s="67">
        <f>O776+P776</f>
        <v>0</v>
      </c>
      <c r="S776" s="68"/>
      <c r="T776" s="68"/>
      <c r="U776" s="68"/>
      <c r="V776" s="68"/>
      <c r="W776" s="68"/>
      <c r="X776" s="67">
        <f>R776+V776</f>
        <v>0</v>
      </c>
      <c r="Y776" s="67">
        <f>R776+H776</f>
        <v>1697084</v>
      </c>
      <c r="Z776" s="67">
        <f>D776-Y776</f>
        <v>0</v>
      </c>
      <c r="AA776" s="67">
        <f>N776+X776</f>
        <v>1697084</v>
      </c>
      <c r="AB776" s="67">
        <f>+D776-N776-X776</f>
        <v>0</v>
      </c>
    </row>
    <row r="777" spans="1:64" x14ac:dyDescent="0.25">
      <c r="A777" s="46"/>
      <c r="B777" s="26"/>
      <c r="C777" s="4" t="s">
        <v>38</v>
      </c>
      <c r="D777" s="68">
        <v>457500</v>
      </c>
      <c r="E777" s="68"/>
      <c r="F777" s="68"/>
      <c r="G777" s="68"/>
      <c r="H777" s="67">
        <f>+E777+F777</f>
        <v>0</v>
      </c>
      <c r="I777" s="68"/>
      <c r="J777" s="68"/>
      <c r="K777" s="68"/>
      <c r="L777" s="68"/>
      <c r="M777" s="68"/>
      <c r="N777" s="67">
        <f>H777+L777</f>
        <v>0</v>
      </c>
      <c r="O777" s="68"/>
      <c r="P777" s="68"/>
      <c r="Q777" s="68"/>
      <c r="R777" s="67">
        <f>O777+P777</f>
        <v>0</v>
      </c>
      <c r="S777" s="68"/>
      <c r="T777" s="68"/>
      <c r="U777" s="68"/>
      <c r="V777" s="68"/>
      <c r="W777" s="68"/>
      <c r="X777" s="67">
        <f>R777+V777</f>
        <v>0</v>
      </c>
      <c r="Y777" s="67">
        <f>R777+H777</f>
        <v>0</v>
      </c>
      <c r="Z777" s="67">
        <f>D777-Y777</f>
        <v>457500</v>
      </c>
      <c r="AA777" s="67">
        <f>N777+X777</f>
        <v>0</v>
      </c>
      <c r="AB777" s="67">
        <f>+D777-N777-X777</f>
        <v>457500</v>
      </c>
    </row>
    <row r="778" spans="1:64" x14ac:dyDescent="0.25">
      <c r="A778" s="46"/>
      <c r="B778" s="26"/>
      <c r="C778" s="22" t="s">
        <v>133</v>
      </c>
      <c r="D778" s="68">
        <v>1783171.83</v>
      </c>
      <c r="E778" s="68"/>
      <c r="F778" s="68"/>
      <c r="G778" s="68"/>
      <c r="H778" s="67">
        <f>+E778+F778</f>
        <v>0</v>
      </c>
      <c r="I778" s="68"/>
      <c r="J778" s="68"/>
      <c r="K778" s="68"/>
      <c r="L778" s="68"/>
      <c r="M778" s="68"/>
      <c r="N778" s="67">
        <f>H778+L778</f>
        <v>0</v>
      </c>
      <c r="O778" s="68"/>
      <c r="P778" s="68"/>
      <c r="Q778" s="68"/>
      <c r="R778" s="67">
        <f>O778+P778</f>
        <v>0</v>
      </c>
      <c r="S778" s="68"/>
      <c r="T778" s="68"/>
      <c r="U778" s="68"/>
      <c r="V778" s="68"/>
      <c r="W778" s="68"/>
      <c r="X778" s="67">
        <f>R778+V778</f>
        <v>0</v>
      </c>
      <c r="Y778" s="67">
        <f>R778+H778</f>
        <v>0</v>
      </c>
      <c r="Z778" s="67">
        <f>D778-Y778</f>
        <v>1783171.83</v>
      </c>
      <c r="AA778" s="67">
        <f>N778+X778</f>
        <v>0</v>
      </c>
      <c r="AB778" s="67">
        <f>+D778-N778-X778</f>
        <v>1783171.83</v>
      </c>
      <c r="BB778" s="4"/>
    </row>
    <row r="779" spans="1:64" x14ac:dyDescent="0.25">
      <c r="A779" s="46"/>
      <c r="B779" s="26"/>
      <c r="C779" s="4"/>
      <c r="D779" s="70" t="s">
        <v>40</v>
      </c>
      <c r="E779" s="70" t="s">
        <v>40</v>
      </c>
      <c r="F779" s="70" t="s">
        <v>40</v>
      </c>
      <c r="G779" s="70"/>
      <c r="H779" s="70" t="s">
        <v>40</v>
      </c>
      <c r="I779" s="70" t="s">
        <v>40</v>
      </c>
      <c r="J779" s="70" t="s">
        <v>40</v>
      </c>
      <c r="K779" s="70" t="s">
        <v>40</v>
      </c>
      <c r="L779" s="70" t="s">
        <v>40</v>
      </c>
      <c r="M779" s="70"/>
      <c r="N779" s="70" t="s">
        <v>40</v>
      </c>
      <c r="O779" s="70" t="s">
        <v>40</v>
      </c>
      <c r="P779" s="70" t="s">
        <v>40</v>
      </c>
      <c r="Q779" s="70"/>
      <c r="R779" s="70" t="s">
        <v>40</v>
      </c>
      <c r="S779" s="70" t="s">
        <v>40</v>
      </c>
      <c r="T779" s="70" t="s">
        <v>40</v>
      </c>
      <c r="U779" s="70" t="s">
        <v>40</v>
      </c>
      <c r="V779" s="70" t="s">
        <v>40</v>
      </c>
      <c r="W779" s="70"/>
      <c r="X779" s="70" t="s">
        <v>40</v>
      </c>
      <c r="Y779" s="70" t="s">
        <v>40</v>
      </c>
      <c r="Z779" s="70" t="s">
        <v>40</v>
      </c>
      <c r="AA779" s="70" t="s">
        <v>40</v>
      </c>
      <c r="AB779" s="70" t="s">
        <v>40</v>
      </c>
    </row>
    <row r="780" spans="1:64" ht="18.75" customHeight="1" x14ac:dyDescent="0.25">
      <c r="A780" s="46"/>
      <c r="B780" s="26"/>
      <c r="C780" s="4"/>
      <c r="D780" s="68">
        <f>SUM(D775:D778)</f>
        <v>6495375.6600000001</v>
      </c>
      <c r="E780" s="68">
        <f t="shared" ref="E780:AB780" si="280">SUM(E775:E778)</f>
        <v>1697084</v>
      </c>
      <c r="F780" s="68">
        <f t="shared" si="280"/>
        <v>0</v>
      </c>
      <c r="G780" s="68"/>
      <c r="H780" s="68">
        <f t="shared" si="280"/>
        <v>1697084</v>
      </c>
      <c r="I780" s="68">
        <f t="shared" si="280"/>
        <v>0</v>
      </c>
      <c r="J780" s="68">
        <f t="shared" si="280"/>
        <v>0</v>
      </c>
      <c r="K780" s="68">
        <f t="shared" si="280"/>
        <v>0</v>
      </c>
      <c r="L780" s="68">
        <f t="shared" si="280"/>
        <v>0</v>
      </c>
      <c r="M780" s="68"/>
      <c r="N780" s="68">
        <f t="shared" si="280"/>
        <v>1697084</v>
      </c>
      <c r="O780" s="68">
        <f t="shared" si="280"/>
        <v>0</v>
      </c>
      <c r="P780" s="68">
        <f t="shared" si="280"/>
        <v>0</v>
      </c>
      <c r="Q780" s="68"/>
      <c r="R780" s="68">
        <f t="shared" si="280"/>
        <v>0</v>
      </c>
      <c r="S780" s="68">
        <f t="shared" si="280"/>
        <v>0</v>
      </c>
      <c r="T780" s="68">
        <f t="shared" si="280"/>
        <v>0</v>
      </c>
      <c r="U780" s="68">
        <f t="shared" si="280"/>
        <v>0</v>
      </c>
      <c r="V780" s="68">
        <f t="shared" si="280"/>
        <v>0</v>
      </c>
      <c r="W780" s="68"/>
      <c r="X780" s="68">
        <f t="shared" si="280"/>
        <v>0</v>
      </c>
      <c r="Y780" s="68">
        <f t="shared" si="280"/>
        <v>1697084</v>
      </c>
      <c r="Z780" s="68">
        <f t="shared" si="280"/>
        <v>4798291.66</v>
      </c>
      <c r="AA780" s="68">
        <f t="shared" si="280"/>
        <v>1697084</v>
      </c>
      <c r="AB780" s="68">
        <f t="shared" si="280"/>
        <v>4798291.66</v>
      </c>
    </row>
    <row r="781" spans="1:64" x14ac:dyDescent="0.25">
      <c r="A781" s="46"/>
      <c r="B781" s="26"/>
      <c r="C781" s="4"/>
      <c r="D781" s="70" t="s">
        <v>40</v>
      </c>
      <c r="E781" s="70" t="s">
        <v>40</v>
      </c>
      <c r="F781" s="70" t="s">
        <v>40</v>
      </c>
      <c r="G781" s="70"/>
      <c r="H781" s="70" t="s">
        <v>40</v>
      </c>
      <c r="I781" s="70" t="s">
        <v>40</v>
      </c>
      <c r="J781" s="70" t="s">
        <v>40</v>
      </c>
      <c r="K781" s="70" t="s">
        <v>40</v>
      </c>
      <c r="L781" s="70" t="s">
        <v>40</v>
      </c>
      <c r="M781" s="70"/>
      <c r="N781" s="70" t="s">
        <v>40</v>
      </c>
      <c r="O781" s="70" t="s">
        <v>40</v>
      </c>
      <c r="P781" s="70" t="s">
        <v>40</v>
      </c>
      <c r="Q781" s="70"/>
      <c r="R781" s="70" t="s">
        <v>40</v>
      </c>
      <c r="S781" s="70" t="s">
        <v>40</v>
      </c>
      <c r="T781" s="70" t="s">
        <v>40</v>
      </c>
      <c r="U781" s="70" t="s">
        <v>40</v>
      </c>
      <c r="V781" s="70" t="s">
        <v>40</v>
      </c>
      <c r="W781" s="70"/>
      <c r="X781" s="70" t="s">
        <v>40</v>
      </c>
      <c r="Y781" s="70" t="s">
        <v>40</v>
      </c>
      <c r="Z781" s="70" t="s">
        <v>40</v>
      </c>
      <c r="AA781" s="70" t="s">
        <v>40</v>
      </c>
      <c r="AB781" s="70" t="s">
        <v>40</v>
      </c>
      <c r="BA781" s="4"/>
    </row>
    <row r="782" spans="1:64" ht="19.5" customHeight="1" x14ac:dyDescent="0.25">
      <c r="A782" s="46">
        <v>81</v>
      </c>
      <c r="B782" s="26" t="s">
        <v>214</v>
      </c>
      <c r="C782" s="2" t="s">
        <v>35</v>
      </c>
      <c r="D782" s="68">
        <v>8934053.8800000008</v>
      </c>
      <c r="E782" s="68"/>
      <c r="F782" s="68"/>
      <c r="G782" s="68"/>
      <c r="H782" s="67">
        <f>+E782+F782</f>
        <v>0</v>
      </c>
      <c r="I782" s="68"/>
      <c r="J782" s="68"/>
      <c r="K782" s="68"/>
      <c r="L782" s="68"/>
      <c r="M782" s="68"/>
      <c r="N782" s="67">
        <f>H782+L782</f>
        <v>0</v>
      </c>
      <c r="O782" s="68"/>
      <c r="P782" s="68"/>
      <c r="Q782" s="68"/>
      <c r="R782" s="67">
        <f>O782+P782</f>
        <v>0</v>
      </c>
      <c r="S782" s="68"/>
      <c r="T782" s="68"/>
      <c r="U782" s="68"/>
      <c r="V782" s="68"/>
      <c r="W782" s="68"/>
      <c r="X782" s="67">
        <f>R782+V782</f>
        <v>0</v>
      </c>
      <c r="Y782" s="67">
        <f>R782+H782</f>
        <v>0</v>
      </c>
      <c r="Z782" s="67">
        <f>D782-Y782</f>
        <v>8934053.8800000008</v>
      </c>
      <c r="AA782" s="67">
        <f>N782+X782</f>
        <v>0</v>
      </c>
      <c r="AB782" s="67">
        <f>+D782-N782-X782</f>
        <v>8934053.8800000008</v>
      </c>
    </row>
    <row r="783" spans="1:64" ht="15" customHeight="1" x14ac:dyDescent="0.25">
      <c r="A783" s="46"/>
      <c r="B783" s="26"/>
      <c r="C783" s="4" t="s">
        <v>36</v>
      </c>
      <c r="D783" s="68">
        <v>189662</v>
      </c>
      <c r="E783" s="68">
        <v>189662</v>
      </c>
      <c r="F783" s="68"/>
      <c r="G783" s="68"/>
      <c r="H783" s="67">
        <f>+E783+F783</f>
        <v>189662</v>
      </c>
      <c r="I783" s="68"/>
      <c r="J783" s="68"/>
      <c r="K783" s="68"/>
      <c r="L783" s="68"/>
      <c r="M783" s="68"/>
      <c r="N783" s="67">
        <f>H783+L783</f>
        <v>189662</v>
      </c>
      <c r="O783" s="68"/>
      <c r="P783" s="68"/>
      <c r="Q783" s="68"/>
      <c r="R783" s="67">
        <f>O783+P783</f>
        <v>0</v>
      </c>
      <c r="S783" s="68"/>
      <c r="T783" s="68"/>
      <c r="U783" s="68"/>
      <c r="V783" s="68"/>
      <c r="W783" s="68"/>
      <c r="X783" s="67">
        <f>R783+V783</f>
        <v>0</v>
      </c>
      <c r="Y783" s="67">
        <f>R783+H783</f>
        <v>189662</v>
      </c>
      <c r="Z783" s="67">
        <f>D783-Y783</f>
        <v>0</v>
      </c>
      <c r="AA783" s="67">
        <f>N783+X783</f>
        <v>189662</v>
      </c>
      <c r="AB783" s="67">
        <f>+D783-N783-X783</f>
        <v>0</v>
      </c>
    </row>
    <row r="784" spans="1:64" ht="21.75" customHeight="1" x14ac:dyDescent="0.25">
      <c r="A784" s="46"/>
      <c r="B784" s="26"/>
      <c r="C784" s="4" t="s">
        <v>53</v>
      </c>
      <c r="D784" s="68">
        <v>9490486.5</v>
      </c>
      <c r="E784" s="68"/>
      <c r="F784" s="68"/>
      <c r="G784" s="68"/>
      <c r="H784" s="67">
        <f>+E784+F784</f>
        <v>0</v>
      </c>
      <c r="I784" s="68"/>
      <c r="J784" s="68"/>
      <c r="K784" s="68"/>
      <c r="L784" s="68"/>
      <c r="M784" s="68"/>
      <c r="N784" s="67">
        <f>H784+L784</f>
        <v>0</v>
      </c>
      <c r="O784" s="68">
        <v>5995171.7699999996</v>
      </c>
      <c r="P784" s="68"/>
      <c r="Q784" s="68"/>
      <c r="R784" s="67">
        <f>O784+P784</f>
        <v>5995171.7699999996</v>
      </c>
      <c r="S784" s="68"/>
      <c r="T784" s="68"/>
      <c r="U784" s="68"/>
      <c r="V784" s="68"/>
      <c r="W784" s="68"/>
      <c r="X784" s="67">
        <f>R784+V784</f>
        <v>5995171.7699999996</v>
      </c>
      <c r="Y784" s="67">
        <f>R784+H784</f>
        <v>5995171.7699999996</v>
      </c>
      <c r="Z784" s="67">
        <f>D784-Y784</f>
        <v>3495314.7300000004</v>
      </c>
      <c r="AA784" s="67">
        <f>N784+X784</f>
        <v>5995171.7699999996</v>
      </c>
      <c r="AB784" s="67">
        <f>+D784-N784-X784</f>
        <v>3495314.7300000004</v>
      </c>
    </row>
    <row r="785" spans="1:106" ht="15.75" customHeight="1" x14ac:dyDescent="0.25">
      <c r="A785" s="46"/>
      <c r="B785" s="26"/>
      <c r="C785" s="4" t="s">
        <v>38</v>
      </c>
      <c r="D785" s="68">
        <v>7038000</v>
      </c>
      <c r="E785" s="68"/>
      <c r="F785" s="68"/>
      <c r="G785" s="68"/>
      <c r="H785" s="67">
        <f>+E785+F785</f>
        <v>0</v>
      </c>
      <c r="I785" s="68"/>
      <c r="J785" s="68"/>
      <c r="K785" s="68"/>
      <c r="L785" s="68"/>
      <c r="M785" s="68"/>
      <c r="N785" s="67">
        <f>H785+L785</f>
        <v>0</v>
      </c>
      <c r="O785" s="68"/>
      <c r="P785" s="68"/>
      <c r="Q785" s="68"/>
      <c r="R785" s="67">
        <f>O785+P785</f>
        <v>0</v>
      </c>
      <c r="S785" s="68"/>
      <c r="T785" s="68"/>
      <c r="U785" s="68"/>
      <c r="V785" s="68"/>
      <c r="W785" s="68"/>
      <c r="X785" s="67">
        <f>R785+V785</f>
        <v>0</v>
      </c>
      <c r="Y785" s="67">
        <f>R785+H785</f>
        <v>0</v>
      </c>
      <c r="Z785" s="67">
        <f>D785-Y785</f>
        <v>7038000</v>
      </c>
      <c r="AA785" s="67">
        <f>N785+X785</f>
        <v>0</v>
      </c>
      <c r="AB785" s="67">
        <f>+D785-N785-X785</f>
        <v>7038000</v>
      </c>
    </row>
    <row r="786" spans="1:106" x14ac:dyDescent="0.25">
      <c r="A786" s="46"/>
      <c r="B786" s="26"/>
      <c r="C786" s="4" t="s">
        <v>54</v>
      </c>
      <c r="D786" s="68">
        <v>1613294.6</v>
      </c>
      <c r="E786" s="68"/>
      <c r="F786" s="68"/>
      <c r="G786" s="68"/>
      <c r="H786" s="67">
        <f>+E786+F786</f>
        <v>0</v>
      </c>
      <c r="I786" s="68"/>
      <c r="J786" s="68"/>
      <c r="K786" s="68"/>
      <c r="L786" s="68"/>
      <c r="M786" s="68"/>
      <c r="N786" s="67">
        <f>H786+L786</f>
        <v>0</v>
      </c>
      <c r="O786" s="68"/>
      <c r="P786" s="68"/>
      <c r="Q786" s="68"/>
      <c r="R786" s="67">
        <f>O786+P786</f>
        <v>0</v>
      </c>
      <c r="S786" s="68"/>
      <c r="T786" s="68"/>
      <c r="U786" s="68"/>
      <c r="V786" s="68"/>
      <c r="W786" s="68"/>
      <c r="X786" s="67">
        <f>R786+V786</f>
        <v>0</v>
      </c>
      <c r="Y786" s="67">
        <f>R786+H786</f>
        <v>0</v>
      </c>
      <c r="Z786" s="67">
        <f>D786-Y786</f>
        <v>1613294.6</v>
      </c>
      <c r="AA786" s="67">
        <f>N786+X786</f>
        <v>0</v>
      </c>
      <c r="AB786" s="67">
        <f>+D786-N786-X786</f>
        <v>1613294.6</v>
      </c>
    </row>
    <row r="787" spans="1:106" x14ac:dyDescent="0.25">
      <c r="A787" s="46"/>
      <c r="B787" s="26"/>
      <c r="C787" s="4"/>
      <c r="D787" s="70" t="s">
        <v>40</v>
      </c>
      <c r="E787" s="70" t="s">
        <v>40</v>
      </c>
      <c r="F787" s="70" t="s">
        <v>40</v>
      </c>
      <c r="G787" s="70"/>
      <c r="H787" s="70" t="s">
        <v>40</v>
      </c>
      <c r="I787" s="70" t="s">
        <v>40</v>
      </c>
      <c r="J787" s="70" t="s">
        <v>40</v>
      </c>
      <c r="K787" s="70" t="s">
        <v>40</v>
      </c>
      <c r="L787" s="70" t="s">
        <v>40</v>
      </c>
      <c r="M787" s="70"/>
      <c r="N787" s="70" t="s">
        <v>40</v>
      </c>
      <c r="O787" s="70" t="s">
        <v>40</v>
      </c>
      <c r="P787" s="70" t="s">
        <v>40</v>
      </c>
      <c r="Q787" s="70"/>
      <c r="R787" s="70" t="s">
        <v>40</v>
      </c>
      <c r="S787" s="70" t="s">
        <v>40</v>
      </c>
      <c r="T787" s="70" t="s">
        <v>40</v>
      </c>
      <c r="U787" s="70" t="s">
        <v>40</v>
      </c>
      <c r="V787" s="70" t="s">
        <v>40</v>
      </c>
      <c r="W787" s="70"/>
      <c r="X787" s="70" t="s">
        <v>40</v>
      </c>
      <c r="Y787" s="70" t="s">
        <v>40</v>
      </c>
      <c r="Z787" s="70" t="s">
        <v>40</v>
      </c>
      <c r="AA787" s="70" t="s">
        <v>40</v>
      </c>
      <c r="AB787" s="70" t="s">
        <v>40</v>
      </c>
    </row>
    <row r="788" spans="1:106" x14ac:dyDescent="0.25">
      <c r="A788" s="46"/>
      <c r="B788" s="26"/>
      <c r="C788" s="4"/>
      <c r="D788" s="68">
        <f>SUM(D782:D786)</f>
        <v>27265496.980000004</v>
      </c>
      <c r="E788" s="68">
        <f t="shared" ref="E788:AB788" si="281">SUM(E782:E786)</f>
        <v>189662</v>
      </c>
      <c r="F788" s="68">
        <f t="shared" si="281"/>
        <v>0</v>
      </c>
      <c r="G788" s="68"/>
      <c r="H788" s="68">
        <f t="shared" si="281"/>
        <v>189662</v>
      </c>
      <c r="I788" s="68">
        <f t="shared" si="281"/>
        <v>0</v>
      </c>
      <c r="J788" s="68">
        <f t="shared" si="281"/>
        <v>0</v>
      </c>
      <c r="K788" s="68">
        <f t="shared" si="281"/>
        <v>0</v>
      </c>
      <c r="L788" s="68">
        <f t="shared" si="281"/>
        <v>0</v>
      </c>
      <c r="M788" s="68"/>
      <c r="N788" s="68">
        <f t="shared" si="281"/>
        <v>189662</v>
      </c>
      <c r="O788" s="68">
        <f t="shared" si="281"/>
        <v>5995171.7699999996</v>
      </c>
      <c r="P788" s="68">
        <f t="shared" si="281"/>
        <v>0</v>
      </c>
      <c r="Q788" s="68"/>
      <c r="R788" s="68">
        <f t="shared" si="281"/>
        <v>5995171.7699999996</v>
      </c>
      <c r="S788" s="68">
        <f t="shared" si="281"/>
        <v>0</v>
      </c>
      <c r="T788" s="68">
        <f t="shared" si="281"/>
        <v>0</v>
      </c>
      <c r="U788" s="68">
        <f t="shared" si="281"/>
        <v>0</v>
      </c>
      <c r="V788" s="68">
        <f t="shared" si="281"/>
        <v>0</v>
      </c>
      <c r="W788" s="68"/>
      <c r="X788" s="68">
        <f t="shared" si="281"/>
        <v>5995171.7699999996</v>
      </c>
      <c r="Y788" s="68">
        <f t="shared" si="281"/>
        <v>6184833.7699999996</v>
      </c>
      <c r="Z788" s="68">
        <f t="shared" si="281"/>
        <v>21080663.210000001</v>
      </c>
      <c r="AA788" s="68">
        <f t="shared" si="281"/>
        <v>6184833.7699999996</v>
      </c>
      <c r="AB788" s="68">
        <f t="shared" si="281"/>
        <v>21080663.210000001</v>
      </c>
      <c r="AZ788" s="4"/>
    </row>
    <row r="789" spans="1:106" ht="15.75" customHeight="1" x14ac:dyDescent="0.25">
      <c r="A789" s="46"/>
      <c r="B789" s="26"/>
      <c r="C789" s="4"/>
      <c r="D789" s="70" t="s">
        <v>40</v>
      </c>
      <c r="E789" s="70" t="s">
        <v>40</v>
      </c>
      <c r="F789" s="70" t="s">
        <v>40</v>
      </c>
      <c r="G789" s="70"/>
      <c r="H789" s="70" t="s">
        <v>40</v>
      </c>
      <c r="I789" s="70" t="s">
        <v>40</v>
      </c>
      <c r="J789" s="70" t="s">
        <v>40</v>
      </c>
      <c r="K789" s="70" t="s">
        <v>40</v>
      </c>
      <c r="L789" s="70" t="s">
        <v>40</v>
      </c>
      <c r="M789" s="70"/>
      <c r="N789" s="70" t="s">
        <v>40</v>
      </c>
      <c r="O789" s="70" t="s">
        <v>40</v>
      </c>
      <c r="P789" s="70" t="s">
        <v>40</v>
      </c>
      <c r="Q789" s="70"/>
      <c r="R789" s="70" t="s">
        <v>40</v>
      </c>
      <c r="S789" s="70" t="s">
        <v>40</v>
      </c>
      <c r="T789" s="70" t="s">
        <v>40</v>
      </c>
      <c r="U789" s="70" t="s">
        <v>40</v>
      </c>
      <c r="V789" s="70" t="s">
        <v>40</v>
      </c>
      <c r="W789" s="70"/>
      <c r="X789" s="70" t="s">
        <v>40</v>
      </c>
      <c r="Y789" s="70" t="s">
        <v>40</v>
      </c>
      <c r="Z789" s="70" t="s">
        <v>40</v>
      </c>
      <c r="AA789" s="70" t="s">
        <v>40</v>
      </c>
      <c r="AB789" s="70" t="s">
        <v>40</v>
      </c>
      <c r="AY789" s="4"/>
    </row>
    <row r="790" spans="1:106" x14ac:dyDescent="0.25">
      <c r="A790" s="46">
        <v>82</v>
      </c>
      <c r="B790" s="26" t="s">
        <v>215</v>
      </c>
      <c r="C790" s="2" t="s">
        <v>35</v>
      </c>
      <c r="D790" s="68">
        <f>15898696.25-15898696.25</f>
        <v>0</v>
      </c>
      <c r="E790" s="68"/>
      <c r="F790" s="68"/>
      <c r="G790" s="68"/>
      <c r="H790" s="67">
        <f t="shared" ref="H790:H795" si="282">+E790+F790</f>
        <v>0</v>
      </c>
      <c r="I790" s="68"/>
      <c r="J790" s="68"/>
      <c r="K790" s="68"/>
      <c r="L790" s="68"/>
      <c r="M790" s="68"/>
      <c r="N790" s="67">
        <f>H790+L790</f>
        <v>0</v>
      </c>
      <c r="O790" s="68"/>
      <c r="P790" s="68"/>
      <c r="Q790" s="68"/>
      <c r="R790" s="67">
        <f>O790+P790</f>
        <v>0</v>
      </c>
      <c r="S790" s="68"/>
      <c r="T790" s="68"/>
      <c r="U790" s="68"/>
      <c r="V790" s="68"/>
      <c r="W790" s="68"/>
      <c r="X790" s="67">
        <f>R790+V790</f>
        <v>0</v>
      </c>
      <c r="Y790" s="67">
        <f t="shared" ref="Y790:Y795" si="283">R790+H790</f>
        <v>0</v>
      </c>
      <c r="Z790" s="67">
        <f t="shared" ref="Z790:Z795" si="284">D790-Y790</f>
        <v>0</v>
      </c>
      <c r="AA790" s="67">
        <f t="shared" ref="AA790:AA795" si="285">N790+X790</f>
        <v>0</v>
      </c>
      <c r="AB790" s="67">
        <f t="shared" ref="AB790:AB795" si="286">+D790-N790-X790</f>
        <v>0</v>
      </c>
      <c r="AW790" s="4"/>
      <c r="AX790" s="4"/>
    </row>
    <row r="791" spans="1:106" ht="15.75" customHeight="1" x14ac:dyDescent="0.25">
      <c r="A791" s="46"/>
      <c r="B791" s="26"/>
      <c r="C791" s="4" t="s">
        <v>36</v>
      </c>
      <c r="D791" s="68">
        <v>21000</v>
      </c>
      <c r="E791" s="68">
        <v>21000</v>
      </c>
      <c r="F791" s="68"/>
      <c r="G791" s="68"/>
      <c r="H791" s="67">
        <f t="shared" si="282"/>
        <v>21000</v>
      </c>
      <c r="I791" s="68"/>
      <c r="J791" s="68"/>
      <c r="K791" s="68"/>
      <c r="L791" s="68"/>
      <c r="M791" s="68"/>
      <c r="N791" s="67">
        <f>H791+L791</f>
        <v>21000</v>
      </c>
      <c r="O791" s="68"/>
      <c r="P791" s="68"/>
      <c r="Q791" s="68"/>
      <c r="R791" s="67">
        <f>O791+P791</f>
        <v>0</v>
      </c>
      <c r="S791" s="68"/>
      <c r="T791" s="68"/>
      <c r="U791" s="68"/>
      <c r="V791" s="68"/>
      <c r="W791" s="68"/>
      <c r="X791" s="67">
        <f>R791+V791</f>
        <v>0</v>
      </c>
      <c r="Y791" s="67">
        <f t="shared" si="283"/>
        <v>21000</v>
      </c>
      <c r="Z791" s="67">
        <f t="shared" si="284"/>
        <v>0</v>
      </c>
      <c r="AA791" s="67">
        <f t="shared" si="285"/>
        <v>21000</v>
      </c>
      <c r="AB791" s="67">
        <f t="shared" si="286"/>
        <v>0</v>
      </c>
    </row>
    <row r="792" spans="1:106" x14ac:dyDescent="0.25">
      <c r="C792" s="4" t="s">
        <v>290</v>
      </c>
      <c r="D792" s="55">
        <v>5000000</v>
      </c>
      <c r="E792" s="55">
        <v>5000000</v>
      </c>
      <c r="F792" s="55"/>
      <c r="G792" s="55"/>
      <c r="H792" s="55">
        <f t="shared" si="282"/>
        <v>5000000</v>
      </c>
      <c r="I792" s="55"/>
      <c r="J792" s="55"/>
      <c r="K792" s="55"/>
      <c r="L792" s="55"/>
      <c r="M792" s="55"/>
      <c r="N792" s="55">
        <f>+H792+L792</f>
        <v>5000000</v>
      </c>
      <c r="O792" s="55"/>
      <c r="P792" s="55"/>
      <c r="Q792" s="55"/>
      <c r="R792" s="55">
        <f>+O792+P792</f>
        <v>0</v>
      </c>
      <c r="S792" s="55"/>
      <c r="T792" s="55"/>
      <c r="U792" s="55"/>
      <c r="V792" s="55"/>
      <c r="W792" s="55"/>
      <c r="X792" s="55">
        <f>+R792+V792</f>
        <v>0</v>
      </c>
      <c r="Y792" s="67">
        <f t="shared" si="283"/>
        <v>5000000</v>
      </c>
      <c r="Z792" s="67">
        <f t="shared" si="284"/>
        <v>0</v>
      </c>
      <c r="AA792" s="67">
        <f t="shared" si="285"/>
        <v>5000000</v>
      </c>
      <c r="AB792" s="67">
        <f t="shared" si="286"/>
        <v>0</v>
      </c>
    </row>
    <row r="793" spans="1:106" ht="15.75" customHeight="1" x14ac:dyDescent="0.25">
      <c r="A793" s="46"/>
      <c r="B793" s="26"/>
      <c r="C793" s="4" t="s">
        <v>53</v>
      </c>
      <c r="D793" s="68">
        <f>15898696.25+7044370.86</f>
        <v>22943067.109999999</v>
      </c>
      <c r="E793" s="68"/>
      <c r="F793" s="68"/>
      <c r="G793" s="68"/>
      <c r="H793" s="67">
        <f t="shared" si="282"/>
        <v>0</v>
      </c>
      <c r="I793" s="68"/>
      <c r="J793" s="68"/>
      <c r="K793" s="68"/>
      <c r="L793" s="68"/>
      <c r="M793" s="68"/>
      <c r="N793" s="67">
        <f>H793+L793</f>
        <v>0</v>
      </c>
      <c r="O793" s="68">
        <v>22943067.109999999</v>
      </c>
      <c r="P793" s="68"/>
      <c r="Q793" s="68"/>
      <c r="R793" s="67">
        <f>O793+P793</f>
        <v>22943067.109999999</v>
      </c>
      <c r="S793" s="68"/>
      <c r="T793" s="68"/>
      <c r="U793" s="68"/>
      <c r="V793" s="68"/>
      <c r="W793" s="68"/>
      <c r="X793" s="67">
        <f>R793+V793</f>
        <v>22943067.109999999</v>
      </c>
      <c r="Y793" s="67">
        <f t="shared" si="283"/>
        <v>22943067.109999999</v>
      </c>
      <c r="Z793" s="67">
        <f t="shared" si="284"/>
        <v>0</v>
      </c>
      <c r="AA793" s="67">
        <f t="shared" si="285"/>
        <v>22943067.109999999</v>
      </c>
      <c r="AB793" s="67">
        <f t="shared" si="286"/>
        <v>0</v>
      </c>
    </row>
    <row r="794" spans="1:106" x14ac:dyDescent="0.25">
      <c r="A794" s="46"/>
      <c r="B794" s="26"/>
      <c r="C794" s="4" t="s">
        <v>54</v>
      </c>
      <c r="D794" s="68">
        <f>2288876.88+870389.25+13507752.92</f>
        <v>16667019.050000001</v>
      </c>
      <c r="E794" s="68"/>
      <c r="F794" s="68"/>
      <c r="G794" s="68"/>
      <c r="H794" s="67">
        <f t="shared" si="282"/>
        <v>0</v>
      </c>
      <c r="I794" s="68"/>
      <c r="J794" s="68"/>
      <c r="K794" s="68"/>
      <c r="L794" s="68"/>
      <c r="M794" s="68"/>
      <c r="N794" s="67">
        <f>H794+L794</f>
        <v>0</v>
      </c>
      <c r="O794" s="68">
        <f>15796629.8+870389.25</f>
        <v>16667019.050000001</v>
      </c>
      <c r="P794" s="68"/>
      <c r="Q794" s="68"/>
      <c r="R794" s="67">
        <f>O794+P794</f>
        <v>16667019.050000001</v>
      </c>
      <c r="S794" s="68"/>
      <c r="T794" s="68"/>
      <c r="U794" s="68"/>
      <c r="V794" s="68"/>
      <c r="W794" s="68"/>
      <c r="X794" s="67">
        <f>R794+V794</f>
        <v>16667019.050000001</v>
      </c>
      <c r="Y794" s="67">
        <f t="shared" si="283"/>
        <v>16667019.050000001</v>
      </c>
      <c r="Z794" s="67">
        <f t="shared" si="284"/>
        <v>0</v>
      </c>
      <c r="AA794" s="67">
        <f t="shared" si="285"/>
        <v>16667019.050000001</v>
      </c>
      <c r="AB794" s="67">
        <f t="shared" si="286"/>
        <v>0</v>
      </c>
      <c r="AV794" s="4"/>
    </row>
    <row r="795" spans="1:106" ht="21" customHeight="1" x14ac:dyDescent="0.25">
      <c r="A795" s="46"/>
      <c r="B795" s="26"/>
      <c r="C795" s="22" t="str">
        <f>+C778</f>
        <v>EL-CONCESSIONAL</v>
      </c>
      <c r="D795" s="68">
        <v>254999.03</v>
      </c>
      <c r="E795" s="68"/>
      <c r="F795" s="68"/>
      <c r="G795" s="68"/>
      <c r="H795" s="67">
        <f t="shared" si="282"/>
        <v>0</v>
      </c>
      <c r="I795" s="68"/>
      <c r="J795" s="68"/>
      <c r="K795" s="68"/>
      <c r="L795" s="68"/>
      <c r="M795" s="68"/>
      <c r="N795" s="67">
        <f>H795+L795</f>
        <v>0</v>
      </c>
      <c r="O795" s="68"/>
      <c r="P795" s="68"/>
      <c r="Q795" s="68"/>
      <c r="R795" s="67">
        <f>O795+P795</f>
        <v>0</v>
      </c>
      <c r="S795" s="68"/>
      <c r="T795" s="68"/>
      <c r="U795" s="68"/>
      <c r="V795" s="68"/>
      <c r="W795" s="68"/>
      <c r="X795" s="67">
        <f>R795+V795</f>
        <v>0</v>
      </c>
      <c r="Y795" s="67">
        <f t="shared" si="283"/>
        <v>0</v>
      </c>
      <c r="Z795" s="67">
        <f t="shared" si="284"/>
        <v>254999.03</v>
      </c>
      <c r="AA795" s="67">
        <f t="shared" si="285"/>
        <v>0</v>
      </c>
      <c r="AB795" s="67">
        <f t="shared" si="286"/>
        <v>254999.03</v>
      </c>
      <c r="AU795" s="4"/>
    </row>
    <row r="796" spans="1:106" x14ac:dyDescent="0.25">
      <c r="A796" s="46"/>
      <c r="B796" s="26"/>
      <c r="C796" s="4"/>
      <c r="D796" s="70" t="s">
        <v>40</v>
      </c>
      <c r="E796" s="70" t="s">
        <v>40</v>
      </c>
      <c r="F796" s="70" t="s">
        <v>40</v>
      </c>
      <c r="G796" s="70"/>
      <c r="H796" s="70" t="s">
        <v>40</v>
      </c>
      <c r="I796" s="70" t="s">
        <v>40</v>
      </c>
      <c r="J796" s="70" t="s">
        <v>40</v>
      </c>
      <c r="K796" s="70" t="s">
        <v>40</v>
      </c>
      <c r="L796" s="70" t="s">
        <v>40</v>
      </c>
      <c r="M796" s="70"/>
      <c r="N796" s="70" t="s">
        <v>40</v>
      </c>
      <c r="O796" s="70" t="s">
        <v>40</v>
      </c>
      <c r="P796" s="70" t="s">
        <v>40</v>
      </c>
      <c r="Q796" s="70"/>
      <c r="R796" s="70" t="s">
        <v>40</v>
      </c>
      <c r="S796" s="70" t="s">
        <v>40</v>
      </c>
      <c r="T796" s="70" t="s">
        <v>40</v>
      </c>
      <c r="U796" s="70" t="s">
        <v>40</v>
      </c>
      <c r="V796" s="70" t="s">
        <v>40</v>
      </c>
      <c r="W796" s="70"/>
      <c r="X796" s="70" t="s">
        <v>40</v>
      </c>
      <c r="Y796" s="70" t="s">
        <v>40</v>
      </c>
      <c r="Z796" s="70" t="s">
        <v>40</v>
      </c>
      <c r="AA796" s="70" t="s">
        <v>40</v>
      </c>
      <c r="AB796" s="70" t="s">
        <v>40</v>
      </c>
    </row>
    <row r="797" spans="1:106" s="4" customFormat="1" ht="18" customHeight="1" x14ac:dyDescent="0.25">
      <c r="A797" s="46"/>
      <c r="B797" s="26"/>
      <c r="D797" s="68">
        <f>SUM(D790:D795)</f>
        <v>44886085.189999998</v>
      </c>
      <c r="E797" s="68">
        <f>SUM(E790:E795)</f>
        <v>5021000</v>
      </c>
      <c r="F797" s="68">
        <f>SUM(F790:F795)</f>
        <v>0</v>
      </c>
      <c r="G797" s="68"/>
      <c r="H797" s="68">
        <f>SUM(H790:H795)</f>
        <v>5021000</v>
      </c>
      <c r="I797" s="68">
        <f>SUM(I790:I795)</f>
        <v>0</v>
      </c>
      <c r="J797" s="68">
        <f>SUM(J790:J795)</f>
        <v>0</v>
      </c>
      <c r="K797" s="68">
        <f>SUM(K790:K795)</f>
        <v>0</v>
      </c>
      <c r="L797" s="68">
        <f>SUM(L790:L795)</f>
        <v>0</v>
      </c>
      <c r="M797" s="68"/>
      <c r="N797" s="68">
        <f>SUM(N790:N795)</f>
        <v>5021000</v>
      </c>
      <c r="O797" s="68">
        <f>SUM(O790:O795)</f>
        <v>39610086.159999996</v>
      </c>
      <c r="P797" s="68">
        <f>SUM(P790:P795)</f>
        <v>0</v>
      </c>
      <c r="Q797" s="68"/>
      <c r="R797" s="68">
        <f>SUM(R790:R795)</f>
        <v>39610086.159999996</v>
      </c>
      <c r="S797" s="68">
        <f>SUM(S790:S795)</f>
        <v>0</v>
      </c>
      <c r="T797" s="68">
        <f>SUM(T790:T795)</f>
        <v>0</v>
      </c>
      <c r="U797" s="68">
        <f>SUM(U790:U795)</f>
        <v>0</v>
      </c>
      <c r="V797" s="68">
        <f>SUM(V790:V795)</f>
        <v>0</v>
      </c>
      <c r="W797" s="68"/>
      <c r="X797" s="68">
        <f>SUM(X790:X795)</f>
        <v>39610086.159999996</v>
      </c>
      <c r="Y797" s="68">
        <f>SUM(Y790:Y795)</f>
        <v>44631086.159999996</v>
      </c>
      <c r="Z797" s="68">
        <f>SUM(Z790:Z795)</f>
        <v>254999.03</v>
      </c>
      <c r="AA797" s="68">
        <f>SUM(AA790:AA795)</f>
        <v>44631086.159999996</v>
      </c>
      <c r="AB797" s="68">
        <f>SUM(AB790:AB795)</f>
        <v>254999.03</v>
      </c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</row>
    <row r="798" spans="1:106" x14ac:dyDescent="0.25">
      <c r="A798" s="46"/>
      <c r="B798" s="26"/>
      <c r="C798" s="4"/>
      <c r="D798" s="70" t="s">
        <v>40</v>
      </c>
      <c r="E798" s="70" t="s">
        <v>40</v>
      </c>
      <c r="F798" s="70" t="s">
        <v>40</v>
      </c>
      <c r="G798" s="70"/>
      <c r="H798" s="70" t="s">
        <v>40</v>
      </c>
      <c r="I798" s="70" t="s">
        <v>40</v>
      </c>
      <c r="J798" s="70" t="s">
        <v>40</v>
      </c>
      <c r="K798" s="70" t="s">
        <v>40</v>
      </c>
      <c r="L798" s="70" t="s">
        <v>40</v>
      </c>
      <c r="M798" s="70"/>
      <c r="N798" s="70" t="s">
        <v>40</v>
      </c>
      <c r="O798" s="70" t="s">
        <v>40</v>
      </c>
      <c r="P798" s="70" t="s">
        <v>40</v>
      </c>
      <c r="Q798" s="70"/>
      <c r="R798" s="70" t="s">
        <v>40</v>
      </c>
      <c r="S798" s="70" t="s">
        <v>40</v>
      </c>
      <c r="T798" s="70" t="s">
        <v>40</v>
      </c>
      <c r="U798" s="70" t="s">
        <v>40</v>
      </c>
      <c r="V798" s="70" t="s">
        <v>40</v>
      </c>
      <c r="W798" s="70"/>
      <c r="X798" s="70" t="s">
        <v>40</v>
      </c>
      <c r="Y798" s="70" t="s">
        <v>40</v>
      </c>
      <c r="Z798" s="70" t="s">
        <v>40</v>
      </c>
      <c r="AA798" s="70" t="s">
        <v>40</v>
      </c>
      <c r="AB798" s="70" t="s">
        <v>40</v>
      </c>
      <c r="AT798" s="4"/>
    </row>
    <row r="799" spans="1:106" x14ac:dyDescent="0.25">
      <c r="A799" s="46">
        <v>83</v>
      </c>
      <c r="B799" s="26" t="s">
        <v>216</v>
      </c>
      <c r="C799" s="2" t="s">
        <v>35</v>
      </c>
      <c r="D799" s="68">
        <v>38431551.149999999</v>
      </c>
      <c r="E799" s="68"/>
      <c r="F799" s="68"/>
      <c r="G799" s="68"/>
      <c r="H799" s="67">
        <f>+E799+F799</f>
        <v>0</v>
      </c>
      <c r="I799" s="68"/>
      <c r="J799" s="68"/>
      <c r="K799" s="68"/>
      <c r="L799" s="68"/>
      <c r="M799" s="68"/>
      <c r="N799" s="67">
        <f>H799+L799</f>
        <v>0</v>
      </c>
      <c r="O799" s="68"/>
      <c r="P799" s="68"/>
      <c r="Q799" s="68"/>
      <c r="R799" s="67">
        <f>O799+P799</f>
        <v>0</v>
      </c>
      <c r="S799" s="68"/>
      <c r="T799" s="68"/>
      <c r="U799" s="68"/>
      <c r="V799" s="68"/>
      <c r="W799" s="68"/>
      <c r="X799" s="67">
        <f>R799+V799</f>
        <v>0</v>
      </c>
      <c r="Y799" s="67">
        <f>R799+H799</f>
        <v>0</v>
      </c>
      <c r="Z799" s="67">
        <f>D799-Y799</f>
        <v>38431551.149999999</v>
      </c>
      <c r="AA799" s="67">
        <f>N799+X799</f>
        <v>0</v>
      </c>
      <c r="AB799" s="67">
        <f>+D799-N799-X799</f>
        <v>38431551.149999999</v>
      </c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</row>
    <row r="800" spans="1:106" ht="16.5" customHeight="1" x14ac:dyDescent="0.25">
      <c r="A800" s="46"/>
      <c r="B800" s="26"/>
      <c r="C800" s="4" t="s">
        <v>36</v>
      </c>
      <c r="D800" s="68">
        <v>2291138</v>
      </c>
      <c r="E800" s="68">
        <v>2291138</v>
      </c>
      <c r="F800" s="68"/>
      <c r="G800" s="68"/>
      <c r="H800" s="67">
        <f>+E800+F800</f>
        <v>2291138</v>
      </c>
      <c r="I800" s="68"/>
      <c r="J800" s="68"/>
      <c r="K800" s="68"/>
      <c r="L800" s="68"/>
      <c r="M800" s="68"/>
      <c r="N800" s="67">
        <f>H800+L800</f>
        <v>2291138</v>
      </c>
      <c r="O800" s="68"/>
      <c r="P800" s="68"/>
      <c r="Q800" s="68"/>
      <c r="R800" s="67">
        <f>O800+P800</f>
        <v>0</v>
      </c>
      <c r="S800" s="68"/>
      <c r="T800" s="68"/>
      <c r="U800" s="68"/>
      <c r="V800" s="68"/>
      <c r="W800" s="68"/>
      <c r="X800" s="67">
        <f>R800+V800</f>
        <v>0</v>
      </c>
      <c r="Y800" s="67">
        <f>R800+H800</f>
        <v>2291138</v>
      </c>
      <c r="Z800" s="67">
        <f>D800-Y800</f>
        <v>0</v>
      </c>
      <c r="AA800" s="67">
        <f>N800+X800</f>
        <v>2291138</v>
      </c>
      <c r="AB800" s="67">
        <f>+D800-N800-X800</f>
        <v>0</v>
      </c>
    </row>
    <row r="801" spans="1:87" x14ac:dyDescent="0.25">
      <c r="A801" s="46"/>
      <c r="B801" s="26"/>
      <c r="C801" s="4" t="s">
        <v>53</v>
      </c>
      <c r="D801" s="68">
        <v>2361326.14</v>
      </c>
      <c r="E801" s="68"/>
      <c r="F801" s="68"/>
      <c r="G801" s="68"/>
      <c r="H801" s="67">
        <f>+E801+F801</f>
        <v>0</v>
      </c>
      <c r="I801" s="68"/>
      <c r="J801" s="68"/>
      <c r="K801" s="68"/>
      <c r="L801" s="68"/>
      <c r="M801" s="68"/>
      <c r="N801" s="67">
        <f>H801+L801</f>
        <v>0</v>
      </c>
      <c r="O801" s="68">
        <v>2361326.14</v>
      </c>
      <c r="P801" s="68"/>
      <c r="Q801" s="68"/>
      <c r="R801" s="67">
        <f>O801+P801</f>
        <v>2361326.14</v>
      </c>
      <c r="S801" s="68"/>
      <c r="T801" s="68"/>
      <c r="U801" s="68"/>
      <c r="V801" s="68"/>
      <c r="W801" s="68"/>
      <c r="X801" s="67">
        <f>R801+V801</f>
        <v>2361326.14</v>
      </c>
      <c r="Y801" s="67">
        <f>R801+H801</f>
        <v>2361326.14</v>
      </c>
      <c r="Z801" s="67">
        <f>D801-Y801</f>
        <v>0</v>
      </c>
      <c r="AA801" s="67">
        <f>N801+X801</f>
        <v>2361326.14</v>
      </c>
      <c r="AB801" s="67">
        <f>+D801-N801-X801</f>
        <v>0</v>
      </c>
      <c r="CD801" s="4"/>
      <c r="CE801" s="4"/>
      <c r="CF801" s="4"/>
      <c r="CG801" s="4"/>
      <c r="CH801" s="4"/>
      <c r="CI801" s="4"/>
    </row>
    <row r="802" spans="1:87" x14ac:dyDescent="0.25">
      <c r="A802" s="46"/>
      <c r="B802" s="26"/>
      <c r="C802" s="4" t="s">
        <v>54</v>
      </c>
      <c r="D802" s="68">
        <v>1355997.59</v>
      </c>
      <c r="E802" s="68"/>
      <c r="F802" s="68"/>
      <c r="G802" s="68"/>
      <c r="H802" s="67">
        <f>+E802+F802</f>
        <v>0</v>
      </c>
      <c r="I802" s="68"/>
      <c r="J802" s="68"/>
      <c r="K802" s="68"/>
      <c r="L802" s="68"/>
      <c r="M802" s="68"/>
      <c r="N802" s="67">
        <f>H802+L802</f>
        <v>0</v>
      </c>
      <c r="O802" s="68"/>
      <c r="P802" s="68"/>
      <c r="Q802" s="68"/>
      <c r="R802" s="67">
        <f>O802+P802</f>
        <v>0</v>
      </c>
      <c r="S802" s="68"/>
      <c r="T802" s="68"/>
      <c r="U802" s="68"/>
      <c r="V802" s="68"/>
      <c r="W802" s="68"/>
      <c r="X802" s="67">
        <f>R802+V802</f>
        <v>0</v>
      </c>
      <c r="Y802" s="67">
        <f>R802+H802</f>
        <v>0</v>
      </c>
      <c r="Z802" s="67">
        <f>D802-Y802</f>
        <v>1355997.59</v>
      </c>
      <c r="AA802" s="67">
        <f>N802+X802</f>
        <v>0</v>
      </c>
      <c r="AB802" s="67">
        <f>+D802-N802-X802</f>
        <v>1355997.59</v>
      </c>
      <c r="BZ802" s="4"/>
      <c r="CA802" s="4"/>
      <c r="CB802" s="4"/>
      <c r="CC802" s="4"/>
    </row>
    <row r="803" spans="1:87" x14ac:dyDescent="0.25">
      <c r="A803" s="46"/>
      <c r="B803" s="26"/>
      <c r="C803" s="4"/>
      <c r="D803" s="70" t="s">
        <v>40</v>
      </c>
      <c r="E803" s="70" t="s">
        <v>40</v>
      </c>
      <c r="F803" s="70" t="s">
        <v>40</v>
      </c>
      <c r="G803" s="70"/>
      <c r="H803" s="70" t="s">
        <v>40</v>
      </c>
      <c r="I803" s="70" t="s">
        <v>40</v>
      </c>
      <c r="J803" s="70" t="s">
        <v>40</v>
      </c>
      <c r="K803" s="70" t="s">
        <v>40</v>
      </c>
      <c r="L803" s="70" t="s">
        <v>40</v>
      </c>
      <c r="M803" s="70"/>
      <c r="N803" s="70" t="s">
        <v>40</v>
      </c>
      <c r="O803" s="70" t="s">
        <v>40</v>
      </c>
      <c r="P803" s="70" t="s">
        <v>40</v>
      </c>
      <c r="Q803" s="70"/>
      <c r="R803" s="70" t="s">
        <v>40</v>
      </c>
      <c r="S803" s="70" t="s">
        <v>40</v>
      </c>
      <c r="T803" s="70" t="s">
        <v>40</v>
      </c>
      <c r="U803" s="70" t="s">
        <v>40</v>
      </c>
      <c r="V803" s="70" t="s">
        <v>40</v>
      </c>
      <c r="W803" s="70"/>
      <c r="X803" s="70" t="s">
        <v>40</v>
      </c>
      <c r="Y803" s="70" t="s">
        <v>40</v>
      </c>
      <c r="Z803" s="70" t="s">
        <v>40</v>
      </c>
      <c r="AA803" s="70" t="s">
        <v>40</v>
      </c>
      <c r="AB803" s="70" t="s">
        <v>40</v>
      </c>
      <c r="AS803" s="4"/>
      <c r="BY803" s="4"/>
    </row>
    <row r="804" spans="1:87" x14ac:dyDescent="0.25">
      <c r="A804" s="46"/>
      <c r="B804" s="26"/>
      <c r="C804" s="4"/>
      <c r="D804" s="68">
        <f>SUM(D799:D802)</f>
        <v>44440012.880000003</v>
      </c>
      <c r="E804" s="68">
        <f t="shared" ref="E804:AB804" si="287">SUM(E799:E802)</f>
        <v>2291138</v>
      </c>
      <c r="F804" s="68">
        <f t="shared" si="287"/>
        <v>0</v>
      </c>
      <c r="G804" s="68"/>
      <c r="H804" s="68">
        <f t="shared" si="287"/>
        <v>2291138</v>
      </c>
      <c r="I804" s="68">
        <f t="shared" si="287"/>
        <v>0</v>
      </c>
      <c r="J804" s="68">
        <f t="shared" si="287"/>
        <v>0</v>
      </c>
      <c r="K804" s="68">
        <f t="shared" si="287"/>
        <v>0</v>
      </c>
      <c r="L804" s="68">
        <f t="shared" si="287"/>
        <v>0</v>
      </c>
      <c r="M804" s="68"/>
      <c r="N804" s="68">
        <f t="shared" si="287"/>
        <v>2291138</v>
      </c>
      <c r="O804" s="68">
        <f t="shared" si="287"/>
        <v>2361326.14</v>
      </c>
      <c r="P804" s="68">
        <f t="shared" si="287"/>
        <v>0</v>
      </c>
      <c r="Q804" s="68"/>
      <c r="R804" s="68">
        <f t="shared" si="287"/>
        <v>2361326.14</v>
      </c>
      <c r="S804" s="68">
        <f t="shared" si="287"/>
        <v>0</v>
      </c>
      <c r="T804" s="68">
        <f t="shared" si="287"/>
        <v>0</v>
      </c>
      <c r="U804" s="68">
        <f t="shared" si="287"/>
        <v>0</v>
      </c>
      <c r="V804" s="68">
        <f t="shared" si="287"/>
        <v>0</v>
      </c>
      <c r="W804" s="68"/>
      <c r="X804" s="68">
        <f t="shared" si="287"/>
        <v>2361326.14</v>
      </c>
      <c r="Y804" s="68">
        <f t="shared" si="287"/>
        <v>4652464.1400000006</v>
      </c>
      <c r="Z804" s="68">
        <f t="shared" si="287"/>
        <v>39787548.740000002</v>
      </c>
      <c r="AA804" s="68">
        <f t="shared" si="287"/>
        <v>4652464.1400000006</v>
      </c>
      <c r="AB804" s="68">
        <f t="shared" si="287"/>
        <v>39787548.740000002</v>
      </c>
    </row>
    <row r="805" spans="1:87" x14ac:dyDescent="0.25">
      <c r="A805" s="46"/>
      <c r="B805" s="26"/>
      <c r="C805" s="4"/>
      <c r="D805" s="70" t="s">
        <v>40</v>
      </c>
      <c r="E805" s="70" t="s">
        <v>40</v>
      </c>
      <c r="F805" s="70" t="s">
        <v>40</v>
      </c>
      <c r="G805" s="70"/>
      <c r="H805" s="70" t="s">
        <v>40</v>
      </c>
      <c r="I805" s="70" t="s">
        <v>40</v>
      </c>
      <c r="J805" s="70" t="s">
        <v>40</v>
      </c>
      <c r="K805" s="70" t="s">
        <v>40</v>
      </c>
      <c r="L805" s="70" t="s">
        <v>40</v>
      </c>
      <c r="M805" s="70"/>
      <c r="N805" s="70" t="s">
        <v>40</v>
      </c>
      <c r="O805" s="70" t="s">
        <v>40</v>
      </c>
      <c r="P805" s="70" t="s">
        <v>40</v>
      </c>
      <c r="Q805" s="70"/>
      <c r="R805" s="70" t="s">
        <v>40</v>
      </c>
      <c r="S805" s="70" t="s">
        <v>40</v>
      </c>
      <c r="T805" s="70" t="s">
        <v>40</v>
      </c>
      <c r="U805" s="70" t="s">
        <v>40</v>
      </c>
      <c r="V805" s="70" t="s">
        <v>40</v>
      </c>
      <c r="W805" s="70"/>
      <c r="X805" s="70" t="s">
        <v>40</v>
      </c>
      <c r="Y805" s="70" t="s">
        <v>40</v>
      </c>
      <c r="Z805" s="70" t="s">
        <v>40</v>
      </c>
      <c r="AA805" s="70" t="s">
        <v>40</v>
      </c>
      <c r="AB805" s="70" t="s">
        <v>40</v>
      </c>
      <c r="BW805" s="4"/>
      <c r="BX805" s="4"/>
    </row>
    <row r="806" spans="1:87" ht="19.5" customHeight="1" x14ac:dyDescent="0.25">
      <c r="A806" s="46">
        <v>84</v>
      </c>
      <c r="B806" s="26" t="s">
        <v>217</v>
      </c>
      <c r="C806" s="2" t="s">
        <v>35</v>
      </c>
      <c r="D806" s="68">
        <f>4746291.1-4746291.1</f>
        <v>0</v>
      </c>
      <c r="E806" s="68"/>
      <c r="F806" s="68"/>
      <c r="G806" s="68"/>
      <c r="H806" s="67">
        <f>+E806+F806</f>
        <v>0</v>
      </c>
      <c r="I806" s="68"/>
      <c r="J806" s="68"/>
      <c r="K806" s="68"/>
      <c r="L806" s="68"/>
      <c r="M806" s="68"/>
      <c r="N806" s="67">
        <f>H806+L806</f>
        <v>0</v>
      </c>
      <c r="O806" s="68"/>
      <c r="P806" s="68"/>
      <c r="Q806" s="68"/>
      <c r="R806" s="67">
        <f>O806+P806</f>
        <v>0</v>
      </c>
      <c r="S806" s="68"/>
      <c r="T806" s="68"/>
      <c r="U806" s="68"/>
      <c r="V806" s="68"/>
      <c r="W806" s="68"/>
      <c r="X806" s="67">
        <f>R806+V806</f>
        <v>0</v>
      </c>
      <c r="Y806" s="67">
        <f>R806+H806</f>
        <v>0</v>
      </c>
      <c r="Z806" s="67">
        <f>D806-Y806</f>
        <v>0</v>
      </c>
      <c r="AA806" s="67">
        <f>N806+X806</f>
        <v>0</v>
      </c>
      <c r="AB806" s="67">
        <f>+D806-N806-X806</f>
        <v>0</v>
      </c>
    </row>
    <row r="807" spans="1:87" x14ac:dyDescent="0.25">
      <c r="A807" s="46"/>
      <c r="B807" s="26"/>
      <c r="C807" s="4" t="s">
        <v>36</v>
      </c>
      <c r="D807" s="68">
        <v>2743490</v>
      </c>
      <c r="E807" s="68">
        <v>2743490</v>
      </c>
      <c r="F807" s="68"/>
      <c r="G807" s="68"/>
      <c r="H807" s="67">
        <f>+E807+F807</f>
        <v>2743490</v>
      </c>
      <c r="I807" s="68"/>
      <c r="J807" s="68"/>
      <c r="K807" s="68"/>
      <c r="L807" s="68"/>
      <c r="M807" s="68"/>
      <c r="N807" s="67">
        <f>H807+L807</f>
        <v>2743490</v>
      </c>
      <c r="O807" s="68"/>
      <c r="P807" s="68"/>
      <c r="Q807" s="68"/>
      <c r="R807" s="67">
        <f>O807+P807</f>
        <v>0</v>
      </c>
      <c r="S807" s="68"/>
      <c r="T807" s="68"/>
      <c r="U807" s="68"/>
      <c r="V807" s="68"/>
      <c r="W807" s="68"/>
      <c r="X807" s="67">
        <f>R807+V807</f>
        <v>0</v>
      </c>
      <c r="Y807" s="67">
        <f>R807+H807</f>
        <v>2743490</v>
      </c>
      <c r="Z807" s="67">
        <f>D807-Y807</f>
        <v>0</v>
      </c>
      <c r="AA807" s="67">
        <f>N807+X807</f>
        <v>2743490</v>
      </c>
      <c r="AB807" s="67">
        <f>+D807-N807-X807</f>
        <v>0</v>
      </c>
      <c r="BR807" s="4"/>
      <c r="BS807" s="4"/>
      <c r="BT807" s="4"/>
      <c r="BU807" s="4"/>
      <c r="BV807" s="4"/>
    </row>
    <row r="808" spans="1:87" x14ac:dyDescent="0.25">
      <c r="A808" s="46"/>
      <c r="B808" s="26"/>
      <c r="C808" s="4" t="s">
        <v>53</v>
      </c>
      <c r="D808" s="68">
        <f>176862.61+366273.19+4746291.1+1204104.11</f>
        <v>6493531.0099999998</v>
      </c>
      <c r="E808" s="68"/>
      <c r="F808" s="68"/>
      <c r="G808" s="68"/>
      <c r="H808" s="67">
        <f>+E808+F808</f>
        <v>0</v>
      </c>
      <c r="I808" s="68"/>
      <c r="J808" s="68"/>
      <c r="K808" s="68"/>
      <c r="L808" s="68"/>
      <c r="M808" s="68"/>
      <c r="N808" s="67">
        <f>H808+L808</f>
        <v>0</v>
      </c>
      <c r="O808" s="68">
        <f>6127257.82+366273.19</f>
        <v>6493531.0100000007</v>
      </c>
      <c r="P808" s="68"/>
      <c r="Q808" s="68"/>
      <c r="R808" s="67">
        <f>O808+P808</f>
        <v>6493531.0100000007</v>
      </c>
      <c r="S808" s="68"/>
      <c r="T808" s="68"/>
      <c r="U808" s="68"/>
      <c r="V808" s="68"/>
      <c r="W808" s="68"/>
      <c r="X808" s="67">
        <f>R808+V808</f>
        <v>6493531.0100000007</v>
      </c>
      <c r="Y808" s="67">
        <f>R808+H808</f>
        <v>6493531.0100000007</v>
      </c>
      <c r="Z808" s="67">
        <f>D808-Y808</f>
        <v>0</v>
      </c>
      <c r="AA808" s="67">
        <f>N808+X808</f>
        <v>6493531.0100000007</v>
      </c>
      <c r="AB808" s="67">
        <f>+D808-N808-X808</f>
        <v>0</v>
      </c>
      <c r="AC808" t="s">
        <v>307</v>
      </c>
      <c r="BN808" s="4"/>
      <c r="BO808" s="4"/>
      <c r="BP808" s="4"/>
      <c r="BQ808" s="4"/>
    </row>
    <row r="809" spans="1:87" x14ac:dyDescent="0.25">
      <c r="A809" s="46"/>
      <c r="B809" s="26"/>
      <c r="C809" s="4" t="s">
        <v>299</v>
      </c>
      <c r="D809" s="68">
        <v>177986.61</v>
      </c>
      <c r="E809" s="68"/>
      <c r="F809" s="68"/>
      <c r="G809" s="68"/>
      <c r="H809" s="67">
        <f>+E809+F809</f>
        <v>0</v>
      </c>
      <c r="I809" s="68"/>
      <c r="J809" s="68"/>
      <c r="K809" s="68"/>
      <c r="L809" s="68"/>
      <c r="M809" s="68"/>
      <c r="N809" s="67">
        <f>H809+L809</f>
        <v>0</v>
      </c>
      <c r="O809" s="68"/>
      <c r="P809" s="68"/>
      <c r="Q809" s="68"/>
      <c r="R809" s="67">
        <f>O809+P809</f>
        <v>0</v>
      </c>
      <c r="S809" s="68"/>
      <c r="T809" s="68"/>
      <c r="U809" s="68"/>
      <c r="V809" s="68"/>
      <c r="W809" s="68"/>
      <c r="X809" s="67">
        <f>R809+V809</f>
        <v>0</v>
      </c>
      <c r="Y809" s="67">
        <f>R809+H809</f>
        <v>0</v>
      </c>
      <c r="Z809" s="67">
        <f>D809-Y809</f>
        <v>177986.61</v>
      </c>
      <c r="AA809" s="67">
        <f>N809+X809</f>
        <v>0</v>
      </c>
      <c r="AB809" s="67">
        <f>+D809-N809-X809</f>
        <v>177986.61</v>
      </c>
      <c r="BM809" s="4"/>
    </row>
    <row r="810" spans="1:87" x14ac:dyDescent="0.25">
      <c r="A810" s="46"/>
      <c r="B810" s="26"/>
      <c r="C810" s="4" t="s">
        <v>300</v>
      </c>
      <c r="D810" s="68">
        <f>7015256.41+8781373.39</f>
        <v>15796629.800000001</v>
      </c>
      <c r="E810" s="68"/>
      <c r="F810" s="68"/>
      <c r="G810" s="68"/>
      <c r="H810" s="67">
        <f>+E810+F810</f>
        <v>0</v>
      </c>
      <c r="I810" s="68"/>
      <c r="J810" s="68"/>
      <c r="K810" s="68"/>
      <c r="L810" s="68"/>
      <c r="M810" s="68"/>
      <c r="N810" s="67">
        <f>H810+L810</f>
        <v>0</v>
      </c>
      <c r="O810" s="68">
        <v>15796629.800000001</v>
      </c>
      <c r="P810" s="68"/>
      <c r="Q810" s="68"/>
      <c r="R810" s="67">
        <f>O810+P810</f>
        <v>15796629.800000001</v>
      </c>
      <c r="S810" s="68"/>
      <c r="T810" s="68"/>
      <c r="U810" s="68"/>
      <c r="V810" s="68"/>
      <c r="W810" s="68"/>
      <c r="X810" s="67">
        <f>R810+V810</f>
        <v>15796629.800000001</v>
      </c>
      <c r="Y810" s="67">
        <f>R810+H810</f>
        <v>15796629.800000001</v>
      </c>
      <c r="Z810" s="67">
        <f>D810-Y810</f>
        <v>0</v>
      </c>
      <c r="AA810" s="67">
        <f>N810+X810</f>
        <v>15796629.800000001</v>
      </c>
      <c r="AB810" s="67">
        <f>+D810-N810-X810</f>
        <v>0</v>
      </c>
      <c r="AR810" s="4"/>
    </row>
    <row r="811" spans="1:87" x14ac:dyDescent="0.25">
      <c r="A811" s="46"/>
      <c r="B811" s="26"/>
      <c r="C811" s="4"/>
      <c r="D811" s="70" t="s">
        <v>40</v>
      </c>
      <c r="E811" s="70" t="s">
        <v>40</v>
      </c>
      <c r="F811" s="70" t="s">
        <v>40</v>
      </c>
      <c r="G811" s="70"/>
      <c r="H811" s="70" t="s">
        <v>40</v>
      </c>
      <c r="I811" s="70" t="s">
        <v>40</v>
      </c>
      <c r="J811" s="70" t="s">
        <v>40</v>
      </c>
      <c r="K811" s="70" t="s">
        <v>40</v>
      </c>
      <c r="L811" s="70" t="s">
        <v>40</v>
      </c>
      <c r="M811" s="70"/>
      <c r="N811" s="70" t="s">
        <v>40</v>
      </c>
      <c r="O811" s="70" t="s">
        <v>40</v>
      </c>
      <c r="P811" s="70" t="s">
        <v>40</v>
      </c>
      <c r="Q811" s="70"/>
      <c r="R811" s="70" t="s">
        <v>40</v>
      </c>
      <c r="S811" s="70" t="s">
        <v>40</v>
      </c>
      <c r="T811" s="70" t="s">
        <v>40</v>
      </c>
      <c r="U811" s="70" t="s">
        <v>40</v>
      </c>
      <c r="V811" s="70" t="s">
        <v>40</v>
      </c>
      <c r="W811" s="70"/>
      <c r="X811" s="70" t="s">
        <v>40</v>
      </c>
      <c r="Y811" s="70" t="s">
        <v>40</v>
      </c>
      <c r="Z811" s="70" t="s">
        <v>40</v>
      </c>
      <c r="AA811" s="70" t="s">
        <v>40</v>
      </c>
      <c r="AB811" s="70" t="s">
        <v>40</v>
      </c>
      <c r="BL811" s="4"/>
    </row>
    <row r="812" spans="1:87" x14ac:dyDescent="0.25">
      <c r="A812" s="46"/>
      <c r="B812" s="26"/>
      <c r="C812" s="4"/>
      <c r="D812" s="68">
        <f>SUM(D806:D810)</f>
        <v>25211637.420000002</v>
      </c>
      <c r="E812" s="68">
        <f t="shared" ref="E812:AB812" si="288">SUM(E806:E810)</f>
        <v>2743490</v>
      </c>
      <c r="F812" s="68">
        <f t="shared" si="288"/>
        <v>0</v>
      </c>
      <c r="G812" s="68"/>
      <c r="H812" s="68">
        <f t="shared" si="288"/>
        <v>2743490</v>
      </c>
      <c r="I812" s="68">
        <f t="shared" si="288"/>
        <v>0</v>
      </c>
      <c r="J812" s="68">
        <f t="shared" si="288"/>
        <v>0</v>
      </c>
      <c r="K812" s="68">
        <f t="shared" si="288"/>
        <v>0</v>
      </c>
      <c r="L812" s="68">
        <f t="shared" si="288"/>
        <v>0</v>
      </c>
      <c r="M812" s="68"/>
      <c r="N812" s="68">
        <f t="shared" si="288"/>
        <v>2743490</v>
      </c>
      <c r="O812" s="68">
        <f t="shared" si="288"/>
        <v>22290160.810000002</v>
      </c>
      <c r="P812" s="68">
        <f t="shared" si="288"/>
        <v>0</v>
      </c>
      <c r="Q812" s="68"/>
      <c r="R812" s="68">
        <f t="shared" si="288"/>
        <v>22290160.810000002</v>
      </c>
      <c r="S812" s="68">
        <f t="shared" si="288"/>
        <v>0</v>
      </c>
      <c r="T812" s="68">
        <f t="shared" si="288"/>
        <v>0</v>
      </c>
      <c r="U812" s="68">
        <f t="shared" si="288"/>
        <v>0</v>
      </c>
      <c r="V812" s="68">
        <f t="shared" si="288"/>
        <v>0</v>
      </c>
      <c r="W812" s="68"/>
      <c r="X812" s="68">
        <f t="shared" si="288"/>
        <v>22290160.810000002</v>
      </c>
      <c r="Y812" s="68">
        <f t="shared" si="288"/>
        <v>25033650.810000002</v>
      </c>
      <c r="Z812" s="68">
        <f t="shared" si="288"/>
        <v>177986.61</v>
      </c>
      <c r="AA812" s="68">
        <f t="shared" si="288"/>
        <v>25033650.810000002</v>
      </c>
      <c r="AB812" s="68">
        <f t="shared" si="288"/>
        <v>177986.61</v>
      </c>
      <c r="BG812" s="4"/>
      <c r="BH812" s="4"/>
      <c r="BI812" s="4"/>
      <c r="BJ812" s="4"/>
      <c r="BK812" s="4"/>
    </row>
    <row r="813" spans="1:87" x14ac:dyDescent="0.25">
      <c r="A813" s="46"/>
      <c r="B813" s="26"/>
      <c r="C813" s="4"/>
      <c r="D813" s="70" t="s">
        <v>40</v>
      </c>
      <c r="E813" s="70" t="s">
        <v>40</v>
      </c>
      <c r="F813" s="70" t="s">
        <v>40</v>
      </c>
      <c r="G813" s="70"/>
      <c r="H813" s="70" t="s">
        <v>40</v>
      </c>
      <c r="I813" s="70" t="s">
        <v>40</v>
      </c>
      <c r="J813" s="70" t="s">
        <v>40</v>
      </c>
      <c r="K813" s="70" t="s">
        <v>40</v>
      </c>
      <c r="L813" s="70" t="s">
        <v>40</v>
      </c>
      <c r="M813" s="70"/>
      <c r="N813" s="70" t="s">
        <v>40</v>
      </c>
      <c r="O813" s="70" t="s">
        <v>40</v>
      </c>
      <c r="P813" s="70" t="s">
        <v>40</v>
      </c>
      <c r="Q813" s="70"/>
      <c r="R813" s="70" t="s">
        <v>40</v>
      </c>
      <c r="S813" s="70" t="s">
        <v>40</v>
      </c>
      <c r="T813" s="70" t="s">
        <v>40</v>
      </c>
      <c r="U813" s="70" t="s">
        <v>40</v>
      </c>
      <c r="V813" s="70" t="s">
        <v>40</v>
      </c>
      <c r="W813" s="70"/>
      <c r="X813" s="70" t="s">
        <v>40</v>
      </c>
      <c r="Y813" s="70" t="s">
        <v>40</v>
      </c>
      <c r="Z813" s="70" t="s">
        <v>40</v>
      </c>
      <c r="AA813" s="70" t="s">
        <v>40</v>
      </c>
      <c r="AB813" s="70" t="s">
        <v>40</v>
      </c>
      <c r="BF813" s="4"/>
    </row>
    <row r="814" spans="1:87" x14ac:dyDescent="0.25">
      <c r="A814" s="46"/>
      <c r="B814" s="82"/>
      <c r="C814" s="44"/>
      <c r="D814" s="70"/>
      <c r="E814" s="79"/>
      <c r="F814" s="79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</row>
    <row r="815" spans="1:87" x14ac:dyDescent="0.25">
      <c r="A815" s="46"/>
      <c r="B815" s="26"/>
      <c r="C815" s="79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BD815" s="4"/>
      <c r="BE815" s="4"/>
    </row>
    <row r="816" spans="1:87" x14ac:dyDescent="0.25">
      <c r="A816" s="46">
        <v>85</v>
      </c>
      <c r="B816" s="26" t="s">
        <v>218</v>
      </c>
      <c r="C816" s="2" t="s">
        <v>35</v>
      </c>
      <c r="D816" s="68">
        <v>0</v>
      </c>
      <c r="E816" s="68"/>
      <c r="F816" s="68"/>
      <c r="G816" s="68"/>
      <c r="H816" s="67">
        <f>+E816+F816</f>
        <v>0</v>
      </c>
      <c r="I816" s="68"/>
      <c r="J816" s="68"/>
      <c r="K816" s="68"/>
      <c r="L816" s="68"/>
      <c r="M816" s="68"/>
      <c r="N816" s="67">
        <f>H816+L816</f>
        <v>0</v>
      </c>
      <c r="O816" s="68"/>
      <c r="P816" s="68"/>
      <c r="Q816" s="68"/>
      <c r="R816" s="67">
        <f>O816+P816</f>
        <v>0</v>
      </c>
      <c r="S816" s="68"/>
      <c r="T816" s="68"/>
      <c r="U816" s="68"/>
      <c r="V816" s="68"/>
      <c r="W816" s="68"/>
      <c r="X816" s="67">
        <f>R816+V816</f>
        <v>0</v>
      </c>
      <c r="Y816" s="67">
        <f>R816+H816</f>
        <v>0</v>
      </c>
      <c r="Z816" s="67">
        <f>D816-Y816</f>
        <v>0</v>
      </c>
      <c r="AA816" s="67">
        <f>N816+X816</f>
        <v>0</v>
      </c>
      <c r="AB816" s="67">
        <f>+D816-N816-X816</f>
        <v>0</v>
      </c>
      <c r="AR816" s="6"/>
      <c r="BC816" s="4"/>
    </row>
    <row r="817" spans="1:54" ht="15.75" customHeight="1" x14ac:dyDescent="0.25">
      <c r="A817" s="46"/>
      <c r="B817" s="26"/>
      <c r="C817" s="4" t="s">
        <v>36</v>
      </c>
      <c r="D817" s="68">
        <v>1760413</v>
      </c>
      <c r="E817" s="68">
        <v>1760413</v>
      </c>
      <c r="F817" s="68"/>
      <c r="G817" s="68"/>
      <c r="H817" s="67">
        <f>+E817+F817</f>
        <v>1760413</v>
      </c>
      <c r="I817" s="68"/>
      <c r="J817" s="68"/>
      <c r="K817" s="68"/>
      <c r="L817" s="68"/>
      <c r="M817" s="68"/>
      <c r="N817" s="67">
        <f>H817+L817</f>
        <v>1760413</v>
      </c>
      <c r="O817" s="68"/>
      <c r="P817" s="68"/>
      <c r="Q817" s="68"/>
      <c r="R817" s="67">
        <f>O817+P817</f>
        <v>0</v>
      </c>
      <c r="S817" s="68"/>
      <c r="T817" s="68"/>
      <c r="U817" s="68"/>
      <c r="V817" s="68"/>
      <c r="W817" s="68"/>
      <c r="X817" s="67">
        <f>R817+V817</f>
        <v>0</v>
      </c>
      <c r="Y817" s="67">
        <f>R817+H817</f>
        <v>1760413</v>
      </c>
      <c r="Z817" s="67">
        <f>D817-Y817</f>
        <v>0</v>
      </c>
      <c r="AA817" s="67">
        <f>N817+X817</f>
        <v>1760413</v>
      </c>
      <c r="AB817" s="67">
        <f>+D817-N817-X817</f>
        <v>0</v>
      </c>
    </row>
    <row r="818" spans="1:54" ht="15.75" customHeight="1" x14ac:dyDescent="0.25">
      <c r="A818" s="46"/>
      <c r="B818" s="26"/>
      <c r="C818" s="4" t="s">
        <v>208</v>
      </c>
      <c r="D818" s="68">
        <v>240154.84</v>
      </c>
      <c r="E818" s="68"/>
      <c r="F818" s="68"/>
      <c r="G818" s="68"/>
      <c r="H818" s="67">
        <f>+E818+F818</f>
        <v>0</v>
      </c>
      <c r="I818" s="68"/>
      <c r="J818" s="68"/>
      <c r="K818" s="68"/>
      <c r="L818" s="68"/>
      <c r="M818" s="68"/>
      <c r="N818" s="67">
        <f>H818+L818</f>
        <v>0</v>
      </c>
      <c r="O818" s="68"/>
      <c r="P818" s="68"/>
      <c r="Q818" s="68"/>
      <c r="R818" s="67">
        <f>O818+P818</f>
        <v>0</v>
      </c>
      <c r="S818" s="68"/>
      <c r="T818" s="68"/>
      <c r="U818" s="68"/>
      <c r="V818" s="68"/>
      <c r="W818" s="68"/>
      <c r="X818" s="67">
        <f>R818+V818</f>
        <v>0</v>
      </c>
      <c r="Y818" s="67">
        <f>R818+H818</f>
        <v>0</v>
      </c>
      <c r="Z818" s="67">
        <f>D818-Y818</f>
        <v>240154.84</v>
      </c>
      <c r="AA818" s="67">
        <f>N818+X818</f>
        <v>0</v>
      </c>
      <c r="AB818" s="67">
        <f>+D818-N818-X818</f>
        <v>240154.84</v>
      </c>
    </row>
    <row r="819" spans="1:54" ht="15.75" customHeight="1" x14ac:dyDescent="0.25">
      <c r="A819" s="46"/>
      <c r="B819" s="26"/>
      <c r="C819" s="4" t="s">
        <v>38</v>
      </c>
      <c r="D819" s="68">
        <v>76850</v>
      </c>
      <c r="E819" s="68"/>
      <c r="F819" s="68"/>
      <c r="G819" s="68"/>
      <c r="H819" s="67">
        <f>+E819+F819</f>
        <v>0</v>
      </c>
      <c r="I819" s="68"/>
      <c r="J819" s="68"/>
      <c r="K819" s="68"/>
      <c r="L819" s="68"/>
      <c r="M819" s="68"/>
      <c r="N819" s="67">
        <f>H819+L819</f>
        <v>0</v>
      </c>
      <c r="O819" s="68"/>
      <c r="P819" s="68"/>
      <c r="Q819" s="68"/>
      <c r="R819" s="67">
        <f>O819+P819</f>
        <v>0</v>
      </c>
      <c r="S819" s="68"/>
      <c r="T819" s="68"/>
      <c r="U819" s="68"/>
      <c r="V819" s="68"/>
      <c r="W819" s="68"/>
      <c r="X819" s="67">
        <f>R819+V819</f>
        <v>0</v>
      </c>
      <c r="Y819" s="67">
        <f>R819+H819</f>
        <v>0</v>
      </c>
      <c r="Z819" s="67">
        <f>D819-Y819</f>
        <v>76850</v>
      </c>
      <c r="AA819" s="67">
        <f>N819+X819</f>
        <v>0</v>
      </c>
      <c r="AB819" s="67">
        <f>+D819-N819-X819</f>
        <v>76850</v>
      </c>
      <c r="BB819" s="4"/>
    </row>
    <row r="820" spans="1:54" ht="15.75" customHeight="1" x14ac:dyDescent="0.25">
      <c r="A820" s="46"/>
      <c r="B820" s="26"/>
      <c r="C820" s="4"/>
      <c r="D820" s="70" t="s">
        <v>40</v>
      </c>
      <c r="E820" s="70" t="s">
        <v>40</v>
      </c>
      <c r="F820" s="70" t="s">
        <v>40</v>
      </c>
      <c r="G820" s="70"/>
      <c r="H820" s="70" t="s">
        <v>40</v>
      </c>
      <c r="I820" s="70" t="s">
        <v>40</v>
      </c>
      <c r="J820" s="70" t="s">
        <v>40</v>
      </c>
      <c r="K820" s="70" t="s">
        <v>40</v>
      </c>
      <c r="L820" s="70" t="s">
        <v>40</v>
      </c>
      <c r="M820" s="70"/>
      <c r="N820" s="70" t="s">
        <v>40</v>
      </c>
      <c r="O820" s="70" t="s">
        <v>40</v>
      </c>
      <c r="P820" s="70" t="s">
        <v>40</v>
      </c>
      <c r="Q820" s="70"/>
      <c r="R820" s="70" t="s">
        <v>40</v>
      </c>
      <c r="S820" s="70" t="s">
        <v>40</v>
      </c>
      <c r="T820" s="70" t="s">
        <v>40</v>
      </c>
      <c r="U820" s="70" t="s">
        <v>40</v>
      </c>
      <c r="V820" s="70" t="s">
        <v>40</v>
      </c>
      <c r="W820" s="70"/>
      <c r="X820" s="70" t="s">
        <v>40</v>
      </c>
      <c r="Y820" s="70" t="s">
        <v>40</v>
      </c>
      <c r="Z820" s="70" t="s">
        <v>40</v>
      </c>
      <c r="AA820" s="70" t="s">
        <v>40</v>
      </c>
      <c r="AB820" s="70" t="s">
        <v>40</v>
      </c>
    </row>
    <row r="821" spans="1:54" x14ac:dyDescent="0.25">
      <c r="A821" s="46"/>
      <c r="B821" s="26"/>
      <c r="C821" s="4"/>
      <c r="D821" s="68">
        <f>SUM(D816:D819)</f>
        <v>2077417.84</v>
      </c>
      <c r="E821" s="68">
        <f t="shared" ref="E821:AB821" si="289">SUM(E816:E819)</f>
        <v>1760413</v>
      </c>
      <c r="F821" s="68">
        <f t="shared" si="289"/>
        <v>0</v>
      </c>
      <c r="G821" s="68"/>
      <c r="H821" s="68">
        <f t="shared" si="289"/>
        <v>1760413</v>
      </c>
      <c r="I821" s="68">
        <f t="shared" si="289"/>
        <v>0</v>
      </c>
      <c r="J821" s="68">
        <f t="shared" si="289"/>
        <v>0</v>
      </c>
      <c r="K821" s="68">
        <f t="shared" si="289"/>
        <v>0</v>
      </c>
      <c r="L821" s="68">
        <f t="shared" si="289"/>
        <v>0</v>
      </c>
      <c r="M821" s="68"/>
      <c r="N821" s="68">
        <f t="shared" si="289"/>
        <v>1760413</v>
      </c>
      <c r="O821" s="68">
        <f t="shared" si="289"/>
        <v>0</v>
      </c>
      <c r="P821" s="68">
        <f t="shared" si="289"/>
        <v>0</v>
      </c>
      <c r="Q821" s="68"/>
      <c r="R821" s="68">
        <f t="shared" si="289"/>
        <v>0</v>
      </c>
      <c r="S821" s="68">
        <f t="shared" si="289"/>
        <v>0</v>
      </c>
      <c r="T821" s="68">
        <f t="shared" si="289"/>
        <v>0</v>
      </c>
      <c r="U821" s="68">
        <f t="shared" si="289"/>
        <v>0</v>
      </c>
      <c r="V821" s="68">
        <f t="shared" si="289"/>
        <v>0</v>
      </c>
      <c r="W821" s="68"/>
      <c r="X821" s="68">
        <f t="shared" si="289"/>
        <v>0</v>
      </c>
      <c r="Y821" s="68">
        <f t="shared" si="289"/>
        <v>1760413</v>
      </c>
      <c r="Z821" s="68">
        <f t="shared" si="289"/>
        <v>317004.83999999997</v>
      </c>
      <c r="AA821" s="68">
        <f t="shared" si="289"/>
        <v>1760413</v>
      </c>
      <c r="AB821" s="68">
        <f t="shared" si="289"/>
        <v>317004.83999999997</v>
      </c>
    </row>
    <row r="822" spans="1:54" ht="16.5" customHeight="1" x14ac:dyDescent="0.25">
      <c r="A822" s="46"/>
      <c r="B822" s="26"/>
      <c r="C822" s="4"/>
      <c r="D822" s="70" t="s">
        <v>40</v>
      </c>
      <c r="E822" s="70" t="s">
        <v>40</v>
      </c>
      <c r="F822" s="70" t="s">
        <v>40</v>
      </c>
      <c r="G822" s="70"/>
      <c r="H822" s="70" t="s">
        <v>40</v>
      </c>
      <c r="I822" s="70" t="s">
        <v>40</v>
      </c>
      <c r="J822" s="70" t="s">
        <v>40</v>
      </c>
      <c r="K822" s="70" t="s">
        <v>40</v>
      </c>
      <c r="L822" s="70" t="s">
        <v>40</v>
      </c>
      <c r="M822" s="70"/>
      <c r="N822" s="70" t="s">
        <v>40</v>
      </c>
      <c r="O822" s="70" t="s">
        <v>40</v>
      </c>
      <c r="P822" s="70" t="s">
        <v>40</v>
      </c>
      <c r="Q822" s="70"/>
      <c r="R822" s="70" t="s">
        <v>40</v>
      </c>
      <c r="S822" s="70" t="s">
        <v>40</v>
      </c>
      <c r="T822" s="70" t="s">
        <v>40</v>
      </c>
      <c r="U822" s="70" t="s">
        <v>40</v>
      </c>
      <c r="V822" s="70" t="s">
        <v>40</v>
      </c>
      <c r="W822" s="70"/>
      <c r="X822" s="70" t="s">
        <v>40</v>
      </c>
      <c r="Y822" s="70" t="s">
        <v>40</v>
      </c>
      <c r="Z822" s="70" t="s">
        <v>40</v>
      </c>
      <c r="AA822" s="70" t="s">
        <v>40</v>
      </c>
      <c r="AB822" s="70" t="s">
        <v>40</v>
      </c>
      <c r="BA822" s="4"/>
    </row>
    <row r="823" spans="1:54" ht="15.75" customHeight="1" x14ac:dyDescent="0.25">
      <c r="A823" s="46">
        <v>86</v>
      </c>
      <c r="B823" s="26" t="s">
        <v>219</v>
      </c>
      <c r="C823" s="2" t="s">
        <v>35</v>
      </c>
      <c r="D823" s="68">
        <v>0</v>
      </c>
      <c r="E823" s="68"/>
      <c r="F823" s="68"/>
      <c r="G823" s="68"/>
      <c r="H823" s="67">
        <f>+E823+F823</f>
        <v>0</v>
      </c>
      <c r="I823" s="68"/>
      <c r="J823" s="68"/>
      <c r="K823" s="68"/>
      <c r="L823" s="68"/>
      <c r="M823" s="68"/>
      <c r="N823" s="67">
        <f>H823+L823</f>
        <v>0</v>
      </c>
      <c r="O823" s="68"/>
      <c r="P823" s="68"/>
      <c r="Q823" s="68"/>
      <c r="R823" s="67">
        <f>O823+P823</f>
        <v>0</v>
      </c>
      <c r="S823" s="68"/>
      <c r="T823" s="68"/>
      <c r="U823" s="68"/>
      <c r="V823" s="68"/>
      <c r="W823" s="68"/>
      <c r="X823" s="67">
        <f>R823+V823</f>
        <v>0</v>
      </c>
      <c r="Y823" s="67">
        <f>R823+H823</f>
        <v>0</v>
      </c>
      <c r="Z823" s="67">
        <f>D823-Y823</f>
        <v>0</v>
      </c>
      <c r="AA823" s="67">
        <f>N823+X823</f>
        <v>0</v>
      </c>
      <c r="AB823" s="67">
        <f>+D823-N823-X823</f>
        <v>0</v>
      </c>
    </row>
    <row r="824" spans="1:54" x14ac:dyDescent="0.25">
      <c r="A824" s="46"/>
      <c r="B824" s="26"/>
      <c r="C824" s="4" t="s">
        <v>36</v>
      </c>
      <c r="D824" s="68">
        <v>4070993</v>
      </c>
      <c r="E824" s="68">
        <v>4070993</v>
      </c>
      <c r="F824" s="68"/>
      <c r="G824" s="68"/>
      <c r="H824" s="67">
        <f>+E824+F824</f>
        <v>4070993</v>
      </c>
      <c r="I824" s="68"/>
      <c r="J824" s="68"/>
      <c r="K824" s="68"/>
      <c r="L824" s="68"/>
      <c r="M824" s="68"/>
      <c r="N824" s="67">
        <f>H824+L824</f>
        <v>4070993</v>
      </c>
      <c r="O824" s="68"/>
      <c r="P824" s="68"/>
      <c r="Q824" s="68"/>
      <c r="R824" s="67">
        <f>O824+P824</f>
        <v>0</v>
      </c>
      <c r="S824" s="68"/>
      <c r="T824" s="68"/>
      <c r="U824" s="68"/>
      <c r="V824" s="68"/>
      <c r="W824" s="68"/>
      <c r="X824" s="67">
        <f>R824+V824</f>
        <v>0</v>
      </c>
      <c r="Y824" s="67">
        <f>R824+H824</f>
        <v>4070993</v>
      </c>
      <c r="Z824" s="67">
        <f>D824-Y824</f>
        <v>0</v>
      </c>
      <c r="AA824" s="67">
        <f>N824+X824</f>
        <v>4070993</v>
      </c>
      <c r="AB824" s="67">
        <f>+D824-N824-X824</f>
        <v>0</v>
      </c>
    </row>
    <row r="825" spans="1:54" ht="17.25" customHeight="1" x14ac:dyDescent="0.25">
      <c r="C825" s="4" t="s">
        <v>290</v>
      </c>
      <c r="D825" s="55">
        <f>7000000+7000000+7000000+7000000+7000000+7000000+7000000+7000000</f>
        <v>56000000</v>
      </c>
      <c r="E825" s="55">
        <f>7000000+7000000+7000000+7000000+7000000+7000000+7000000</f>
        <v>49000000</v>
      </c>
      <c r="F825" s="55">
        <v>7000000</v>
      </c>
      <c r="G825" s="55"/>
      <c r="H825" s="55">
        <f>+E825+F825</f>
        <v>56000000</v>
      </c>
      <c r="I825" s="55"/>
      <c r="J825" s="55"/>
      <c r="K825" s="55"/>
      <c r="L825" s="55"/>
      <c r="M825" s="55"/>
      <c r="N825" s="55">
        <f>+H825+L825</f>
        <v>56000000</v>
      </c>
      <c r="O825" s="55"/>
      <c r="P825" s="55"/>
      <c r="Q825" s="55"/>
      <c r="R825" s="67">
        <f>O825+P825</f>
        <v>0</v>
      </c>
      <c r="S825" s="68"/>
      <c r="T825" s="68"/>
      <c r="U825" s="68"/>
      <c r="V825" s="68"/>
      <c r="W825" s="68"/>
      <c r="X825" s="67">
        <f>R825+V825</f>
        <v>0</v>
      </c>
      <c r="Y825" s="67">
        <f>R825+H825</f>
        <v>56000000</v>
      </c>
      <c r="Z825" s="67">
        <f>D825-Y825</f>
        <v>0</v>
      </c>
      <c r="AA825" s="67">
        <f>N825+X825</f>
        <v>56000000</v>
      </c>
      <c r="AB825" s="67">
        <f>+D825-N825-X825</f>
        <v>0</v>
      </c>
    </row>
    <row r="826" spans="1:54" x14ac:dyDescent="0.25">
      <c r="A826" s="46"/>
      <c r="B826" s="29" t="s">
        <v>273</v>
      </c>
      <c r="D826" s="68">
        <v>1300000</v>
      </c>
      <c r="E826" s="68">
        <v>1300000</v>
      </c>
      <c r="F826" s="68"/>
      <c r="G826" s="68"/>
      <c r="H826" s="67">
        <f>+E826+F826</f>
        <v>1300000</v>
      </c>
      <c r="I826" s="68"/>
      <c r="J826" s="68"/>
      <c r="K826" s="68"/>
      <c r="L826" s="68"/>
      <c r="M826" s="68"/>
      <c r="N826" s="67">
        <f>H826+L826</f>
        <v>1300000</v>
      </c>
      <c r="O826" s="68"/>
      <c r="P826" s="68"/>
      <c r="Q826" s="68"/>
      <c r="R826" s="67">
        <f>O826+P826</f>
        <v>0</v>
      </c>
      <c r="S826" s="68"/>
      <c r="T826" s="68"/>
      <c r="U826" s="68"/>
      <c r="V826" s="68"/>
      <c r="W826" s="68"/>
      <c r="X826" s="67">
        <f>R826+V826</f>
        <v>0</v>
      </c>
      <c r="Y826" s="67">
        <f>R826+H826</f>
        <v>1300000</v>
      </c>
      <c r="Z826" s="67">
        <f>D826-Y826</f>
        <v>0</v>
      </c>
      <c r="AA826" s="67">
        <f>N826+X826</f>
        <v>1300000</v>
      </c>
      <c r="AB826" s="67">
        <f>+D826-N826-X826</f>
        <v>0</v>
      </c>
    </row>
    <row r="827" spans="1:54" ht="15.75" customHeight="1" x14ac:dyDescent="0.25">
      <c r="A827" s="46"/>
      <c r="B827" s="26"/>
      <c r="C827" s="4"/>
      <c r="D827" s="70" t="s">
        <v>40</v>
      </c>
      <c r="E827" s="70" t="s">
        <v>40</v>
      </c>
      <c r="F827" s="70" t="s">
        <v>40</v>
      </c>
      <c r="G827" s="70"/>
      <c r="H827" s="70" t="s">
        <v>40</v>
      </c>
      <c r="I827" s="70" t="s">
        <v>40</v>
      </c>
      <c r="J827" s="70" t="s">
        <v>40</v>
      </c>
      <c r="K827" s="70" t="s">
        <v>40</v>
      </c>
      <c r="L827" s="70" t="s">
        <v>40</v>
      </c>
      <c r="M827" s="70"/>
      <c r="N827" s="70" t="s">
        <v>40</v>
      </c>
      <c r="O827" s="70" t="s">
        <v>40</v>
      </c>
      <c r="P827" s="70" t="s">
        <v>40</v>
      </c>
      <c r="Q827" s="70"/>
      <c r="R827" s="70" t="s">
        <v>40</v>
      </c>
      <c r="S827" s="70" t="s">
        <v>40</v>
      </c>
      <c r="T827" s="70" t="s">
        <v>40</v>
      </c>
      <c r="U827" s="70" t="s">
        <v>40</v>
      </c>
      <c r="V827" s="70" t="s">
        <v>40</v>
      </c>
      <c r="W827" s="70"/>
      <c r="X827" s="70" t="s">
        <v>40</v>
      </c>
      <c r="Y827" s="70" t="s">
        <v>40</v>
      </c>
      <c r="Z827" s="70" t="s">
        <v>40</v>
      </c>
      <c r="AA827" s="70" t="s">
        <v>40</v>
      </c>
      <c r="AB827" s="70" t="s">
        <v>40</v>
      </c>
    </row>
    <row r="828" spans="1:54" ht="15.75" customHeight="1" x14ac:dyDescent="0.25">
      <c r="A828" s="46"/>
      <c r="B828" s="26"/>
      <c r="C828" s="4"/>
      <c r="D828" s="68">
        <f>SUM(D823:D826)</f>
        <v>61370993</v>
      </c>
      <c r="E828" s="68">
        <f>SUM(E823:E826)</f>
        <v>54370993</v>
      </c>
      <c r="F828" s="68">
        <f>SUM(F823:F826)</f>
        <v>7000000</v>
      </c>
      <c r="G828" s="68"/>
      <c r="H828" s="68">
        <f>SUM(H823:H826)</f>
        <v>61370993</v>
      </c>
      <c r="I828" s="68">
        <f>SUM(I823:I826)</f>
        <v>0</v>
      </c>
      <c r="J828" s="68">
        <f>SUM(J823:J826)</f>
        <v>0</v>
      </c>
      <c r="K828" s="68">
        <f>SUM(K823:K826)</f>
        <v>0</v>
      </c>
      <c r="L828" s="68">
        <f>SUM(L823:L826)</f>
        <v>0</v>
      </c>
      <c r="M828" s="68"/>
      <c r="N828" s="68">
        <f>SUM(N823:N826)</f>
        <v>61370993</v>
      </c>
      <c r="O828" s="68">
        <f>SUM(O823:O826)</f>
        <v>0</v>
      </c>
      <c r="P828" s="68">
        <f>SUM(P823:P826)</f>
        <v>0</v>
      </c>
      <c r="Q828" s="68"/>
      <c r="R828" s="68">
        <f>SUM(R823:R826)</f>
        <v>0</v>
      </c>
      <c r="S828" s="68">
        <f>SUM(S823:S826)</f>
        <v>0</v>
      </c>
      <c r="T828" s="68">
        <f>SUM(T823:T826)</f>
        <v>0</v>
      </c>
      <c r="U828" s="68">
        <f>SUM(U823:U826)</f>
        <v>0</v>
      </c>
      <c r="V828" s="68">
        <f>SUM(V823:V826)</f>
        <v>0</v>
      </c>
      <c r="W828" s="68"/>
      <c r="X828" s="68">
        <f>SUM(X823:X826)</f>
        <v>0</v>
      </c>
      <c r="Y828" s="68">
        <f>SUM(Y823:Y826)</f>
        <v>61370993</v>
      </c>
      <c r="Z828" s="68">
        <f>SUM(Z823:Z826)</f>
        <v>0</v>
      </c>
      <c r="AA828" s="68">
        <f>SUM(AA823:AA826)</f>
        <v>61370993</v>
      </c>
      <c r="AB828" s="68">
        <f>SUM(AB823:AB826)</f>
        <v>0</v>
      </c>
    </row>
    <row r="829" spans="1:54" x14ac:dyDescent="0.25">
      <c r="A829" s="46"/>
      <c r="B829" s="26"/>
      <c r="C829" s="4"/>
      <c r="D829" s="70" t="s">
        <v>40</v>
      </c>
      <c r="E829" s="70" t="s">
        <v>40</v>
      </c>
      <c r="F829" s="70" t="s">
        <v>40</v>
      </c>
      <c r="G829" s="70"/>
      <c r="H829" s="70" t="s">
        <v>40</v>
      </c>
      <c r="I829" s="70" t="s">
        <v>40</v>
      </c>
      <c r="J829" s="70" t="s">
        <v>40</v>
      </c>
      <c r="K829" s="70" t="s">
        <v>40</v>
      </c>
      <c r="L829" s="70" t="s">
        <v>40</v>
      </c>
      <c r="M829" s="70"/>
      <c r="N829" s="70" t="s">
        <v>40</v>
      </c>
      <c r="O829" s="70" t="s">
        <v>40</v>
      </c>
      <c r="P829" s="70" t="s">
        <v>40</v>
      </c>
      <c r="Q829" s="70"/>
      <c r="R829" s="70" t="s">
        <v>40</v>
      </c>
      <c r="S829" s="70" t="s">
        <v>40</v>
      </c>
      <c r="T829" s="70" t="s">
        <v>40</v>
      </c>
      <c r="U829" s="70" t="s">
        <v>40</v>
      </c>
      <c r="V829" s="70" t="s">
        <v>40</v>
      </c>
      <c r="W829" s="70"/>
      <c r="X829" s="70" t="s">
        <v>40</v>
      </c>
      <c r="Y829" s="70" t="s">
        <v>40</v>
      </c>
      <c r="Z829" s="70" t="s">
        <v>40</v>
      </c>
      <c r="AA829" s="70" t="s">
        <v>40</v>
      </c>
      <c r="AB829" s="70" t="s">
        <v>40</v>
      </c>
    </row>
    <row r="830" spans="1:54" x14ac:dyDescent="0.25">
      <c r="A830" s="46">
        <v>87</v>
      </c>
      <c r="B830" s="26" t="s">
        <v>220</v>
      </c>
      <c r="C830" s="2" t="s">
        <v>35</v>
      </c>
      <c r="D830" s="68">
        <f>15203427.5-435375.2</f>
        <v>14768052.300000001</v>
      </c>
      <c r="E830" s="68"/>
      <c r="F830" s="68"/>
      <c r="G830" s="68"/>
      <c r="H830" s="67">
        <f>+E830+F830</f>
        <v>0</v>
      </c>
      <c r="I830" s="68"/>
      <c r="J830" s="68"/>
      <c r="K830" s="68"/>
      <c r="L830" s="68"/>
      <c r="M830" s="68"/>
      <c r="N830" s="67">
        <f>H830+L830</f>
        <v>0</v>
      </c>
      <c r="O830" s="68">
        <f>435375.2-435375.2</f>
        <v>0</v>
      </c>
      <c r="P830" s="68"/>
      <c r="Q830" s="68"/>
      <c r="R830" s="67">
        <f>O830+P830</f>
        <v>0</v>
      </c>
      <c r="S830" s="68"/>
      <c r="T830" s="68"/>
      <c r="U830" s="68"/>
      <c r="V830" s="68"/>
      <c r="W830" s="78"/>
      <c r="X830" s="67">
        <f>R830+V830</f>
        <v>0</v>
      </c>
      <c r="Y830" s="67">
        <f>R830+H830</f>
        <v>0</v>
      </c>
      <c r="Z830" s="67">
        <f>D830-Y830</f>
        <v>14768052.300000001</v>
      </c>
      <c r="AA830" s="67">
        <f>N830+X830</f>
        <v>0</v>
      </c>
      <c r="AB830" s="67">
        <f>+D830-N830-X830</f>
        <v>14768052.300000001</v>
      </c>
      <c r="AZ830" s="4"/>
    </row>
    <row r="831" spans="1:54" x14ac:dyDescent="0.25">
      <c r="A831" s="46"/>
      <c r="B831" s="26"/>
      <c r="C831" s="4" t="s">
        <v>36</v>
      </c>
      <c r="D831" s="68">
        <v>3333153</v>
      </c>
      <c r="E831" s="68">
        <v>3333153</v>
      </c>
      <c r="F831" s="68"/>
      <c r="G831" s="68"/>
      <c r="H831" s="67">
        <f>+E831+F831</f>
        <v>3333153</v>
      </c>
      <c r="I831" s="68"/>
      <c r="J831" s="68"/>
      <c r="K831" s="68"/>
      <c r="L831" s="68"/>
      <c r="M831" s="68"/>
      <c r="N831" s="67">
        <f>H831+L831</f>
        <v>3333153</v>
      </c>
      <c r="O831" s="68"/>
      <c r="P831" s="68"/>
      <c r="Q831" s="68"/>
      <c r="R831" s="67">
        <f>O831+P831</f>
        <v>0</v>
      </c>
      <c r="S831" s="68"/>
      <c r="T831" s="68"/>
      <c r="U831" s="68"/>
      <c r="V831" s="68"/>
      <c r="W831" s="68"/>
      <c r="X831" s="67">
        <f>R831+V831</f>
        <v>0</v>
      </c>
      <c r="Y831" s="67">
        <f>R831+H831</f>
        <v>3333153</v>
      </c>
      <c r="Z831" s="67">
        <f>D831-Y831</f>
        <v>0</v>
      </c>
      <c r="AA831" s="67">
        <f>N831+X831</f>
        <v>3333153</v>
      </c>
      <c r="AB831" s="67">
        <f>+D831-N831-X831</f>
        <v>0</v>
      </c>
      <c r="AY831" s="4"/>
    </row>
    <row r="832" spans="1:54" ht="15.75" customHeight="1" x14ac:dyDescent="0.25">
      <c r="A832" s="4"/>
      <c r="B832" s="4"/>
      <c r="C832" s="4" t="s">
        <v>290</v>
      </c>
      <c r="D832" s="55">
        <v>7368000</v>
      </c>
      <c r="E832" s="55">
        <v>7368000</v>
      </c>
      <c r="F832" s="55"/>
      <c r="G832" s="55"/>
      <c r="H832" s="55">
        <f>+E832+F832</f>
        <v>7368000</v>
      </c>
      <c r="I832" s="55"/>
      <c r="J832" s="55"/>
      <c r="K832" s="55"/>
      <c r="L832" s="55"/>
      <c r="M832" s="55"/>
      <c r="N832" s="55">
        <f>+H832+L832</f>
        <v>7368000</v>
      </c>
      <c r="O832" s="55"/>
      <c r="P832" s="55"/>
      <c r="Q832" s="55"/>
      <c r="R832" s="55">
        <f>+O832+P832</f>
        <v>0</v>
      </c>
      <c r="S832" s="55"/>
      <c r="T832" s="55"/>
      <c r="U832" s="55"/>
      <c r="V832" s="55"/>
      <c r="W832" s="55"/>
      <c r="X832" s="55">
        <f>+R832+V832</f>
        <v>0</v>
      </c>
      <c r="Y832" s="67">
        <f>R832+H832</f>
        <v>7368000</v>
      </c>
      <c r="Z832" s="67">
        <f>D832-Y832</f>
        <v>0</v>
      </c>
      <c r="AA832" s="67">
        <f>N832+X832</f>
        <v>7368000</v>
      </c>
      <c r="AB832" s="67">
        <f>+D832-N832-X832</f>
        <v>0</v>
      </c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W832" s="4"/>
      <c r="AX832" s="4"/>
    </row>
    <row r="833" spans="1:48" ht="15.75" customHeight="1" x14ac:dyDescent="0.25">
      <c r="A833" s="46"/>
      <c r="B833" s="26"/>
      <c r="C833" s="4" t="s">
        <v>53</v>
      </c>
      <c r="D833" s="68">
        <v>25517706.489999998</v>
      </c>
      <c r="E833" s="68"/>
      <c r="F833" s="68"/>
      <c r="G833" s="68"/>
      <c r="H833" s="68"/>
      <c r="I833" s="68"/>
      <c r="J833" s="68"/>
      <c r="K833" s="68"/>
      <c r="L833" s="68"/>
      <c r="M833" s="68"/>
      <c r="N833" s="67">
        <f>H833+L833</f>
        <v>0</v>
      </c>
      <c r="O833" s="68">
        <f>6699983.55+400890.95</f>
        <v>7100874.5</v>
      </c>
      <c r="P833" s="68"/>
      <c r="Q833" s="68"/>
      <c r="R833" s="67">
        <f>O833+P833</f>
        <v>7100874.5</v>
      </c>
      <c r="S833" s="68"/>
      <c r="T833" s="68"/>
      <c r="U833" s="68"/>
      <c r="V833" s="68"/>
      <c r="W833" s="68"/>
      <c r="X833" s="67">
        <f>R833+V833</f>
        <v>7100874.5</v>
      </c>
      <c r="Y833" s="67">
        <f>R833+H833</f>
        <v>7100874.5</v>
      </c>
      <c r="Z833" s="67">
        <f>D833-Y833</f>
        <v>18416831.989999998</v>
      </c>
      <c r="AA833" s="67">
        <f>N833+X833</f>
        <v>7100874.5</v>
      </c>
      <c r="AB833" s="67">
        <f>+D833-N833-X833</f>
        <v>18416831.989999998</v>
      </c>
    </row>
    <row r="834" spans="1:48" x14ac:dyDescent="0.25">
      <c r="A834" s="46"/>
      <c r="B834" s="26"/>
      <c r="C834" s="4" t="s">
        <v>221</v>
      </c>
      <c r="D834" s="68">
        <f>5603896.26+435375.2</f>
        <v>6039271.46</v>
      </c>
      <c r="E834" s="68"/>
      <c r="F834" s="68"/>
      <c r="G834" s="68"/>
      <c r="H834" s="68"/>
      <c r="I834" s="68"/>
      <c r="J834" s="68"/>
      <c r="K834" s="68"/>
      <c r="L834" s="68"/>
      <c r="M834" s="68"/>
      <c r="N834" s="67">
        <f>H834+L834</f>
        <v>0</v>
      </c>
      <c r="O834" s="68">
        <f>5603896.26+435375.2</f>
        <v>6039271.46</v>
      </c>
      <c r="P834" s="68"/>
      <c r="Q834" s="68"/>
      <c r="R834" s="67">
        <f>O834+P834</f>
        <v>6039271.46</v>
      </c>
      <c r="S834" s="68"/>
      <c r="T834" s="68"/>
      <c r="U834" s="68"/>
      <c r="V834" s="68"/>
      <c r="W834" s="68"/>
      <c r="X834" s="67">
        <f>R834+V834</f>
        <v>6039271.46</v>
      </c>
      <c r="Y834" s="67">
        <f>R834+H834</f>
        <v>6039271.46</v>
      </c>
      <c r="Z834" s="67">
        <f>D834-Y834</f>
        <v>0</v>
      </c>
      <c r="AA834" s="67">
        <f>N834+X834</f>
        <v>6039271.46</v>
      </c>
      <c r="AB834" s="67">
        <f>+D834-N834-X834</f>
        <v>0</v>
      </c>
    </row>
    <row r="835" spans="1:48" ht="15.75" customHeight="1" x14ac:dyDescent="0.25">
      <c r="A835" s="46"/>
      <c r="B835" s="26"/>
      <c r="C835" s="4"/>
      <c r="D835" s="70" t="s">
        <v>40</v>
      </c>
      <c r="E835" s="70" t="s">
        <v>40</v>
      </c>
      <c r="F835" s="70" t="s">
        <v>40</v>
      </c>
      <c r="G835" s="70"/>
      <c r="H835" s="70" t="s">
        <v>40</v>
      </c>
      <c r="I835" s="70" t="s">
        <v>40</v>
      </c>
      <c r="J835" s="70" t="s">
        <v>40</v>
      </c>
      <c r="K835" s="70" t="s">
        <v>40</v>
      </c>
      <c r="L835" s="70" t="s">
        <v>40</v>
      </c>
      <c r="M835" s="70"/>
      <c r="N835" s="70" t="s">
        <v>40</v>
      </c>
      <c r="O835" s="70" t="s">
        <v>40</v>
      </c>
      <c r="P835" s="70" t="s">
        <v>40</v>
      </c>
      <c r="Q835" s="70"/>
      <c r="R835" s="70" t="s">
        <v>40</v>
      </c>
      <c r="S835" s="70" t="s">
        <v>40</v>
      </c>
      <c r="T835" s="70" t="s">
        <v>40</v>
      </c>
      <c r="U835" s="70" t="s">
        <v>40</v>
      </c>
      <c r="V835" s="70" t="s">
        <v>40</v>
      </c>
      <c r="W835" s="70"/>
      <c r="X835" s="70" t="s">
        <v>40</v>
      </c>
      <c r="Y835" s="70" t="s">
        <v>40</v>
      </c>
      <c r="Z835" s="70" t="s">
        <v>40</v>
      </c>
      <c r="AA835" s="70" t="s">
        <v>40</v>
      </c>
      <c r="AB835" s="70" t="s">
        <v>40</v>
      </c>
    </row>
    <row r="836" spans="1:48" x14ac:dyDescent="0.25">
      <c r="A836" s="46"/>
      <c r="B836" s="26"/>
      <c r="C836" s="4"/>
      <c r="D836" s="68">
        <f>SUM(D830:D834)</f>
        <v>57026183.25</v>
      </c>
      <c r="E836" s="68">
        <f>SUM(E830:E834)</f>
        <v>10701153</v>
      </c>
      <c r="F836" s="68">
        <f>SUM(F830:F834)</f>
        <v>0</v>
      </c>
      <c r="G836" s="68"/>
      <c r="H836" s="68">
        <f>SUM(H830:H834)</f>
        <v>10701153</v>
      </c>
      <c r="I836" s="68">
        <f>SUM(I830:I834)</f>
        <v>0</v>
      </c>
      <c r="J836" s="68">
        <f>SUM(J830:J834)</f>
        <v>0</v>
      </c>
      <c r="K836" s="68">
        <f>SUM(K830:K834)</f>
        <v>0</v>
      </c>
      <c r="L836" s="68">
        <f>SUM(L830:L834)</f>
        <v>0</v>
      </c>
      <c r="M836" s="68"/>
      <c r="N836" s="68">
        <f>SUM(N830:N834)</f>
        <v>10701153</v>
      </c>
      <c r="O836" s="68">
        <f>SUM(O830:O834)</f>
        <v>13140145.960000001</v>
      </c>
      <c r="P836" s="68">
        <f>SUM(P830:P834)</f>
        <v>0</v>
      </c>
      <c r="Q836" s="68"/>
      <c r="R836" s="68">
        <f>SUM(R830:R834)</f>
        <v>13140145.960000001</v>
      </c>
      <c r="S836" s="68">
        <f>SUM(S830:S834)</f>
        <v>0</v>
      </c>
      <c r="T836" s="68">
        <f>SUM(T830:T834)</f>
        <v>0</v>
      </c>
      <c r="U836" s="68">
        <f>SUM(U830:U834)</f>
        <v>0</v>
      </c>
      <c r="V836" s="68">
        <f>SUM(V830:V834)</f>
        <v>0</v>
      </c>
      <c r="W836" s="68"/>
      <c r="X836" s="68">
        <f>SUM(X830:X834)</f>
        <v>13140145.960000001</v>
      </c>
      <c r="Y836" s="68">
        <f>SUM(Y830:Y834)</f>
        <v>23841298.960000001</v>
      </c>
      <c r="Z836" s="68">
        <f>SUM(Z830:Z834)</f>
        <v>33184884.289999999</v>
      </c>
      <c r="AA836" s="68">
        <f>SUM(AA830:AA834)</f>
        <v>23841298.960000001</v>
      </c>
      <c r="AB836" s="68">
        <f>SUM(AB830:AB834)</f>
        <v>33184884.289999999</v>
      </c>
      <c r="AV836" s="4"/>
    </row>
    <row r="837" spans="1:48" ht="21.75" customHeight="1" x14ac:dyDescent="0.25">
      <c r="A837" s="46"/>
      <c r="B837" s="26"/>
      <c r="C837" s="4"/>
      <c r="D837" s="70" t="s">
        <v>40</v>
      </c>
      <c r="E837" s="70" t="s">
        <v>40</v>
      </c>
      <c r="F837" s="70" t="s">
        <v>40</v>
      </c>
      <c r="G837" s="70"/>
      <c r="H837" s="70" t="s">
        <v>40</v>
      </c>
      <c r="I837" s="70" t="s">
        <v>40</v>
      </c>
      <c r="J837" s="70" t="s">
        <v>40</v>
      </c>
      <c r="K837" s="70" t="s">
        <v>40</v>
      </c>
      <c r="L837" s="70" t="s">
        <v>40</v>
      </c>
      <c r="M837" s="70"/>
      <c r="N837" s="70" t="s">
        <v>40</v>
      </c>
      <c r="O837" s="70" t="s">
        <v>40</v>
      </c>
      <c r="P837" s="70" t="s">
        <v>40</v>
      </c>
      <c r="Q837" s="70"/>
      <c r="R837" s="70" t="s">
        <v>40</v>
      </c>
      <c r="S837" s="70" t="s">
        <v>40</v>
      </c>
      <c r="T837" s="70" t="s">
        <v>40</v>
      </c>
      <c r="U837" s="70" t="s">
        <v>40</v>
      </c>
      <c r="V837" s="70" t="s">
        <v>40</v>
      </c>
      <c r="W837" s="70"/>
      <c r="X837" s="70" t="s">
        <v>40</v>
      </c>
      <c r="Y837" s="70" t="s">
        <v>40</v>
      </c>
      <c r="Z837" s="70" t="s">
        <v>40</v>
      </c>
      <c r="AA837" s="70" t="s">
        <v>40</v>
      </c>
      <c r="AB837" s="70" t="s">
        <v>40</v>
      </c>
      <c r="AC837" s="124" t="s">
        <v>303</v>
      </c>
      <c r="AD837" s="97">
        <f>+D832+D761+D825+D792</f>
        <v>147862351.06</v>
      </c>
      <c r="AE837" s="97">
        <f>+E832+E761+E825+E792</f>
        <v>130862351.06</v>
      </c>
      <c r="AF837" s="97">
        <f>+F832+F761+F825+F792</f>
        <v>17000000</v>
      </c>
      <c r="AG837" s="97">
        <f>+AE837+AF837</f>
        <v>147862351.06</v>
      </c>
      <c r="AH837" s="97">
        <f>+L832+L761+L825+L792</f>
        <v>0</v>
      </c>
      <c r="AI837" s="97">
        <f>+AG837+AH837</f>
        <v>147862351.06</v>
      </c>
      <c r="AJ837" s="97">
        <f>+O832+O761+O825+O792</f>
        <v>0</v>
      </c>
      <c r="AK837" s="97">
        <f>+P832+P761+P825+P792</f>
        <v>0</v>
      </c>
      <c r="AL837" s="97">
        <f>+AJ837+AK837</f>
        <v>0</v>
      </c>
      <c r="AM837" s="97">
        <f>+V832+V761+V825+V792</f>
        <v>0</v>
      </c>
      <c r="AN837" s="97">
        <f>+AL837+AM837</f>
        <v>0</v>
      </c>
      <c r="AO837" s="94">
        <f>+AG837+AL837</f>
        <v>147862351.06</v>
      </c>
      <c r="AP837" s="94">
        <f>+AD837-AO837</f>
        <v>0</v>
      </c>
      <c r="AQ837" s="94">
        <f>+AD837-AI837-AN837</f>
        <v>0</v>
      </c>
      <c r="AU837" s="4"/>
    </row>
    <row r="838" spans="1:48" x14ac:dyDescent="0.25">
      <c r="A838" s="46"/>
      <c r="B838" s="26"/>
      <c r="C838" s="4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93"/>
      <c r="S838" s="70"/>
      <c r="T838" s="70"/>
      <c r="U838" s="70"/>
      <c r="W838" s="70"/>
      <c r="X838" s="70"/>
      <c r="Y838" s="70"/>
      <c r="Z838" s="70"/>
      <c r="AA838" s="70"/>
      <c r="AB838" s="70"/>
      <c r="AC838" s="49" t="s">
        <v>47</v>
      </c>
      <c r="AD838" s="94">
        <f t="shared" ref="AD838:AF839" si="290">D759+D768+D775+D782+D790+D799+D806+D816+D823+D830+D840</f>
        <v>122629152.41999999</v>
      </c>
      <c r="AE838" s="94">
        <f t="shared" si="290"/>
        <v>0</v>
      </c>
      <c r="AF838" s="94">
        <f t="shared" si="290"/>
        <v>0</v>
      </c>
      <c r="AG838" s="94">
        <f>+AE838+AF838</f>
        <v>0</v>
      </c>
      <c r="AH838" s="94">
        <f>L759+L768+L775+L782+L790+L799+L806+L816+L823+L830+L840</f>
        <v>0</v>
      </c>
      <c r="AI838" s="94">
        <f>+AG838+AH838</f>
        <v>0</v>
      </c>
      <c r="AJ838" s="94">
        <f>O759+O768+O775+O782+O790+O799+O806+O816+O823+O830+O840</f>
        <v>56072</v>
      </c>
      <c r="AK838" s="94">
        <f>P759+P768+P775+P782+P790+P799+P806+P816+P823+P830+P840</f>
        <v>0</v>
      </c>
      <c r="AL838" s="94">
        <f>+AJ838+AK838</f>
        <v>56072</v>
      </c>
      <c r="AM838" s="94">
        <f>V759+V768+V775+V782+V790+V799+V806+V816+V823+V830+V840</f>
        <v>0</v>
      </c>
      <c r="AN838" s="94">
        <f>+AL838+AM838</f>
        <v>56072</v>
      </c>
      <c r="AO838" s="94">
        <f>+AG838+AL838</f>
        <v>56072</v>
      </c>
      <c r="AP838" s="94">
        <f>+AD838-AO838</f>
        <v>122573080.41999999</v>
      </c>
      <c r="AQ838" s="94">
        <f>+AD838-AI838-AN838</f>
        <v>122573080.41999999</v>
      </c>
    </row>
    <row r="839" spans="1:48" x14ac:dyDescent="0.25">
      <c r="A839" s="46"/>
      <c r="B839" s="26"/>
      <c r="C839" s="4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49" t="s">
        <v>36</v>
      </c>
      <c r="AD839" s="94">
        <f t="shared" si="290"/>
        <v>18595144</v>
      </c>
      <c r="AE839" s="94">
        <f t="shared" si="290"/>
        <v>18595144</v>
      </c>
      <c r="AF839" s="94">
        <f t="shared" si="290"/>
        <v>0</v>
      </c>
      <c r="AG839" s="94">
        <f t="shared" ref="AG839:AG845" si="291">+AE839+AF839</f>
        <v>18595144</v>
      </c>
      <c r="AH839" s="94">
        <f>L760+L769+L776+L783+L791+L800+L807+L817+L824+L831+L841</f>
        <v>0</v>
      </c>
      <c r="AI839" s="94">
        <f t="shared" ref="AI839:AI845" si="292">+AG839+AH839</f>
        <v>18595144</v>
      </c>
      <c r="AJ839" s="94">
        <f>O760+O769+O776+O783+O791+O800+O807+O817+O824+O831+O841</f>
        <v>0</v>
      </c>
      <c r="AK839" s="94">
        <f>P760+P769+P776+P783+P791+P800+P807+P817+P824+P831+P841</f>
        <v>0</v>
      </c>
      <c r="AL839" s="94">
        <f t="shared" ref="AL839:AL845" si="293">+AJ839+AK839</f>
        <v>0</v>
      </c>
      <c r="AM839" s="94">
        <f>V760+V769+V776+V783+V791+V800+V807+V817+V824+V831+V841</f>
        <v>0</v>
      </c>
      <c r="AN839" s="94">
        <f t="shared" ref="AN839:AN845" si="294">+AL839+AM839</f>
        <v>0</v>
      </c>
      <c r="AO839" s="94">
        <f t="shared" ref="AO839:AO845" si="295">+AG839+AL839</f>
        <v>18595144</v>
      </c>
      <c r="AP839" s="94">
        <f t="shared" ref="AP839:AP845" si="296">+AD839-AO839</f>
        <v>0</v>
      </c>
      <c r="AQ839" s="94">
        <f t="shared" ref="AQ839:AQ845" si="297">+AD839-AI839-AN839</f>
        <v>0</v>
      </c>
    </row>
    <row r="840" spans="1:48" ht="15.75" customHeight="1" x14ac:dyDescent="0.25">
      <c r="A840" s="46">
        <v>88</v>
      </c>
      <c r="B840" s="26" t="s">
        <v>222</v>
      </c>
      <c r="C840" s="2" t="s">
        <v>35</v>
      </c>
      <c r="D840" s="68">
        <v>23411354.460000001</v>
      </c>
      <c r="E840" s="68"/>
      <c r="F840" s="68"/>
      <c r="G840" s="68"/>
      <c r="H840" s="67">
        <f>+E840+F840</f>
        <v>0</v>
      </c>
      <c r="I840" s="68"/>
      <c r="J840" s="68"/>
      <c r="K840" s="68"/>
      <c r="L840" s="68"/>
      <c r="M840" s="68"/>
      <c r="N840" s="67">
        <f>H840+L840</f>
        <v>0</v>
      </c>
      <c r="O840" s="68"/>
      <c r="P840" s="68"/>
      <c r="Q840" s="68"/>
      <c r="R840" s="67">
        <f>O840+P840</f>
        <v>0</v>
      </c>
      <c r="S840" s="68"/>
      <c r="T840" s="68"/>
      <c r="U840" s="68"/>
      <c r="V840" s="68"/>
      <c r="W840" s="68"/>
      <c r="X840" s="67">
        <f>R840+V840</f>
        <v>0</v>
      </c>
      <c r="Y840" s="67">
        <f>R840+H840</f>
        <v>0</v>
      </c>
      <c r="Z840" s="67">
        <f>D840-Y840</f>
        <v>23411354.460000001</v>
      </c>
      <c r="AA840" s="67">
        <f>N840+X840</f>
        <v>0</v>
      </c>
      <c r="AB840" s="67">
        <f>+D840-N840-X840</f>
        <v>23411354.460000001</v>
      </c>
      <c r="AC840" s="49" t="s">
        <v>53</v>
      </c>
      <c r="AD840" s="94">
        <f>D762+D770+D784+D793+D801+D808+D833</f>
        <v>82251425.729999989</v>
      </c>
      <c r="AE840" s="94">
        <f>E762+E770+E784+E793+E801+E808+E833</f>
        <v>0</v>
      </c>
      <c r="AF840" s="94">
        <f>F762+F770+F784+F793+F801+F808+F833</f>
        <v>0</v>
      </c>
      <c r="AG840" s="94">
        <f t="shared" si="291"/>
        <v>0</v>
      </c>
      <c r="AH840" s="94">
        <f>L762+L770+L784+L793+L801+L808+L833</f>
        <v>0</v>
      </c>
      <c r="AI840" s="94">
        <f t="shared" si="292"/>
        <v>0</v>
      </c>
      <c r="AJ840" s="94">
        <f>O762+O770+O784+O793+O801+O808+O833</f>
        <v>48672877.489999995</v>
      </c>
      <c r="AK840" s="94">
        <f>P762+P770+P784+P793+P801+P808+P833</f>
        <v>0</v>
      </c>
      <c r="AL840" s="94">
        <f t="shared" si="293"/>
        <v>48672877.489999995</v>
      </c>
      <c r="AM840" s="94">
        <f>V762+V770+V784+V793+V801+V808+V833</f>
        <v>0</v>
      </c>
      <c r="AN840" s="94">
        <f t="shared" si="294"/>
        <v>48672877.489999995</v>
      </c>
      <c r="AO840" s="94">
        <f t="shared" si="295"/>
        <v>48672877.489999995</v>
      </c>
      <c r="AP840" s="94">
        <f t="shared" si="296"/>
        <v>33578548.239999995</v>
      </c>
      <c r="AQ840" s="94">
        <f t="shared" si="297"/>
        <v>33578548.239999995</v>
      </c>
      <c r="AT840" s="4"/>
    </row>
    <row r="841" spans="1:48" ht="15.75" customHeight="1" x14ac:dyDescent="0.25">
      <c r="A841" s="46"/>
      <c r="B841" s="26"/>
      <c r="C841" s="4" t="s">
        <v>36</v>
      </c>
      <c r="D841" s="68">
        <v>53104</v>
      </c>
      <c r="E841" s="68">
        <v>53104</v>
      </c>
      <c r="F841" s="68"/>
      <c r="G841" s="68"/>
      <c r="H841" s="67">
        <f>+E841+F841</f>
        <v>53104</v>
      </c>
      <c r="I841" s="68"/>
      <c r="J841" s="68"/>
      <c r="K841" s="68"/>
      <c r="L841" s="68"/>
      <c r="M841" s="68"/>
      <c r="N841" s="67">
        <f>H841+L841</f>
        <v>53104</v>
      </c>
      <c r="O841" s="68"/>
      <c r="P841" s="68"/>
      <c r="Q841" s="68"/>
      <c r="R841" s="67">
        <f>O841+P841</f>
        <v>0</v>
      </c>
      <c r="S841" s="68"/>
      <c r="T841" s="68"/>
      <c r="U841" s="68"/>
      <c r="V841" s="68"/>
      <c r="W841" s="68"/>
      <c r="X841" s="67">
        <f>R841+V841</f>
        <v>0</v>
      </c>
      <c r="Y841" s="67">
        <f>R841+H841</f>
        <v>53104</v>
      </c>
      <c r="Z841" s="67">
        <f>D841-Y841</f>
        <v>0</v>
      </c>
      <c r="AA841" s="67">
        <f>N841+X841</f>
        <v>53104</v>
      </c>
      <c r="AB841" s="67">
        <f>+D841-N841-X841</f>
        <v>0</v>
      </c>
      <c r="AC841" s="49" t="s">
        <v>54</v>
      </c>
      <c r="AD841" s="94">
        <f>D763+D771+D786+D794+D802+D810+D834</f>
        <v>73573001.589999989</v>
      </c>
      <c r="AE841" s="94">
        <f>E763+E771+E786+E794+E802+E810+E834</f>
        <v>0</v>
      </c>
      <c r="AF841" s="94">
        <f>F763+F771+F786+F794+F802+F810+F834</f>
        <v>0</v>
      </c>
      <c r="AG841" s="94">
        <f t="shared" si="291"/>
        <v>0</v>
      </c>
      <c r="AH841" s="94">
        <f>L763+L771+L786+L794+L802+L810+L834</f>
        <v>0</v>
      </c>
      <c r="AI841" s="94">
        <f t="shared" si="292"/>
        <v>0</v>
      </c>
      <c r="AJ841" s="94">
        <f>O763+O771+O786+O794+O802+O810+O834</f>
        <v>70912209.569999993</v>
      </c>
      <c r="AK841" s="94">
        <f>P763+P771+P786+P794+P802+P810+P834</f>
        <v>0</v>
      </c>
      <c r="AL841" s="94">
        <f t="shared" si="293"/>
        <v>70912209.569999993</v>
      </c>
      <c r="AM841" s="94">
        <f>V763+V771+V786+V794+V802+V810+V834</f>
        <v>0</v>
      </c>
      <c r="AN841" s="94">
        <f t="shared" si="294"/>
        <v>70912209.569999993</v>
      </c>
      <c r="AO841" s="94">
        <f t="shared" si="295"/>
        <v>70912209.569999993</v>
      </c>
      <c r="AP841" s="94">
        <f t="shared" si="296"/>
        <v>2660792.0199999958</v>
      </c>
      <c r="AQ841" s="94">
        <f t="shared" si="297"/>
        <v>2660792.0199999958</v>
      </c>
    </row>
    <row r="842" spans="1:48" x14ac:dyDescent="0.25">
      <c r="A842" s="46"/>
      <c r="B842" s="26"/>
      <c r="C842" s="4" t="s">
        <v>38</v>
      </c>
      <c r="D842" s="68">
        <v>6124700</v>
      </c>
      <c r="E842" s="68"/>
      <c r="F842" s="68"/>
      <c r="G842" s="68"/>
      <c r="H842" s="67">
        <f>+E842+F842</f>
        <v>0</v>
      </c>
      <c r="I842" s="68"/>
      <c r="J842" s="68"/>
      <c r="K842" s="68"/>
      <c r="L842" s="68"/>
      <c r="M842" s="68"/>
      <c r="N842" s="67">
        <f>H842+L842</f>
        <v>0</v>
      </c>
      <c r="O842" s="68"/>
      <c r="P842" s="68"/>
      <c r="Q842" s="68"/>
      <c r="R842" s="67">
        <f>O842+P842</f>
        <v>0</v>
      </c>
      <c r="S842" s="68"/>
      <c r="T842" s="68"/>
      <c r="U842" s="68"/>
      <c r="V842" s="68"/>
      <c r="W842" s="68"/>
      <c r="X842" s="67">
        <f>R842+V842</f>
        <v>0</v>
      </c>
      <c r="Y842" s="67">
        <f>R842+H842</f>
        <v>0</v>
      </c>
      <c r="Z842" s="67">
        <f>D842-Y842</f>
        <v>6124700</v>
      </c>
      <c r="AA842" s="67">
        <f>N842+X842</f>
        <v>0</v>
      </c>
      <c r="AB842" s="67">
        <f>+D842-N842-X842</f>
        <v>6124700</v>
      </c>
      <c r="AC842" s="49" t="s">
        <v>38</v>
      </c>
      <c r="AD842" s="94">
        <f>D777+D785+D809+D819+D842</f>
        <v>13875036.609999999</v>
      </c>
      <c r="AE842" s="94">
        <f>E777+E785+E809+E819+E842</f>
        <v>0</v>
      </c>
      <c r="AF842" s="94">
        <f>F777+F785+F809+F819+F842</f>
        <v>0</v>
      </c>
      <c r="AG842" s="94">
        <f t="shared" si="291"/>
        <v>0</v>
      </c>
      <c r="AH842" s="94">
        <f>L777+L785+L809+L819+L842</f>
        <v>0</v>
      </c>
      <c r="AI842" s="94">
        <f t="shared" si="292"/>
        <v>0</v>
      </c>
      <c r="AJ842" s="94">
        <f>O777+O785+O809+O819+O842</f>
        <v>0</v>
      </c>
      <c r="AK842" s="94">
        <f>P777+P785+P809+P819+P842</f>
        <v>0</v>
      </c>
      <c r="AL842" s="94">
        <f t="shared" si="293"/>
        <v>0</v>
      </c>
      <c r="AM842" s="94">
        <f>V777+V785+V809+V819+V842</f>
        <v>0</v>
      </c>
      <c r="AN842" s="94">
        <f t="shared" si="294"/>
        <v>0</v>
      </c>
      <c r="AO842" s="94">
        <f t="shared" si="295"/>
        <v>0</v>
      </c>
      <c r="AP842" s="94">
        <f t="shared" si="296"/>
        <v>13875036.609999999</v>
      </c>
      <c r="AQ842" s="94">
        <f t="shared" si="297"/>
        <v>13875036.609999999</v>
      </c>
    </row>
    <row r="843" spans="1:48" ht="15.75" customHeight="1" x14ac:dyDescent="0.25">
      <c r="A843" s="46"/>
      <c r="B843" s="26"/>
      <c r="C843" s="4"/>
      <c r="D843" s="70" t="s">
        <v>40</v>
      </c>
      <c r="E843" s="70" t="s">
        <v>40</v>
      </c>
      <c r="F843" s="70" t="s">
        <v>40</v>
      </c>
      <c r="G843" s="70"/>
      <c r="H843" s="70" t="s">
        <v>40</v>
      </c>
      <c r="I843" s="70" t="s">
        <v>40</v>
      </c>
      <c r="J843" s="70" t="s">
        <v>40</v>
      </c>
      <c r="K843" s="70" t="s">
        <v>40</v>
      </c>
      <c r="L843" s="70" t="s">
        <v>40</v>
      </c>
      <c r="M843" s="70"/>
      <c r="N843" s="70" t="s">
        <v>40</v>
      </c>
      <c r="O843" s="70" t="s">
        <v>40</v>
      </c>
      <c r="P843" s="70" t="s">
        <v>40</v>
      </c>
      <c r="Q843" s="70"/>
      <c r="R843" s="70" t="s">
        <v>40</v>
      </c>
      <c r="S843" s="70" t="s">
        <v>40</v>
      </c>
      <c r="T843" s="70" t="s">
        <v>40</v>
      </c>
      <c r="U843" s="70" t="s">
        <v>40</v>
      </c>
      <c r="V843" s="70" t="s">
        <v>40</v>
      </c>
      <c r="W843" s="70"/>
      <c r="X843" s="70" t="s">
        <v>40</v>
      </c>
      <c r="Y843" s="70" t="s">
        <v>40</v>
      </c>
      <c r="Z843" s="70" t="s">
        <v>40</v>
      </c>
      <c r="AA843" s="70" t="s">
        <v>40</v>
      </c>
      <c r="AB843" s="70" t="s">
        <v>40</v>
      </c>
      <c r="AC843" s="49" t="s">
        <v>261</v>
      </c>
      <c r="AD843" s="94">
        <f>D778+D795</f>
        <v>2038170.86</v>
      </c>
      <c r="AE843" s="94">
        <f>E778+E795</f>
        <v>0</v>
      </c>
      <c r="AF843" s="94">
        <f>F778+F795</f>
        <v>0</v>
      </c>
      <c r="AG843" s="94">
        <f t="shared" si="291"/>
        <v>0</v>
      </c>
      <c r="AH843" s="94">
        <f>L778+L795</f>
        <v>0</v>
      </c>
      <c r="AI843" s="94">
        <f t="shared" si="292"/>
        <v>0</v>
      </c>
      <c r="AJ843" s="94">
        <f>O778+O795</f>
        <v>0</v>
      </c>
      <c r="AK843" s="94">
        <f>P778+P795</f>
        <v>0</v>
      </c>
      <c r="AL843" s="94">
        <f t="shared" si="293"/>
        <v>0</v>
      </c>
      <c r="AM843" s="94">
        <f>V778+V795</f>
        <v>0</v>
      </c>
      <c r="AN843" s="94">
        <f t="shared" si="294"/>
        <v>0</v>
      </c>
      <c r="AO843" s="94">
        <f t="shared" si="295"/>
        <v>0</v>
      </c>
      <c r="AP843" s="94">
        <f t="shared" si="296"/>
        <v>2038170.86</v>
      </c>
      <c r="AQ843" s="94">
        <f t="shared" si="297"/>
        <v>2038170.86</v>
      </c>
    </row>
    <row r="844" spans="1:48" ht="15.75" customHeight="1" x14ac:dyDescent="0.25">
      <c r="A844" s="46"/>
      <c r="B844" s="26"/>
      <c r="C844" s="4"/>
      <c r="D844" s="68">
        <f>SUM(D840:D842)</f>
        <v>29589158.460000001</v>
      </c>
      <c r="E844" s="68">
        <f t="shared" ref="E844:AB844" si="298">SUM(E840:E842)</f>
        <v>53104</v>
      </c>
      <c r="F844" s="68">
        <f t="shared" si="298"/>
        <v>0</v>
      </c>
      <c r="G844" s="68"/>
      <c r="H844" s="68">
        <f t="shared" si="298"/>
        <v>53104</v>
      </c>
      <c r="I844" s="68">
        <f t="shared" si="298"/>
        <v>0</v>
      </c>
      <c r="J844" s="68">
        <f t="shared" si="298"/>
        <v>0</v>
      </c>
      <c r="K844" s="68">
        <f t="shared" si="298"/>
        <v>0</v>
      </c>
      <c r="L844" s="68">
        <f t="shared" si="298"/>
        <v>0</v>
      </c>
      <c r="M844" s="68"/>
      <c r="N844" s="68">
        <f t="shared" si="298"/>
        <v>53104</v>
      </c>
      <c r="O844" s="68">
        <f t="shared" si="298"/>
        <v>0</v>
      </c>
      <c r="P844" s="68">
        <f t="shared" si="298"/>
        <v>0</v>
      </c>
      <c r="Q844" s="68"/>
      <c r="R844" s="68">
        <f t="shared" si="298"/>
        <v>0</v>
      </c>
      <c r="S844" s="68">
        <f t="shared" si="298"/>
        <v>0</v>
      </c>
      <c r="T844" s="68">
        <f t="shared" si="298"/>
        <v>0</v>
      </c>
      <c r="U844" s="68">
        <f t="shared" si="298"/>
        <v>0</v>
      </c>
      <c r="V844" s="68">
        <f t="shared" si="298"/>
        <v>0</v>
      </c>
      <c r="W844" s="68"/>
      <c r="X844" s="68">
        <f t="shared" si="298"/>
        <v>0</v>
      </c>
      <c r="Y844" s="68">
        <f t="shared" si="298"/>
        <v>53104</v>
      </c>
      <c r="Z844" s="68">
        <f t="shared" si="298"/>
        <v>29536054.460000001</v>
      </c>
      <c r="AA844" s="68">
        <f t="shared" si="298"/>
        <v>53104</v>
      </c>
      <c r="AB844" s="68">
        <f t="shared" si="298"/>
        <v>29536054.460000001</v>
      </c>
      <c r="AC844" s="49" t="s">
        <v>208</v>
      </c>
      <c r="AD844" s="94">
        <f>+D818</f>
        <v>240154.84</v>
      </c>
      <c r="AE844" s="94">
        <f>+E818</f>
        <v>0</v>
      </c>
      <c r="AF844" s="94">
        <f>+F818</f>
        <v>0</v>
      </c>
      <c r="AG844" s="94">
        <f t="shared" si="291"/>
        <v>0</v>
      </c>
      <c r="AH844" s="94">
        <f>+L818</f>
        <v>0</v>
      </c>
      <c r="AI844" s="94">
        <f t="shared" si="292"/>
        <v>0</v>
      </c>
      <c r="AJ844" s="94">
        <f>+O818</f>
        <v>0</v>
      </c>
      <c r="AK844" s="94">
        <f>+P818</f>
        <v>0</v>
      </c>
      <c r="AL844" s="94">
        <f t="shared" si="293"/>
        <v>0</v>
      </c>
      <c r="AM844" s="94">
        <f>+V818</f>
        <v>0</v>
      </c>
      <c r="AN844" s="94">
        <f t="shared" si="294"/>
        <v>0</v>
      </c>
      <c r="AO844" s="94">
        <f t="shared" si="295"/>
        <v>0</v>
      </c>
      <c r="AP844" s="94">
        <f t="shared" si="296"/>
        <v>240154.84</v>
      </c>
      <c r="AQ844" s="94">
        <f t="shared" si="297"/>
        <v>240154.84</v>
      </c>
    </row>
    <row r="845" spans="1:48" ht="15.75" customHeight="1" x14ac:dyDescent="0.25">
      <c r="A845" s="46" t="s">
        <v>145</v>
      </c>
      <c r="B845" s="36" t="s">
        <v>3</v>
      </c>
      <c r="C845" s="4"/>
      <c r="D845" s="70" t="s">
        <v>40</v>
      </c>
      <c r="E845" s="70" t="s">
        <v>40</v>
      </c>
      <c r="F845" s="70" t="s">
        <v>40</v>
      </c>
      <c r="G845" s="70"/>
      <c r="H845" s="70" t="s">
        <v>40</v>
      </c>
      <c r="I845" s="70" t="s">
        <v>40</v>
      </c>
      <c r="J845" s="70" t="s">
        <v>40</v>
      </c>
      <c r="K845" s="70" t="s">
        <v>40</v>
      </c>
      <c r="L845" s="70" t="s">
        <v>40</v>
      </c>
      <c r="M845" s="70"/>
      <c r="N845" s="70" t="s">
        <v>40</v>
      </c>
      <c r="O845" s="70" t="s">
        <v>40</v>
      </c>
      <c r="P845" s="70" t="s">
        <v>40</v>
      </c>
      <c r="Q845" s="70"/>
      <c r="R845" s="70" t="s">
        <v>40</v>
      </c>
      <c r="S845" s="70" t="s">
        <v>40</v>
      </c>
      <c r="T845" s="70" t="s">
        <v>40</v>
      </c>
      <c r="U845" s="70" t="s">
        <v>40</v>
      </c>
      <c r="V845" s="70" t="s">
        <v>40</v>
      </c>
      <c r="W845" s="70"/>
      <c r="X845" s="70" t="s">
        <v>40</v>
      </c>
      <c r="Y845" s="70" t="s">
        <v>40</v>
      </c>
      <c r="Z845" s="70" t="s">
        <v>40</v>
      </c>
      <c r="AA845" s="70" t="s">
        <v>40</v>
      </c>
      <c r="AB845" s="70" t="s">
        <v>40</v>
      </c>
      <c r="AC845" s="53" t="s">
        <v>274</v>
      </c>
      <c r="AD845" s="94">
        <f>+D826</f>
        <v>1300000</v>
      </c>
      <c r="AE845" s="94">
        <f>+E826</f>
        <v>1300000</v>
      </c>
      <c r="AF845" s="94">
        <f>+F826</f>
        <v>0</v>
      </c>
      <c r="AG845" s="94">
        <f t="shared" si="291"/>
        <v>1300000</v>
      </c>
      <c r="AH845" s="94">
        <f>+L826</f>
        <v>0</v>
      </c>
      <c r="AI845" s="94">
        <f t="shared" si="292"/>
        <v>1300000</v>
      </c>
      <c r="AJ845" s="94">
        <f>+O826</f>
        <v>0</v>
      </c>
      <c r="AK845" s="94">
        <f>+P826</f>
        <v>0</v>
      </c>
      <c r="AL845" s="94">
        <f t="shared" si="293"/>
        <v>0</v>
      </c>
      <c r="AM845" s="94">
        <f>+V826</f>
        <v>0</v>
      </c>
      <c r="AN845" s="94">
        <f t="shared" si="294"/>
        <v>0</v>
      </c>
      <c r="AO845" s="94">
        <f t="shared" si="295"/>
        <v>1300000</v>
      </c>
      <c r="AP845" s="94">
        <f t="shared" si="296"/>
        <v>0</v>
      </c>
      <c r="AQ845" s="94">
        <f t="shared" si="297"/>
        <v>0</v>
      </c>
      <c r="AS845" s="4"/>
    </row>
    <row r="846" spans="1:48" x14ac:dyDescent="0.25">
      <c r="A846" s="46"/>
      <c r="B846" s="26"/>
      <c r="C846" s="21" t="s">
        <v>210</v>
      </c>
      <c r="D846" s="68">
        <f>D765+D773+D780+D788+D797+D804+D812+D821+D828+D836+D844</f>
        <v>462364437.10999995</v>
      </c>
      <c r="E846" s="68">
        <f>E765+E773+E780+E788+E797+E804+E812+E821+E828+E836+E844</f>
        <v>150757495.06</v>
      </c>
      <c r="F846" s="68">
        <f>F765+F773+F780+F788+F797+F804+F812+F821+F828+F836+F844</f>
        <v>17000000</v>
      </c>
      <c r="G846" s="68"/>
      <c r="H846" s="68">
        <f>H765+H773+H780+H788+H797+H804+H812+H821+H828+H836+H844</f>
        <v>167757495.06</v>
      </c>
      <c r="I846" s="68">
        <f>I765+I773+I780+I788+I797+I804+I812+I821+I828+I836+I844</f>
        <v>0</v>
      </c>
      <c r="J846" s="68">
        <f>J765+J773+J780+J788+J797+J804+J812+J821+J828+J836+J844</f>
        <v>0</v>
      </c>
      <c r="K846" s="68">
        <f>K765+K773+K780+K788+K797+K804+K812+K821+K828+K836+K844</f>
        <v>0</v>
      </c>
      <c r="L846" s="68">
        <f>L765+L773+L780+L788+L797+L804+L812+L821+L828+L836+L844</f>
        <v>0</v>
      </c>
      <c r="M846" s="68"/>
      <c r="N846" s="68">
        <f>N765+N773+N780+N788+N797+N804+N812+N821+N828+N836+N844</f>
        <v>167757495.06</v>
      </c>
      <c r="O846" s="68">
        <f>O765+O773+O780+O788+O797+O804+O812+O821+O828+O836+O844</f>
        <v>119641159.06</v>
      </c>
      <c r="P846" s="68">
        <f>P765+P773+P780+P788+P797+P804+P812+P821+P828+P836+P844</f>
        <v>0</v>
      </c>
      <c r="Q846" s="68"/>
      <c r="R846" s="68">
        <f>R765+R773+R780+R788+R797+R804+R812+R821+R828+R836+R844</f>
        <v>119641159.06</v>
      </c>
      <c r="S846" s="68">
        <f>S765+S773+S780+S788+S797+S804+S812+S821+S828+S836+S844</f>
        <v>0</v>
      </c>
      <c r="T846" s="68">
        <f>T765+T773+T780+T788+T797+T804+T812+T821+T828+T836+T844</f>
        <v>0</v>
      </c>
      <c r="U846" s="68">
        <f>U765+U773+U780+U788+U797+U804+U812+U821+U828+U836+U844</f>
        <v>0</v>
      </c>
      <c r="V846" s="68">
        <f>V765+V773+V780+V788+V797+V804+V812+V821+V828+V836+V844</f>
        <v>0</v>
      </c>
      <c r="W846" s="68"/>
      <c r="X846" s="68">
        <f>X765+X773+X780+X788+X797+X804+X812+X821+X828+X836+X844</f>
        <v>119641159.06</v>
      </c>
      <c r="Y846" s="68">
        <f>Y765+Y773+Y780+Y788+Y797+Y804+Y812+Y821+Y828+Y836+Y844</f>
        <v>287398654.11999995</v>
      </c>
      <c r="Z846" s="68">
        <f>Z765+Z773+Z780+Z788+Z797+Z804+Z812+Z821+Z828+Z836+Z844</f>
        <v>174965782.99000004</v>
      </c>
      <c r="AA846" s="68">
        <f>AA765+AA773+AA780+AA788+AA797+AA804+AA812+AA821+AA828+AA836+AA844</f>
        <v>287398654.11999995</v>
      </c>
      <c r="AB846" s="68">
        <f>AB765+AB773+AB780+AB788+AB797+AB804+AB812+AB821+AB828+AB836+AB844</f>
        <v>174965782.99000004</v>
      </c>
      <c r="AD846" s="95">
        <f>SUM(AD837:AD845)</f>
        <v>462364437.11000001</v>
      </c>
      <c r="AE846" s="95">
        <f t="shared" ref="AE846:AQ846" si="299">SUM(AE837:AE845)</f>
        <v>150757495.06</v>
      </c>
      <c r="AF846" s="95">
        <f t="shared" si="299"/>
        <v>17000000</v>
      </c>
      <c r="AG846" s="95">
        <f t="shared" si="299"/>
        <v>167757495.06</v>
      </c>
      <c r="AH846" s="95">
        <f t="shared" si="299"/>
        <v>0</v>
      </c>
      <c r="AI846" s="95">
        <f t="shared" si="299"/>
        <v>167757495.06</v>
      </c>
      <c r="AJ846" s="95">
        <f t="shared" si="299"/>
        <v>119641159.05999999</v>
      </c>
      <c r="AK846" s="95">
        <f t="shared" si="299"/>
        <v>0</v>
      </c>
      <c r="AL846" s="95">
        <f t="shared" si="299"/>
        <v>119641159.05999999</v>
      </c>
      <c r="AM846" s="95">
        <f t="shared" si="299"/>
        <v>0</v>
      </c>
      <c r="AN846" s="95">
        <f t="shared" si="299"/>
        <v>119641159.05999999</v>
      </c>
      <c r="AO846" s="95">
        <f t="shared" si="299"/>
        <v>287398654.12</v>
      </c>
      <c r="AP846" s="95">
        <f t="shared" si="299"/>
        <v>174965782.98999998</v>
      </c>
      <c r="AQ846" s="95">
        <f t="shared" si="299"/>
        <v>174965782.98999998</v>
      </c>
    </row>
    <row r="847" spans="1:48" ht="19.5" customHeight="1" x14ac:dyDescent="0.25">
      <c r="A847" s="46"/>
      <c r="B847" s="26"/>
      <c r="C847" s="4"/>
      <c r="D847" s="70" t="s">
        <v>50</v>
      </c>
      <c r="E847" s="70" t="s">
        <v>50</v>
      </c>
      <c r="F847" s="70" t="s">
        <v>50</v>
      </c>
      <c r="G847" s="70"/>
      <c r="H847" s="70" t="s">
        <v>50</v>
      </c>
      <c r="I847" s="70" t="s">
        <v>50</v>
      </c>
      <c r="J847" s="70" t="s">
        <v>50</v>
      </c>
      <c r="K847" s="70" t="s">
        <v>50</v>
      </c>
      <c r="L847" s="70" t="s">
        <v>50</v>
      </c>
      <c r="M847" s="70"/>
      <c r="N847" s="70" t="s">
        <v>50</v>
      </c>
      <c r="O847" s="70" t="s">
        <v>50</v>
      </c>
      <c r="P847" s="70" t="s">
        <v>50</v>
      </c>
      <c r="Q847" s="70"/>
      <c r="R847" s="70" t="s">
        <v>50</v>
      </c>
      <c r="S847" s="70" t="s">
        <v>50</v>
      </c>
      <c r="T847" s="70" t="s">
        <v>50</v>
      </c>
      <c r="U847" s="70" t="s">
        <v>50</v>
      </c>
      <c r="V847" s="70" t="s">
        <v>50</v>
      </c>
      <c r="W847" s="70"/>
      <c r="X847" s="70" t="s">
        <v>50</v>
      </c>
      <c r="Y847" s="70" t="s">
        <v>50</v>
      </c>
      <c r="Z847" s="70" t="s">
        <v>50</v>
      </c>
      <c r="AA847" s="70" t="s">
        <v>50</v>
      </c>
      <c r="AB847" s="70" t="s">
        <v>50</v>
      </c>
    </row>
    <row r="848" spans="1:48" ht="15.75" customHeight="1" x14ac:dyDescent="0.25">
      <c r="A848" s="46"/>
      <c r="B848" s="26"/>
      <c r="C848" s="20"/>
      <c r="D848" s="75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</row>
    <row r="849" spans="1:106" ht="15.75" customHeight="1" x14ac:dyDescent="0.25">
      <c r="C849" s="4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</row>
    <row r="850" spans="1:106" ht="19.5" x14ac:dyDescent="0.35">
      <c r="A850" s="46"/>
      <c r="B850" s="47" t="s">
        <v>105</v>
      </c>
      <c r="C850" s="4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</row>
    <row r="851" spans="1:106" ht="15.75" customHeight="1" x14ac:dyDescent="0.25">
      <c r="A851" s="46"/>
      <c r="B851" s="23"/>
      <c r="C851" s="4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</row>
    <row r="852" spans="1:106" x14ac:dyDescent="0.25">
      <c r="A852" s="46">
        <v>89</v>
      </c>
      <c r="B852" s="23" t="s">
        <v>106</v>
      </c>
      <c r="C852" s="2" t="s">
        <v>35</v>
      </c>
      <c r="D852" s="67">
        <f>54026747.21-2722681.5</f>
        <v>51304065.710000001</v>
      </c>
      <c r="E852" s="67">
        <v>0</v>
      </c>
      <c r="F852" s="68"/>
      <c r="G852" s="68"/>
      <c r="H852" s="67">
        <f>E852+F852</f>
        <v>0</v>
      </c>
      <c r="I852" s="68"/>
      <c r="J852" s="68"/>
      <c r="K852" s="68"/>
      <c r="L852" s="67"/>
      <c r="M852" s="67"/>
      <c r="N852" s="67">
        <f>H852+L852</f>
        <v>0</v>
      </c>
      <c r="O852" s="67">
        <f>5603896.26-5603896.26</f>
        <v>0</v>
      </c>
      <c r="P852" s="68"/>
      <c r="Q852" s="68"/>
      <c r="R852" s="67">
        <f>O852+P852</f>
        <v>0</v>
      </c>
      <c r="S852" s="67"/>
      <c r="T852" s="68"/>
      <c r="U852" s="68"/>
      <c r="V852" s="67"/>
      <c r="W852" s="67"/>
      <c r="X852" s="67">
        <f>R852+V852</f>
        <v>0</v>
      </c>
      <c r="Y852" s="67">
        <f t="shared" ref="Y852:Y858" si="300">R852+H852</f>
        <v>0</v>
      </c>
      <c r="Z852" s="67">
        <f t="shared" ref="Z852:Z858" si="301">D852-Y852</f>
        <v>51304065.710000001</v>
      </c>
      <c r="AA852" s="67">
        <f t="shared" ref="AA852:AA858" si="302">N852+X852</f>
        <v>0</v>
      </c>
      <c r="AB852" s="67">
        <f t="shared" ref="AB852:AB858" si="303">+D852-N852-X852</f>
        <v>51304065.710000001</v>
      </c>
    </row>
    <row r="853" spans="1:106" x14ac:dyDescent="0.25">
      <c r="A853" s="46"/>
      <c r="B853" s="26"/>
      <c r="C853" s="3" t="s">
        <v>36</v>
      </c>
      <c r="D853" s="67">
        <f>514010.67+1980429.02+300000</f>
        <v>2794439.69</v>
      </c>
      <c r="E853" s="67">
        <f>514010.67+1980429.02+300000</f>
        <v>2794439.69</v>
      </c>
      <c r="F853" s="68"/>
      <c r="G853" s="68"/>
      <c r="H853" s="67">
        <f>E853+F853</f>
        <v>2794439.69</v>
      </c>
      <c r="I853" s="68"/>
      <c r="J853" s="68"/>
      <c r="K853" s="68"/>
      <c r="L853" s="67"/>
      <c r="M853" s="67"/>
      <c r="N853" s="67">
        <f>H853+L853</f>
        <v>2794439.69</v>
      </c>
      <c r="O853" s="67">
        <v>0</v>
      </c>
      <c r="P853" s="68"/>
      <c r="Q853" s="68"/>
      <c r="R853" s="67">
        <f>O853+P853</f>
        <v>0</v>
      </c>
      <c r="S853" s="67"/>
      <c r="T853" s="68"/>
      <c r="U853" s="68"/>
      <c r="V853" s="67"/>
      <c r="W853" s="67"/>
      <c r="X853" s="67">
        <f>R853+V853</f>
        <v>0</v>
      </c>
      <c r="Y853" s="67">
        <f t="shared" si="300"/>
        <v>2794439.69</v>
      </c>
      <c r="Z853" s="67">
        <f t="shared" si="301"/>
        <v>0</v>
      </c>
      <c r="AA853" s="67">
        <f t="shared" si="302"/>
        <v>2794439.69</v>
      </c>
      <c r="AB853" s="67">
        <f t="shared" si="303"/>
        <v>0</v>
      </c>
    </row>
    <row r="854" spans="1:106" ht="16.5" customHeight="1" x14ac:dyDescent="0.25">
      <c r="A854" s="46"/>
      <c r="B854" s="26"/>
      <c r="C854" s="3" t="s">
        <v>137</v>
      </c>
      <c r="D854" s="67">
        <v>0</v>
      </c>
      <c r="E854" s="67">
        <v>0</v>
      </c>
      <c r="F854" s="68"/>
      <c r="G854" s="68"/>
      <c r="H854" s="67">
        <f>E854+F854</f>
        <v>0</v>
      </c>
      <c r="I854" s="68"/>
      <c r="J854" s="68"/>
      <c r="K854" s="68"/>
      <c r="L854" s="67"/>
      <c r="M854" s="67"/>
      <c r="N854" s="67">
        <f>H854+L854</f>
        <v>0</v>
      </c>
      <c r="O854" s="67">
        <v>0</v>
      </c>
      <c r="P854" s="68"/>
      <c r="Q854" s="68"/>
      <c r="R854" s="67">
        <f>O854+P854</f>
        <v>0</v>
      </c>
      <c r="S854" s="67"/>
      <c r="T854" s="68"/>
      <c r="U854" s="68"/>
      <c r="V854" s="67"/>
      <c r="W854" s="67"/>
      <c r="X854" s="67">
        <f>R854+V854</f>
        <v>0</v>
      </c>
      <c r="Y854" s="67">
        <f t="shared" si="300"/>
        <v>0</v>
      </c>
      <c r="Z854" s="67">
        <f t="shared" si="301"/>
        <v>0</v>
      </c>
      <c r="AA854" s="67">
        <f t="shared" si="302"/>
        <v>0</v>
      </c>
      <c r="AB854" s="67">
        <f t="shared" si="303"/>
        <v>0</v>
      </c>
      <c r="AR854" s="4"/>
    </row>
    <row r="855" spans="1:106" ht="15.75" customHeight="1" x14ac:dyDescent="0.25">
      <c r="C855" s="4" t="s">
        <v>290</v>
      </c>
      <c r="D855" s="55">
        <f>30000000+30000000+30000000+30000000+30000000</f>
        <v>150000000</v>
      </c>
      <c r="E855" s="55">
        <f>30000000+30000000+30000000+30000000</f>
        <v>120000000</v>
      </c>
      <c r="F855" s="55">
        <v>30000000</v>
      </c>
      <c r="G855" s="55"/>
      <c r="H855" s="55">
        <f>+E855+F855</f>
        <v>150000000</v>
      </c>
      <c r="I855" s="55"/>
      <c r="J855" s="55"/>
      <c r="K855" s="55"/>
      <c r="L855" s="55"/>
      <c r="M855" s="55"/>
      <c r="N855" s="55">
        <f>+H855+L855</f>
        <v>150000000</v>
      </c>
      <c r="O855" s="55">
        <v>0</v>
      </c>
      <c r="P855" s="55"/>
      <c r="Q855" s="55"/>
      <c r="R855" s="55">
        <f>+O855+P855</f>
        <v>0</v>
      </c>
      <c r="S855" s="55"/>
      <c r="T855" s="55"/>
      <c r="U855" s="55"/>
      <c r="V855" s="55"/>
      <c r="W855" s="55"/>
      <c r="X855" s="55">
        <f>+R855+V855</f>
        <v>0</v>
      </c>
      <c r="Y855" s="67">
        <f t="shared" si="300"/>
        <v>150000000</v>
      </c>
      <c r="Z855" s="67">
        <f t="shared" si="301"/>
        <v>0</v>
      </c>
      <c r="AA855" s="67">
        <f t="shared" si="302"/>
        <v>150000000</v>
      </c>
      <c r="AB855" s="67">
        <f t="shared" si="303"/>
        <v>0</v>
      </c>
    </row>
    <row r="856" spans="1:106" x14ac:dyDescent="0.25">
      <c r="C856" s="4" t="s">
        <v>317</v>
      </c>
      <c r="D856" s="55">
        <v>2722681.5</v>
      </c>
      <c r="E856" s="55">
        <v>2722681.5</v>
      </c>
      <c r="F856" s="55"/>
      <c r="G856" s="55"/>
      <c r="H856" s="55">
        <f>+E856+F856</f>
        <v>2722681.5</v>
      </c>
      <c r="I856" s="55"/>
      <c r="J856" s="55"/>
      <c r="K856" s="55"/>
      <c r="L856" s="55"/>
      <c r="M856" s="55"/>
      <c r="N856" s="55">
        <f>+H856+L856</f>
        <v>2722681.5</v>
      </c>
      <c r="O856" s="55">
        <v>0</v>
      </c>
      <c r="P856" s="55"/>
      <c r="Q856" s="55"/>
      <c r="R856" s="55">
        <f>+O856+P856</f>
        <v>0</v>
      </c>
      <c r="S856" s="55"/>
      <c r="T856" s="55"/>
      <c r="U856" s="55"/>
      <c r="V856" s="55"/>
      <c r="W856" s="55"/>
      <c r="X856" s="55">
        <f>+R856+V856</f>
        <v>0</v>
      </c>
      <c r="Y856" s="67">
        <f t="shared" si="300"/>
        <v>2722681.5</v>
      </c>
      <c r="Z856" s="67">
        <f t="shared" si="301"/>
        <v>0</v>
      </c>
      <c r="AA856" s="67">
        <f t="shared" si="302"/>
        <v>2722681.5</v>
      </c>
      <c r="AB856" s="67">
        <f t="shared" si="303"/>
        <v>0</v>
      </c>
    </row>
    <row r="857" spans="1:106" ht="15.75" customHeight="1" x14ac:dyDescent="0.25">
      <c r="A857" s="46"/>
      <c r="B857" s="26"/>
      <c r="C857" s="2" t="s">
        <v>37</v>
      </c>
      <c r="D857" s="67">
        <v>27370539.489999998</v>
      </c>
      <c r="E857" s="67">
        <v>0</v>
      </c>
      <c r="F857" s="68"/>
      <c r="G857" s="68"/>
      <c r="H857" s="67">
        <f>E857+F857</f>
        <v>0</v>
      </c>
      <c r="I857" s="68"/>
      <c r="J857" s="68"/>
      <c r="K857" s="68"/>
      <c r="L857" s="67"/>
      <c r="M857" s="98"/>
      <c r="N857" s="67">
        <f>H857+L857</f>
        <v>0</v>
      </c>
      <c r="O857" s="67">
        <f>107039.55-107039.55</f>
        <v>0</v>
      </c>
      <c r="P857" s="68"/>
      <c r="Q857" s="68"/>
      <c r="R857" s="67">
        <f>O857+P857</f>
        <v>0</v>
      </c>
      <c r="S857" s="67"/>
      <c r="T857" s="68"/>
      <c r="U857" s="68"/>
      <c r="V857" s="67"/>
      <c r="W857" s="98"/>
      <c r="X857" s="67">
        <f>R857+V857</f>
        <v>0</v>
      </c>
      <c r="Y857" s="67">
        <f t="shared" si="300"/>
        <v>0</v>
      </c>
      <c r="Z857" s="67">
        <f t="shared" si="301"/>
        <v>27370539.489999998</v>
      </c>
      <c r="AA857" s="67">
        <f t="shared" si="302"/>
        <v>0</v>
      </c>
      <c r="AB857" s="67">
        <f t="shared" si="303"/>
        <v>27370539.489999998</v>
      </c>
    </row>
    <row r="858" spans="1:106" x14ac:dyDescent="0.25">
      <c r="A858" s="46"/>
      <c r="B858" s="26"/>
      <c r="C858" s="8" t="s">
        <v>39</v>
      </c>
      <c r="D858" s="67">
        <v>481192.75</v>
      </c>
      <c r="E858" s="67">
        <v>0</v>
      </c>
      <c r="F858" s="68"/>
      <c r="G858" s="68"/>
      <c r="H858" s="67">
        <f>E858+F858</f>
        <v>0</v>
      </c>
      <c r="I858" s="68"/>
      <c r="J858" s="68"/>
      <c r="K858" s="68"/>
      <c r="L858" s="67"/>
      <c r="M858" s="67"/>
      <c r="N858" s="67">
        <f>H858+L858</f>
        <v>0</v>
      </c>
      <c r="O858" s="67">
        <v>0</v>
      </c>
      <c r="P858" s="68"/>
      <c r="Q858" s="68"/>
      <c r="R858" s="67">
        <f>O858+P858</f>
        <v>0</v>
      </c>
      <c r="S858" s="68"/>
      <c r="T858" s="68"/>
      <c r="U858" s="68"/>
      <c r="V858" s="67"/>
      <c r="W858" s="67"/>
      <c r="X858" s="67">
        <f>R858+V858</f>
        <v>0</v>
      </c>
      <c r="Y858" s="67">
        <f t="shared" si="300"/>
        <v>0</v>
      </c>
      <c r="Z858" s="67">
        <f t="shared" si="301"/>
        <v>481192.75</v>
      </c>
      <c r="AA858" s="67">
        <f t="shared" si="302"/>
        <v>0</v>
      </c>
      <c r="AB858" s="67">
        <f t="shared" si="303"/>
        <v>481192.75</v>
      </c>
    </row>
    <row r="859" spans="1:106" ht="22.5" customHeight="1" x14ac:dyDescent="0.25">
      <c r="A859" s="46"/>
      <c r="B859" s="26"/>
      <c r="C859" s="4"/>
      <c r="D859" s="70" t="s">
        <v>40</v>
      </c>
      <c r="E859" s="70" t="s">
        <v>40</v>
      </c>
      <c r="F859" s="70" t="s">
        <v>40</v>
      </c>
      <c r="G859" s="70"/>
      <c r="H859" s="70" t="s">
        <v>40</v>
      </c>
      <c r="I859" s="70" t="s">
        <v>40</v>
      </c>
      <c r="J859" s="70" t="s">
        <v>40</v>
      </c>
      <c r="K859" s="70" t="s">
        <v>40</v>
      </c>
      <c r="L859" s="70" t="s">
        <v>40</v>
      </c>
      <c r="M859" s="70"/>
      <c r="N859" s="70" t="s">
        <v>40</v>
      </c>
      <c r="O859" s="70" t="s">
        <v>40</v>
      </c>
      <c r="P859" s="70" t="s">
        <v>40</v>
      </c>
      <c r="Q859" s="70"/>
      <c r="R859" s="70" t="s">
        <v>40</v>
      </c>
      <c r="S859" s="70" t="s">
        <v>40</v>
      </c>
      <c r="T859" s="70" t="s">
        <v>40</v>
      </c>
      <c r="U859" s="70" t="s">
        <v>40</v>
      </c>
      <c r="V859" s="70" t="s">
        <v>40</v>
      </c>
      <c r="W859" s="70"/>
      <c r="X859" s="70" t="s">
        <v>40</v>
      </c>
      <c r="Y859" s="70" t="s">
        <v>40</v>
      </c>
      <c r="Z859" s="70" t="s">
        <v>40</v>
      </c>
      <c r="AA859" s="70" t="s">
        <v>40</v>
      </c>
      <c r="AB859" s="70" t="s">
        <v>40</v>
      </c>
    </row>
    <row r="860" spans="1:106" ht="16.5" customHeight="1" x14ac:dyDescent="0.25">
      <c r="A860" s="46"/>
      <c r="B860" s="30"/>
      <c r="C860" s="4"/>
      <c r="D860" s="67">
        <f>SUM(D852:D858)</f>
        <v>234672919.14000002</v>
      </c>
      <c r="E860" s="67">
        <f>SUM(E852:E858)</f>
        <v>125517121.19</v>
      </c>
      <c r="F860" s="67">
        <f>SUM(F852:F858)</f>
        <v>30000000</v>
      </c>
      <c r="G860" s="67"/>
      <c r="H860" s="67">
        <f>SUM(H852:H858)</f>
        <v>155517121.19</v>
      </c>
      <c r="I860" s="67">
        <f>SUM(I852:I858)</f>
        <v>0</v>
      </c>
      <c r="J860" s="67">
        <f>SUM(J852:J858)</f>
        <v>0</v>
      </c>
      <c r="K860" s="67">
        <f>SUM(K852:K858)</f>
        <v>0</v>
      </c>
      <c r="L860" s="67">
        <f>SUM(L852:L858)</f>
        <v>0</v>
      </c>
      <c r="M860" s="67"/>
      <c r="N860" s="67">
        <f>SUM(N852:N858)</f>
        <v>155517121.19</v>
      </c>
      <c r="O860" s="67">
        <f>SUM(O852:O858)</f>
        <v>0</v>
      </c>
      <c r="P860" s="67">
        <f>SUM(P852:P858)</f>
        <v>0</v>
      </c>
      <c r="Q860" s="67"/>
      <c r="R860" s="67">
        <f>SUM(R852:R858)</f>
        <v>0</v>
      </c>
      <c r="S860" s="67">
        <f>SUM(S852:S858)</f>
        <v>0</v>
      </c>
      <c r="T860" s="67">
        <f>SUM(T852:T858)</f>
        <v>0</v>
      </c>
      <c r="U860" s="67">
        <f>SUM(U852:U858)</f>
        <v>0</v>
      </c>
      <c r="V860" s="67">
        <f>SUM(V852:V858)</f>
        <v>0</v>
      </c>
      <c r="W860" s="67"/>
      <c r="X860" s="67">
        <f>SUM(X852:X858)</f>
        <v>0</v>
      </c>
      <c r="Y860" s="67">
        <f>SUM(Y852:Y858)</f>
        <v>155517121.19</v>
      </c>
      <c r="Z860" s="67">
        <f>SUM(Z852:Z858)</f>
        <v>79155797.950000003</v>
      </c>
      <c r="AA860" s="67">
        <f>SUM(AA852:AA858)</f>
        <v>155517121.19</v>
      </c>
      <c r="AB860" s="67">
        <f>SUM(AB852:AB858)</f>
        <v>79155797.950000003</v>
      </c>
    </row>
    <row r="861" spans="1:106" s="4" customFormat="1" x14ac:dyDescent="0.25">
      <c r="A861" s="46"/>
      <c r="B861" s="4" t="s">
        <v>106</v>
      </c>
      <c r="D861" s="70" t="s">
        <v>40</v>
      </c>
      <c r="E861" s="70" t="s">
        <v>40</v>
      </c>
      <c r="F861" s="70" t="s">
        <v>40</v>
      </c>
      <c r="G861" s="70"/>
      <c r="H861" s="70" t="s">
        <v>40</v>
      </c>
      <c r="I861" s="70" t="s">
        <v>40</v>
      </c>
      <c r="J861" s="70" t="s">
        <v>40</v>
      </c>
      <c r="K861" s="70" t="s">
        <v>40</v>
      </c>
      <c r="L861" s="70" t="s">
        <v>40</v>
      </c>
      <c r="M861" s="70"/>
      <c r="N861" s="70" t="s">
        <v>40</v>
      </c>
      <c r="O861" s="70" t="s">
        <v>40</v>
      </c>
      <c r="P861" s="70" t="s">
        <v>40</v>
      </c>
      <c r="Q861" s="70"/>
      <c r="R861" s="70" t="s">
        <v>40</v>
      </c>
      <c r="S861" s="70" t="s">
        <v>40</v>
      </c>
      <c r="T861" s="70" t="s">
        <v>40</v>
      </c>
      <c r="U861" s="70" t="s">
        <v>40</v>
      </c>
      <c r="V861" s="70" t="s">
        <v>40</v>
      </c>
      <c r="W861" s="70"/>
      <c r="X861" s="70" t="s">
        <v>40</v>
      </c>
      <c r="Y861" s="70" t="s">
        <v>40</v>
      </c>
      <c r="Z861" s="70" t="s">
        <v>40</v>
      </c>
      <c r="AA861" s="70" t="s">
        <v>40</v>
      </c>
      <c r="AB861" s="70" t="s">
        <v>40</v>
      </c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</row>
    <row r="862" spans="1:106" ht="15.75" customHeight="1" thickBot="1" x14ac:dyDescent="0.4">
      <c r="A862" s="46"/>
      <c r="B862" s="112" t="s">
        <v>292</v>
      </c>
      <c r="C862" s="4"/>
      <c r="D862" s="113">
        <f>2771064.24+273005.45+1096300.49+107039.55+163311.05</f>
        <v>4410720.78</v>
      </c>
      <c r="E862" s="70"/>
      <c r="F862" s="70"/>
      <c r="G862" s="70"/>
      <c r="H862" s="70"/>
      <c r="I862" s="70"/>
      <c r="J862" s="70"/>
      <c r="K862" s="70"/>
      <c r="L862" s="70"/>
      <c r="N862" s="70"/>
      <c r="O862" s="113">
        <f>2771064.24+273005.45+1096300.49+270350.6</f>
        <v>4410720.78</v>
      </c>
      <c r="P862" s="104"/>
      <c r="Q862" s="76"/>
      <c r="R862" s="113">
        <f>+O862+P862</f>
        <v>4410720.78</v>
      </c>
      <c r="S862" s="70"/>
      <c r="T862" s="70"/>
      <c r="U862" s="70"/>
      <c r="V862" s="158"/>
      <c r="X862" s="70"/>
      <c r="Y862" s="104"/>
      <c r="Z862" s="70"/>
      <c r="AA862" s="70"/>
      <c r="AB862" s="70"/>
    </row>
    <row r="863" spans="1:106" ht="55.5" customHeight="1" thickTop="1" x14ac:dyDescent="0.25">
      <c r="A863" s="46">
        <v>90</v>
      </c>
      <c r="B863" s="23" t="s">
        <v>107</v>
      </c>
      <c r="C863" s="2" t="s">
        <v>35</v>
      </c>
      <c r="D863" s="67">
        <v>23713938.620000001</v>
      </c>
      <c r="E863" s="67">
        <v>0</v>
      </c>
      <c r="F863" s="68"/>
      <c r="G863" s="68"/>
      <c r="H863" s="67">
        <f>E863+F863</f>
        <v>0</v>
      </c>
      <c r="I863" s="67"/>
      <c r="J863" s="68"/>
      <c r="K863" s="67"/>
      <c r="L863" s="67"/>
      <c r="M863" s="67"/>
      <c r="N863" s="67">
        <f>H863+L863</f>
        <v>0</v>
      </c>
      <c r="O863" s="67">
        <v>0</v>
      </c>
      <c r="P863" s="68"/>
      <c r="Q863" s="68"/>
      <c r="R863" s="67">
        <f>O863+P863</f>
        <v>0</v>
      </c>
      <c r="S863" s="68"/>
      <c r="T863" s="68"/>
      <c r="U863" s="68"/>
      <c r="V863" s="67"/>
      <c r="W863" s="67"/>
      <c r="X863" s="67">
        <f>R863+V863</f>
        <v>0</v>
      </c>
      <c r="Y863" s="67">
        <f>R863+H863</f>
        <v>0</v>
      </c>
      <c r="Z863" s="67">
        <f>D863-Y863</f>
        <v>23713938.620000001</v>
      </c>
      <c r="AA863" s="67">
        <f>N863+X863</f>
        <v>0</v>
      </c>
      <c r="AB863" s="67">
        <f>+D863-N863-X863</f>
        <v>23713938.620000001</v>
      </c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</row>
    <row r="864" spans="1:106" ht="15.75" customHeight="1" x14ac:dyDescent="0.25">
      <c r="A864" s="46"/>
      <c r="B864" s="26"/>
      <c r="C864" s="3" t="s">
        <v>36</v>
      </c>
      <c r="D864" s="67">
        <v>1371066.55</v>
      </c>
      <c r="E864" s="67">
        <v>1371066.55</v>
      </c>
      <c r="F864" s="68"/>
      <c r="G864" s="68"/>
      <c r="H864" s="67">
        <f>E864+F864</f>
        <v>1371066.55</v>
      </c>
      <c r="I864" s="67"/>
      <c r="J864" s="68"/>
      <c r="K864" s="67"/>
      <c r="L864" s="67"/>
      <c r="M864" s="67"/>
      <c r="N864" s="67">
        <f>H864+L864</f>
        <v>1371066.55</v>
      </c>
      <c r="O864" s="67">
        <v>0</v>
      </c>
      <c r="P864" s="68"/>
      <c r="Q864" s="68"/>
      <c r="R864" s="67">
        <f>O864+P864</f>
        <v>0</v>
      </c>
      <c r="S864" s="68"/>
      <c r="T864" s="68"/>
      <c r="U864" s="68"/>
      <c r="V864" s="67"/>
      <c r="W864" s="67"/>
      <c r="X864" s="67">
        <f>R864+V864</f>
        <v>0</v>
      </c>
      <c r="Y864" s="67">
        <f>R864+H864</f>
        <v>1371066.55</v>
      </c>
      <c r="Z864" s="67">
        <f>D864-Y864</f>
        <v>0</v>
      </c>
      <c r="AA864" s="67">
        <f>N864+X864</f>
        <v>1371066.55</v>
      </c>
      <c r="AB864" s="67">
        <f>+D864-N864-X864</f>
        <v>0</v>
      </c>
    </row>
    <row r="865" spans="1:87" ht="15.75" customHeight="1" x14ac:dyDescent="0.25">
      <c r="A865" s="46"/>
      <c r="B865" s="26"/>
      <c r="C865" s="2" t="s">
        <v>37</v>
      </c>
      <c r="D865" s="67">
        <f>30637229.17-4800537.95</f>
        <v>25836691.220000003</v>
      </c>
      <c r="E865" s="67">
        <v>0</v>
      </c>
      <c r="F865" s="68"/>
      <c r="G865" s="68"/>
      <c r="H865" s="67">
        <f>E865+F865</f>
        <v>0</v>
      </c>
      <c r="I865" s="68"/>
      <c r="J865" s="68"/>
      <c r="K865" s="68"/>
      <c r="L865" s="67"/>
      <c r="M865" s="67"/>
      <c r="N865" s="67">
        <f>H865+L865</f>
        <v>0</v>
      </c>
      <c r="O865" s="67">
        <v>0</v>
      </c>
      <c r="P865" s="68"/>
      <c r="Q865" s="68"/>
      <c r="R865" s="67">
        <f>O865+P865</f>
        <v>0</v>
      </c>
      <c r="S865" s="68"/>
      <c r="T865" s="68"/>
      <c r="U865" s="68"/>
      <c r="V865" s="67"/>
      <c r="W865" s="67"/>
      <c r="X865" s="67">
        <f>R865+V865</f>
        <v>0</v>
      </c>
      <c r="Y865" s="67">
        <f>R865+H865</f>
        <v>0</v>
      </c>
      <c r="Z865" s="67">
        <f>D865-Y865</f>
        <v>25836691.220000003</v>
      </c>
      <c r="AA865" s="67">
        <f>N865+X865</f>
        <v>0</v>
      </c>
      <c r="AB865" s="67">
        <f>+D865-N865-X865</f>
        <v>25836691.220000003</v>
      </c>
      <c r="CD865" s="4"/>
      <c r="CE865" s="4"/>
      <c r="CF865" s="4"/>
      <c r="CG865" s="4"/>
      <c r="CH865" s="4"/>
      <c r="CI865" s="4"/>
    </row>
    <row r="866" spans="1:87" x14ac:dyDescent="0.25">
      <c r="A866" s="46"/>
      <c r="B866" s="26"/>
      <c r="C866" s="8" t="s">
        <v>39</v>
      </c>
      <c r="D866" s="67">
        <v>3458093.42</v>
      </c>
      <c r="E866" s="67">
        <v>0</v>
      </c>
      <c r="F866" s="68"/>
      <c r="G866" s="68"/>
      <c r="H866" s="67">
        <f>E866+F866</f>
        <v>0</v>
      </c>
      <c r="I866" s="68"/>
      <c r="J866" s="68"/>
      <c r="K866" s="68"/>
      <c r="L866" s="67"/>
      <c r="M866" s="67"/>
      <c r="N866" s="67">
        <f>H866+L866</f>
        <v>0</v>
      </c>
      <c r="O866" s="67">
        <v>2341088.2599999998</v>
      </c>
      <c r="P866" s="68"/>
      <c r="Q866" s="68"/>
      <c r="R866" s="67">
        <f>O866+P866</f>
        <v>2341088.2599999998</v>
      </c>
      <c r="S866" s="68"/>
      <c r="T866" s="68"/>
      <c r="U866" s="68"/>
      <c r="V866" s="67"/>
      <c r="W866" s="67"/>
      <c r="X866" s="67">
        <f>R866+V866</f>
        <v>2341088.2599999998</v>
      </c>
      <c r="Y866" s="67">
        <f>R866+H866</f>
        <v>2341088.2599999998</v>
      </c>
      <c r="Z866" s="67">
        <f>D866-Y866</f>
        <v>1117005.1600000001</v>
      </c>
      <c r="AA866" s="67">
        <f>N866+X866</f>
        <v>2341088.2599999998</v>
      </c>
      <c r="AB866" s="67">
        <f>+D866-N866-X866</f>
        <v>1117005.1600000001</v>
      </c>
      <c r="BZ866" s="4"/>
      <c r="CA866" s="4"/>
      <c r="CB866" s="4"/>
      <c r="CC866" s="4"/>
    </row>
    <row r="867" spans="1:87" x14ac:dyDescent="0.25">
      <c r="A867" s="46"/>
      <c r="B867" s="26"/>
      <c r="C867" s="4"/>
      <c r="D867" s="70" t="s">
        <v>40</v>
      </c>
      <c r="E867" s="70" t="s">
        <v>40</v>
      </c>
      <c r="F867" s="70" t="s">
        <v>40</v>
      </c>
      <c r="G867" s="70"/>
      <c r="H867" s="70" t="s">
        <v>40</v>
      </c>
      <c r="I867" s="70" t="s">
        <v>40</v>
      </c>
      <c r="J867" s="70" t="s">
        <v>40</v>
      </c>
      <c r="K867" s="70" t="s">
        <v>40</v>
      </c>
      <c r="L867" s="70" t="s">
        <v>40</v>
      </c>
      <c r="M867" s="70"/>
      <c r="N867" s="70" t="s">
        <v>40</v>
      </c>
      <c r="O867" s="70" t="s">
        <v>40</v>
      </c>
      <c r="P867" s="70" t="s">
        <v>40</v>
      </c>
      <c r="Q867" s="70"/>
      <c r="R867" s="70" t="s">
        <v>40</v>
      </c>
      <c r="S867" s="70" t="s">
        <v>40</v>
      </c>
      <c r="T867" s="70" t="s">
        <v>40</v>
      </c>
      <c r="U867" s="70" t="s">
        <v>40</v>
      </c>
      <c r="V867" s="70" t="s">
        <v>40</v>
      </c>
      <c r="W867" s="70"/>
      <c r="X867" s="70" t="s">
        <v>40</v>
      </c>
      <c r="Y867" s="70" t="s">
        <v>40</v>
      </c>
      <c r="Z867" s="70" t="s">
        <v>40</v>
      </c>
      <c r="AA867" s="70" t="s">
        <v>40</v>
      </c>
      <c r="AB867" s="70" t="s">
        <v>40</v>
      </c>
      <c r="BY867" s="4"/>
    </row>
    <row r="868" spans="1:87" ht="15.75" customHeight="1" x14ac:dyDescent="0.25">
      <c r="A868" s="46"/>
      <c r="B868" s="26"/>
      <c r="C868" s="4"/>
      <c r="D868" s="67">
        <f t="shared" ref="D868:AB868" si="304">SUM(D863:D866)</f>
        <v>54379789.810000002</v>
      </c>
      <c r="E868" s="67">
        <f t="shared" si="304"/>
        <v>1371066.55</v>
      </c>
      <c r="F868" s="67">
        <f t="shared" si="304"/>
        <v>0</v>
      </c>
      <c r="G868" s="67"/>
      <c r="H868" s="67">
        <f t="shared" si="304"/>
        <v>1371066.55</v>
      </c>
      <c r="I868" s="67">
        <f t="shared" si="304"/>
        <v>0</v>
      </c>
      <c r="J868" s="67">
        <f t="shared" si="304"/>
        <v>0</v>
      </c>
      <c r="K868" s="67">
        <f t="shared" si="304"/>
        <v>0</v>
      </c>
      <c r="L868" s="67">
        <f t="shared" si="304"/>
        <v>0</v>
      </c>
      <c r="M868" s="67"/>
      <c r="N868" s="67">
        <f t="shared" si="304"/>
        <v>1371066.55</v>
      </c>
      <c r="O868" s="67">
        <f t="shared" si="304"/>
        <v>2341088.2599999998</v>
      </c>
      <c r="P868" s="67">
        <f t="shared" si="304"/>
        <v>0</v>
      </c>
      <c r="Q868" s="67"/>
      <c r="R868" s="67">
        <f t="shared" si="304"/>
        <v>2341088.2599999998</v>
      </c>
      <c r="S868" s="67">
        <f t="shared" si="304"/>
        <v>0</v>
      </c>
      <c r="T868" s="67">
        <f t="shared" si="304"/>
        <v>0</v>
      </c>
      <c r="U868" s="67">
        <f t="shared" si="304"/>
        <v>0</v>
      </c>
      <c r="V868" s="67">
        <f t="shared" si="304"/>
        <v>0</v>
      </c>
      <c r="W868" s="67"/>
      <c r="X868" s="67">
        <f t="shared" si="304"/>
        <v>2341088.2599999998</v>
      </c>
      <c r="Y868" s="67">
        <f t="shared" si="304"/>
        <v>3712154.8099999996</v>
      </c>
      <c r="Z868" s="67">
        <f t="shared" si="304"/>
        <v>50667635</v>
      </c>
      <c r="AA868" s="67">
        <f t="shared" si="304"/>
        <v>3712154.8099999996</v>
      </c>
      <c r="AB868" s="67">
        <f t="shared" si="304"/>
        <v>50667635</v>
      </c>
    </row>
    <row r="869" spans="1:87" ht="16.5" customHeight="1" x14ac:dyDescent="0.25">
      <c r="A869" s="46"/>
      <c r="B869" s="4" t="str">
        <f>+B863</f>
        <v>ZAMB. NORTE</v>
      </c>
      <c r="C869" s="4"/>
      <c r="D869" s="70" t="s">
        <v>40</v>
      </c>
      <c r="E869" s="70" t="s">
        <v>40</v>
      </c>
      <c r="F869" s="70" t="s">
        <v>40</v>
      </c>
      <c r="G869" s="70"/>
      <c r="H869" s="70" t="s">
        <v>40</v>
      </c>
      <c r="I869" s="70" t="s">
        <v>40</v>
      </c>
      <c r="J869" s="70" t="s">
        <v>40</v>
      </c>
      <c r="K869" s="70" t="s">
        <v>40</v>
      </c>
      <c r="L869" s="70" t="s">
        <v>40</v>
      </c>
      <c r="M869" s="70"/>
      <c r="N869" s="70" t="s">
        <v>40</v>
      </c>
      <c r="O869" s="70" t="s">
        <v>40</v>
      </c>
      <c r="P869" s="70" t="s">
        <v>40</v>
      </c>
      <c r="Q869" s="70"/>
      <c r="R869" s="70" t="s">
        <v>40</v>
      </c>
      <c r="S869" s="70" t="s">
        <v>40</v>
      </c>
      <c r="T869" s="70" t="s">
        <v>40</v>
      </c>
      <c r="U869" s="70" t="s">
        <v>40</v>
      </c>
      <c r="V869" s="70" t="s">
        <v>40</v>
      </c>
      <c r="W869" s="70"/>
      <c r="X869" s="70" t="s">
        <v>40</v>
      </c>
      <c r="Y869" s="70" t="s">
        <v>40</v>
      </c>
      <c r="Z869" s="70" t="s">
        <v>40</v>
      </c>
      <c r="AA869" s="70" t="s">
        <v>40</v>
      </c>
      <c r="AB869" s="70" t="s">
        <v>40</v>
      </c>
      <c r="BW869" s="4"/>
      <c r="BX869" s="4"/>
    </row>
    <row r="870" spans="1:87" ht="18.75" customHeight="1" thickBot="1" x14ac:dyDescent="0.3">
      <c r="B870" s="112" t="s">
        <v>292</v>
      </c>
      <c r="C870" s="4"/>
      <c r="D870" s="113">
        <v>3262808</v>
      </c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113">
        <v>3262808</v>
      </c>
      <c r="P870" s="104"/>
      <c r="Q870" s="70"/>
      <c r="R870" s="113">
        <f>+O870+P870</f>
        <v>3262808</v>
      </c>
      <c r="S870" s="70"/>
      <c r="T870" s="70"/>
      <c r="U870" s="70"/>
      <c r="V870" s="70"/>
      <c r="W870" s="70"/>
      <c r="X870" s="70"/>
      <c r="Y870" s="70"/>
      <c r="Z870" s="70"/>
      <c r="AA870" s="70"/>
      <c r="AB870" s="70"/>
    </row>
    <row r="871" spans="1:87" ht="55.5" customHeight="1" thickTop="1" x14ac:dyDescent="0.25">
      <c r="A871" s="46">
        <v>91</v>
      </c>
      <c r="B871" s="23" t="s">
        <v>108</v>
      </c>
      <c r="C871" s="2" t="s">
        <v>35</v>
      </c>
      <c r="D871" s="67">
        <v>42417732.109999999</v>
      </c>
      <c r="E871" s="67">
        <v>0</v>
      </c>
      <c r="F871" s="68"/>
      <c r="G871" s="68"/>
      <c r="H871" s="67">
        <f>E871+F871</f>
        <v>0</v>
      </c>
      <c r="I871" s="68"/>
      <c r="J871" s="68"/>
      <c r="K871" s="68"/>
      <c r="L871" s="67"/>
      <c r="M871" s="67"/>
      <c r="N871" s="67">
        <f>H871+L871</f>
        <v>0</v>
      </c>
      <c r="O871" s="67">
        <v>0</v>
      </c>
      <c r="P871" s="68"/>
      <c r="Q871" s="68"/>
      <c r="R871" s="67">
        <f>O871+P871</f>
        <v>0</v>
      </c>
      <c r="S871" s="68"/>
      <c r="T871" s="68"/>
      <c r="U871" s="68"/>
      <c r="V871" s="67"/>
      <c r="W871" s="67"/>
      <c r="X871" s="67">
        <f>R871+V871</f>
        <v>0</v>
      </c>
      <c r="Y871" s="67">
        <f>R871+H871</f>
        <v>0</v>
      </c>
      <c r="Z871" s="67">
        <f>D871-Y871</f>
        <v>42417732.109999999</v>
      </c>
      <c r="AA871" s="67">
        <f>N871+X871</f>
        <v>0</v>
      </c>
      <c r="AB871" s="67">
        <f>+D871-N871-X871</f>
        <v>42417732.109999999</v>
      </c>
      <c r="BR871" s="4"/>
      <c r="BS871" s="4"/>
      <c r="BT871" s="4"/>
      <c r="BU871" s="4"/>
      <c r="BV871" s="4"/>
    </row>
    <row r="872" spans="1:87" ht="18.75" customHeight="1" x14ac:dyDescent="0.25">
      <c r="A872" s="46"/>
      <c r="B872" s="26"/>
      <c r="C872" s="3" t="s">
        <v>36</v>
      </c>
      <c r="D872" s="67">
        <v>2071774.83</v>
      </c>
      <c r="E872" s="67">
        <v>2071774.83</v>
      </c>
      <c r="F872" s="68"/>
      <c r="G872" s="68"/>
      <c r="H872" s="67">
        <f>E872+F872</f>
        <v>2071774.83</v>
      </c>
      <c r="I872" s="68"/>
      <c r="J872" s="68"/>
      <c r="K872" s="68"/>
      <c r="L872" s="67"/>
      <c r="M872" s="67"/>
      <c r="N872" s="67">
        <f>H872+L872</f>
        <v>2071774.83</v>
      </c>
      <c r="O872" s="67">
        <v>0</v>
      </c>
      <c r="P872" s="68"/>
      <c r="Q872" s="68"/>
      <c r="R872" s="67">
        <f>O872+P872</f>
        <v>0</v>
      </c>
      <c r="S872" s="68"/>
      <c r="T872" s="68"/>
      <c r="U872" s="68"/>
      <c r="V872" s="67"/>
      <c r="W872" s="67"/>
      <c r="X872" s="67">
        <f>R872+V872</f>
        <v>0</v>
      </c>
      <c r="Y872" s="67">
        <f>R872+H872</f>
        <v>2071774.83</v>
      </c>
      <c r="Z872" s="67">
        <f>D872-Y872</f>
        <v>0</v>
      </c>
      <c r="AA872" s="67">
        <f>N872+X872</f>
        <v>2071774.83</v>
      </c>
      <c r="AB872" s="67">
        <f>+D872-N872-X872</f>
        <v>0</v>
      </c>
      <c r="BN872" s="4"/>
      <c r="BO872" s="4"/>
      <c r="BP872" s="4"/>
      <c r="BQ872" s="4"/>
    </row>
    <row r="873" spans="1:87" x14ac:dyDescent="0.25">
      <c r="A873" s="46"/>
      <c r="B873" s="26"/>
      <c r="C873" s="2" t="s">
        <v>37</v>
      </c>
      <c r="D873" s="67">
        <v>48918542.439999998</v>
      </c>
      <c r="E873" s="67">
        <v>0</v>
      </c>
      <c r="F873" s="68"/>
      <c r="G873" s="68"/>
      <c r="H873" s="67">
        <f>E873+F873</f>
        <v>0</v>
      </c>
      <c r="I873" s="68"/>
      <c r="J873" s="68"/>
      <c r="K873" s="68"/>
      <c r="L873" s="67"/>
      <c r="M873" s="67"/>
      <c r="N873" s="67">
        <f>H873+L873</f>
        <v>0</v>
      </c>
      <c r="O873" s="67">
        <v>0</v>
      </c>
      <c r="P873" s="68"/>
      <c r="Q873" s="68"/>
      <c r="R873" s="67">
        <f>O873+P873</f>
        <v>0</v>
      </c>
      <c r="S873" s="68"/>
      <c r="T873" s="68"/>
      <c r="U873" s="68"/>
      <c r="V873" s="67"/>
      <c r="W873" s="67"/>
      <c r="X873" s="67">
        <f>R873+V873</f>
        <v>0</v>
      </c>
      <c r="Y873" s="67">
        <f>R873+H873</f>
        <v>0</v>
      </c>
      <c r="Z873" s="67">
        <f>D873-Y873</f>
        <v>48918542.439999998</v>
      </c>
      <c r="AA873" s="67">
        <f>N873+X873</f>
        <v>0</v>
      </c>
      <c r="AB873" s="67">
        <f>+D873-N873-X873</f>
        <v>48918542.439999998</v>
      </c>
      <c r="BM873" s="4"/>
    </row>
    <row r="874" spans="1:87" x14ac:dyDescent="0.25">
      <c r="A874" s="46"/>
      <c r="B874" s="26"/>
      <c r="C874" s="2" t="s">
        <v>38</v>
      </c>
      <c r="D874" s="67">
        <v>3688000</v>
      </c>
      <c r="E874" s="67">
        <v>0</v>
      </c>
      <c r="F874" s="68"/>
      <c r="G874" s="68"/>
      <c r="H874" s="67">
        <f>E874+F874</f>
        <v>0</v>
      </c>
      <c r="I874" s="68"/>
      <c r="J874" s="68"/>
      <c r="K874" s="68"/>
      <c r="L874" s="67"/>
      <c r="M874" s="67"/>
      <c r="N874" s="67">
        <f>H874+L874</f>
        <v>0</v>
      </c>
      <c r="O874" s="67">
        <v>0</v>
      </c>
      <c r="P874" s="68"/>
      <c r="Q874" s="68"/>
      <c r="R874" s="67">
        <f>O874+P874</f>
        <v>0</v>
      </c>
      <c r="S874" s="68"/>
      <c r="T874" s="68"/>
      <c r="U874" s="68"/>
      <c r="V874" s="67"/>
      <c r="W874" s="67"/>
      <c r="X874" s="67">
        <f>R874+V874</f>
        <v>0</v>
      </c>
      <c r="Y874" s="67">
        <f>R874+H874</f>
        <v>0</v>
      </c>
      <c r="Z874" s="67">
        <f>D874-Y874</f>
        <v>3688000</v>
      </c>
      <c r="AA874" s="67">
        <f>N874+X874</f>
        <v>0</v>
      </c>
      <c r="AB874" s="67">
        <f>+D874-N874-X874</f>
        <v>3688000</v>
      </c>
    </row>
    <row r="875" spans="1:87" x14ac:dyDescent="0.25">
      <c r="A875" s="46"/>
      <c r="B875" s="26"/>
      <c r="C875" s="8" t="s">
        <v>39</v>
      </c>
      <c r="D875" s="67">
        <v>4532202.26</v>
      </c>
      <c r="E875" s="67">
        <v>0</v>
      </c>
      <c r="F875" s="68"/>
      <c r="G875" s="68"/>
      <c r="H875" s="67">
        <f>E875+F875</f>
        <v>0</v>
      </c>
      <c r="I875" s="68"/>
      <c r="J875" s="68"/>
      <c r="K875" s="68"/>
      <c r="L875" s="67"/>
      <c r="M875" s="67"/>
      <c r="N875" s="67">
        <f>H875+L875</f>
        <v>0</v>
      </c>
      <c r="O875" s="67">
        <v>0</v>
      </c>
      <c r="P875" s="68"/>
      <c r="Q875" s="68"/>
      <c r="R875" s="67">
        <f>O875+P875</f>
        <v>0</v>
      </c>
      <c r="S875" s="68"/>
      <c r="T875" s="68"/>
      <c r="U875" s="68"/>
      <c r="V875" s="67"/>
      <c r="W875" s="67"/>
      <c r="X875" s="67">
        <f>R875+V875</f>
        <v>0</v>
      </c>
      <c r="Y875" s="67">
        <f>R875+H875</f>
        <v>0</v>
      </c>
      <c r="Z875" s="67">
        <f>D875-Y875</f>
        <v>4532202.26</v>
      </c>
      <c r="AA875" s="67">
        <f>N875+X875</f>
        <v>0</v>
      </c>
      <c r="AB875" s="67">
        <f>+D875-N875-X875</f>
        <v>4532202.26</v>
      </c>
      <c r="BL875" s="4"/>
    </row>
    <row r="876" spans="1:87" ht="16.5" customHeight="1" x14ac:dyDescent="0.25">
      <c r="A876" s="46"/>
      <c r="B876" s="26"/>
      <c r="C876" s="4"/>
      <c r="D876" s="70" t="s">
        <v>40</v>
      </c>
      <c r="E876" s="70" t="s">
        <v>40</v>
      </c>
      <c r="F876" s="70" t="s">
        <v>40</v>
      </c>
      <c r="G876" s="70"/>
      <c r="H876" s="70" t="s">
        <v>40</v>
      </c>
      <c r="I876" s="70" t="s">
        <v>40</v>
      </c>
      <c r="J876" s="70" t="s">
        <v>40</v>
      </c>
      <c r="K876" s="70" t="s">
        <v>40</v>
      </c>
      <c r="L876" s="70" t="s">
        <v>40</v>
      </c>
      <c r="M876" s="70"/>
      <c r="N876" s="70" t="s">
        <v>40</v>
      </c>
      <c r="O876" s="70" t="s">
        <v>40</v>
      </c>
      <c r="P876" s="70" t="s">
        <v>40</v>
      </c>
      <c r="Q876" s="70"/>
      <c r="R876" s="70" t="s">
        <v>40</v>
      </c>
      <c r="S876" s="70" t="s">
        <v>40</v>
      </c>
      <c r="T876" s="70" t="s">
        <v>40</v>
      </c>
      <c r="U876" s="70" t="s">
        <v>40</v>
      </c>
      <c r="V876" s="70" t="s">
        <v>40</v>
      </c>
      <c r="W876" s="70"/>
      <c r="X876" s="70" t="s">
        <v>40</v>
      </c>
      <c r="Y876" s="70" t="s">
        <v>40</v>
      </c>
      <c r="Z876" s="70" t="s">
        <v>40</v>
      </c>
      <c r="AA876" s="70" t="s">
        <v>40</v>
      </c>
      <c r="AB876" s="70" t="s">
        <v>40</v>
      </c>
      <c r="BI876" s="4"/>
      <c r="BJ876" s="4"/>
      <c r="BK876" s="4"/>
    </row>
    <row r="877" spans="1:87" x14ac:dyDescent="0.25">
      <c r="A877" s="46"/>
      <c r="B877" s="26"/>
      <c r="C877" s="4"/>
      <c r="D877" s="67">
        <f t="shared" ref="D877:AB877" si="305">SUM(D871:D875)</f>
        <v>101628251.64</v>
      </c>
      <c r="E877" s="67">
        <f t="shared" si="305"/>
        <v>2071774.83</v>
      </c>
      <c r="F877" s="67">
        <f t="shared" si="305"/>
        <v>0</v>
      </c>
      <c r="G877" s="67"/>
      <c r="H877" s="67">
        <f t="shared" si="305"/>
        <v>2071774.83</v>
      </c>
      <c r="I877" s="67">
        <f t="shared" si="305"/>
        <v>0</v>
      </c>
      <c r="J877" s="67">
        <f t="shared" si="305"/>
        <v>0</v>
      </c>
      <c r="K877" s="67">
        <f t="shared" si="305"/>
        <v>0</v>
      </c>
      <c r="L877" s="67">
        <f t="shared" si="305"/>
        <v>0</v>
      </c>
      <c r="M877" s="67"/>
      <c r="N877" s="67">
        <f t="shared" si="305"/>
        <v>2071774.83</v>
      </c>
      <c r="O877" s="67">
        <f t="shared" si="305"/>
        <v>0</v>
      </c>
      <c r="P877" s="67">
        <f t="shared" si="305"/>
        <v>0</v>
      </c>
      <c r="Q877" s="67"/>
      <c r="R877" s="67">
        <f t="shared" si="305"/>
        <v>0</v>
      </c>
      <c r="S877" s="67">
        <f t="shared" si="305"/>
        <v>0</v>
      </c>
      <c r="T877" s="67">
        <f t="shared" si="305"/>
        <v>0</v>
      </c>
      <c r="U877" s="67">
        <f t="shared" si="305"/>
        <v>0</v>
      </c>
      <c r="V877" s="67">
        <f t="shared" si="305"/>
        <v>0</v>
      </c>
      <c r="W877" s="67"/>
      <c r="X877" s="67">
        <f t="shared" si="305"/>
        <v>0</v>
      </c>
      <c r="Y877" s="67">
        <f t="shared" si="305"/>
        <v>2071774.83</v>
      </c>
      <c r="Z877" s="67">
        <f t="shared" si="305"/>
        <v>99556476.810000002</v>
      </c>
      <c r="AA877" s="67">
        <f t="shared" si="305"/>
        <v>2071774.83</v>
      </c>
      <c r="AB877" s="67">
        <f t="shared" si="305"/>
        <v>99556476.810000002</v>
      </c>
      <c r="BG877" s="4"/>
      <c r="BH877" s="4"/>
    </row>
    <row r="878" spans="1:87" ht="15.75" customHeight="1" x14ac:dyDescent="0.25">
      <c r="A878" s="46"/>
      <c r="B878" s="4" t="s">
        <v>108</v>
      </c>
      <c r="C878" s="4"/>
      <c r="D878" s="70" t="s">
        <v>40</v>
      </c>
      <c r="E878" s="70" t="s">
        <v>40</v>
      </c>
      <c r="F878" s="70" t="s">
        <v>40</v>
      </c>
      <c r="G878" s="70"/>
      <c r="H878" s="70" t="s">
        <v>40</v>
      </c>
      <c r="I878" s="70" t="s">
        <v>40</v>
      </c>
      <c r="J878" s="70" t="s">
        <v>40</v>
      </c>
      <c r="K878" s="70" t="s">
        <v>40</v>
      </c>
      <c r="L878" s="70" t="s">
        <v>40</v>
      </c>
      <c r="M878" s="70"/>
      <c r="N878" s="70" t="s">
        <v>40</v>
      </c>
      <c r="O878" s="70" t="s">
        <v>40</v>
      </c>
      <c r="P878" s="70" t="s">
        <v>40</v>
      </c>
      <c r="Q878" s="70"/>
      <c r="R878" s="70" t="s">
        <v>40</v>
      </c>
      <c r="S878" s="70" t="s">
        <v>40</v>
      </c>
      <c r="T878" s="70" t="s">
        <v>40</v>
      </c>
      <c r="U878" s="70" t="s">
        <v>40</v>
      </c>
      <c r="V878" s="70" t="s">
        <v>40</v>
      </c>
      <c r="W878" s="70"/>
      <c r="X878" s="70" t="s">
        <v>40</v>
      </c>
      <c r="Y878" s="70" t="s">
        <v>40</v>
      </c>
      <c r="Z878" s="70" t="s">
        <v>40</v>
      </c>
      <c r="AA878" s="70" t="s">
        <v>40</v>
      </c>
      <c r="AB878" s="70" t="s">
        <v>40</v>
      </c>
      <c r="BF878" s="4"/>
    </row>
    <row r="879" spans="1:87" ht="16.5" thickBot="1" x14ac:dyDescent="0.3">
      <c r="A879" s="4"/>
      <c r="B879" s="112" t="s">
        <v>292</v>
      </c>
      <c r="C879" s="4"/>
      <c r="D879" s="87">
        <v>181752.55</v>
      </c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87">
        <v>181752.55</v>
      </c>
      <c r="P879" s="63"/>
      <c r="Q879" s="55"/>
      <c r="R879" s="87">
        <f>+O879+P879</f>
        <v>181752.55</v>
      </c>
      <c r="S879" s="55"/>
      <c r="T879" s="55"/>
      <c r="U879" s="55"/>
      <c r="V879" s="55"/>
      <c r="W879" s="55"/>
      <c r="X879" s="55"/>
      <c r="Y879" s="63"/>
      <c r="Z879" s="63"/>
      <c r="AA879" s="55"/>
      <c r="AB879" s="55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</row>
    <row r="880" spans="1:87" ht="16.5" thickTop="1" x14ac:dyDescent="0.25">
      <c r="P880" s="117"/>
      <c r="Y880" s="117"/>
      <c r="Z880" s="117"/>
      <c r="BD880" s="4"/>
      <c r="BE880" s="4"/>
    </row>
    <row r="881" spans="1:55" ht="15.75" customHeight="1" x14ac:dyDescent="0.25">
      <c r="C881" s="4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BC881" s="4"/>
    </row>
    <row r="882" spans="1:55" ht="15.75" customHeight="1" x14ac:dyDescent="0.25">
      <c r="A882" s="46">
        <v>92</v>
      </c>
      <c r="B882" s="23" t="s">
        <v>109</v>
      </c>
      <c r="C882" s="2" t="s">
        <v>74</v>
      </c>
      <c r="D882" s="67">
        <f>7717406.48+8603000</f>
        <v>16320406.48</v>
      </c>
      <c r="E882" s="68">
        <v>8603000</v>
      </c>
      <c r="F882" s="68"/>
      <c r="G882" s="68"/>
      <c r="H882" s="67">
        <f>E882+F882</f>
        <v>8603000</v>
      </c>
      <c r="I882" s="67">
        <v>0</v>
      </c>
      <c r="J882" s="68">
        <v>0</v>
      </c>
      <c r="K882" s="67"/>
      <c r="L882" s="67"/>
      <c r="M882" s="67"/>
      <c r="N882" s="67">
        <f>H882+L882</f>
        <v>8603000</v>
      </c>
      <c r="O882" s="67">
        <v>0</v>
      </c>
      <c r="P882" s="68"/>
      <c r="Q882" s="68"/>
      <c r="R882" s="67">
        <f>O882+P882</f>
        <v>0</v>
      </c>
      <c r="S882" s="68"/>
      <c r="T882" s="68"/>
      <c r="U882" s="68"/>
      <c r="V882" s="67"/>
      <c r="W882" s="67"/>
      <c r="X882" s="67">
        <f>R882+V882</f>
        <v>0</v>
      </c>
      <c r="Y882" s="67">
        <f>R882+H882</f>
        <v>8603000</v>
      </c>
      <c r="Z882" s="67">
        <f>D882-Y882</f>
        <v>7717406.4800000004</v>
      </c>
      <c r="AA882" s="67">
        <f>N882+X882</f>
        <v>8603000</v>
      </c>
      <c r="AB882" s="67">
        <f>+D882-N882-X882</f>
        <v>7717406.4800000004</v>
      </c>
    </row>
    <row r="883" spans="1:55" x14ac:dyDescent="0.25">
      <c r="A883" s="46"/>
      <c r="B883" s="26"/>
      <c r="C883" s="3" t="s">
        <v>36</v>
      </c>
      <c r="D883" s="67">
        <f>31000+98384</f>
        <v>129384</v>
      </c>
      <c r="E883" s="67">
        <f>31000+98384</f>
        <v>129384</v>
      </c>
      <c r="F883" s="68"/>
      <c r="G883" s="68"/>
      <c r="H883" s="67">
        <f>E883+F883</f>
        <v>129384</v>
      </c>
      <c r="I883" s="68"/>
      <c r="J883" s="68"/>
      <c r="K883" s="68"/>
      <c r="L883" s="67"/>
      <c r="M883" s="67"/>
      <c r="N883" s="67">
        <f>H883+L883</f>
        <v>129384</v>
      </c>
      <c r="O883" s="67">
        <v>0</v>
      </c>
      <c r="P883" s="68"/>
      <c r="Q883" s="68"/>
      <c r="R883" s="67">
        <f>O883+P883</f>
        <v>0</v>
      </c>
      <c r="S883" s="68"/>
      <c r="T883" s="68"/>
      <c r="U883" s="68"/>
      <c r="V883" s="67"/>
      <c r="W883" s="67"/>
      <c r="X883" s="67">
        <f>R883+V883</f>
        <v>0</v>
      </c>
      <c r="Y883" s="67">
        <f>R883+H883</f>
        <v>129384</v>
      </c>
      <c r="Z883" s="67">
        <f>D883-Y883</f>
        <v>0</v>
      </c>
      <c r="AA883" s="67">
        <f>N883+X883</f>
        <v>129384</v>
      </c>
      <c r="AB883" s="67">
        <f>+D883-N883-X883</f>
        <v>0</v>
      </c>
    </row>
    <row r="884" spans="1:55" ht="15.75" customHeight="1" x14ac:dyDescent="0.25">
      <c r="A884" s="46"/>
      <c r="B884" s="26"/>
      <c r="C884" s="2" t="s">
        <v>37</v>
      </c>
      <c r="D884" s="67">
        <f>27691113.94-2063590.49</f>
        <v>25627523.450000003</v>
      </c>
      <c r="E884" s="67">
        <v>0</v>
      </c>
      <c r="F884" s="68"/>
      <c r="G884" s="68"/>
      <c r="H884" s="67">
        <f>E884+F884</f>
        <v>0</v>
      </c>
      <c r="I884" s="68"/>
      <c r="J884" s="68"/>
      <c r="K884" s="68"/>
      <c r="L884" s="67"/>
      <c r="M884" s="67"/>
      <c r="N884" s="67">
        <f>H884+L884</f>
        <v>0</v>
      </c>
      <c r="O884" s="67">
        <v>0</v>
      </c>
      <c r="P884" s="68"/>
      <c r="Q884" s="68"/>
      <c r="R884" s="67">
        <f>O884+P884</f>
        <v>0</v>
      </c>
      <c r="S884" s="68"/>
      <c r="T884" s="68"/>
      <c r="U884" s="68"/>
      <c r="V884" s="67"/>
      <c r="W884" s="67"/>
      <c r="X884" s="67">
        <f>R884+V884</f>
        <v>0</v>
      </c>
      <c r="Y884" s="67">
        <f>R884+H884</f>
        <v>0</v>
      </c>
      <c r="Z884" s="67">
        <f>D884-Y884</f>
        <v>25627523.450000003</v>
      </c>
      <c r="AA884" s="67">
        <f>N884+X884</f>
        <v>0</v>
      </c>
      <c r="AB884" s="67">
        <f>+D884-N884-X884</f>
        <v>25627523.450000003</v>
      </c>
      <c r="BB884" s="4"/>
    </row>
    <row r="885" spans="1:55" x14ac:dyDescent="0.25">
      <c r="A885" s="46"/>
      <c r="B885" s="26"/>
      <c r="C885" s="2" t="s">
        <v>38</v>
      </c>
      <c r="D885" s="67">
        <v>5877030.0700000003</v>
      </c>
      <c r="E885" s="67">
        <v>0</v>
      </c>
      <c r="F885" s="68"/>
      <c r="G885" s="68"/>
      <c r="H885" s="67">
        <f>E885+F885</f>
        <v>0</v>
      </c>
      <c r="I885" s="68"/>
      <c r="J885" s="68"/>
      <c r="K885" s="68"/>
      <c r="L885" s="67"/>
      <c r="M885" s="67"/>
      <c r="N885" s="67">
        <f>H885+L885</f>
        <v>0</v>
      </c>
      <c r="O885" s="67">
        <v>0</v>
      </c>
      <c r="P885" s="68"/>
      <c r="Q885" s="68"/>
      <c r="R885" s="67">
        <f>O885+P885</f>
        <v>0</v>
      </c>
      <c r="S885" s="68"/>
      <c r="T885" s="68"/>
      <c r="U885" s="68"/>
      <c r="V885" s="67"/>
      <c r="W885" s="67"/>
      <c r="X885" s="67">
        <f>R885+V885</f>
        <v>0</v>
      </c>
      <c r="Y885" s="67">
        <f>R885+H885</f>
        <v>0</v>
      </c>
      <c r="Z885" s="67">
        <f>D885-Y885</f>
        <v>5877030.0700000003</v>
      </c>
      <c r="AA885" s="67">
        <f>N885+X885</f>
        <v>0</v>
      </c>
      <c r="AB885" s="67">
        <f>+D885-N885-X885</f>
        <v>5877030.0700000003</v>
      </c>
    </row>
    <row r="886" spans="1:55" x14ac:dyDescent="0.25">
      <c r="A886" s="46"/>
      <c r="B886" s="26"/>
      <c r="C886" s="4"/>
      <c r="D886" s="70" t="s">
        <v>40</v>
      </c>
      <c r="E886" s="70" t="s">
        <v>40</v>
      </c>
      <c r="F886" s="70" t="s">
        <v>40</v>
      </c>
      <c r="G886" s="70"/>
      <c r="H886" s="70" t="s">
        <v>40</v>
      </c>
      <c r="I886" s="70" t="s">
        <v>40</v>
      </c>
      <c r="J886" s="70" t="s">
        <v>40</v>
      </c>
      <c r="K886" s="70" t="s">
        <v>40</v>
      </c>
      <c r="L886" s="70" t="s">
        <v>40</v>
      </c>
      <c r="M886" s="70"/>
      <c r="N886" s="70" t="s">
        <v>40</v>
      </c>
      <c r="O886" s="70" t="s">
        <v>40</v>
      </c>
      <c r="P886" s="70" t="s">
        <v>40</v>
      </c>
      <c r="Q886" s="70"/>
      <c r="R886" s="70" t="s">
        <v>40</v>
      </c>
      <c r="S886" s="70" t="s">
        <v>40</v>
      </c>
      <c r="T886" s="70" t="s">
        <v>40</v>
      </c>
      <c r="U886" s="70" t="s">
        <v>40</v>
      </c>
      <c r="V886" s="70" t="s">
        <v>40</v>
      </c>
      <c r="W886" s="70"/>
      <c r="X886" s="70" t="s">
        <v>40</v>
      </c>
      <c r="Y886" s="70" t="s">
        <v>40</v>
      </c>
      <c r="Z886" s="70" t="s">
        <v>40</v>
      </c>
      <c r="AA886" s="70" t="s">
        <v>40</v>
      </c>
      <c r="AB886" s="70" t="s">
        <v>40</v>
      </c>
    </row>
    <row r="887" spans="1:55" ht="15.75" customHeight="1" x14ac:dyDescent="0.25">
      <c r="A887" s="46"/>
      <c r="B887" s="26"/>
      <c r="C887" s="4"/>
      <c r="D887" s="67">
        <f t="shared" ref="D887:AB887" si="306">SUM(D882:D885)</f>
        <v>47954344.000000007</v>
      </c>
      <c r="E887" s="67">
        <f t="shared" si="306"/>
        <v>8732384</v>
      </c>
      <c r="F887" s="67">
        <f t="shared" si="306"/>
        <v>0</v>
      </c>
      <c r="G887" s="67"/>
      <c r="H887" s="67">
        <f t="shared" si="306"/>
        <v>8732384</v>
      </c>
      <c r="I887" s="67">
        <f t="shared" si="306"/>
        <v>0</v>
      </c>
      <c r="J887" s="67">
        <f t="shared" si="306"/>
        <v>0</v>
      </c>
      <c r="K887" s="67">
        <f t="shared" si="306"/>
        <v>0</v>
      </c>
      <c r="L887" s="67">
        <f t="shared" si="306"/>
        <v>0</v>
      </c>
      <c r="M887" s="67"/>
      <c r="N887" s="67">
        <f t="shared" si="306"/>
        <v>8732384</v>
      </c>
      <c r="O887" s="67">
        <f t="shared" si="306"/>
        <v>0</v>
      </c>
      <c r="P887" s="67">
        <f t="shared" si="306"/>
        <v>0</v>
      </c>
      <c r="Q887" s="67"/>
      <c r="R887" s="67">
        <f t="shared" si="306"/>
        <v>0</v>
      </c>
      <c r="S887" s="67">
        <f t="shared" si="306"/>
        <v>0</v>
      </c>
      <c r="T887" s="67">
        <f t="shared" si="306"/>
        <v>0</v>
      </c>
      <c r="U887" s="67">
        <f t="shared" si="306"/>
        <v>0</v>
      </c>
      <c r="V887" s="67">
        <f t="shared" si="306"/>
        <v>0</v>
      </c>
      <c r="W887" s="67"/>
      <c r="X887" s="67">
        <f t="shared" si="306"/>
        <v>0</v>
      </c>
      <c r="Y887" s="67">
        <f t="shared" si="306"/>
        <v>8732384</v>
      </c>
      <c r="Z887" s="67">
        <f t="shared" si="306"/>
        <v>39221960</v>
      </c>
      <c r="AA887" s="67">
        <f t="shared" si="306"/>
        <v>8732384</v>
      </c>
      <c r="AB887" s="67">
        <f t="shared" si="306"/>
        <v>39221960</v>
      </c>
      <c r="BA887" s="4"/>
    </row>
    <row r="888" spans="1:55" ht="18.75" customHeight="1" x14ac:dyDescent="0.25">
      <c r="A888" s="46"/>
      <c r="B888" s="4" t="s">
        <v>310</v>
      </c>
      <c r="C888" s="4"/>
      <c r="D888" s="70" t="s">
        <v>40</v>
      </c>
      <c r="E888" s="70" t="s">
        <v>40</v>
      </c>
      <c r="F888" s="70" t="s">
        <v>40</v>
      </c>
      <c r="G888" s="70"/>
      <c r="H888" s="70" t="s">
        <v>40</v>
      </c>
      <c r="I888" s="70" t="s">
        <v>40</v>
      </c>
      <c r="J888" s="70" t="s">
        <v>40</v>
      </c>
      <c r="K888" s="70" t="s">
        <v>40</v>
      </c>
      <c r="L888" s="70" t="s">
        <v>40</v>
      </c>
      <c r="M888" s="70"/>
      <c r="N888" s="70" t="s">
        <v>40</v>
      </c>
      <c r="O888" s="70" t="s">
        <v>40</v>
      </c>
      <c r="P888" s="70" t="s">
        <v>40</v>
      </c>
      <c r="Q888" s="70"/>
      <c r="R888" s="70" t="s">
        <v>40</v>
      </c>
      <c r="S888" s="70" t="s">
        <v>40</v>
      </c>
      <c r="T888" s="70" t="s">
        <v>40</v>
      </c>
      <c r="U888" s="70" t="s">
        <v>40</v>
      </c>
      <c r="V888" s="70" t="s">
        <v>40</v>
      </c>
      <c r="W888" s="70"/>
      <c r="X888" s="70" t="s">
        <v>40</v>
      </c>
      <c r="Y888" s="70" t="s">
        <v>40</v>
      </c>
      <c r="Z888" s="70" t="s">
        <v>40</v>
      </c>
      <c r="AA888" s="70" t="s">
        <v>40</v>
      </c>
      <c r="AB888" s="70" t="s">
        <v>40</v>
      </c>
    </row>
    <row r="889" spans="1:55" ht="16.5" thickBot="1" x14ac:dyDescent="0.3">
      <c r="A889" s="46"/>
      <c r="B889" s="112" t="s">
        <v>292</v>
      </c>
      <c r="C889" s="4"/>
      <c r="D889" s="113">
        <v>508176.64000000001</v>
      </c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113">
        <v>508176.64000000001</v>
      </c>
      <c r="P889" s="104"/>
      <c r="Q889" s="79"/>
      <c r="R889" s="113">
        <f>+O889+P889</f>
        <v>508176.64000000001</v>
      </c>
      <c r="S889" s="79"/>
      <c r="T889" s="79"/>
      <c r="U889" s="79"/>
      <c r="V889" s="79"/>
      <c r="W889" s="79"/>
      <c r="X889" s="79"/>
      <c r="Y889" s="79"/>
      <c r="Z889" s="79"/>
      <c r="AA889" s="79"/>
      <c r="AB889" s="79"/>
    </row>
    <row r="890" spans="1:55" ht="56.25" customHeight="1" thickTop="1" x14ac:dyDescent="0.25">
      <c r="A890" s="46">
        <v>93</v>
      </c>
      <c r="B890" s="23" t="s">
        <v>110</v>
      </c>
      <c r="C890" s="2" t="s">
        <v>35</v>
      </c>
      <c r="D890" s="67">
        <f>1036268.61+238634.56</f>
        <v>1274903.17</v>
      </c>
      <c r="E890" s="67">
        <v>0</v>
      </c>
      <c r="F890" s="68"/>
      <c r="G890" s="68"/>
      <c r="H890" s="67">
        <f>E890+F890</f>
        <v>0</v>
      </c>
      <c r="I890" s="68"/>
      <c r="J890" s="68"/>
      <c r="K890" s="68"/>
      <c r="L890" s="67"/>
      <c r="M890" s="67"/>
      <c r="N890" s="67">
        <f>H890+L890</f>
        <v>0</v>
      </c>
      <c r="O890" s="67">
        <f>55500-500+1219903.17</f>
        <v>1274903.17</v>
      </c>
      <c r="P890" s="68"/>
      <c r="Q890" s="68"/>
      <c r="R890" s="67">
        <f>O890+P890</f>
        <v>1274903.17</v>
      </c>
      <c r="S890" s="68"/>
      <c r="T890" s="68"/>
      <c r="U890" s="68"/>
      <c r="V890" s="67"/>
      <c r="W890" s="67"/>
      <c r="X890" s="67">
        <f>R890+V890</f>
        <v>1274903.17</v>
      </c>
      <c r="Y890" s="67">
        <f>R890+H890</f>
        <v>1274903.17</v>
      </c>
      <c r="Z890" s="67">
        <f>D890-Y890</f>
        <v>0</v>
      </c>
      <c r="AA890" s="67">
        <f>N890+X890</f>
        <v>1274903.17</v>
      </c>
      <c r="AB890" s="67">
        <f>+D890-N890-X890</f>
        <v>0</v>
      </c>
      <c r="AC890" s="49" t="s">
        <v>303</v>
      </c>
      <c r="AD890" s="94">
        <f t="shared" ref="AD890:AF891" si="307">+D855</f>
        <v>150000000</v>
      </c>
      <c r="AE890" s="94">
        <f t="shared" si="307"/>
        <v>120000000</v>
      </c>
      <c r="AF890" s="94">
        <f t="shared" si="307"/>
        <v>30000000</v>
      </c>
      <c r="AG890" s="94">
        <f>+AE890+AF890</f>
        <v>150000000</v>
      </c>
      <c r="AH890" s="94">
        <f>+L855</f>
        <v>0</v>
      </c>
      <c r="AI890" s="94">
        <f>+AG890+AH890</f>
        <v>150000000</v>
      </c>
      <c r="AJ890" s="94">
        <f>+O855</f>
        <v>0</v>
      </c>
      <c r="AK890" s="94">
        <f>+P855</f>
        <v>0</v>
      </c>
      <c r="AL890" s="94">
        <f>+AJ890+AK890</f>
        <v>0</v>
      </c>
      <c r="AM890" s="94">
        <f>+V855</f>
        <v>0</v>
      </c>
      <c r="AN890" s="94">
        <f>+AL890+AM890</f>
        <v>0</v>
      </c>
      <c r="AO890" s="94">
        <f>+AG890+AL890</f>
        <v>150000000</v>
      </c>
      <c r="AP890" s="94">
        <f>+AD890-AO890</f>
        <v>0</v>
      </c>
      <c r="AQ890" s="94">
        <f>+AD890-AI890-AN890</f>
        <v>0</v>
      </c>
    </row>
    <row r="891" spans="1:55" x14ac:dyDescent="0.25">
      <c r="A891" s="46"/>
      <c r="B891" s="26"/>
      <c r="C891" s="3" t="s">
        <v>36</v>
      </c>
      <c r="D891" s="67">
        <v>1521229.83</v>
      </c>
      <c r="E891" s="67">
        <v>1521229.83</v>
      </c>
      <c r="F891" s="68"/>
      <c r="G891" s="68"/>
      <c r="H891" s="67">
        <f>E891+F891</f>
        <v>1521229.83</v>
      </c>
      <c r="I891" s="68"/>
      <c r="J891" s="68"/>
      <c r="K891" s="68"/>
      <c r="L891" s="67"/>
      <c r="M891" s="67"/>
      <c r="N891" s="67">
        <f>H891+L891</f>
        <v>1521229.83</v>
      </c>
      <c r="O891" s="67">
        <v>0</v>
      </c>
      <c r="P891" s="68"/>
      <c r="Q891" s="68"/>
      <c r="R891" s="67">
        <f>O891+P891</f>
        <v>0</v>
      </c>
      <c r="S891" s="68"/>
      <c r="T891" s="68"/>
      <c r="U891" s="68"/>
      <c r="V891" s="67"/>
      <c r="W891" s="67"/>
      <c r="X891" s="67">
        <f>R891+V891</f>
        <v>0</v>
      </c>
      <c r="Y891" s="67">
        <f>R891+H891</f>
        <v>1521229.83</v>
      </c>
      <c r="Z891" s="67">
        <f>D891-Y891</f>
        <v>0</v>
      </c>
      <c r="AA891" s="67">
        <f>N891+X891</f>
        <v>1521229.83</v>
      </c>
      <c r="AB891" s="67">
        <f>+D891-N891-X891</f>
        <v>0</v>
      </c>
      <c r="AC891" s="49" t="s">
        <v>350</v>
      </c>
      <c r="AD891" s="94">
        <f t="shared" si="307"/>
        <v>2722681.5</v>
      </c>
      <c r="AE891" s="94">
        <f t="shared" si="307"/>
        <v>2722681.5</v>
      </c>
      <c r="AF891" s="94">
        <f t="shared" si="307"/>
        <v>0</v>
      </c>
      <c r="AG891" s="94">
        <f>+AE891+AF891</f>
        <v>2722681.5</v>
      </c>
      <c r="AH891" s="94">
        <f>+L856</f>
        <v>0</v>
      </c>
      <c r="AI891" s="94">
        <f>+AG891+AH891</f>
        <v>2722681.5</v>
      </c>
      <c r="AJ891" s="94">
        <f>+O856</f>
        <v>0</v>
      </c>
      <c r="AK891" s="94">
        <f>+P856</f>
        <v>0</v>
      </c>
      <c r="AL891" s="94">
        <f>+AJ891+AK891</f>
        <v>0</v>
      </c>
      <c r="AM891" s="94">
        <f>+V856</f>
        <v>0</v>
      </c>
      <c r="AN891" s="94">
        <f>+AL891+AM891</f>
        <v>0</v>
      </c>
      <c r="AO891" s="94">
        <f>+AG891+AL891</f>
        <v>2722681.5</v>
      </c>
      <c r="AP891" s="94">
        <f>+AD891-AO891</f>
        <v>0</v>
      </c>
      <c r="AQ891" s="94">
        <f>+AD891-AI891-AN891</f>
        <v>0</v>
      </c>
    </row>
    <row r="892" spans="1:55" x14ac:dyDescent="0.25">
      <c r="A892" s="46"/>
      <c r="B892" s="26"/>
      <c r="C892" s="2" t="s">
        <v>53</v>
      </c>
      <c r="D892" s="67">
        <f>3371557.61-238634.56</f>
        <v>3132923.05</v>
      </c>
      <c r="E892" s="67">
        <v>0</v>
      </c>
      <c r="F892" s="68"/>
      <c r="G892" s="68"/>
      <c r="H892" s="67">
        <f>E892+F892</f>
        <v>0</v>
      </c>
      <c r="I892" s="68"/>
      <c r="J892" s="68"/>
      <c r="K892" s="68"/>
      <c r="L892" s="67"/>
      <c r="M892" s="67"/>
      <c r="N892" s="67">
        <f>H892+L892</f>
        <v>0</v>
      </c>
      <c r="O892" s="68">
        <v>1472205.19</v>
      </c>
      <c r="P892" s="68"/>
      <c r="Q892" s="68"/>
      <c r="R892" s="67">
        <f>O892+P892</f>
        <v>1472205.19</v>
      </c>
      <c r="S892" s="68"/>
      <c r="T892" s="68"/>
      <c r="U892" s="68"/>
      <c r="V892" s="67"/>
      <c r="W892" s="67"/>
      <c r="X892" s="67">
        <f>R892+V892</f>
        <v>1472205.19</v>
      </c>
      <c r="Y892" s="67">
        <f>R892+H892</f>
        <v>1472205.19</v>
      </c>
      <c r="Z892" s="67">
        <f>D892-Y892</f>
        <v>1660717.8599999999</v>
      </c>
      <c r="AA892" s="67">
        <f>N892+X892</f>
        <v>1472205.19</v>
      </c>
      <c r="AB892" s="67">
        <f>+D892-N892-X892</f>
        <v>1660717.8599999999</v>
      </c>
      <c r="AC892" s="49" t="s">
        <v>47</v>
      </c>
      <c r="AD892" s="94">
        <f t="shared" ref="AD892:AF893" si="308">D852+D863+D871+D882+D890</f>
        <v>135031046.09</v>
      </c>
      <c r="AE892" s="94">
        <f t="shared" si="308"/>
        <v>8603000</v>
      </c>
      <c r="AF892" s="94">
        <f t="shared" si="308"/>
        <v>0</v>
      </c>
      <c r="AG892" s="94">
        <f>+AE892+AF892</f>
        <v>8603000</v>
      </c>
      <c r="AH892" s="94">
        <f>L852+L863+L871+L882+L890</f>
        <v>0</v>
      </c>
      <c r="AI892" s="94">
        <f>+AG892+AH892</f>
        <v>8603000</v>
      </c>
      <c r="AJ892" s="94">
        <f>O852+O863+O871+O882+O890</f>
        <v>1274903.17</v>
      </c>
      <c r="AK892" s="94">
        <f>P852+P863+P871+P882+P890</f>
        <v>0</v>
      </c>
      <c r="AL892" s="94">
        <f>+AJ892+AK892</f>
        <v>1274903.17</v>
      </c>
      <c r="AM892" s="94">
        <f>V852+V863+V871+V882+V890</f>
        <v>0</v>
      </c>
      <c r="AN892" s="94">
        <f>+AL892+AM892</f>
        <v>1274903.17</v>
      </c>
      <c r="AO892" s="94">
        <f>+AG892+AL892</f>
        <v>9877903.1699999999</v>
      </c>
      <c r="AP892" s="94">
        <f>+AD892-AO892</f>
        <v>125153142.92</v>
      </c>
      <c r="AQ892" s="94">
        <f>+AD892-AI892-AN892</f>
        <v>125153142.92</v>
      </c>
    </row>
    <row r="893" spans="1:55" ht="16.5" customHeight="1" x14ac:dyDescent="0.25">
      <c r="A893" s="46"/>
      <c r="B893" s="26"/>
      <c r="C893" s="2" t="s">
        <v>38</v>
      </c>
      <c r="D893" s="67">
        <v>3462217.1</v>
      </c>
      <c r="E893" s="67">
        <v>0</v>
      </c>
      <c r="F893" s="68"/>
      <c r="G893" s="68"/>
      <c r="H893" s="67">
        <f>E893+F893</f>
        <v>0</v>
      </c>
      <c r="I893" s="68"/>
      <c r="J893" s="68"/>
      <c r="K893" s="68"/>
      <c r="L893" s="67"/>
      <c r="M893" s="67"/>
      <c r="N893" s="67">
        <f>H893+L893</f>
        <v>0</v>
      </c>
      <c r="O893" s="67">
        <v>94015</v>
      </c>
      <c r="P893" s="68"/>
      <c r="Q893" s="68"/>
      <c r="R893" s="67">
        <f>O893+P893</f>
        <v>94015</v>
      </c>
      <c r="S893" s="67">
        <v>356118</v>
      </c>
      <c r="T893" s="68"/>
      <c r="U893" s="68"/>
      <c r="V893" s="67"/>
      <c r="W893" s="67"/>
      <c r="X893" s="67">
        <f>R893+V893</f>
        <v>94015</v>
      </c>
      <c r="Y893" s="67">
        <f>R893+H893</f>
        <v>94015</v>
      </c>
      <c r="Z893" s="67">
        <f>D893-Y893</f>
        <v>3368202.1</v>
      </c>
      <c r="AA893" s="67">
        <f>N893+X893</f>
        <v>94015</v>
      </c>
      <c r="AB893" s="67">
        <f>+D893-N893-X893</f>
        <v>3368202.1</v>
      </c>
      <c r="AC893" s="49" t="s">
        <v>36</v>
      </c>
      <c r="AD893" s="94">
        <f t="shared" si="308"/>
        <v>7887894.9000000004</v>
      </c>
      <c r="AE893" s="94">
        <f t="shared" si="308"/>
        <v>7887894.9000000004</v>
      </c>
      <c r="AF893" s="94">
        <f t="shared" si="308"/>
        <v>0</v>
      </c>
      <c r="AG893" s="94">
        <f t="shared" ref="AG893:AG898" si="309">+AE893+AF893</f>
        <v>7887894.9000000004</v>
      </c>
      <c r="AH893" s="94">
        <f>L853+L864+L872+L883+L891</f>
        <v>0</v>
      </c>
      <c r="AI893" s="94">
        <f t="shared" ref="AI893:AI898" si="310">+AG893+AH893</f>
        <v>7887894.9000000004</v>
      </c>
      <c r="AJ893" s="94">
        <f>O853+O864+O872+O883+O891</f>
        <v>0</v>
      </c>
      <c r="AK893" s="94">
        <f>P853+P864+P872+P883+P891</f>
        <v>0</v>
      </c>
      <c r="AL893" s="94">
        <f t="shared" ref="AL893:AL898" si="311">+AJ893+AK893</f>
        <v>0</v>
      </c>
      <c r="AM893" s="94">
        <f>V853+V864+V872+V883+V891</f>
        <v>0</v>
      </c>
      <c r="AN893" s="94">
        <f t="shared" ref="AN893:AN898" si="312">+AL893+AM893</f>
        <v>0</v>
      </c>
      <c r="AO893" s="94">
        <f t="shared" ref="AO893:AO898" si="313">+AG893+AL893</f>
        <v>7887894.9000000004</v>
      </c>
      <c r="AP893" s="94">
        <f t="shared" ref="AP893:AP898" si="314">+AD893-AO893</f>
        <v>0</v>
      </c>
      <c r="AQ893" s="94">
        <f t="shared" ref="AQ893:AQ898" si="315">+AD893-AI893-AN893</f>
        <v>0</v>
      </c>
    </row>
    <row r="894" spans="1:55" x14ac:dyDescent="0.25">
      <c r="A894" s="46"/>
      <c r="B894" s="26"/>
      <c r="C894" s="2" t="s">
        <v>54</v>
      </c>
      <c r="D894" s="67">
        <v>6875465.7800000003</v>
      </c>
      <c r="E894" s="67">
        <v>0</v>
      </c>
      <c r="F894" s="68"/>
      <c r="G894" s="68"/>
      <c r="H894" s="67">
        <f>E894+F894</f>
        <v>0</v>
      </c>
      <c r="I894" s="68"/>
      <c r="J894" s="68"/>
      <c r="K894" s="68"/>
      <c r="L894" s="67"/>
      <c r="M894" s="67"/>
      <c r="N894" s="67">
        <f>H894+L894</f>
        <v>0</v>
      </c>
      <c r="O894" s="67">
        <v>5603896.2599999998</v>
      </c>
      <c r="P894" s="68"/>
      <c r="Q894" s="68"/>
      <c r="R894" s="67">
        <f>O894+P894</f>
        <v>5603896.2599999998</v>
      </c>
      <c r="S894" s="68"/>
      <c r="T894" s="68"/>
      <c r="U894" s="68"/>
      <c r="V894" s="67"/>
      <c r="W894" s="67"/>
      <c r="X894" s="67">
        <f>R894+V894</f>
        <v>5603896.2599999998</v>
      </c>
      <c r="Y894" s="67">
        <f>R894+H894</f>
        <v>5603896.2599999998</v>
      </c>
      <c r="Z894" s="67">
        <f>D894-Y894</f>
        <v>1271569.5200000005</v>
      </c>
      <c r="AA894" s="67">
        <f>N894+X894</f>
        <v>5603896.2599999998</v>
      </c>
      <c r="AB894" s="67">
        <f>+D894-N894-X894</f>
        <v>1271569.5200000005</v>
      </c>
      <c r="AC894" s="49" t="s">
        <v>183</v>
      </c>
      <c r="AD894" s="94">
        <f>D857+D865+D873+D884</f>
        <v>127753296.60000001</v>
      </c>
      <c r="AE894" s="94">
        <f>E857+E865+E873+E884</f>
        <v>0</v>
      </c>
      <c r="AF894" s="94">
        <f>F857+F865+F873+F884</f>
        <v>0</v>
      </c>
      <c r="AG894" s="94">
        <f t="shared" si="309"/>
        <v>0</v>
      </c>
      <c r="AH894" s="94">
        <f>L857+L865+L873+L884</f>
        <v>0</v>
      </c>
      <c r="AI894" s="94">
        <f t="shared" si="310"/>
        <v>0</v>
      </c>
      <c r="AJ894" s="94">
        <f>O857+O865+O873+O884</f>
        <v>0</v>
      </c>
      <c r="AK894" s="94">
        <f>P857+P865+P873+P884</f>
        <v>0</v>
      </c>
      <c r="AL894" s="94">
        <f t="shared" si="311"/>
        <v>0</v>
      </c>
      <c r="AM894" s="94">
        <f>V857+V865+V873+V884</f>
        <v>0</v>
      </c>
      <c r="AN894" s="94">
        <f t="shared" si="312"/>
        <v>0</v>
      </c>
      <c r="AO894" s="94">
        <f t="shared" si="313"/>
        <v>0</v>
      </c>
      <c r="AP894" s="94">
        <f t="shared" si="314"/>
        <v>127753296.60000001</v>
      </c>
      <c r="AQ894" s="94">
        <f t="shared" si="315"/>
        <v>127753296.60000001</v>
      </c>
    </row>
    <row r="895" spans="1:55" x14ac:dyDescent="0.25">
      <c r="A895" s="46"/>
      <c r="B895" s="26"/>
      <c r="C895" s="4"/>
      <c r="D895" s="70" t="s">
        <v>40</v>
      </c>
      <c r="E895" s="70" t="s">
        <v>40</v>
      </c>
      <c r="F895" s="70" t="s">
        <v>40</v>
      </c>
      <c r="G895" s="70"/>
      <c r="H895" s="70" t="s">
        <v>40</v>
      </c>
      <c r="I895" s="70" t="s">
        <v>40</v>
      </c>
      <c r="J895" s="70" t="s">
        <v>40</v>
      </c>
      <c r="K895" s="70" t="s">
        <v>40</v>
      </c>
      <c r="L895" s="70" t="s">
        <v>40</v>
      </c>
      <c r="M895" s="70"/>
      <c r="N895" s="70" t="s">
        <v>40</v>
      </c>
      <c r="O895" s="70" t="s">
        <v>40</v>
      </c>
      <c r="P895" s="70" t="s">
        <v>40</v>
      </c>
      <c r="Q895" s="70"/>
      <c r="R895" s="70" t="s">
        <v>40</v>
      </c>
      <c r="S895" s="70" t="s">
        <v>40</v>
      </c>
      <c r="T895" s="70" t="s">
        <v>40</v>
      </c>
      <c r="U895" s="70" t="s">
        <v>40</v>
      </c>
      <c r="V895" s="70" t="s">
        <v>40</v>
      </c>
      <c r="W895" s="70"/>
      <c r="X895" s="70" t="s">
        <v>40</v>
      </c>
      <c r="Y895" s="70" t="s">
        <v>40</v>
      </c>
      <c r="Z895" s="70" t="s">
        <v>40</v>
      </c>
      <c r="AA895" s="70" t="s">
        <v>40</v>
      </c>
      <c r="AB895" s="70" t="s">
        <v>40</v>
      </c>
      <c r="AC895" s="49" t="s">
        <v>275</v>
      </c>
      <c r="AD895" s="94">
        <f>D858+D866+D875</f>
        <v>8471488.4299999997</v>
      </c>
      <c r="AE895" s="94">
        <f>E858+E866+E875</f>
        <v>0</v>
      </c>
      <c r="AF895" s="94">
        <f>F858+F866+F875</f>
        <v>0</v>
      </c>
      <c r="AG895" s="94">
        <f t="shared" si="309"/>
        <v>0</v>
      </c>
      <c r="AH895" s="94">
        <f>L858+L866+L875</f>
        <v>0</v>
      </c>
      <c r="AI895" s="94">
        <f t="shared" si="310"/>
        <v>0</v>
      </c>
      <c r="AJ895" s="94">
        <f>O858+O866+O875</f>
        <v>2341088.2599999998</v>
      </c>
      <c r="AK895" s="94">
        <f>P858+P866+P875</f>
        <v>0</v>
      </c>
      <c r="AL895" s="94">
        <f t="shared" si="311"/>
        <v>2341088.2599999998</v>
      </c>
      <c r="AM895" s="94">
        <f>V858+V866+V875</f>
        <v>0</v>
      </c>
      <c r="AN895" s="94">
        <f t="shared" si="312"/>
        <v>2341088.2599999998</v>
      </c>
      <c r="AO895" s="94">
        <f t="shared" si="313"/>
        <v>2341088.2599999998</v>
      </c>
      <c r="AP895" s="94">
        <f t="shared" si="314"/>
        <v>6130400.1699999999</v>
      </c>
      <c r="AQ895" s="94">
        <f t="shared" si="315"/>
        <v>6130400.1699999999</v>
      </c>
      <c r="AZ895" s="4"/>
    </row>
    <row r="896" spans="1:55" x14ac:dyDescent="0.25">
      <c r="A896" s="46"/>
      <c r="B896" s="26"/>
      <c r="C896" s="4"/>
      <c r="D896" s="67">
        <f t="shared" ref="D896:AB896" si="316">SUM(D890:D894)</f>
        <v>16266738.93</v>
      </c>
      <c r="E896" s="67">
        <f t="shared" si="316"/>
        <v>1521229.83</v>
      </c>
      <c r="F896" s="67">
        <f t="shared" si="316"/>
        <v>0</v>
      </c>
      <c r="G896" s="67"/>
      <c r="H896" s="67">
        <f t="shared" si="316"/>
        <v>1521229.83</v>
      </c>
      <c r="I896" s="67">
        <f t="shared" si="316"/>
        <v>0</v>
      </c>
      <c r="J896" s="67">
        <f t="shared" si="316"/>
        <v>0</v>
      </c>
      <c r="K896" s="67">
        <f t="shared" si="316"/>
        <v>0</v>
      </c>
      <c r="L896" s="67">
        <f t="shared" si="316"/>
        <v>0</v>
      </c>
      <c r="M896" s="67"/>
      <c r="N896" s="67">
        <f t="shared" si="316"/>
        <v>1521229.83</v>
      </c>
      <c r="O896" s="67">
        <f t="shared" si="316"/>
        <v>8445019.6199999992</v>
      </c>
      <c r="P896" s="67">
        <f t="shared" si="316"/>
        <v>0</v>
      </c>
      <c r="Q896" s="67"/>
      <c r="R896" s="67">
        <f t="shared" si="316"/>
        <v>8445019.6199999992</v>
      </c>
      <c r="S896" s="67">
        <f t="shared" si="316"/>
        <v>356118</v>
      </c>
      <c r="T896" s="67">
        <f t="shared" si="316"/>
        <v>0</v>
      </c>
      <c r="U896" s="67">
        <f t="shared" si="316"/>
        <v>0</v>
      </c>
      <c r="V896" s="67">
        <f t="shared" si="316"/>
        <v>0</v>
      </c>
      <c r="W896" s="67"/>
      <c r="X896" s="67">
        <f t="shared" si="316"/>
        <v>8445019.6199999992</v>
      </c>
      <c r="Y896" s="67">
        <f t="shared" si="316"/>
        <v>9966249.4499999993</v>
      </c>
      <c r="Z896" s="67">
        <f t="shared" si="316"/>
        <v>6300489.4800000004</v>
      </c>
      <c r="AA896" s="67">
        <f t="shared" si="316"/>
        <v>9966249.4499999993</v>
      </c>
      <c r="AB896" s="67">
        <f t="shared" si="316"/>
        <v>6300489.4800000004</v>
      </c>
      <c r="AC896" s="49" t="s">
        <v>38</v>
      </c>
      <c r="AD896" s="94">
        <f>D874+D885+D893</f>
        <v>13027247.17</v>
      </c>
      <c r="AE896" s="94">
        <f>E874+E885+E893</f>
        <v>0</v>
      </c>
      <c r="AF896" s="94">
        <f>F874+F885+F893</f>
        <v>0</v>
      </c>
      <c r="AG896" s="94">
        <f t="shared" si="309"/>
        <v>0</v>
      </c>
      <c r="AH896" s="94">
        <f>L874+L885+L893</f>
        <v>0</v>
      </c>
      <c r="AI896" s="94">
        <f t="shared" si="310"/>
        <v>0</v>
      </c>
      <c r="AJ896" s="94">
        <f>O874+O885+O893</f>
        <v>94015</v>
      </c>
      <c r="AK896" s="94">
        <f>P874+P885+P893</f>
        <v>0</v>
      </c>
      <c r="AL896" s="94">
        <f t="shared" si="311"/>
        <v>94015</v>
      </c>
      <c r="AM896" s="94">
        <f>V874+V885+V893</f>
        <v>0</v>
      </c>
      <c r="AN896" s="94">
        <f t="shared" si="312"/>
        <v>94015</v>
      </c>
      <c r="AO896" s="94">
        <f t="shared" si="313"/>
        <v>94015</v>
      </c>
      <c r="AP896" s="94">
        <f t="shared" si="314"/>
        <v>12933232.17</v>
      </c>
      <c r="AQ896" s="94">
        <f t="shared" si="315"/>
        <v>12933232.17</v>
      </c>
      <c r="AY896" s="4"/>
    </row>
    <row r="897" spans="1:50" x14ac:dyDescent="0.25">
      <c r="A897" s="46"/>
      <c r="B897" s="26"/>
      <c r="C897" s="4"/>
      <c r="D897" s="70" t="s">
        <v>40</v>
      </c>
      <c r="E897" s="70" t="s">
        <v>40</v>
      </c>
      <c r="F897" s="70" t="s">
        <v>40</v>
      </c>
      <c r="G897" s="70"/>
      <c r="H897" s="70" t="s">
        <v>40</v>
      </c>
      <c r="I897" s="70" t="s">
        <v>40</v>
      </c>
      <c r="J897" s="70" t="s">
        <v>40</v>
      </c>
      <c r="K897" s="70" t="s">
        <v>40</v>
      </c>
      <c r="L897" s="70" t="s">
        <v>40</v>
      </c>
      <c r="M897" s="70"/>
      <c r="N897" s="70" t="s">
        <v>40</v>
      </c>
      <c r="O897" s="70" t="s">
        <v>40</v>
      </c>
      <c r="P897" s="70" t="s">
        <v>40</v>
      </c>
      <c r="Q897" s="70"/>
      <c r="R897" s="70" t="s">
        <v>40</v>
      </c>
      <c r="S897" s="70" t="s">
        <v>40</v>
      </c>
      <c r="T897" s="70" t="s">
        <v>40</v>
      </c>
      <c r="U897" s="70" t="s">
        <v>40</v>
      </c>
      <c r="V897" s="70" t="s">
        <v>40</v>
      </c>
      <c r="W897" s="70"/>
      <c r="X897" s="70" t="s">
        <v>40</v>
      </c>
      <c r="Y897" s="70" t="s">
        <v>40</v>
      </c>
      <c r="Z897" s="70" t="s">
        <v>40</v>
      </c>
      <c r="AA897" s="70" t="s">
        <v>40</v>
      </c>
      <c r="AB897" s="70" t="s">
        <v>40</v>
      </c>
      <c r="AC897" s="49" t="s">
        <v>53</v>
      </c>
      <c r="AD897" s="94">
        <f>+D892</f>
        <v>3132923.05</v>
      </c>
      <c r="AE897" s="94">
        <f>+E892</f>
        <v>0</v>
      </c>
      <c r="AF897" s="94">
        <f>+F892</f>
        <v>0</v>
      </c>
      <c r="AG897" s="94">
        <f t="shared" si="309"/>
        <v>0</v>
      </c>
      <c r="AH897" s="94">
        <f>+L892</f>
        <v>0</v>
      </c>
      <c r="AI897" s="94">
        <f t="shared" si="310"/>
        <v>0</v>
      </c>
      <c r="AJ897" s="94">
        <f>+O892</f>
        <v>1472205.19</v>
      </c>
      <c r="AK897" s="94">
        <f>+P892</f>
        <v>0</v>
      </c>
      <c r="AL897" s="94">
        <f t="shared" si="311"/>
        <v>1472205.19</v>
      </c>
      <c r="AM897" s="94">
        <f>+V892</f>
        <v>0</v>
      </c>
      <c r="AN897" s="94">
        <f t="shared" si="312"/>
        <v>1472205.19</v>
      </c>
      <c r="AO897" s="94">
        <f t="shared" si="313"/>
        <v>1472205.19</v>
      </c>
      <c r="AP897" s="94">
        <f t="shared" si="314"/>
        <v>1660717.8599999999</v>
      </c>
      <c r="AQ897" s="94">
        <f t="shared" si="315"/>
        <v>1660717.8599999999</v>
      </c>
      <c r="AW897" s="4"/>
      <c r="AX897" s="4"/>
    </row>
    <row r="898" spans="1:50" x14ac:dyDescent="0.25">
      <c r="A898" s="46"/>
      <c r="B898" s="26"/>
      <c r="C898" s="4"/>
      <c r="D898" s="70"/>
      <c r="E898" s="75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49" t="s">
        <v>54</v>
      </c>
      <c r="AD898" s="94">
        <f>+D894+D854</f>
        <v>6875465.7800000003</v>
      </c>
      <c r="AE898" s="94">
        <f>+E894+E854</f>
        <v>0</v>
      </c>
      <c r="AF898" s="94">
        <f>+F894</f>
        <v>0</v>
      </c>
      <c r="AG898" s="94">
        <f t="shared" si="309"/>
        <v>0</v>
      </c>
      <c r="AH898" s="94">
        <f>+L894+L854</f>
        <v>0</v>
      </c>
      <c r="AI898" s="94">
        <f t="shared" si="310"/>
        <v>0</v>
      </c>
      <c r="AJ898" s="94">
        <f>+O894+O854</f>
        <v>5603896.2599999998</v>
      </c>
      <c r="AK898" s="94">
        <f>+P894+P854</f>
        <v>0</v>
      </c>
      <c r="AL898" s="94">
        <f t="shared" si="311"/>
        <v>5603896.2599999998</v>
      </c>
      <c r="AM898" s="94">
        <f>+V894</f>
        <v>0</v>
      </c>
      <c r="AN898" s="94">
        <f t="shared" si="312"/>
        <v>5603896.2599999998</v>
      </c>
      <c r="AO898" s="94">
        <f t="shared" si="313"/>
        <v>5603896.2599999998</v>
      </c>
      <c r="AP898" s="94">
        <f t="shared" si="314"/>
        <v>1271569.5200000005</v>
      </c>
      <c r="AQ898" s="94">
        <f t="shared" si="315"/>
        <v>1271569.5200000005</v>
      </c>
    </row>
    <row r="899" spans="1:50" ht="19.5" customHeight="1" x14ac:dyDescent="0.25">
      <c r="A899" s="46"/>
      <c r="B899" s="23" t="s">
        <v>26</v>
      </c>
      <c r="C899" s="2" t="s">
        <v>105</v>
      </c>
      <c r="D899" s="67">
        <f>D896+D887+D877+D868+D860</f>
        <v>454902043.51999998</v>
      </c>
      <c r="E899" s="67">
        <f>E896+E887+E877+E868+E860</f>
        <v>139213576.40000001</v>
      </c>
      <c r="F899" s="67">
        <f>F896+F887+F877+F868+F860</f>
        <v>30000000</v>
      </c>
      <c r="G899" s="67"/>
      <c r="H899" s="67">
        <f>H896+H887+H877+H868+H860</f>
        <v>169213576.40000001</v>
      </c>
      <c r="I899" s="67">
        <f>I896+I887+I877+I868+I860</f>
        <v>0</v>
      </c>
      <c r="J899" s="67">
        <f>J896+J887+J877+J868+J860</f>
        <v>0</v>
      </c>
      <c r="K899" s="67">
        <f>K896+K887+K877+K868+K860</f>
        <v>0</v>
      </c>
      <c r="L899" s="67">
        <f>L896+L887+L877+L868+L860</f>
        <v>0</v>
      </c>
      <c r="M899" s="67"/>
      <c r="N899" s="67">
        <f>N896+N887+N877+N868+N860</f>
        <v>169213576.40000001</v>
      </c>
      <c r="O899" s="67">
        <f>O896+O887+O877+O868+O860</f>
        <v>10786107.879999999</v>
      </c>
      <c r="P899" s="67">
        <f>P896+P887+P877+P868+P860</f>
        <v>0</v>
      </c>
      <c r="Q899" s="67"/>
      <c r="R899" s="67">
        <f>R896+R887+R877+R868+R860</f>
        <v>10786107.879999999</v>
      </c>
      <c r="S899" s="67">
        <f>S896+S887+S877+S868+S860</f>
        <v>356118</v>
      </c>
      <c r="T899" s="67">
        <f>T896+T887+T877+T868+T860</f>
        <v>0</v>
      </c>
      <c r="U899" s="67">
        <f>U896+U887+U877+U868+U860</f>
        <v>0</v>
      </c>
      <c r="V899" s="67">
        <f>V896+V887+V877+V868+V860</f>
        <v>0</v>
      </c>
      <c r="W899" s="67"/>
      <c r="X899" s="67">
        <f>X896+X887+X877+X868+X860</f>
        <v>10786107.879999999</v>
      </c>
      <c r="Y899" s="67">
        <f>Y896+Y887+Y877+Y868+Y860</f>
        <v>179999684.28</v>
      </c>
      <c r="Z899" s="67">
        <f>Z896+Z887+Z877+Z868+Z860</f>
        <v>274902359.24000001</v>
      </c>
      <c r="AA899" s="67">
        <f>AA896+AA887+AA877+AA868+AA860</f>
        <v>179999684.28</v>
      </c>
      <c r="AB899" s="67">
        <f>AB896+AB887+AB877+AB868+AB860</f>
        <v>274902359.24000001</v>
      </c>
      <c r="AD899" s="95">
        <f>SUM(AD890:AD898)</f>
        <v>454902043.52000004</v>
      </c>
      <c r="AE899" s="95">
        <f t="shared" ref="AE899:AQ899" si="317">SUM(AE890:AE898)</f>
        <v>139213576.40000001</v>
      </c>
      <c r="AF899" s="95">
        <f t="shared" si="317"/>
        <v>30000000</v>
      </c>
      <c r="AG899" s="95">
        <f t="shared" si="317"/>
        <v>169213576.40000001</v>
      </c>
      <c r="AH899" s="95">
        <f t="shared" si="317"/>
        <v>0</v>
      </c>
      <c r="AI899" s="95">
        <f t="shared" si="317"/>
        <v>169213576.40000001</v>
      </c>
      <c r="AJ899" s="95">
        <f t="shared" si="317"/>
        <v>10786107.879999999</v>
      </c>
      <c r="AK899" s="95">
        <f t="shared" si="317"/>
        <v>0</v>
      </c>
      <c r="AL899" s="95">
        <f t="shared" si="317"/>
        <v>10786107.879999999</v>
      </c>
      <c r="AM899" s="95">
        <f t="shared" si="317"/>
        <v>0</v>
      </c>
      <c r="AN899" s="95">
        <f t="shared" si="317"/>
        <v>10786107.879999999</v>
      </c>
      <c r="AO899" s="95">
        <f t="shared" si="317"/>
        <v>179999684.27999997</v>
      </c>
      <c r="AP899" s="95">
        <f t="shared" si="317"/>
        <v>274902359.24000001</v>
      </c>
      <c r="AQ899" s="95">
        <f t="shared" si="317"/>
        <v>274902359.24000001</v>
      </c>
    </row>
    <row r="900" spans="1:50" x14ac:dyDescent="0.25">
      <c r="A900" s="46"/>
      <c r="B900" s="26"/>
      <c r="C900" s="4"/>
      <c r="D900" s="70" t="s">
        <v>50</v>
      </c>
      <c r="E900" s="70" t="s">
        <v>50</v>
      </c>
      <c r="F900" s="70" t="s">
        <v>50</v>
      </c>
      <c r="G900" s="70"/>
      <c r="H900" s="70" t="s">
        <v>50</v>
      </c>
      <c r="I900" s="70" t="s">
        <v>50</v>
      </c>
      <c r="J900" s="70" t="s">
        <v>50</v>
      </c>
      <c r="K900" s="70" t="s">
        <v>50</v>
      </c>
      <c r="L900" s="70" t="s">
        <v>50</v>
      </c>
      <c r="M900" s="70"/>
      <c r="N900" s="70" t="s">
        <v>50</v>
      </c>
      <c r="O900" s="70" t="s">
        <v>50</v>
      </c>
      <c r="P900" s="70" t="s">
        <v>50</v>
      </c>
      <c r="Q900" s="70"/>
      <c r="R900" s="70" t="s">
        <v>50</v>
      </c>
      <c r="S900" s="70" t="s">
        <v>50</v>
      </c>
      <c r="T900" s="70" t="s">
        <v>50</v>
      </c>
      <c r="U900" s="70" t="s">
        <v>50</v>
      </c>
      <c r="V900" s="70" t="s">
        <v>50</v>
      </c>
      <c r="W900" s="70"/>
      <c r="X900" s="70" t="s">
        <v>50</v>
      </c>
      <c r="Y900" s="70" t="s">
        <v>50</v>
      </c>
      <c r="Z900" s="70" t="s">
        <v>50</v>
      </c>
      <c r="AA900" s="70" t="s">
        <v>50</v>
      </c>
      <c r="AB900" s="70" t="s">
        <v>50</v>
      </c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</row>
    <row r="901" spans="1:50" x14ac:dyDescent="0.25">
      <c r="C901" s="20"/>
      <c r="D901" s="75"/>
      <c r="E901" s="72"/>
      <c r="F901" s="68"/>
      <c r="G901" s="68"/>
      <c r="H901" s="67"/>
      <c r="I901" s="68"/>
      <c r="J901" s="68"/>
      <c r="K901" s="68"/>
      <c r="L901" s="68"/>
      <c r="M901" s="68"/>
      <c r="N901" s="67"/>
      <c r="O901" s="68"/>
      <c r="P901" s="68"/>
      <c r="Q901" s="68"/>
      <c r="R901" s="67"/>
      <c r="S901" s="68"/>
      <c r="T901" s="68"/>
      <c r="U901" s="68"/>
      <c r="V901" s="68"/>
      <c r="W901" s="68"/>
      <c r="X901" s="67"/>
      <c r="Y901" s="67"/>
      <c r="Z901" s="67"/>
      <c r="AA901" s="67"/>
      <c r="AB901" s="67"/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  <c r="AV901" s="4"/>
    </row>
    <row r="902" spans="1:50" ht="19.5" x14ac:dyDescent="0.35">
      <c r="A902" s="46"/>
      <c r="B902" s="48" t="s">
        <v>223</v>
      </c>
      <c r="C902" s="4"/>
      <c r="D902" s="68"/>
      <c r="E902" s="68"/>
      <c r="F902" s="68"/>
      <c r="G902" s="68"/>
      <c r="H902" s="67"/>
      <c r="I902" s="68"/>
      <c r="J902" s="68"/>
      <c r="K902" s="68"/>
      <c r="L902" s="68"/>
      <c r="M902" s="68"/>
      <c r="N902" s="67"/>
      <c r="O902" s="68"/>
      <c r="P902" s="68"/>
      <c r="Q902" s="68"/>
      <c r="R902" s="67"/>
      <c r="S902" s="68"/>
      <c r="T902" s="68"/>
      <c r="U902" s="68"/>
      <c r="V902" s="68"/>
      <c r="W902" s="68"/>
      <c r="X902" s="67"/>
      <c r="Y902" s="67"/>
      <c r="Z902" s="67"/>
      <c r="AA902" s="67"/>
      <c r="AB902" s="67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  <c r="AU902" s="4"/>
    </row>
    <row r="903" spans="1:50" x14ac:dyDescent="0.25">
      <c r="A903" s="46"/>
      <c r="B903" s="26"/>
      <c r="C903" s="4"/>
      <c r="D903" s="68"/>
      <c r="E903" s="68"/>
      <c r="F903" s="68"/>
      <c r="G903" s="68"/>
      <c r="H903" s="67"/>
      <c r="I903" s="68"/>
      <c r="J903" s="68"/>
      <c r="K903" s="68"/>
      <c r="L903" s="68"/>
      <c r="M903" s="68"/>
      <c r="N903" s="67"/>
      <c r="O903" s="68"/>
      <c r="P903" s="68"/>
      <c r="Q903" s="68"/>
      <c r="R903" s="67"/>
      <c r="S903" s="68"/>
      <c r="T903" s="68"/>
      <c r="U903" s="68"/>
      <c r="V903" s="68"/>
      <c r="W903" s="68"/>
      <c r="X903" s="67"/>
      <c r="Y903" s="67"/>
      <c r="Z903" s="67"/>
      <c r="AA903" s="67"/>
      <c r="AB903" s="67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</row>
    <row r="904" spans="1:50" x14ac:dyDescent="0.25">
      <c r="A904" s="46">
        <v>94</v>
      </c>
      <c r="B904" s="26" t="s">
        <v>224</v>
      </c>
      <c r="C904" s="2" t="s">
        <v>35</v>
      </c>
      <c r="D904" s="68">
        <v>0</v>
      </c>
      <c r="E904" s="68"/>
      <c r="F904" s="68"/>
      <c r="G904" s="68"/>
      <c r="H904" s="67">
        <f>E904+F904</f>
        <v>0</v>
      </c>
      <c r="I904" s="68"/>
      <c r="J904" s="68"/>
      <c r="K904" s="68"/>
      <c r="L904" s="68"/>
      <c r="M904" s="68"/>
      <c r="N904" s="67">
        <f>H904+L904</f>
        <v>0</v>
      </c>
      <c r="O904" s="68"/>
      <c r="P904" s="68"/>
      <c r="Q904" s="68"/>
      <c r="R904" s="67">
        <f>O904+P904</f>
        <v>0</v>
      </c>
      <c r="S904" s="68"/>
      <c r="T904" s="68"/>
      <c r="U904" s="68"/>
      <c r="V904" s="68"/>
      <c r="W904" s="68"/>
      <c r="X904" s="67">
        <f>R904+V904</f>
        <v>0</v>
      </c>
      <c r="Y904" s="67">
        <f>R904+H904</f>
        <v>0</v>
      </c>
      <c r="Z904" s="67">
        <f>D904-Y904</f>
        <v>0</v>
      </c>
      <c r="AA904" s="67">
        <f>N904+X904</f>
        <v>0</v>
      </c>
      <c r="AB904" s="67">
        <f>+D904-N904-X904</f>
        <v>0</v>
      </c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</row>
    <row r="905" spans="1:50" x14ac:dyDescent="0.25">
      <c r="A905" s="46"/>
      <c r="B905" s="26"/>
      <c r="C905" s="4" t="s">
        <v>36</v>
      </c>
      <c r="D905" s="68">
        <v>58052</v>
      </c>
      <c r="E905" s="68">
        <v>58052</v>
      </c>
      <c r="F905" s="68"/>
      <c r="G905" s="68"/>
      <c r="H905" s="67">
        <f>E905+F905</f>
        <v>58052</v>
      </c>
      <c r="I905" s="68"/>
      <c r="J905" s="68"/>
      <c r="K905" s="68"/>
      <c r="L905" s="68"/>
      <c r="M905" s="68"/>
      <c r="N905" s="67">
        <f>H905+L905</f>
        <v>58052</v>
      </c>
      <c r="O905" s="68"/>
      <c r="P905" s="68"/>
      <c r="Q905" s="68"/>
      <c r="R905" s="67">
        <f>O905+P905</f>
        <v>0</v>
      </c>
      <c r="S905" s="68"/>
      <c r="T905" s="68"/>
      <c r="U905" s="68"/>
      <c r="V905" s="68"/>
      <c r="W905" s="68"/>
      <c r="X905" s="67">
        <f>R905+V905</f>
        <v>0</v>
      </c>
      <c r="Y905" s="67">
        <f>R905+H905</f>
        <v>58052</v>
      </c>
      <c r="Z905" s="67">
        <f>D905-Y905</f>
        <v>0</v>
      </c>
      <c r="AA905" s="67">
        <f>N905+X905</f>
        <v>58052</v>
      </c>
      <c r="AB905" s="67">
        <f>+D905-N905-X905</f>
        <v>0</v>
      </c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  <c r="AT905" s="4"/>
    </row>
    <row r="906" spans="1:50" x14ac:dyDescent="0.25">
      <c r="A906" s="46"/>
      <c r="B906" s="26"/>
      <c r="C906" s="4" t="s">
        <v>183</v>
      </c>
      <c r="D906" s="68">
        <v>35111352.609999999</v>
      </c>
      <c r="E906" s="68"/>
      <c r="F906" s="68"/>
      <c r="G906" s="68"/>
      <c r="H906" s="67">
        <f>E906+F906</f>
        <v>0</v>
      </c>
      <c r="I906" s="68"/>
      <c r="J906" s="68"/>
      <c r="K906" s="68"/>
      <c r="L906" s="68"/>
      <c r="M906" s="68"/>
      <c r="N906" s="67">
        <f>H906+L906</f>
        <v>0</v>
      </c>
      <c r="O906" s="68"/>
      <c r="P906" s="68"/>
      <c r="Q906" s="68"/>
      <c r="R906" s="67">
        <f>O906+P906</f>
        <v>0</v>
      </c>
      <c r="S906" s="68"/>
      <c r="T906" s="68"/>
      <c r="U906" s="68"/>
      <c r="V906" s="68"/>
      <c r="W906" s="68"/>
      <c r="X906" s="67">
        <f>R906+V906</f>
        <v>0</v>
      </c>
      <c r="Y906" s="67">
        <f>R906+H906</f>
        <v>0</v>
      </c>
      <c r="Z906" s="67">
        <f>D906-Y906</f>
        <v>35111352.609999999</v>
      </c>
      <c r="AA906" s="67">
        <f>N906+X906</f>
        <v>0</v>
      </c>
      <c r="AB906" s="67">
        <f>+D906-N906-X906</f>
        <v>35111352.609999999</v>
      </c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</row>
    <row r="907" spans="1:50" x14ac:dyDescent="0.25">
      <c r="A907" s="46"/>
      <c r="B907" s="26"/>
      <c r="C907" s="4" t="s">
        <v>184</v>
      </c>
      <c r="D907" s="68">
        <v>48968.08</v>
      </c>
      <c r="E907" s="68"/>
      <c r="F907" s="68"/>
      <c r="G907" s="68"/>
      <c r="H907" s="67">
        <f>E907+F907</f>
        <v>0</v>
      </c>
      <c r="I907" s="68"/>
      <c r="J907" s="68"/>
      <c r="K907" s="68"/>
      <c r="L907" s="68"/>
      <c r="M907" s="68"/>
      <c r="N907" s="67">
        <f>H907+L907</f>
        <v>0</v>
      </c>
      <c r="O907" s="68"/>
      <c r="P907" s="68"/>
      <c r="Q907" s="68"/>
      <c r="R907" s="67">
        <f>O907+P907</f>
        <v>0</v>
      </c>
      <c r="S907" s="68"/>
      <c r="T907" s="68"/>
      <c r="U907" s="68"/>
      <c r="V907" s="68"/>
      <c r="W907" s="68"/>
      <c r="X907" s="67">
        <f>R907+V907</f>
        <v>0</v>
      </c>
      <c r="Y907" s="67">
        <f>R907+H907</f>
        <v>0</v>
      </c>
      <c r="Z907" s="67">
        <f>D907-Y907</f>
        <v>48968.08</v>
      </c>
      <c r="AA907" s="67">
        <f>N907+X907</f>
        <v>0</v>
      </c>
      <c r="AB907" s="67">
        <f>+D907-N907-X907</f>
        <v>48968.08</v>
      </c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</row>
    <row r="908" spans="1:50" x14ac:dyDescent="0.25">
      <c r="A908" s="46"/>
      <c r="B908" s="26"/>
      <c r="C908" s="4"/>
      <c r="D908" s="70" t="s">
        <v>40</v>
      </c>
      <c r="E908" s="70" t="s">
        <v>40</v>
      </c>
      <c r="F908" s="70" t="s">
        <v>40</v>
      </c>
      <c r="G908" s="70"/>
      <c r="H908" s="70" t="s">
        <v>40</v>
      </c>
      <c r="I908" s="70" t="s">
        <v>40</v>
      </c>
      <c r="J908" s="70" t="s">
        <v>40</v>
      </c>
      <c r="K908" s="70" t="s">
        <v>40</v>
      </c>
      <c r="L908" s="70" t="s">
        <v>40</v>
      </c>
      <c r="M908" s="70"/>
      <c r="N908" s="70" t="s">
        <v>40</v>
      </c>
      <c r="O908" s="70" t="s">
        <v>40</v>
      </c>
      <c r="P908" s="70" t="s">
        <v>40</v>
      </c>
      <c r="Q908" s="70"/>
      <c r="R908" s="70" t="s">
        <v>40</v>
      </c>
      <c r="S908" s="70" t="s">
        <v>40</v>
      </c>
      <c r="T908" s="70" t="s">
        <v>40</v>
      </c>
      <c r="U908" s="70" t="s">
        <v>40</v>
      </c>
      <c r="V908" s="70" t="s">
        <v>40</v>
      </c>
      <c r="W908" s="70"/>
      <c r="X908" s="70" t="s">
        <v>40</v>
      </c>
      <c r="Y908" s="70" t="s">
        <v>40</v>
      </c>
      <c r="Z908" s="70" t="s">
        <v>40</v>
      </c>
      <c r="AA908" s="70" t="s">
        <v>40</v>
      </c>
      <c r="AB908" s="70" t="s">
        <v>40</v>
      </c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</row>
    <row r="909" spans="1:50" x14ac:dyDescent="0.25">
      <c r="A909" s="46"/>
      <c r="B909" s="26"/>
      <c r="C909" s="4"/>
      <c r="D909" s="68">
        <f>SUM(D904:D907)</f>
        <v>35218372.689999998</v>
      </c>
      <c r="E909" s="68">
        <f t="shared" ref="E909:AB909" si="318">SUM(E904:E907)</f>
        <v>58052</v>
      </c>
      <c r="F909" s="68">
        <f t="shared" si="318"/>
        <v>0</v>
      </c>
      <c r="G909" s="68"/>
      <c r="H909" s="68">
        <f t="shared" si="318"/>
        <v>58052</v>
      </c>
      <c r="I909" s="68">
        <f t="shared" si="318"/>
        <v>0</v>
      </c>
      <c r="J909" s="68">
        <f t="shared" si="318"/>
        <v>0</v>
      </c>
      <c r="K909" s="68">
        <f t="shared" si="318"/>
        <v>0</v>
      </c>
      <c r="L909" s="68">
        <f t="shared" si="318"/>
        <v>0</v>
      </c>
      <c r="M909" s="68"/>
      <c r="N909" s="68">
        <f t="shared" si="318"/>
        <v>58052</v>
      </c>
      <c r="O909" s="68">
        <f t="shared" si="318"/>
        <v>0</v>
      </c>
      <c r="P909" s="68">
        <f t="shared" si="318"/>
        <v>0</v>
      </c>
      <c r="Q909" s="68"/>
      <c r="R909" s="68">
        <f t="shared" si="318"/>
        <v>0</v>
      </c>
      <c r="S909" s="68">
        <f t="shared" si="318"/>
        <v>0</v>
      </c>
      <c r="T909" s="68">
        <f t="shared" si="318"/>
        <v>0</v>
      </c>
      <c r="U909" s="68">
        <f t="shared" si="318"/>
        <v>0</v>
      </c>
      <c r="V909" s="68">
        <f t="shared" si="318"/>
        <v>0</v>
      </c>
      <c r="W909" s="68"/>
      <c r="X909" s="68">
        <f t="shared" si="318"/>
        <v>0</v>
      </c>
      <c r="Y909" s="68">
        <f t="shared" si="318"/>
        <v>58052</v>
      </c>
      <c r="Z909" s="68">
        <f t="shared" si="318"/>
        <v>35160320.689999998</v>
      </c>
      <c r="AA909" s="68">
        <f t="shared" si="318"/>
        <v>58052</v>
      </c>
      <c r="AB909" s="68">
        <f t="shared" si="318"/>
        <v>35160320.689999998</v>
      </c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</row>
    <row r="910" spans="1:50" ht="16.5" customHeight="1" x14ac:dyDescent="0.25">
      <c r="A910" s="46"/>
      <c r="B910" s="26"/>
      <c r="C910" s="4"/>
      <c r="D910" s="70" t="s">
        <v>40</v>
      </c>
      <c r="E910" s="70" t="s">
        <v>40</v>
      </c>
      <c r="F910" s="70" t="s">
        <v>40</v>
      </c>
      <c r="G910" s="70"/>
      <c r="H910" s="70" t="s">
        <v>40</v>
      </c>
      <c r="I910" s="70" t="s">
        <v>40</v>
      </c>
      <c r="J910" s="70" t="s">
        <v>40</v>
      </c>
      <c r="K910" s="70" t="s">
        <v>40</v>
      </c>
      <c r="L910" s="70" t="s">
        <v>40</v>
      </c>
      <c r="M910" s="70"/>
      <c r="N910" s="70" t="s">
        <v>40</v>
      </c>
      <c r="O910" s="70" t="s">
        <v>40</v>
      </c>
      <c r="P910" s="70" t="s">
        <v>40</v>
      </c>
      <c r="Q910" s="70"/>
      <c r="R910" s="70" t="s">
        <v>40</v>
      </c>
      <c r="S910" s="70" t="s">
        <v>40</v>
      </c>
      <c r="T910" s="70" t="s">
        <v>40</v>
      </c>
      <c r="U910" s="70" t="s">
        <v>40</v>
      </c>
      <c r="V910" s="70" t="s">
        <v>40</v>
      </c>
      <c r="W910" s="70"/>
      <c r="X910" s="70" t="s">
        <v>40</v>
      </c>
      <c r="Y910" s="70" t="s">
        <v>40</v>
      </c>
      <c r="Z910" s="70" t="s">
        <v>40</v>
      </c>
      <c r="AA910" s="70" t="s">
        <v>40</v>
      </c>
      <c r="AB910" s="70" t="s">
        <v>40</v>
      </c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  <c r="AS910" s="4"/>
    </row>
    <row r="911" spans="1:50" ht="19.5" x14ac:dyDescent="0.35">
      <c r="A911" s="46">
        <v>95</v>
      </c>
      <c r="B911" s="26" t="s">
        <v>225</v>
      </c>
      <c r="C911" s="2" t="s">
        <v>35</v>
      </c>
      <c r="D911" s="68">
        <v>26087548.93</v>
      </c>
      <c r="E911" s="68"/>
      <c r="F911" s="68"/>
      <c r="G911" s="68"/>
      <c r="H911" s="67">
        <f>E911+F911</f>
        <v>0</v>
      </c>
      <c r="I911" s="68"/>
      <c r="J911" s="68"/>
      <c r="K911" s="68"/>
      <c r="L911" s="68"/>
      <c r="M911" s="68"/>
      <c r="N911" s="67">
        <f>H911+L911</f>
        <v>0</v>
      </c>
      <c r="O911" s="68">
        <v>46483.85</v>
      </c>
      <c r="P911" s="68"/>
      <c r="Q911" s="91"/>
      <c r="R911" s="67">
        <f>O911+P911</f>
        <v>46483.85</v>
      </c>
      <c r="S911" s="68"/>
      <c r="T911" s="68"/>
      <c r="U911" s="68"/>
      <c r="V911" s="68"/>
      <c r="W911" s="68"/>
      <c r="X911" s="67">
        <f>R911+V911</f>
        <v>46483.85</v>
      </c>
      <c r="Y911" s="67">
        <f>R911+H911</f>
        <v>46483.85</v>
      </c>
      <c r="Z911" s="67">
        <f>D911-Y911</f>
        <v>26041065.079999998</v>
      </c>
      <c r="AA911" s="67">
        <f>N911+X911</f>
        <v>46483.85</v>
      </c>
      <c r="AB911" s="67">
        <f>+D911-N911-X911</f>
        <v>26041065.079999998</v>
      </c>
      <c r="AD911" s="94"/>
      <c r="AE911" s="94"/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</row>
    <row r="912" spans="1:50" x14ac:dyDescent="0.25">
      <c r="A912" s="46"/>
      <c r="B912" s="26"/>
      <c r="C912" s="4" t="s">
        <v>53</v>
      </c>
      <c r="D912" s="68">
        <v>23876225.25</v>
      </c>
      <c r="E912" s="68"/>
      <c r="F912" s="68"/>
      <c r="G912" s="68"/>
      <c r="H912" s="67">
        <f>E912+F912</f>
        <v>0</v>
      </c>
      <c r="I912" s="68"/>
      <c r="J912" s="68"/>
      <c r="K912" s="68"/>
      <c r="L912" s="68"/>
      <c r="M912" s="68"/>
      <c r="N912" s="67">
        <f>H912+L912</f>
        <v>0</v>
      </c>
      <c r="O912" s="68">
        <f>4805608.41+24758.89-11048.2</f>
        <v>4819319.0999999996</v>
      </c>
      <c r="P912" s="68"/>
      <c r="Q912" s="68"/>
      <c r="R912" s="67">
        <f>O912+P912</f>
        <v>4819319.0999999996</v>
      </c>
      <c r="S912" s="68"/>
      <c r="T912" s="68"/>
      <c r="U912" s="68"/>
      <c r="V912" s="68"/>
      <c r="W912" s="68"/>
      <c r="X912" s="67">
        <f>R912+V912</f>
        <v>4819319.0999999996</v>
      </c>
      <c r="Y912" s="67">
        <f>R912+H912</f>
        <v>4819319.0999999996</v>
      </c>
      <c r="Z912" s="67">
        <f>D912-Y912</f>
        <v>19056906.149999999</v>
      </c>
      <c r="AA912" s="67">
        <f>N912+X912</f>
        <v>4819319.0999999996</v>
      </c>
      <c r="AB912" s="67">
        <f>+D912-N912-X912</f>
        <v>19056906.149999999</v>
      </c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</row>
    <row r="913" spans="1:44" x14ac:dyDescent="0.25">
      <c r="A913" s="46"/>
      <c r="B913" s="26"/>
      <c r="C913" s="4" t="s">
        <v>54</v>
      </c>
      <c r="D913" s="68">
        <f>3568451.72+7131811.31</f>
        <v>10700263.029999999</v>
      </c>
      <c r="E913" s="68"/>
      <c r="F913" s="68"/>
      <c r="G913" s="68"/>
      <c r="H913" s="67">
        <f>E913+F913</f>
        <v>0</v>
      </c>
      <c r="I913" s="68"/>
      <c r="J913" s="68"/>
      <c r="K913" s="68"/>
      <c r="L913" s="68"/>
      <c r="M913" s="68"/>
      <c r="N913" s="67">
        <f>H913+L913</f>
        <v>0</v>
      </c>
      <c r="O913" s="68">
        <v>10700263.029999999</v>
      </c>
      <c r="P913" s="68"/>
      <c r="Q913" s="68"/>
      <c r="R913" s="67">
        <f>O913+P913</f>
        <v>10700263.029999999</v>
      </c>
      <c r="S913" s="68"/>
      <c r="T913" s="68"/>
      <c r="U913" s="68"/>
      <c r="V913" s="68"/>
      <c r="W913" s="68"/>
      <c r="X913" s="67">
        <f>R913+V913</f>
        <v>10700263.029999999</v>
      </c>
      <c r="Y913" s="67">
        <f>R913+H913</f>
        <v>10700263.029999999</v>
      </c>
      <c r="Z913" s="67">
        <f>D913-Y913</f>
        <v>0</v>
      </c>
      <c r="AA913" s="67">
        <f>N913+X913</f>
        <v>10700263.029999999</v>
      </c>
      <c r="AB913" s="67">
        <f>+D913-N913-X913</f>
        <v>0</v>
      </c>
      <c r="AD913" s="94"/>
      <c r="AE913" s="94"/>
      <c r="AF913" s="94"/>
      <c r="AG913" s="94"/>
      <c r="AH913" s="94"/>
      <c r="AI913" s="94"/>
      <c r="AJ913" s="94"/>
      <c r="AK913" s="94"/>
      <c r="AL913" s="94"/>
      <c r="AM913" s="94"/>
      <c r="AN913" s="94"/>
      <c r="AO913" s="94"/>
      <c r="AP913" s="94"/>
      <c r="AQ913" s="94"/>
    </row>
    <row r="914" spans="1:44" ht="15.75" customHeight="1" x14ac:dyDescent="0.25">
      <c r="A914" s="46"/>
      <c r="B914" s="26"/>
      <c r="C914" s="4"/>
      <c r="D914" s="70" t="s">
        <v>40</v>
      </c>
      <c r="E914" s="70" t="s">
        <v>40</v>
      </c>
      <c r="F914" s="70" t="s">
        <v>40</v>
      </c>
      <c r="G914" s="70"/>
      <c r="H914" s="70" t="s">
        <v>40</v>
      </c>
      <c r="I914" s="70" t="s">
        <v>40</v>
      </c>
      <c r="J914" s="70" t="s">
        <v>40</v>
      </c>
      <c r="K914" s="70" t="s">
        <v>40</v>
      </c>
      <c r="L914" s="70" t="s">
        <v>40</v>
      </c>
      <c r="M914" s="70"/>
      <c r="N914" s="70" t="s">
        <v>40</v>
      </c>
      <c r="O914" s="70" t="s">
        <v>40</v>
      </c>
      <c r="P914" s="70" t="s">
        <v>40</v>
      </c>
      <c r="Q914" s="70"/>
      <c r="R914" s="70" t="s">
        <v>40</v>
      </c>
      <c r="S914" s="70" t="s">
        <v>40</v>
      </c>
      <c r="T914" s="70" t="s">
        <v>40</v>
      </c>
      <c r="U914" s="70" t="s">
        <v>40</v>
      </c>
      <c r="V914" s="70" t="s">
        <v>40</v>
      </c>
      <c r="W914" s="70"/>
      <c r="X914" s="70" t="s">
        <v>40</v>
      </c>
      <c r="Y914" s="70" t="s">
        <v>40</v>
      </c>
      <c r="Z914" s="70" t="s">
        <v>40</v>
      </c>
      <c r="AA914" s="70" t="s">
        <v>40</v>
      </c>
      <c r="AB914" s="70" t="s">
        <v>40</v>
      </c>
      <c r="AD914" s="94"/>
      <c r="AE914" s="94"/>
      <c r="AF914" s="94"/>
      <c r="AG914" s="94"/>
      <c r="AH914" s="94"/>
      <c r="AI914" s="94"/>
      <c r="AJ914" s="94"/>
      <c r="AK914" s="94"/>
      <c r="AL914" s="94"/>
      <c r="AM914" s="94"/>
      <c r="AN914" s="94"/>
      <c r="AO914" s="94"/>
      <c r="AP914" s="94"/>
      <c r="AQ914" s="94"/>
    </row>
    <row r="915" spans="1:44" x14ac:dyDescent="0.25">
      <c r="A915" s="46"/>
      <c r="B915" s="26"/>
      <c r="C915" s="4"/>
      <c r="D915" s="68">
        <f>SUM(D911:D913)</f>
        <v>60664037.210000001</v>
      </c>
      <c r="E915" s="68">
        <f t="shared" ref="E915:AB915" si="319">SUM(E911:E913)</f>
        <v>0</v>
      </c>
      <c r="F915" s="68">
        <f t="shared" si="319"/>
        <v>0</v>
      </c>
      <c r="G915" s="68"/>
      <c r="H915" s="68">
        <f t="shared" si="319"/>
        <v>0</v>
      </c>
      <c r="I915" s="68">
        <f t="shared" si="319"/>
        <v>0</v>
      </c>
      <c r="J915" s="68">
        <f t="shared" si="319"/>
        <v>0</v>
      </c>
      <c r="K915" s="68">
        <f t="shared" si="319"/>
        <v>0</v>
      </c>
      <c r="L915" s="68">
        <f t="shared" si="319"/>
        <v>0</v>
      </c>
      <c r="M915" s="68"/>
      <c r="N915" s="68">
        <f>SUM(N911:N913)</f>
        <v>0</v>
      </c>
      <c r="O915" s="68">
        <f>SUM(O911:O913)</f>
        <v>15566065.979999999</v>
      </c>
      <c r="P915" s="68">
        <f>SUM(P911:P913)</f>
        <v>0</v>
      </c>
      <c r="Q915" s="68"/>
      <c r="R915" s="68">
        <f t="shared" si="319"/>
        <v>15566065.979999999</v>
      </c>
      <c r="S915" s="68">
        <f t="shared" si="319"/>
        <v>0</v>
      </c>
      <c r="T915" s="68">
        <f t="shared" si="319"/>
        <v>0</v>
      </c>
      <c r="U915" s="68">
        <f t="shared" si="319"/>
        <v>0</v>
      </c>
      <c r="V915" s="68">
        <f t="shared" si="319"/>
        <v>0</v>
      </c>
      <c r="W915" s="68"/>
      <c r="X915" s="68">
        <f t="shared" si="319"/>
        <v>15566065.979999999</v>
      </c>
      <c r="Y915" s="68">
        <f t="shared" si="319"/>
        <v>15566065.979999999</v>
      </c>
      <c r="Z915" s="68">
        <f t="shared" si="319"/>
        <v>45097971.229999997</v>
      </c>
      <c r="AA915" s="68">
        <f t="shared" si="319"/>
        <v>15566065.979999999</v>
      </c>
      <c r="AB915" s="68">
        <f t="shared" si="319"/>
        <v>45097971.229999997</v>
      </c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  <c r="AN915" s="94"/>
      <c r="AO915" s="94"/>
      <c r="AP915" s="94"/>
      <c r="AQ915" s="94"/>
    </row>
    <row r="916" spans="1:44" x14ac:dyDescent="0.25">
      <c r="A916" s="46"/>
      <c r="B916" s="26"/>
      <c r="C916" s="4"/>
      <c r="D916" s="70" t="s">
        <v>40</v>
      </c>
      <c r="E916" s="70" t="s">
        <v>40</v>
      </c>
      <c r="F916" s="70" t="s">
        <v>40</v>
      </c>
      <c r="G916" s="70"/>
      <c r="H916" s="70" t="s">
        <v>40</v>
      </c>
      <c r="I916" s="70" t="s">
        <v>40</v>
      </c>
      <c r="J916" s="70" t="s">
        <v>40</v>
      </c>
      <c r="K916" s="70" t="s">
        <v>40</v>
      </c>
      <c r="L916" s="70" t="s">
        <v>40</v>
      </c>
      <c r="M916" s="70"/>
      <c r="N916" s="70" t="s">
        <v>40</v>
      </c>
      <c r="O916" s="70" t="s">
        <v>40</v>
      </c>
      <c r="P916" s="70" t="s">
        <v>40</v>
      </c>
      <c r="Q916" s="70"/>
      <c r="R916" s="70" t="s">
        <v>40</v>
      </c>
      <c r="S916" s="70" t="s">
        <v>40</v>
      </c>
      <c r="T916" s="70" t="s">
        <v>40</v>
      </c>
      <c r="U916" s="70" t="s">
        <v>40</v>
      </c>
      <c r="V916" s="70" t="s">
        <v>40</v>
      </c>
      <c r="W916" s="70"/>
      <c r="X916" s="70" t="s">
        <v>40</v>
      </c>
      <c r="Y916" s="70" t="s">
        <v>40</v>
      </c>
      <c r="Z916" s="70" t="s">
        <v>40</v>
      </c>
      <c r="AA916" s="70" t="s">
        <v>40</v>
      </c>
      <c r="AB916" s="70" t="s">
        <v>40</v>
      </c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  <c r="AN916" s="94"/>
      <c r="AO916" s="94"/>
      <c r="AP916" s="94"/>
      <c r="AQ916" s="94"/>
    </row>
    <row r="917" spans="1:44" ht="19.5" x14ac:dyDescent="0.35">
      <c r="A917" s="46"/>
      <c r="B917" s="26"/>
      <c r="C917" s="4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2"/>
      <c r="P917" s="92"/>
      <c r="Q917" s="100"/>
      <c r="R917" s="55"/>
      <c r="S917" s="89"/>
      <c r="T917" s="89"/>
      <c r="U917" s="89"/>
      <c r="V917" s="92"/>
      <c r="W917" s="89"/>
      <c r="X917" s="70"/>
      <c r="Y917" s="70"/>
      <c r="Z917" s="70"/>
      <c r="AA917" s="70"/>
      <c r="AB917" s="70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  <c r="AN917" s="94"/>
      <c r="AO917" s="94"/>
      <c r="AP917" s="94"/>
      <c r="AQ917" s="94"/>
    </row>
    <row r="918" spans="1:44" x14ac:dyDescent="0.25">
      <c r="A918" s="46">
        <v>96</v>
      </c>
      <c r="B918" s="26" t="s">
        <v>226</v>
      </c>
      <c r="C918" s="2" t="s">
        <v>35</v>
      </c>
      <c r="D918" s="68">
        <v>0</v>
      </c>
      <c r="E918" s="68"/>
      <c r="F918" s="68"/>
      <c r="G918" s="68"/>
      <c r="H918" s="67">
        <f t="shared" ref="H918:H923" si="320">E918+F918</f>
        <v>0</v>
      </c>
      <c r="I918" s="68"/>
      <c r="J918" s="68"/>
      <c r="K918" s="68"/>
      <c r="L918" s="68"/>
      <c r="M918" s="68"/>
      <c r="N918" s="67">
        <f t="shared" ref="N918:N923" si="321">H918+L918</f>
        <v>0</v>
      </c>
      <c r="O918" s="68"/>
      <c r="P918" s="68"/>
      <c r="Q918" s="68"/>
      <c r="R918" s="67">
        <f t="shared" ref="R918:R923" si="322">O918+P918</f>
        <v>0</v>
      </c>
      <c r="S918" s="68"/>
      <c r="T918" s="68"/>
      <c r="U918" s="68"/>
      <c r="V918" s="68"/>
      <c r="W918" s="68"/>
      <c r="X918" s="67">
        <f t="shared" ref="X918:X923" si="323">R918+V918</f>
        <v>0</v>
      </c>
      <c r="Y918" s="67">
        <f t="shared" ref="Y918:Y923" si="324">R918+H918</f>
        <v>0</v>
      </c>
      <c r="Z918" s="67">
        <f t="shared" ref="Z918:Z923" si="325">D918-Y918</f>
        <v>0</v>
      </c>
      <c r="AA918" s="67">
        <f t="shared" ref="AA918:AA923" si="326">N918+X918</f>
        <v>0</v>
      </c>
      <c r="AB918" s="67">
        <f t="shared" ref="AB918:AB923" si="327">+D918-N918-X918</f>
        <v>0</v>
      </c>
      <c r="AD918" s="94"/>
      <c r="AE918" s="94"/>
      <c r="AF918" s="94"/>
      <c r="AG918" s="94"/>
      <c r="AH918" s="94"/>
      <c r="AI918" s="94"/>
      <c r="AJ918" s="94"/>
      <c r="AK918" s="94"/>
      <c r="AL918" s="94"/>
      <c r="AM918" s="94"/>
      <c r="AN918" s="94"/>
      <c r="AO918" s="94"/>
      <c r="AP918" s="94"/>
      <c r="AQ918" s="94"/>
      <c r="AR918" s="4"/>
    </row>
    <row r="919" spans="1:44" x14ac:dyDescent="0.25">
      <c r="A919" s="46"/>
      <c r="B919" s="26"/>
      <c r="C919" s="4" t="s">
        <v>36</v>
      </c>
      <c r="D919" s="68">
        <v>1810031</v>
      </c>
      <c r="E919" s="68">
        <v>1810031</v>
      </c>
      <c r="F919" s="68"/>
      <c r="G919" s="68"/>
      <c r="H919" s="67">
        <f t="shared" si="320"/>
        <v>1810031</v>
      </c>
      <c r="I919" s="68"/>
      <c r="J919" s="68"/>
      <c r="K919" s="68"/>
      <c r="L919" s="68"/>
      <c r="M919" s="68"/>
      <c r="N919" s="67">
        <f t="shared" si="321"/>
        <v>1810031</v>
      </c>
      <c r="O919" s="68"/>
      <c r="P919" s="68"/>
      <c r="Q919" s="68"/>
      <c r="R919" s="67">
        <f t="shared" si="322"/>
        <v>0</v>
      </c>
      <c r="S919" s="68"/>
      <c r="T919" s="68"/>
      <c r="U919" s="68"/>
      <c r="V919" s="68"/>
      <c r="W919" s="68"/>
      <c r="X919" s="67">
        <f t="shared" si="323"/>
        <v>0</v>
      </c>
      <c r="Y919" s="67">
        <f t="shared" si="324"/>
        <v>1810031</v>
      </c>
      <c r="Z919" s="67">
        <f t="shared" si="325"/>
        <v>0</v>
      </c>
      <c r="AA919" s="67">
        <f t="shared" si="326"/>
        <v>1810031</v>
      </c>
      <c r="AB919" s="67">
        <f t="shared" si="327"/>
        <v>0</v>
      </c>
      <c r="AD919" s="94"/>
      <c r="AE919" s="94"/>
      <c r="AF919" s="94"/>
      <c r="AG919" s="94"/>
      <c r="AH919" s="94"/>
      <c r="AI919" s="94"/>
      <c r="AJ919" s="94"/>
      <c r="AK919" s="94"/>
      <c r="AL919" s="94"/>
      <c r="AM919" s="94"/>
      <c r="AN919" s="94"/>
      <c r="AO919" s="94"/>
      <c r="AP919" s="94"/>
      <c r="AQ919" s="94"/>
    </row>
    <row r="920" spans="1:44" x14ac:dyDescent="0.25">
      <c r="A920" s="46"/>
      <c r="B920" s="26"/>
      <c r="C920" s="4" t="s">
        <v>208</v>
      </c>
      <c r="D920" s="68">
        <v>507482.34</v>
      </c>
      <c r="E920" s="68"/>
      <c r="F920" s="68"/>
      <c r="G920" s="68"/>
      <c r="H920" s="67">
        <f t="shared" si="320"/>
        <v>0</v>
      </c>
      <c r="I920" s="68"/>
      <c r="J920" s="68"/>
      <c r="K920" s="68"/>
      <c r="L920" s="68"/>
      <c r="M920" s="68"/>
      <c r="N920" s="67">
        <f t="shared" si="321"/>
        <v>0</v>
      </c>
      <c r="O920" s="68"/>
      <c r="P920" s="68"/>
      <c r="Q920" s="68"/>
      <c r="R920" s="67">
        <f t="shared" si="322"/>
        <v>0</v>
      </c>
      <c r="S920" s="68"/>
      <c r="T920" s="68"/>
      <c r="U920" s="68"/>
      <c r="V920" s="68"/>
      <c r="W920" s="68"/>
      <c r="X920" s="67">
        <f t="shared" si="323"/>
        <v>0</v>
      </c>
      <c r="Y920" s="67">
        <f t="shared" si="324"/>
        <v>0</v>
      </c>
      <c r="Z920" s="67">
        <f t="shared" si="325"/>
        <v>507482.34</v>
      </c>
      <c r="AA920" s="67">
        <f t="shared" si="326"/>
        <v>0</v>
      </c>
      <c r="AB920" s="67">
        <f t="shared" si="327"/>
        <v>507482.34</v>
      </c>
      <c r="AD920" s="94"/>
      <c r="AE920" s="94"/>
      <c r="AF920" s="94"/>
      <c r="AG920" s="94"/>
      <c r="AH920" s="94"/>
      <c r="AI920" s="94"/>
      <c r="AJ920" s="94"/>
      <c r="AK920" s="94"/>
      <c r="AL920" s="94"/>
      <c r="AM920" s="94"/>
      <c r="AN920" s="94"/>
      <c r="AO920" s="94"/>
      <c r="AP920" s="94"/>
      <c r="AQ920" s="94"/>
    </row>
    <row r="921" spans="1:44" x14ac:dyDescent="0.25">
      <c r="A921" s="46"/>
      <c r="B921" s="26"/>
      <c r="C921" s="4" t="s">
        <v>183</v>
      </c>
      <c r="D921" s="68">
        <f>2611558.27+249850-181752.55-1396051.56</f>
        <v>1283604.1600000001</v>
      </c>
      <c r="E921" s="68"/>
      <c r="F921" s="68"/>
      <c r="G921" s="68"/>
      <c r="H921" s="67">
        <f t="shared" si="320"/>
        <v>0</v>
      </c>
      <c r="I921" s="68"/>
      <c r="J921" s="68"/>
      <c r="K921" s="68"/>
      <c r="L921" s="68"/>
      <c r="M921" s="68"/>
      <c r="N921" s="67">
        <f t="shared" si="321"/>
        <v>0</v>
      </c>
      <c r="O921" s="68">
        <f>249850+40778.5</f>
        <v>290628.5</v>
      </c>
      <c r="P921" s="68"/>
      <c r="Q921" s="68"/>
      <c r="R921" s="67">
        <f t="shared" si="322"/>
        <v>290628.5</v>
      </c>
      <c r="S921" s="68"/>
      <c r="T921" s="68"/>
      <c r="U921" s="68"/>
      <c r="V921" s="68"/>
      <c r="W921" s="68"/>
      <c r="X921" s="67">
        <f t="shared" si="323"/>
        <v>290628.5</v>
      </c>
      <c r="Y921" s="67">
        <f t="shared" si="324"/>
        <v>290628.5</v>
      </c>
      <c r="Z921" s="67">
        <f t="shared" si="325"/>
        <v>992975.66000000015</v>
      </c>
      <c r="AA921" s="67">
        <f t="shared" si="326"/>
        <v>290628.5</v>
      </c>
      <c r="AB921" s="67">
        <f t="shared" si="327"/>
        <v>992975.66000000015</v>
      </c>
      <c r="AD921" s="94"/>
      <c r="AE921" s="94"/>
      <c r="AF921" s="94"/>
      <c r="AG921" s="94"/>
      <c r="AH921" s="94"/>
      <c r="AI921" s="94"/>
      <c r="AJ921" s="94"/>
      <c r="AK921" s="94"/>
      <c r="AL921" s="94"/>
      <c r="AM921" s="94"/>
      <c r="AN921" s="94"/>
      <c r="AO921" s="94"/>
      <c r="AP921" s="94"/>
      <c r="AQ921" s="94"/>
    </row>
    <row r="922" spans="1:44" x14ac:dyDescent="0.25">
      <c r="A922" s="46"/>
      <c r="B922" s="26"/>
      <c r="C922" s="4" t="s">
        <v>38</v>
      </c>
      <c r="D922" s="68">
        <f>492517.66-374163.86+1396051.56</f>
        <v>1514405.36</v>
      </c>
      <c r="E922" s="68"/>
      <c r="F922" s="68"/>
      <c r="G922" s="68"/>
      <c r="H922" s="67">
        <f t="shared" si="320"/>
        <v>0</v>
      </c>
      <c r="I922" s="68"/>
      <c r="J922" s="68"/>
      <c r="K922" s="68"/>
      <c r="L922" s="68"/>
      <c r="M922" s="68"/>
      <c r="N922" s="67">
        <f t="shared" si="321"/>
        <v>0</v>
      </c>
      <c r="O922" s="68">
        <f>843176.8+608213.52+63015.04</f>
        <v>1514405.36</v>
      </c>
      <c r="P922" s="68"/>
      <c r="Q922" s="68"/>
      <c r="R922" s="67">
        <f t="shared" si="322"/>
        <v>1514405.36</v>
      </c>
      <c r="S922" s="68"/>
      <c r="T922" s="68"/>
      <c r="U922" s="68"/>
      <c r="V922" s="68"/>
      <c r="W922" s="68"/>
      <c r="X922" s="67">
        <f t="shared" si="323"/>
        <v>1514405.36</v>
      </c>
      <c r="Y922" s="67">
        <f t="shared" si="324"/>
        <v>1514405.36</v>
      </c>
      <c r="Z922" s="67">
        <f t="shared" si="325"/>
        <v>0</v>
      </c>
      <c r="AA922" s="67">
        <f t="shared" si="326"/>
        <v>1514405.36</v>
      </c>
      <c r="AB922" s="67">
        <f t="shared" si="327"/>
        <v>0</v>
      </c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  <c r="AN922" s="94"/>
      <c r="AO922" s="94"/>
      <c r="AP922" s="94"/>
      <c r="AQ922" s="94"/>
    </row>
    <row r="923" spans="1:44" x14ac:dyDescent="0.25">
      <c r="A923" s="46"/>
      <c r="B923" s="26"/>
      <c r="C923" s="4" t="s">
        <v>184</v>
      </c>
      <c r="D923" s="68">
        <f>181752.55+374163.86</f>
        <v>555916.40999999992</v>
      </c>
      <c r="E923" s="68"/>
      <c r="F923" s="68"/>
      <c r="G923" s="68"/>
      <c r="H923" s="67">
        <f t="shared" si="320"/>
        <v>0</v>
      </c>
      <c r="I923" s="68"/>
      <c r="J923" s="68"/>
      <c r="K923" s="68"/>
      <c r="L923" s="68"/>
      <c r="M923" s="68"/>
      <c r="N923" s="67">
        <f t="shared" si="321"/>
        <v>0</v>
      </c>
      <c r="O923" s="68">
        <v>555916.41</v>
      </c>
      <c r="P923" s="68"/>
      <c r="Q923" s="68"/>
      <c r="R923" s="67">
        <f t="shared" si="322"/>
        <v>555916.41</v>
      </c>
      <c r="S923" s="68"/>
      <c r="T923" s="68"/>
      <c r="U923" s="68"/>
      <c r="V923" s="68"/>
      <c r="W923" s="68"/>
      <c r="X923" s="67">
        <f t="shared" si="323"/>
        <v>555916.41</v>
      </c>
      <c r="Y923" s="67">
        <f t="shared" si="324"/>
        <v>555916.41</v>
      </c>
      <c r="Z923" s="67">
        <f t="shared" si="325"/>
        <v>0</v>
      </c>
      <c r="AA923" s="67">
        <f t="shared" si="326"/>
        <v>555916.41</v>
      </c>
      <c r="AB923" s="67">
        <f t="shared" si="327"/>
        <v>0</v>
      </c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  <c r="AN923" s="94"/>
      <c r="AO923" s="94"/>
      <c r="AP923" s="94"/>
      <c r="AQ923" s="94"/>
    </row>
    <row r="924" spans="1:44" x14ac:dyDescent="0.25">
      <c r="A924" s="46"/>
      <c r="B924" s="26"/>
      <c r="C924" s="4"/>
      <c r="D924" s="70" t="s">
        <v>40</v>
      </c>
      <c r="E924" s="70" t="s">
        <v>40</v>
      </c>
      <c r="F924" s="70" t="s">
        <v>40</v>
      </c>
      <c r="G924" s="70"/>
      <c r="H924" s="70" t="s">
        <v>40</v>
      </c>
      <c r="I924" s="70" t="s">
        <v>40</v>
      </c>
      <c r="J924" s="70" t="s">
        <v>40</v>
      </c>
      <c r="K924" s="70" t="s">
        <v>40</v>
      </c>
      <c r="L924" s="70" t="s">
        <v>40</v>
      </c>
      <c r="M924" s="70"/>
      <c r="N924" s="70" t="s">
        <v>40</v>
      </c>
      <c r="O924" s="70" t="s">
        <v>40</v>
      </c>
      <c r="P924" s="70" t="s">
        <v>40</v>
      </c>
      <c r="Q924" s="70"/>
      <c r="R924" s="70" t="s">
        <v>40</v>
      </c>
      <c r="S924" s="70" t="s">
        <v>40</v>
      </c>
      <c r="T924" s="70" t="s">
        <v>40</v>
      </c>
      <c r="U924" s="70" t="s">
        <v>40</v>
      </c>
      <c r="V924" s="70" t="s">
        <v>40</v>
      </c>
      <c r="W924" s="70"/>
      <c r="X924" s="70" t="s">
        <v>40</v>
      </c>
      <c r="Y924" s="70" t="s">
        <v>40</v>
      </c>
      <c r="Z924" s="70" t="s">
        <v>40</v>
      </c>
      <c r="AA924" s="70" t="s">
        <v>40</v>
      </c>
      <c r="AB924" s="70" t="s">
        <v>40</v>
      </c>
      <c r="AD924" s="94"/>
      <c r="AE924" s="94"/>
      <c r="AF924" s="94"/>
      <c r="AG924" s="94"/>
      <c r="AH924" s="94"/>
      <c r="AI924" s="94"/>
      <c r="AJ924" s="94"/>
      <c r="AK924" s="94"/>
      <c r="AL924" s="94"/>
      <c r="AM924" s="94"/>
      <c r="AN924" s="94"/>
      <c r="AO924" s="94"/>
      <c r="AP924" s="94"/>
      <c r="AQ924" s="94"/>
    </row>
    <row r="925" spans="1:44" x14ac:dyDescent="0.25">
      <c r="A925" s="46"/>
      <c r="B925" s="26"/>
      <c r="C925" s="4"/>
      <c r="D925" s="68">
        <f>SUM(D918:D923)</f>
        <v>5671439.2700000005</v>
      </c>
      <c r="E925" s="68">
        <f t="shared" ref="E925:AB925" si="328">SUM(E918:E923)</f>
        <v>1810031</v>
      </c>
      <c r="F925" s="68">
        <f t="shared" si="328"/>
        <v>0</v>
      </c>
      <c r="G925" s="68"/>
      <c r="H925" s="68">
        <f t="shared" si="328"/>
        <v>1810031</v>
      </c>
      <c r="I925" s="68">
        <f t="shared" si="328"/>
        <v>0</v>
      </c>
      <c r="J925" s="68">
        <f t="shared" si="328"/>
        <v>0</v>
      </c>
      <c r="K925" s="68">
        <f t="shared" si="328"/>
        <v>0</v>
      </c>
      <c r="L925" s="68">
        <f t="shared" si="328"/>
        <v>0</v>
      </c>
      <c r="M925" s="68"/>
      <c r="N925" s="68">
        <f t="shared" si="328"/>
        <v>1810031</v>
      </c>
      <c r="O925" s="68">
        <f t="shared" si="328"/>
        <v>2360950.27</v>
      </c>
      <c r="P925" s="68">
        <f t="shared" si="328"/>
        <v>0</v>
      </c>
      <c r="Q925" s="68"/>
      <c r="R925" s="68">
        <f t="shared" si="328"/>
        <v>2360950.27</v>
      </c>
      <c r="S925" s="68">
        <f t="shared" si="328"/>
        <v>0</v>
      </c>
      <c r="T925" s="68">
        <f t="shared" si="328"/>
        <v>0</v>
      </c>
      <c r="U925" s="68">
        <f t="shared" si="328"/>
        <v>0</v>
      </c>
      <c r="V925" s="68">
        <f>SUM(V918:V923)</f>
        <v>0</v>
      </c>
      <c r="W925" s="68"/>
      <c r="X925" s="68">
        <f t="shared" si="328"/>
        <v>2360950.27</v>
      </c>
      <c r="Y925" s="68">
        <f t="shared" si="328"/>
        <v>4170981.2700000005</v>
      </c>
      <c r="Z925" s="68">
        <f t="shared" si="328"/>
        <v>1500458.0000000002</v>
      </c>
      <c r="AA925" s="68">
        <f t="shared" si="328"/>
        <v>4170981.2700000005</v>
      </c>
      <c r="AB925" s="68">
        <f t="shared" si="328"/>
        <v>1500458.0000000002</v>
      </c>
      <c r="AD925" s="94"/>
      <c r="AE925" s="94"/>
      <c r="AF925" s="94"/>
      <c r="AG925" s="94"/>
      <c r="AH925" s="94"/>
      <c r="AI925" s="94"/>
      <c r="AJ925" s="94"/>
      <c r="AK925" s="94"/>
      <c r="AL925" s="94"/>
      <c r="AM925" s="94"/>
      <c r="AN925" s="94"/>
      <c r="AO925" s="94"/>
      <c r="AP925" s="94"/>
      <c r="AQ925" s="94"/>
    </row>
    <row r="926" spans="1:44" ht="15.75" customHeight="1" x14ac:dyDescent="0.25">
      <c r="A926" s="46"/>
      <c r="B926" s="26"/>
      <c r="C926" s="4"/>
      <c r="D926" s="70" t="s">
        <v>40</v>
      </c>
      <c r="E926" s="70" t="s">
        <v>40</v>
      </c>
      <c r="F926" s="70" t="s">
        <v>40</v>
      </c>
      <c r="G926" s="70"/>
      <c r="H926" s="70" t="s">
        <v>40</v>
      </c>
      <c r="I926" s="70" t="s">
        <v>40</v>
      </c>
      <c r="J926" s="70" t="s">
        <v>40</v>
      </c>
      <c r="K926" s="70" t="s">
        <v>40</v>
      </c>
      <c r="L926" s="70" t="s">
        <v>40</v>
      </c>
      <c r="M926" s="70"/>
      <c r="N926" s="70" t="s">
        <v>40</v>
      </c>
      <c r="O926" s="70" t="s">
        <v>40</v>
      </c>
      <c r="P926" s="70" t="s">
        <v>40</v>
      </c>
      <c r="Q926" s="70"/>
      <c r="R926" s="70" t="s">
        <v>40</v>
      </c>
      <c r="S926" s="70" t="s">
        <v>40</v>
      </c>
      <c r="T926" s="70" t="s">
        <v>40</v>
      </c>
      <c r="U926" s="70" t="s">
        <v>40</v>
      </c>
      <c r="V926" s="70" t="s">
        <v>40</v>
      </c>
      <c r="W926" s="70"/>
      <c r="X926" s="70" t="s">
        <v>40</v>
      </c>
      <c r="Y926" s="70" t="s">
        <v>40</v>
      </c>
      <c r="Z926" s="70" t="s">
        <v>40</v>
      </c>
      <c r="AA926" s="70" t="s">
        <v>40</v>
      </c>
      <c r="AB926" s="70" t="s">
        <v>40</v>
      </c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</row>
    <row r="927" spans="1:44" x14ac:dyDescent="0.25">
      <c r="A927" s="46"/>
      <c r="B927" s="26"/>
      <c r="C927" s="4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61"/>
      <c r="R927" s="84"/>
      <c r="S927" s="61"/>
      <c r="T927" s="61"/>
      <c r="U927" s="61"/>
      <c r="V927" s="101"/>
      <c r="W927" s="61"/>
      <c r="X927" s="61"/>
      <c r="Y927" s="70"/>
      <c r="Z927" s="70"/>
      <c r="AA927" s="70"/>
      <c r="AB927" s="70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</row>
    <row r="928" spans="1:44" x14ac:dyDescent="0.25">
      <c r="A928" s="46"/>
      <c r="B928" s="26"/>
      <c r="C928" s="4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</row>
    <row r="929" spans="1:43" ht="15.75" customHeight="1" x14ac:dyDescent="0.25">
      <c r="A929" s="46">
        <v>97</v>
      </c>
      <c r="B929" s="26" t="s">
        <v>227</v>
      </c>
      <c r="C929" s="2" t="s">
        <v>35</v>
      </c>
      <c r="D929" s="68">
        <v>37561999.299999997</v>
      </c>
      <c r="E929" s="68"/>
      <c r="F929" s="68"/>
      <c r="G929" s="68"/>
      <c r="H929" s="67">
        <f>E929+F929</f>
        <v>0</v>
      </c>
      <c r="I929" s="68"/>
      <c r="J929" s="68"/>
      <c r="K929" s="68"/>
      <c r="L929" s="68"/>
      <c r="M929" s="68"/>
      <c r="N929" s="67">
        <f>H929+L929</f>
        <v>0</v>
      </c>
      <c r="O929" s="68"/>
      <c r="P929" s="68"/>
      <c r="Q929" s="68"/>
      <c r="R929" s="67">
        <f>O929+P929</f>
        <v>0</v>
      </c>
      <c r="S929" s="68"/>
      <c r="T929" s="68"/>
      <c r="U929" s="68"/>
      <c r="V929" s="68"/>
      <c r="W929" s="68"/>
      <c r="X929" s="67">
        <f>R929+V929</f>
        <v>0</v>
      </c>
      <c r="Y929" s="67">
        <f>R929+H929</f>
        <v>0</v>
      </c>
      <c r="Z929" s="67">
        <f>D929-Y929</f>
        <v>37561999.299999997</v>
      </c>
      <c r="AA929" s="67">
        <f>N929+X929</f>
        <v>0</v>
      </c>
      <c r="AB929" s="67">
        <f>+D929-N929-X929</f>
        <v>37561999.299999997</v>
      </c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</row>
    <row r="930" spans="1:43" x14ac:dyDescent="0.25">
      <c r="A930" s="46"/>
      <c r="B930" s="26"/>
      <c r="C930" s="4" t="s">
        <v>36</v>
      </c>
      <c r="D930" s="68">
        <v>21255</v>
      </c>
      <c r="E930" s="68">
        <v>21255</v>
      </c>
      <c r="F930" s="68"/>
      <c r="G930" s="68"/>
      <c r="H930" s="67">
        <f>E930+F930</f>
        <v>21255</v>
      </c>
      <c r="I930" s="68"/>
      <c r="J930" s="68"/>
      <c r="K930" s="68"/>
      <c r="L930" s="68"/>
      <c r="M930" s="68"/>
      <c r="N930" s="67">
        <f>H930+L930</f>
        <v>21255</v>
      </c>
      <c r="O930" s="68"/>
      <c r="P930" s="68"/>
      <c r="Q930" s="68"/>
      <c r="R930" s="67">
        <f>O930+P930</f>
        <v>0</v>
      </c>
      <c r="S930" s="68"/>
      <c r="T930" s="68"/>
      <c r="U930" s="68"/>
      <c r="V930" s="68"/>
      <c r="W930" s="68"/>
      <c r="X930" s="67">
        <f>R930+V930</f>
        <v>0</v>
      </c>
      <c r="Y930" s="67">
        <f>R930+H930</f>
        <v>21255</v>
      </c>
      <c r="Z930" s="67">
        <f>D930-Y930</f>
        <v>0</v>
      </c>
      <c r="AA930" s="67">
        <f>N930+X930</f>
        <v>21255</v>
      </c>
      <c r="AB930" s="67">
        <f>+D930-N930-X930</f>
        <v>0</v>
      </c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</row>
    <row r="931" spans="1:43" ht="15" customHeight="1" x14ac:dyDescent="0.25">
      <c r="A931" s="46"/>
      <c r="B931" s="26"/>
      <c r="C931" s="4" t="s">
        <v>53</v>
      </c>
      <c r="D931" s="68">
        <v>33904714.25</v>
      </c>
      <c r="E931" s="68"/>
      <c r="F931" s="68"/>
      <c r="G931" s="68"/>
      <c r="H931" s="67">
        <f>E931+F931</f>
        <v>0</v>
      </c>
      <c r="I931" s="68"/>
      <c r="J931" s="68"/>
      <c r="K931" s="68"/>
      <c r="L931" s="68"/>
      <c r="M931" s="68"/>
      <c r="N931" s="67">
        <f>H931+L931</f>
        <v>0</v>
      </c>
      <c r="O931" s="68">
        <v>5495751.5499999998</v>
      </c>
      <c r="P931" s="68"/>
      <c r="Q931" s="68"/>
      <c r="R931" s="67">
        <f>O931+P931</f>
        <v>5495751.5499999998</v>
      </c>
      <c r="S931" s="68"/>
      <c r="T931" s="68"/>
      <c r="U931" s="68"/>
      <c r="V931" s="68"/>
      <c r="W931" s="68"/>
      <c r="X931" s="67">
        <f>R931+V931</f>
        <v>5495751.5499999998</v>
      </c>
      <c r="Y931" s="67">
        <f>R931+H931</f>
        <v>5495751.5499999998</v>
      </c>
      <c r="Z931" s="67">
        <f>D931-Y931</f>
        <v>28408962.699999999</v>
      </c>
      <c r="AA931" s="67">
        <f>N931+X931</f>
        <v>5495751.5499999998</v>
      </c>
      <c r="AB931" s="67">
        <f>+D931-N931-X931</f>
        <v>28408962.699999999</v>
      </c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</row>
    <row r="932" spans="1:43" x14ac:dyDescent="0.25">
      <c r="A932" s="46"/>
      <c r="B932" s="26"/>
      <c r="C932" s="4" t="s">
        <v>54</v>
      </c>
      <c r="D932" s="68">
        <v>15796629.800000001</v>
      </c>
      <c r="E932" s="68"/>
      <c r="F932" s="68"/>
      <c r="G932" s="68"/>
      <c r="H932" s="67">
        <f>E932+F932</f>
        <v>0</v>
      </c>
      <c r="I932" s="68"/>
      <c r="J932" s="68"/>
      <c r="K932" s="68"/>
      <c r="L932" s="68"/>
      <c r="M932" s="68"/>
      <c r="N932" s="67">
        <f>H932+L932</f>
        <v>0</v>
      </c>
      <c r="O932" s="68">
        <v>15796629.800000001</v>
      </c>
      <c r="P932" s="68"/>
      <c r="Q932" s="68"/>
      <c r="R932" s="67">
        <f>O932+P932</f>
        <v>15796629.800000001</v>
      </c>
      <c r="S932" s="68"/>
      <c r="T932" s="68"/>
      <c r="U932" s="68"/>
      <c r="V932" s="68"/>
      <c r="W932" s="68"/>
      <c r="X932" s="67">
        <f>R932+V932</f>
        <v>15796629.800000001</v>
      </c>
      <c r="Y932" s="67">
        <f>R932+H932</f>
        <v>15796629.800000001</v>
      </c>
      <c r="Z932" s="67">
        <f>D932-Y932</f>
        <v>0</v>
      </c>
      <c r="AA932" s="67">
        <f>N932+X932</f>
        <v>15796629.800000001</v>
      </c>
      <c r="AB932" s="67">
        <f>+D932-N932-X932</f>
        <v>0</v>
      </c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</row>
    <row r="933" spans="1:43" x14ac:dyDescent="0.25">
      <c r="A933" s="46"/>
      <c r="B933" s="26"/>
      <c r="C933" s="4"/>
      <c r="D933" s="70" t="s">
        <v>40</v>
      </c>
      <c r="E933" s="70" t="s">
        <v>40</v>
      </c>
      <c r="F933" s="70" t="s">
        <v>40</v>
      </c>
      <c r="G933" s="70"/>
      <c r="H933" s="70" t="s">
        <v>40</v>
      </c>
      <c r="I933" s="70" t="s">
        <v>40</v>
      </c>
      <c r="J933" s="70" t="s">
        <v>40</v>
      </c>
      <c r="K933" s="70" t="s">
        <v>40</v>
      </c>
      <c r="L933" s="70" t="s">
        <v>40</v>
      </c>
      <c r="M933" s="70"/>
      <c r="N933" s="70" t="s">
        <v>40</v>
      </c>
      <c r="O933" s="70" t="s">
        <v>40</v>
      </c>
      <c r="P933" s="70" t="s">
        <v>40</v>
      </c>
      <c r="Q933" s="70"/>
      <c r="R933" s="70" t="s">
        <v>40</v>
      </c>
      <c r="S933" s="70" t="s">
        <v>40</v>
      </c>
      <c r="T933" s="70" t="s">
        <v>40</v>
      </c>
      <c r="U933" s="70" t="s">
        <v>40</v>
      </c>
      <c r="V933" s="70" t="s">
        <v>40</v>
      </c>
      <c r="W933" s="70"/>
      <c r="X933" s="70" t="s">
        <v>40</v>
      </c>
      <c r="Y933" s="70" t="s">
        <v>40</v>
      </c>
      <c r="Z933" s="70" t="s">
        <v>40</v>
      </c>
      <c r="AA933" s="70" t="s">
        <v>40</v>
      </c>
      <c r="AB933" s="70" t="s">
        <v>40</v>
      </c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</row>
    <row r="934" spans="1:43" x14ac:dyDescent="0.25">
      <c r="A934" s="46"/>
      <c r="B934" s="26"/>
      <c r="C934" s="4"/>
      <c r="D934" s="68">
        <f>SUM(D929:D932)</f>
        <v>87284598.349999994</v>
      </c>
      <c r="E934" s="68">
        <f t="shared" ref="E934:AB934" si="329">SUM(E929:E932)</f>
        <v>21255</v>
      </c>
      <c r="F934" s="68">
        <f t="shared" si="329"/>
        <v>0</v>
      </c>
      <c r="G934" s="68"/>
      <c r="H934" s="68">
        <f t="shared" si="329"/>
        <v>21255</v>
      </c>
      <c r="I934" s="68">
        <f t="shared" si="329"/>
        <v>0</v>
      </c>
      <c r="J934" s="68">
        <f t="shared" si="329"/>
        <v>0</v>
      </c>
      <c r="K934" s="68">
        <f t="shared" si="329"/>
        <v>0</v>
      </c>
      <c r="L934" s="68">
        <f t="shared" si="329"/>
        <v>0</v>
      </c>
      <c r="M934" s="68"/>
      <c r="N934" s="68">
        <f t="shared" si="329"/>
        <v>21255</v>
      </c>
      <c r="O934" s="68">
        <f t="shared" si="329"/>
        <v>21292381.350000001</v>
      </c>
      <c r="P934" s="68">
        <f t="shared" si="329"/>
        <v>0</v>
      </c>
      <c r="Q934" s="68"/>
      <c r="R934" s="68">
        <f t="shared" si="329"/>
        <v>21292381.350000001</v>
      </c>
      <c r="S934" s="68">
        <f t="shared" si="329"/>
        <v>0</v>
      </c>
      <c r="T934" s="68">
        <f t="shared" si="329"/>
        <v>0</v>
      </c>
      <c r="U934" s="68">
        <f t="shared" si="329"/>
        <v>0</v>
      </c>
      <c r="V934" s="68">
        <f t="shared" si="329"/>
        <v>0</v>
      </c>
      <c r="W934" s="68"/>
      <c r="X934" s="68">
        <f t="shared" si="329"/>
        <v>21292381.350000001</v>
      </c>
      <c r="Y934" s="68">
        <f t="shared" si="329"/>
        <v>21313636.350000001</v>
      </c>
      <c r="Z934" s="68">
        <f t="shared" si="329"/>
        <v>65970962</v>
      </c>
      <c r="AA934" s="68">
        <f t="shared" si="329"/>
        <v>21313636.350000001</v>
      </c>
      <c r="AB934" s="68">
        <f t="shared" si="329"/>
        <v>65970962</v>
      </c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</row>
    <row r="935" spans="1:43" ht="15.75" customHeight="1" x14ac:dyDescent="0.25">
      <c r="A935" s="46"/>
      <c r="B935" s="26"/>
      <c r="C935" s="4"/>
      <c r="D935" s="70" t="s">
        <v>40</v>
      </c>
      <c r="E935" s="70" t="s">
        <v>40</v>
      </c>
      <c r="F935" s="70" t="s">
        <v>40</v>
      </c>
      <c r="G935" s="70"/>
      <c r="H935" s="70" t="s">
        <v>40</v>
      </c>
      <c r="I935" s="70" t="s">
        <v>40</v>
      </c>
      <c r="J935" s="70" t="s">
        <v>40</v>
      </c>
      <c r="K935" s="70" t="s">
        <v>40</v>
      </c>
      <c r="L935" s="70" t="s">
        <v>40</v>
      </c>
      <c r="M935" s="70"/>
      <c r="N935" s="70" t="s">
        <v>40</v>
      </c>
      <c r="O935" s="70" t="s">
        <v>40</v>
      </c>
      <c r="P935" s="70" t="s">
        <v>40</v>
      </c>
      <c r="Q935" s="70"/>
      <c r="R935" s="70" t="s">
        <v>40</v>
      </c>
      <c r="S935" s="70" t="s">
        <v>40</v>
      </c>
      <c r="T935" s="70" t="s">
        <v>40</v>
      </c>
      <c r="U935" s="70" t="s">
        <v>40</v>
      </c>
      <c r="V935" s="70" t="s">
        <v>40</v>
      </c>
      <c r="W935" s="70"/>
      <c r="X935" s="70" t="s">
        <v>40</v>
      </c>
      <c r="Y935" s="70" t="s">
        <v>40</v>
      </c>
      <c r="Z935" s="70" t="s">
        <v>40</v>
      </c>
      <c r="AA935" s="70" t="s">
        <v>40</v>
      </c>
      <c r="AB935" s="70" t="s">
        <v>40</v>
      </c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</row>
    <row r="936" spans="1:43" ht="19.5" x14ac:dyDescent="0.35">
      <c r="A936" s="46">
        <v>98</v>
      </c>
      <c r="B936" s="26" t="s">
        <v>228</v>
      </c>
      <c r="C936" s="2" t="s">
        <v>35</v>
      </c>
      <c r="D936" s="68">
        <f>1003801.83+134477.09</f>
        <v>1138278.92</v>
      </c>
      <c r="E936" s="68"/>
      <c r="F936" s="68"/>
      <c r="G936" s="68"/>
      <c r="H936" s="67">
        <f>E936+F936</f>
        <v>0</v>
      </c>
      <c r="I936" s="68"/>
      <c r="J936" s="68"/>
      <c r="K936" s="68"/>
      <c r="L936" s="68"/>
      <c r="M936" s="68"/>
      <c r="N936" s="67">
        <f>H936+L936</f>
        <v>0</v>
      </c>
      <c r="O936" s="68">
        <f>323959.05+791785.95+22506.32</f>
        <v>1138251.32</v>
      </c>
      <c r="P936" s="68"/>
      <c r="Q936" s="91"/>
      <c r="R936" s="67">
        <f>O936+P936</f>
        <v>1138251.32</v>
      </c>
      <c r="S936" s="68"/>
      <c r="T936" s="68"/>
      <c r="U936" s="68"/>
      <c r="V936" s="68"/>
      <c r="W936" s="68"/>
      <c r="X936" s="67">
        <f>R936+V936</f>
        <v>1138251.32</v>
      </c>
      <c r="Y936" s="67">
        <f t="shared" ref="Y936:Y941" si="330">R936+H936</f>
        <v>1138251.32</v>
      </c>
      <c r="Z936" s="67">
        <f t="shared" ref="Z936:Z941" si="331">D936-Y936</f>
        <v>27.599999999860302</v>
      </c>
      <c r="AA936" s="67">
        <f t="shared" ref="AA936:AA941" si="332">N936+X936</f>
        <v>1138251.32</v>
      </c>
      <c r="AB936" s="67">
        <f t="shared" ref="AB936:AB941" si="333">+D936-N936-X936</f>
        <v>27.599999999860302</v>
      </c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</row>
    <row r="937" spans="1:43" x14ac:dyDescent="0.25">
      <c r="A937" s="46"/>
      <c r="B937" s="26"/>
      <c r="C937" s="4" t="s">
        <v>183</v>
      </c>
      <c r="D937" s="68">
        <f>171125+8986021.57+171125</f>
        <v>9328271.5700000003</v>
      </c>
      <c r="E937" s="68"/>
      <c r="F937" s="68"/>
      <c r="G937" s="68"/>
      <c r="H937" s="67">
        <f>E937+F937</f>
        <v>0</v>
      </c>
      <c r="I937" s="68"/>
      <c r="J937" s="68"/>
      <c r="K937" s="68"/>
      <c r="L937" s="68"/>
      <c r="M937" s="68"/>
      <c r="N937" s="67">
        <f>H937+L937</f>
        <v>0</v>
      </c>
      <c r="O937" s="68">
        <f>265435.11+289335.99+8602375.47+171125-55483.31+351499</f>
        <v>9624287.2599999998</v>
      </c>
      <c r="P937" s="68">
        <v>872518.86</v>
      </c>
      <c r="Q937" s="68"/>
      <c r="R937" s="67">
        <f>O937+P937</f>
        <v>10496806.119999999</v>
      </c>
      <c r="S937" s="68"/>
      <c r="T937" s="68"/>
      <c r="U937" s="68"/>
      <c r="V937" s="68"/>
      <c r="W937" s="68"/>
      <c r="X937" s="67">
        <f>R937+V937</f>
        <v>10496806.119999999</v>
      </c>
      <c r="Y937" s="67">
        <f t="shared" si="330"/>
        <v>10496806.119999999</v>
      </c>
      <c r="Z937" s="67">
        <f t="shared" si="331"/>
        <v>-1168534.5499999989</v>
      </c>
      <c r="AA937" s="67">
        <f t="shared" si="332"/>
        <v>10496806.119999999</v>
      </c>
      <c r="AB937" s="67">
        <f t="shared" si="333"/>
        <v>-1168534.5499999989</v>
      </c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</row>
    <row r="938" spans="1:43" x14ac:dyDescent="0.25">
      <c r="A938" s="4"/>
      <c r="B938" s="4"/>
      <c r="C938" s="4" t="s">
        <v>302</v>
      </c>
      <c r="D938" s="55">
        <v>13901000</v>
      </c>
      <c r="E938" s="55"/>
      <c r="F938" s="55"/>
      <c r="G938" s="55"/>
      <c r="H938" s="55">
        <f>+E938+F938</f>
        <v>0</v>
      </c>
      <c r="I938" s="55"/>
      <c r="J938" s="55"/>
      <c r="K938" s="55"/>
      <c r="L938" s="55"/>
      <c r="M938" s="55"/>
      <c r="N938" s="55">
        <f>+H938+L938</f>
        <v>0</v>
      </c>
      <c r="O938" s="55"/>
      <c r="P938" s="55"/>
      <c r="Q938" s="55"/>
      <c r="R938" s="55">
        <f>+O938+P938</f>
        <v>0</v>
      </c>
      <c r="S938" s="55"/>
      <c r="T938" s="55"/>
      <c r="U938" s="55"/>
      <c r="V938" s="55"/>
      <c r="W938" s="55"/>
      <c r="X938" s="55">
        <f>+R938+V938</f>
        <v>0</v>
      </c>
      <c r="Y938" s="67">
        <f t="shared" si="330"/>
        <v>0</v>
      </c>
      <c r="Z938" s="67">
        <f t="shared" si="331"/>
        <v>13901000</v>
      </c>
      <c r="AA938" s="67">
        <f t="shared" si="332"/>
        <v>0</v>
      </c>
      <c r="AB938" s="67">
        <f t="shared" si="333"/>
        <v>13901000</v>
      </c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</row>
    <row r="939" spans="1:43" x14ac:dyDescent="0.25">
      <c r="C939" s="4" t="s">
        <v>38</v>
      </c>
      <c r="D939" s="55">
        <v>843176.8</v>
      </c>
      <c r="E939" s="55"/>
      <c r="F939" s="55"/>
      <c r="G939" s="55"/>
      <c r="H939" s="55">
        <f>+E939+F939</f>
        <v>0</v>
      </c>
      <c r="I939" s="55"/>
      <c r="J939" s="55"/>
      <c r="K939" s="55"/>
      <c r="L939" s="55"/>
      <c r="M939" s="55"/>
      <c r="N939" s="55">
        <f>+H939+L939</f>
        <v>0</v>
      </c>
      <c r="O939" s="55">
        <f>843176.8+1018444.57</f>
        <v>1861621.37</v>
      </c>
      <c r="P939" s="55"/>
      <c r="Q939" s="55"/>
      <c r="R939" s="55">
        <f>+O939+P939</f>
        <v>1861621.37</v>
      </c>
      <c r="S939" s="55"/>
      <c r="T939" s="55"/>
      <c r="U939" s="55"/>
      <c r="V939" s="55"/>
      <c r="W939" s="55"/>
      <c r="X939" s="55">
        <f>+R939+V939</f>
        <v>1861621.37</v>
      </c>
      <c r="Y939" s="67">
        <f t="shared" si="330"/>
        <v>1861621.37</v>
      </c>
      <c r="Z939" s="67">
        <f t="shared" si="331"/>
        <v>-1018444.5700000001</v>
      </c>
      <c r="AA939" s="67">
        <f t="shared" si="332"/>
        <v>1861621.37</v>
      </c>
      <c r="AB939" s="67">
        <f t="shared" si="333"/>
        <v>-1018444.5700000001</v>
      </c>
    </row>
    <row r="940" spans="1:43" x14ac:dyDescent="0.25">
      <c r="A940" s="46"/>
      <c r="B940" s="29"/>
      <c r="C940" s="54" t="s">
        <v>266</v>
      </c>
      <c r="D940" s="68">
        <v>10000000</v>
      </c>
      <c r="E940" s="68">
        <v>8339997.9199999999</v>
      </c>
      <c r="F940" s="68"/>
      <c r="G940" s="68"/>
      <c r="H940" s="67">
        <f>E940+F940</f>
        <v>8339997.9199999999</v>
      </c>
      <c r="I940" s="68"/>
      <c r="J940" s="68"/>
      <c r="K940" s="68"/>
      <c r="L940" s="68"/>
      <c r="M940" s="68"/>
      <c r="N940" s="67">
        <f>H940+L940</f>
        <v>8339997.9199999999</v>
      </c>
      <c r="O940" s="68"/>
      <c r="P940" s="68"/>
      <c r="Q940" s="68"/>
      <c r="R940" s="67">
        <f>O940+P940</f>
        <v>0</v>
      </c>
      <c r="S940" s="68"/>
      <c r="T940" s="68"/>
      <c r="U940" s="68"/>
      <c r="V940" s="68"/>
      <c r="W940" s="68"/>
      <c r="X940" s="67">
        <f>R940+V940</f>
        <v>0</v>
      </c>
      <c r="Y940" s="67">
        <f t="shared" si="330"/>
        <v>8339997.9199999999</v>
      </c>
      <c r="Z940" s="67">
        <f t="shared" si="331"/>
        <v>1660002.08</v>
      </c>
      <c r="AA940" s="67">
        <f t="shared" si="332"/>
        <v>8339997.9199999999</v>
      </c>
      <c r="AB940" s="67">
        <f t="shared" si="333"/>
        <v>1660002.08</v>
      </c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</row>
    <row r="941" spans="1:43" x14ac:dyDescent="0.25">
      <c r="A941" s="46"/>
      <c r="B941" s="26"/>
      <c r="C941" s="4" t="s">
        <v>242</v>
      </c>
      <c r="D941" s="68">
        <v>2165213.2400000002</v>
      </c>
      <c r="E941" s="68"/>
      <c r="F941" s="68"/>
      <c r="G941" s="68"/>
      <c r="H941" s="67">
        <f>E941+F941</f>
        <v>0</v>
      </c>
      <c r="I941" s="68"/>
      <c r="J941" s="68"/>
      <c r="K941" s="68"/>
      <c r="L941" s="68"/>
      <c r="M941" s="68"/>
      <c r="N941" s="67">
        <f>H941+L941</f>
        <v>0</v>
      </c>
      <c r="O941" s="68">
        <v>2165213.2400000002</v>
      </c>
      <c r="P941" s="68"/>
      <c r="Q941" s="68"/>
      <c r="R941" s="67">
        <f>O941+P941</f>
        <v>2165213.2400000002</v>
      </c>
      <c r="S941" s="68"/>
      <c r="T941" s="68"/>
      <c r="U941" s="68"/>
      <c r="V941" s="68"/>
      <c r="W941" s="68"/>
      <c r="X941" s="67">
        <f>R941+V941</f>
        <v>2165213.2400000002</v>
      </c>
      <c r="Y941" s="67">
        <f t="shared" si="330"/>
        <v>2165213.2400000002</v>
      </c>
      <c r="Z941" s="67">
        <f t="shared" si="331"/>
        <v>0</v>
      </c>
      <c r="AA941" s="67">
        <f t="shared" si="332"/>
        <v>2165213.2400000002</v>
      </c>
      <c r="AB941" s="67">
        <f t="shared" si="333"/>
        <v>0</v>
      </c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</row>
    <row r="942" spans="1:43" x14ac:dyDescent="0.25">
      <c r="A942" s="46"/>
      <c r="B942" s="26"/>
      <c r="C942" s="4"/>
      <c r="D942" s="70" t="s">
        <v>40</v>
      </c>
      <c r="E942" s="70" t="s">
        <v>40</v>
      </c>
      <c r="F942" s="70" t="s">
        <v>40</v>
      </c>
      <c r="G942" s="70"/>
      <c r="H942" s="70" t="s">
        <v>40</v>
      </c>
      <c r="I942" s="70" t="s">
        <v>40</v>
      </c>
      <c r="J942" s="70" t="s">
        <v>40</v>
      </c>
      <c r="K942" s="70" t="s">
        <v>40</v>
      </c>
      <c r="L942" s="70" t="s">
        <v>40</v>
      </c>
      <c r="M942" s="70"/>
      <c r="N942" s="70" t="s">
        <v>40</v>
      </c>
      <c r="O942" s="70" t="s">
        <v>40</v>
      </c>
      <c r="P942" s="70" t="s">
        <v>40</v>
      </c>
      <c r="Q942" s="70"/>
      <c r="R942" s="70" t="s">
        <v>40</v>
      </c>
      <c r="S942" s="70" t="s">
        <v>40</v>
      </c>
      <c r="T942" s="70" t="s">
        <v>40</v>
      </c>
      <c r="U942" s="70" t="s">
        <v>40</v>
      </c>
      <c r="V942" s="70" t="s">
        <v>40</v>
      </c>
      <c r="W942" s="70"/>
      <c r="X942" s="70" t="s">
        <v>40</v>
      </c>
      <c r="Y942" s="70" t="s">
        <v>40</v>
      </c>
      <c r="Z942" s="70" t="s">
        <v>40</v>
      </c>
      <c r="AA942" s="70" t="s">
        <v>40</v>
      </c>
      <c r="AB942" s="70" t="s">
        <v>40</v>
      </c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</row>
    <row r="943" spans="1:43" ht="15.75" customHeight="1" x14ac:dyDescent="0.25">
      <c r="A943" s="46"/>
      <c r="B943" s="26"/>
      <c r="C943" s="4"/>
      <c r="D943" s="68">
        <f>SUM(D936:D941)</f>
        <v>37375940.530000009</v>
      </c>
      <c r="E943" s="68">
        <f>SUM(E936:E941)</f>
        <v>8339997.9199999999</v>
      </c>
      <c r="F943" s="68">
        <f>SUM(F936:F941)</f>
        <v>0</v>
      </c>
      <c r="G943" s="68"/>
      <c r="H943" s="68">
        <f>SUM(H936:H941)</f>
        <v>8339997.9199999999</v>
      </c>
      <c r="I943" s="68">
        <f>SUM(I936:I941)</f>
        <v>0</v>
      </c>
      <c r="J943" s="68">
        <f>SUM(J936:J941)</f>
        <v>0</v>
      </c>
      <c r="K943" s="68">
        <f>SUM(K936:K941)</f>
        <v>0</v>
      </c>
      <c r="L943" s="68">
        <f>SUM(L936:L941)</f>
        <v>0</v>
      </c>
      <c r="M943" s="68"/>
      <c r="N943" s="68">
        <f>SUM(N936:N941)</f>
        <v>8339997.9199999999</v>
      </c>
      <c r="O943" s="68">
        <f>SUM(O936:O941)</f>
        <v>14789373.189999999</v>
      </c>
      <c r="P943" s="68">
        <f>SUM(P936:P941)</f>
        <v>872518.86</v>
      </c>
      <c r="Q943" s="68"/>
      <c r="R943" s="68">
        <f>SUM(R936:R941)</f>
        <v>15661892.049999999</v>
      </c>
      <c r="S943" s="68">
        <f>SUM(S936:S941)</f>
        <v>0</v>
      </c>
      <c r="T943" s="68">
        <f>SUM(T936:T941)</f>
        <v>0</v>
      </c>
      <c r="U943" s="68">
        <f>SUM(U936:U941)</f>
        <v>0</v>
      </c>
      <c r="V943" s="68">
        <f>SUM(V936:V941)</f>
        <v>0</v>
      </c>
      <c r="W943" s="68"/>
      <c r="X943" s="68">
        <f>SUM(X936:X941)</f>
        <v>15661892.049999999</v>
      </c>
      <c r="Y943" s="68">
        <f>SUM(Y936:Y941)</f>
        <v>24001889.969999999</v>
      </c>
      <c r="Z943" s="68">
        <f>SUM(Z936:Z941)</f>
        <v>13374050.560000001</v>
      </c>
      <c r="AA943" s="68">
        <f>SUM(AA936:AA941)</f>
        <v>24001889.969999999</v>
      </c>
      <c r="AB943" s="68">
        <f>SUM(AB936:AB941)</f>
        <v>13374050.560000001</v>
      </c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</row>
    <row r="944" spans="1:43" x14ac:dyDescent="0.25">
      <c r="A944" s="46"/>
      <c r="B944" s="26"/>
      <c r="C944" s="4"/>
      <c r="D944" s="70" t="s">
        <v>40</v>
      </c>
      <c r="E944" s="70" t="s">
        <v>40</v>
      </c>
      <c r="F944" s="70" t="s">
        <v>40</v>
      </c>
      <c r="G944" s="70"/>
      <c r="H944" s="70" t="s">
        <v>40</v>
      </c>
      <c r="I944" s="70" t="s">
        <v>40</v>
      </c>
      <c r="J944" s="70" t="s">
        <v>40</v>
      </c>
      <c r="K944" s="70" t="s">
        <v>40</v>
      </c>
      <c r="L944" s="70" t="s">
        <v>40</v>
      </c>
      <c r="M944" s="70"/>
      <c r="N944" s="70" t="s">
        <v>40</v>
      </c>
      <c r="O944" s="70" t="s">
        <v>40</v>
      </c>
      <c r="P944" s="70" t="s">
        <v>40</v>
      </c>
      <c r="Q944" s="70"/>
      <c r="R944" s="70" t="s">
        <v>40</v>
      </c>
      <c r="S944" s="70" t="s">
        <v>40</v>
      </c>
      <c r="T944" s="70" t="s">
        <v>40</v>
      </c>
      <c r="U944" s="70" t="s">
        <v>40</v>
      </c>
      <c r="V944" s="70" t="s">
        <v>40</v>
      </c>
      <c r="W944" s="70"/>
      <c r="X944" s="70" t="s">
        <v>40</v>
      </c>
      <c r="Y944" s="70" t="s">
        <v>40</v>
      </c>
      <c r="Z944" s="70" t="s">
        <v>40</v>
      </c>
      <c r="AA944" s="70" t="s">
        <v>40</v>
      </c>
      <c r="AB944" s="70" t="s">
        <v>40</v>
      </c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</row>
    <row r="945" spans="1:43" ht="15.75" customHeight="1" x14ac:dyDescent="0.25">
      <c r="A945" s="46"/>
      <c r="B945" s="26"/>
      <c r="C945" s="4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P945" s="104"/>
      <c r="Q945" s="55"/>
      <c r="R945" s="84"/>
      <c r="S945" s="61"/>
      <c r="T945" s="61"/>
      <c r="U945" s="61"/>
      <c r="V945" s="101"/>
      <c r="W945" s="61"/>
      <c r="X945" s="70"/>
      <c r="Y945" s="70"/>
      <c r="Z945" s="70"/>
      <c r="AA945" s="70"/>
      <c r="AB945" s="70"/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</row>
    <row r="946" spans="1:43" x14ac:dyDescent="0.25">
      <c r="A946" s="46"/>
      <c r="B946" s="26"/>
      <c r="C946" s="4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105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D946" s="94"/>
      <c r="AE946" s="94"/>
      <c r="AF946" s="94"/>
      <c r="AG946" s="94"/>
      <c r="AH946" s="94"/>
      <c r="AI946" s="94"/>
      <c r="AJ946" s="94"/>
      <c r="AK946" s="94"/>
      <c r="AL946" s="94"/>
      <c r="AM946" s="94"/>
      <c r="AN946" s="94"/>
      <c r="AO946" s="94"/>
      <c r="AP946" s="94"/>
      <c r="AQ946" s="94"/>
    </row>
    <row r="947" spans="1:43" ht="19.5" x14ac:dyDescent="0.35">
      <c r="A947" s="46">
        <v>99</v>
      </c>
      <c r="B947" s="26" t="s">
        <v>231</v>
      </c>
      <c r="C947" s="2" t="s">
        <v>35</v>
      </c>
      <c r="D947" s="68">
        <v>28153776.539999999</v>
      </c>
      <c r="E947" s="68">
        <v>6629855.6200000001</v>
      </c>
      <c r="F947" s="68"/>
      <c r="G947" s="68"/>
      <c r="H947" s="67">
        <f>E947+F947</f>
        <v>6629855.6200000001</v>
      </c>
      <c r="I947" s="68"/>
      <c r="J947" s="68"/>
      <c r="K947" s="68"/>
      <c r="L947" s="68"/>
      <c r="M947" s="68"/>
      <c r="N947" s="67">
        <f>H947+L947</f>
        <v>6629855.6200000001</v>
      </c>
      <c r="O947" s="68"/>
      <c r="P947" s="68"/>
      <c r="Q947" s="68"/>
      <c r="R947" s="67">
        <f>O947+P947</f>
        <v>0</v>
      </c>
      <c r="S947" s="68"/>
      <c r="T947" s="68"/>
      <c r="U947" s="68"/>
      <c r="V947" s="68"/>
      <c r="W947" s="91"/>
      <c r="X947" s="67">
        <f>R947+V947</f>
        <v>0</v>
      </c>
      <c r="Y947" s="67">
        <f>R947+H947</f>
        <v>6629855.6200000001</v>
      </c>
      <c r="Z947" s="67">
        <f>D947-Y947</f>
        <v>21523920.919999998</v>
      </c>
      <c r="AA947" s="67">
        <f>N947+X947</f>
        <v>6629855.6200000001</v>
      </c>
      <c r="AB947" s="67">
        <f>+D947-N947-X947</f>
        <v>21523920.919999998</v>
      </c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  <c r="AN947" s="94"/>
      <c r="AO947" s="94"/>
      <c r="AP947" s="94"/>
      <c r="AQ947" s="94"/>
    </row>
    <row r="948" spans="1:43" x14ac:dyDescent="0.25">
      <c r="A948" s="46"/>
      <c r="B948" s="26"/>
      <c r="C948" s="4" t="s">
        <v>36</v>
      </c>
      <c r="D948" s="68">
        <v>1523974</v>
      </c>
      <c r="E948" s="68">
        <v>1523974</v>
      </c>
      <c r="F948" s="68"/>
      <c r="G948" s="68"/>
      <c r="H948" s="67">
        <f>E948+F948</f>
        <v>1523974</v>
      </c>
      <c r="I948" s="68"/>
      <c r="J948" s="68"/>
      <c r="K948" s="68"/>
      <c r="L948" s="68"/>
      <c r="M948" s="68"/>
      <c r="N948" s="67">
        <f>H948+L948</f>
        <v>1523974</v>
      </c>
      <c r="O948" s="68"/>
      <c r="P948" s="68"/>
      <c r="Q948" s="68"/>
      <c r="R948" s="67">
        <f>O948+P948</f>
        <v>0</v>
      </c>
      <c r="S948" s="68"/>
      <c r="T948" s="68"/>
      <c r="U948" s="68"/>
      <c r="V948" s="68"/>
      <c r="W948" s="68"/>
      <c r="X948" s="67">
        <f>R948+V948</f>
        <v>0</v>
      </c>
      <c r="Y948" s="67">
        <f>R948+H948</f>
        <v>1523974</v>
      </c>
      <c r="Z948" s="67">
        <f>D948-Y948</f>
        <v>0</v>
      </c>
      <c r="AA948" s="67">
        <f>N948+X948</f>
        <v>1523974</v>
      </c>
      <c r="AB948" s="67">
        <f>+D948-N948-X948</f>
        <v>0</v>
      </c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</row>
    <row r="949" spans="1:43" ht="16.5" customHeight="1" x14ac:dyDescent="0.25">
      <c r="A949" s="46"/>
      <c r="B949" s="26"/>
      <c r="C949" s="4" t="s">
        <v>183</v>
      </c>
      <c r="D949" s="68">
        <v>13463938.210000001</v>
      </c>
      <c r="E949" s="68"/>
      <c r="F949" s="68"/>
      <c r="G949" s="68"/>
      <c r="H949" s="67">
        <f>E949+F949</f>
        <v>0</v>
      </c>
      <c r="I949" s="68"/>
      <c r="J949" s="68"/>
      <c r="K949" s="68"/>
      <c r="L949" s="68"/>
      <c r="M949" s="68"/>
      <c r="N949" s="67">
        <f>H949+L949</f>
        <v>0</v>
      </c>
      <c r="O949" s="68"/>
      <c r="P949" s="68"/>
      <c r="Q949" s="68"/>
      <c r="R949" s="67">
        <f>O949+P949</f>
        <v>0</v>
      </c>
      <c r="S949" s="68"/>
      <c r="T949" s="68"/>
      <c r="U949" s="68"/>
      <c r="V949" s="68"/>
      <c r="W949" s="68"/>
      <c r="X949" s="67">
        <f>R949+V949</f>
        <v>0</v>
      </c>
      <c r="Y949" s="67">
        <f>R949+H949</f>
        <v>0</v>
      </c>
      <c r="Z949" s="67">
        <f>D949-Y949</f>
        <v>13463938.210000001</v>
      </c>
      <c r="AA949" s="67">
        <f>N949+X949</f>
        <v>0</v>
      </c>
      <c r="AB949" s="67">
        <f>+D949-N949-X949</f>
        <v>13463938.210000001</v>
      </c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</row>
    <row r="950" spans="1:43" x14ac:dyDescent="0.25">
      <c r="A950" s="46"/>
      <c r="B950" s="26"/>
      <c r="C950" s="4" t="s">
        <v>38</v>
      </c>
      <c r="D950" s="68">
        <v>16202500</v>
      </c>
      <c r="E950" s="68"/>
      <c r="F950" s="68"/>
      <c r="G950" s="68"/>
      <c r="H950" s="67">
        <f>E950+F950</f>
        <v>0</v>
      </c>
      <c r="I950" s="68"/>
      <c r="J950" s="68"/>
      <c r="K950" s="68"/>
      <c r="L950" s="68"/>
      <c r="M950" s="68"/>
      <c r="N950" s="67">
        <f>H950+L950</f>
        <v>0</v>
      </c>
      <c r="O950" s="68"/>
      <c r="P950" s="68"/>
      <c r="Q950" s="68"/>
      <c r="R950" s="67">
        <f>O950+P950</f>
        <v>0</v>
      </c>
      <c r="S950" s="68"/>
      <c r="T950" s="68"/>
      <c r="U950" s="68"/>
      <c r="V950" s="68"/>
      <c r="W950" s="68"/>
      <c r="X950" s="67">
        <f>R950+V950</f>
        <v>0</v>
      </c>
      <c r="Y950" s="67">
        <f>R950+H950</f>
        <v>0</v>
      </c>
      <c r="Z950" s="67">
        <f>D950-Y950</f>
        <v>16202500</v>
      </c>
      <c r="AA950" s="67">
        <f>N950+X950</f>
        <v>0</v>
      </c>
      <c r="AB950" s="67">
        <f>+D950-N950-X950</f>
        <v>16202500</v>
      </c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</row>
    <row r="951" spans="1:43" ht="15.75" customHeight="1" x14ac:dyDescent="0.25">
      <c r="A951" s="46"/>
      <c r="B951" s="26"/>
      <c r="C951" s="4" t="s">
        <v>184</v>
      </c>
      <c r="D951" s="68">
        <v>1775602.58</v>
      </c>
      <c r="E951" s="68"/>
      <c r="F951" s="68"/>
      <c r="G951" s="68"/>
      <c r="H951" s="67">
        <f>E951+F951</f>
        <v>0</v>
      </c>
      <c r="I951" s="68"/>
      <c r="J951" s="68"/>
      <c r="K951" s="68"/>
      <c r="L951" s="68"/>
      <c r="M951" s="68"/>
      <c r="N951" s="67">
        <f>H951+L951</f>
        <v>0</v>
      </c>
      <c r="O951" s="68"/>
      <c r="P951" s="68"/>
      <c r="Q951" s="68"/>
      <c r="R951" s="67">
        <f>O951+P951</f>
        <v>0</v>
      </c>
      <c r="S951" s="68"/>
      <c r="T951" s="68"/>
      <c r="U951" s="68"/>
      <c r="V951" s="68"/>
      <c r="W951" s="68"/>
      <c r="X951" s="67">
        <f>R951+V951</f>
        <v>0</v>
      </c>
      <c r="Y951" s="67">
        <f>R951+H951</f>
        <v>0</v>
      </c>
      <c r="Z951" s="67">
        <f>D951-Y951</f>
        <v>1775602.58</v>
      </c>
      <c r="AA951" s="67">
        <f>N951+X951</f>
        <v>0</v>
      </c>
      <c r="AB951" s="67">
        <f>+D951-N951-X951</f>
        <v>1775602.58</v>
      </c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</row>
    <row r="952" spans="1:43" x14ac:dyDescent="0.25">
      <c r="A952" s="46"/>
      <c r="B952" s="26"/>
      <c r="C952" s="4"/>
      <c r="D952" s="70" t="s">
        <v>40</v>
      </c>
      <c r="E952" s="70" t="s">
        <v>40</v>
      </c>
      <c r="F952" s="70" t="s">
        <v>40</v>
      </c>
      <c r="G952" s="70"/>
      <c r="H952" s="70" t="s">
        <v>40</v>
      </c>
      <c r="I952" s="70" t="s">
        <v>40</v>
      </c>
      <c r="J952" s="70" t="s">
        <v>40</v>
      </c>
      <c r="K952" s="70" t="s">
        <v>40</v>
      </c>
      <c r="L952" s="70" t="s">
        <v>40</v>
      </c>
      <c r="M952" s="70"/>
      <c r="N952" s="70" t="s">
        <v>40</v>
      </c>
      <c r="O952" s="70" t="s">
        <v>40</v>
      </c>
      <c r="P952" s="70" t="s">
        <v>40</v>
      </c>
      <c r="Q952" s="70"/>
      <c r="R952" s="70" t="s">
        <v>40</v>
      </c>
      <c r="S952" s="70" t="s">
        <v>40</v>
      </c>
      <c r="T952" s="70" t="s">
        <v>40</v>
      </c>
      <c r="U952" s="70" t="s">
        <v>40</v>
      </c>
      <c r="V952" s="70" t="s">
        <v>40</v>
      </c>
      <c r="W952" s="70"/>
      <c r="X952" s="70" t="s">
        <v>40</v>
      </c>
      <c r="Y952" s="70" t="s">
        <v>40</v>
      </c>
      <c r="Z952" s="70" t="s">
        <v>40</v>
      </c>
      <c r="AA952" s="70" t="s">
        <v>40</v>
      </c>
      <c r="AB952" s="70" t="s">
        <v>40</v>
      </c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</row>
    <row r="953" spans="1:43" x14ac:dyDescent="0.25">
      <c r="A953" s="46"/>
      <c r="B953" s="26"/>
      <c r="C953" s="4"/>
      <c r="D953" s="68">
        <f>SUM(D947:D951)</f>
        <v>61119791.329999998</v>
      </c>
      <c r="E953" s="68">
        <f t="shared" ref="E953:AB953" si="334">SUM(E947:E951)</f>
        <v>8153829.6200000001</v>
      </c>
      <c r="F953" s="68">
        <f t="shared" si="334"/>
        <v>0</v>
      </c>
      <c r="G953" s="68"/>
      <c r="H953" s="68">
        <f t="shared" si="334"/>
        <v>8153829.6200000001</v>
      </c>
      <c r="I953" s="68">
        <f t="shared" si="334"/>
        <v>0</v>
      </c>
      <c r="J953" s="68">
        <f t="shared" si="334"/>
        <v>0</v>
      </c>
      <c r="K953" s="68">
        <f t="shared" si="334"/>
        <v>0</v>
      </c>
      <c r="L953" s="68">
        <f t="shared" si="334"/>
        <v>0</v>
      </c>
      <c r="M953" s="68"/>
      <c r="N953" s="68">
        <f t="shared" si="334"/>
        <v>8153829.6200000001</v>
      </c>
      <c r="O953" s="68">
        <f t="shared" si="334"/>
        <v>0</v>
      </c>
      <c r="P953" s="68">
        <f t="shared" si="334"/>
        <v>0</v>
      </c>
      <c r="Q953" s="68"/>
      <c r="R953" s="68">
        <f t="shared" si="334"/>
        <v>0</v>
      </c>
      <c r="S953" s="68">
        <f t="shared" si="334"/>
        <v>0</v>
      </c>
      <c r="T953" s="68">
        <f t="shared" si="334"/>
        <v>0</v>
      </c>
      <c r="U953" s="68">
        <f t="shared" si="334"/>
        <v>0</v>
      </c>
      <c r="V953" s="68">
        <f t="shared" si="334"/>
        <v>0</v>
      </c>
      <c r="W953" s="68"/>
      <c r="X953" s="68">
        <f t="shared" si="334"/>
        <v>0</v>
      </c>
      <c r="Y953" s="68">
        <f t="shared" si="334"/>
        <v>8153829.6200000001</v>
      </c>
      <c r="Z953" s="68">
        <f t="shared" si="334"/>
        <v>52965961.709999993</v>
      </c>
      <c r="AA953" s="68">
        <f t="shared" si="334"/>
        <v>8153829.6200000001</v>
      </c>
      <c r="AB953" s="68">
        <f t="shared" si="334"/>
        <v>52965961.709999993</v>
      </c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</row>
    <row r="954" spans="1:43" x14ac:dyDescent="0.25">
      <c r="A954" s="46"/>
      <c r="B954" s="4" t="s">
        <v>231</v>
      </c>
      <c r="C954" s="4"/>
      <c r="D954" s="70" t="s">
        <v>40</v>
      </c>
      <c r="E954" s="70" t="s">
        <v>40</v>
      </c>
      <c r="F954" s="70" t="s">
        <v>40</v>
      </c>
      <c r="G954" s="70"/>
      <c r="H954" s="70" t="s">
        <v>40</v>
      </c>
      <c r="I954" s="70" t="s">
        <v>40</v>
      </c>
      <c r="J954" s="70" t="s">
        <v>40</v>
      </c>
      <c r="K954" s="70" t="s">
        <v>40</v>
      </c>
      <c r="L954" s="70" t="s">
        <v>40</v>
      </c>
      <c r="M954" s="70"/>
      <c r="N954" s="70" t="s">
        <v>40</v>
      </c>
      <c r="O954" s="70" t="s">
        <v>40</v>
      </c>
      <c r="P954" s="70" t="s">
        <v>40</v>
      </c>
      <c r="Q954" s="70"/>
      <c r="R954" s="70" t="s">
        <v>40</v>
      </c>
      <c r="S954" s="70" t="s">
        <v>40</v>
      </c>
      <c r="T954" s="70" t="s">
        <v>40</v>
      </c>
      <c r="U954" s="70" t="s">
        <v>40</v>
      </c>
      <c r="V954" s="70" t="s">
        <v>40</v>
      </c>
      <c r="W954" s="70"/>
      <c r="X954" s="70" t="s">
        <v>40</v>
      </c>
      <c r="Y954" s="70" t="s">
        <v>40</v>
      </c>
      <c r="Z954" s="70" t="s">
        <v>40</v>
      </c>
      <c r="AA954" s="70" t="s">
        <v>40</v>
      </c>
      <c r="AB954" s="70" t="s">
        <v>40</v>
      </c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</row>
    <row r="955" spans="1:43" ht="20.25" thickBot="1" x14ac:dyDescent="0.4">
      <c r="A955" s="46"/>
      <c r="B955" s="112" t="s">
        <v>292</v>
      </c>
      <c r="C955" s="4"/>
      <c r="D955" s="113">
        <v>254832.25</v>
      </c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113">
        <v>254832.25</v>
      </c>
      <c r="P955" s="70"/>
      <c r="Q955" s="99"/>
      <c r="R955" s="113">
        <f>+O955+P955</f>
        <v>254832.25</v>
      </c>
      <c r="S955" s="70"/>
      <c r="T955" s="70"/>
      <c r="U955" s="70"/>
      <c r="W955" s="89"/>
      <c r="X955" s="89"/>
      <c r="Y955" s="113">
        <f>+O955</f>
        <v>254832.25</v>
      </c>
      <c r="Z955" s="104"/>
      <c r="AA955" s="70"/>
      <c r="AB955" s="70"/>
      <c r="AC955" s="49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</row>
    <row r="956" spans="1:43" ht="16.5" thickTop="1" x14ac:dyDescent="0.25">
      <c r="C956" s="4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6"/>
      <c r="W956" s="70"/>
      <c r="X956" s="70"/>
      <c r="Y956" s="70"/>
      <c r="Z956" s="70"/>
      <c r="AA956" s="70"/>
      <c r="AB956" s="70"/>
      <c r="AC956" s="49" t="s">
        <v>303</v>
      </c>
      <c r="AD956" s="94">
        <f>+D938+D964</f>
        <v>23901000</v>
      </c>
      <c r="AE956" s="94">
        <f>+E938+E964</f>
        <v>10000000</v>
      </c>
      <c r="AF956" s="94">
        <f>+F938+F964</f>
        <v>0</v>
      </c>
      <c r="AG956" s="94">
        <f>+AE956+AF956</f>
        <v>10000000</v>
      </c>
      <c r="AH956" s="94">
        <f>+L938+L964</f>
        <v>0</v>
      </c>
      <c r="AI956" s="94">
        <f>+AG956+AH956</f>
        <v>10000000</v>
      </c>
      <c r="AJ956" s="94">
        <f>+O938+O964</f>
        <v>0</v>
      </c>
      <c r="AK956" s="94">
        <f>+P938+P964</f>
        <v>0</v>
      </c>
      <c r="AL956" s="94">
        <f>+AJ956+AK956</f>
        <v>0</v>
      </c>
      <c r="AM956" s="94">
        <f>+V938+V964</f>
        <v>0</v>
      </c>
      <c r="AN956" s="94">
        <f>+AL956+AM956</f>
        <v>0</v>
      </c>
      <c r="AO956" s="94">
        <f>+AG956+AL956</f>
        <v>10000000</v>
      </c>
      <c r="AP956" s="94">
        <f>+AD956-AO956</f>
        <v>13901000</v>
      </c>
      <c r="AQ956" s="94">
        <f>+AD956-AI956-AN956</f>
        <v>13901000</v>
      </c>
    </row>
    <row r="957" spans="1:43" ht="36" customHeight="1" x14ac:dyDescent="0.25">
      <c r="A957" s="46">
        <v>100</v>
      </c>
      <c r="B957" s="26" t="s">
        <v>229</v>
      </c>
      <c r="C957" s="2" t="s">
        <v>35</v>
      </c>
      <c r="D957" s="68">
        <v>2651876.09</v>
      </c>
      <c r="E957" s="68"/>
      <c r="F957" s="68"/>
      <c r="G957" s="68"/>
      <c r="H957" s="67">
        <f>E957+F957</f>
        <v>0</v>
      </c>
      <c r="I957" s="68"/>
      <c r="J957" s="68"/>
      <c r="K957" s="68"/>
      <c r="L957" s="68"/>
      <c r="M957" s="68"/>
      <c r="N957" s="67">
        <f>H957+L957</f>
        <v>0</v>
      </c>
      <c r="O957" s="68">
        <v>197445.2</v>
      </c>
      <c r="P957" s="68"/>
      <c r="Q957" s="68"/>
      <c r="R957" s="67">
        <f>O957+P957</f>
        <v>197445.2</v>
      </c>
      <c r="S957" s="68"/>
      <c r="T957" s="68"/>
      <c r="U957" s="68"/>
      <c r="V957" s="68"/>
      <c r="W957" s="68"/>
      <c r="X957" s="67">
        <f>R957+V957</f>
        <v>197445.2</v>
      </c>
      <c r="Y957" s="67">
        <f>R957+H957</f>
        <v>197445.2</v>
      </c>
      <c r="Z957" s="67">
        <f>D957-Y957</f>
        <v>2454430.8899999997</v>
      </c>
      <c r="AA957" s="67">
        <f>N957+X957</f>
        <v>197445.2</v>
      </c>
      <c r="AB957" s="67">
        <f>+D957-N957-X957</f>
        <v>2454430.8899999997</v>
      </c>
      <c r="AC957" s="49" t="s">
        <v>47</v>
      </c>
      <c r="AD957" s="94">
        <f>D904+D911+D918+D929+D936+D947+D957+D963</f>
        <v>152645863.49000001</v>
      </c>
      <c r="AE957" s="94">
        <f>E904+E911+E918+E929+E936+E947+E957+E963</f>
        <v>6629855.6200000001</v>
      </c>
      <c r="AF957" s="94">
        <f>F904+F911+F918+F929+F936+F947+F957+F963</f>
        <v>0</v>
      </c>
      <c r="AG957" s="94">
        <f>+AE957+AF957</f>
        <v>6629855.6200000001</v>
      </c>
      <c r="AH957" s="94">
        <f>L904+L911+L918+L929+L936+L947+L957+L963</f>
        <v>0</v>
      </c>
      <c r="AI957" s="94">
        <f>+AG957+AH957</f>
        <v>6629855.6200000001</v>
      </c>
      <c r="AJ957" s="94">
        <f>O904+O911+O918+O929+O936+O947+O957+O963</f>
        <v>1789366.7400000002</v>
      </c>
      <c r="AK957" s="94">
        <f>P904+P911+P918+P929+P936+P947+P957+P963</f>
        <v>0</v>
      </c>
      <c r="AL957" s="94">
        <f>+AJ957+AK957</f>
        <v>1789366.7400000002</v>
      </c>
      <c r="AM957" s="94">
        <f>V904+V911+V918+V929+V936+V947+V957+V963</f>
        <v>0</v>
      </c>
      <c r="AN957" s="94">
        <f>+AL957+AM957</f>
        <v>1789366.7400000002</v>
      </c>
      <c r="AO957" s="94">
        <f>+AG957+AL957</f>
        <v>8419222.3599999994</v>
      </c>
      <c r="AP957" s="94">
        <f>+AD957-AO957</f>
        <v>144226641.13</v>
      </c>
      <c r="AQ957" s="94">
        <f>+AD957-AI957-AN957</f>
        <v>144226641.13</v>
      </c>
    </row>
    <row r="958" spans="1:43" x14ac:dyDescent="0.25">
      <c r="A958" s="46"/>
      <c r="B958" s="26"/>
      <c r="C958" s="4" t="s">
        <v>36</v>
      </c>
      <c r="D958" s="68">
        <v>147111</v>
      </c>
      <c r="E958" s="68">
        <v>147111</v>
      </c>
      <c r="F958" s="68"/>
      <c r="G958" s="68"/>
      <c r="H958" s="67">
        <f>E958+F958</f>
        <v>147111</v>
      </c>
      <c r="I958" s="68"/>
      <c r="J958" s="68"/>
      <c r="K958" s="68"/>
      <c r="L958" s="68"/>
      <c r="M958" s="68"/>
      <c r="N958" s="67">
        <f>H958+L958</f>
        <v>147111</v>
      </c>
      <c r="O958" s="68"/>
      <c r="P958" s="68"/>
      <c r="Q958" s="68"/>
      <c r="R958" s="67">
        <f>O958+P958</f>
        <v>0</v>
      </c>
      <c r="S958" s="68"/>
      <c r="T958" s="68"/>
      <c r="U958" s="68"/>
      <c r="V958" s="68"/>
      <c r="W958" s="68"/>
      <c r="X958" s="67">
        <f>R958+V958</f>
        <v>0</v>
      </c>
      <c r="Y958" s="67">
        <f>R958+H958</f>
        <v>147111</v>
      </c>
      <c r="Z958" s="67">
        <f>D958-Y958</f>
        <v>0</v>
      </c>
      <c r="AA958" s="67">
        <f>N958+X958</f>
        <v>147111</v>
      </c>
      <c r="AB958" s="67">
        <f>+D958-N958-X958</f>
        <v>0</v>
      </c>
      <c r="AC958" s="49" t="s">
        <v>36</v>
      </c>
      <c r="AD958" s="94">
        <f>D905+D919+D930+D948+D958+D965</f>
        <v>5354016</v>
      </c>
      <c r="AE958" s="94">
        <f>E905+E919+E930+E948+E958+E965</f>
        <v>5354016</v>
      </c>
      <c r="AF958" s="94">
        <f>F905+F919+F930+F948+F958+F965</f>
        <v>0</v>
      </c>
      <c r="AG958" s="94">
        <f t="shared" ref="AG958:AG963" si="335">+AE958+AF958</f>
        <v>5354016</v>
      </c>
      <c r="AH958" s="94">
        <f>L905+L919+L930+L948+L958+L965</f>
        <v>0</v>
      </c>
      <c r="AI958" s="94">
        <f t="shared" ref="AI958:AI963" si="336">+AG958+AH958</f>
        <v>5354016</v>
      </c>
      <c r="AJ958" s="94">
        <f>O905+O919+O930+O948+O958+O965</f>
        <v>0</v>
      </c>
      <c r="AK958" s="94">
        <f>P905+P919+P930+P948+P958+P965</f>
        <v>0</v>
      </c>
      <c r="AL958" s="94">
        <f t="shared" ref="AL958:AL963" si="337">+AJ958+AK958</f>
        <v>0</v>
      </c>
      <c r="AM958" s="94">
        <f>V905+V919+V930+V948+V958+V965</f>
        <v>0</v>
      </c>
      <c r="AN958" s="94">
        <f t="shared" ref="AN958:AN963" si="338">+AL958+AM958</f>
        <v>0</v>
      </c>
      <c r="AO958" s="94">
        <f t="shared" ref="AO958:AO963" si="339">+AG958+AL958</f>
        <v>5354016</v>
      </c>
      <c r="AP958" s="94">
        <f t="shared" ref="AP958:AP963" si="340">+AD958-AO958</f>
        <v>0</v>
      </c>
      <c r="AQ958" s="94">
        <f t="shared" ref="AQ958:AQ963" si="341">+AD958-AI958-AN958</f>
        <v>0</v>
      </c>
    </row>
    <row r="959" spans="1:43" x14ac:dyDescent="0.25">
      <c r="A959" s="46"/>
      <c r="B959" s="29" t="s">
        <v>269</v>
      </c>
      <c r="D959" s="68">
        <v>2360000</v>
      </c>
      <c r="E959" s="68">
        <v>2359759.62</v>
      </c>
      <c r="F959" s="68"/>
      <c r="G959" s="68"/>
      <c r="H959" s="67">
        <f>E959+F959</f>
        <v>2359759.62</v>
      </c>
      <c r="I959" s="68"/>
      <c r="J959" s="68"/>
      <c r="K959" s="68"/>
      <c r="L959" s="68"/>
      <c r="M959" s="68"/>
      <c r="N959" s="67">
        <f>H959+L959</f>
        <v>2359759.62</v>
      </c>
      <c r="O959" s="68"/>
      <c r="P959" s="68"/>
      <c r="Q959" s="68"/>
      <c r="R959" s="67">
        <f>O959+P959</f>
        <v>0</v>
      </c>
      <c r="S959" s="68"/>
      <c r="T959" s="68"/>
      <c r="U959" s="68"/>
      <c r="V959" s="68"/>
      <c r="W959" s="68"/>
      <c r="X959" s="67">
        <f>R959+V959</f>
        <v>0</v>
      </c>
      <c r="Y959" s="67">
        <f>R959+H959</f>
        <v>2359759.62</v>
      </c>
      <c r="Z959" s="67">
        <f>D959-Y959</f>
        <v>240.37999999988824</v>
      </c>
      <c r="AA959" s="67">
        <f>N959+X959</f>
        <v>2359759.62</v>
      </c>
      <c r="AB959" s="67">
        <f>+D959-N959-X959</f>
        <v>240.37999999988824</v>
      </c>
      <c r="AC959" s="49" t="s">
        <v>183</v>
      </c>
      <c r="AD959" s="94">
        <f>D906+D921+D937+D949</f>
        <v>59187166.549999997</v>
      </c>
      <c r="AE959" s="94">
        <f>E906+E921+E937+E949</f>
        <v>0</v>
      </c>
      <c r="AF959" s="94">
        <f>F906+F921+F937+F949</f>
        <v>0</v>
      </c>
      <c r="AG959" s="94">
        <f t="shared" si="335"/>
        <v>0</v>
      </c>
      <c r="AH959" s="94">
        <f>L906+L921+L937+L949</f>
        <v>0</v>
      </c>
      <c r="AI959" s="94">
        <f t="shared" si="336"/>
        <v>0</v>
      </c>
      <c r="AJ959" s="94">
        <f>O906+O921+O937+O949</f>
        <v>9914915.7599999998</v>
      </c>
      <c r="AK959" s="94">
        <f>P906+P921+P937+P949</f>
        <v>872518.86</v>
      </c>
      <c r="AL959" s="94">
        <f t="shared" si="337"/>
        <v>10787434.619999999</v>
      </c>
      <c r="AM959" s="94">
        <f>V906+V921+V937+V949</f>
        <v>0</v>
      </c>
      <c r="AN959" s="94">
        <f t="shared" si="338"/>
        <v>10787434.619999999</v>
      </c>
      <c r="AO959" s="94">
        <f t="shared" si="339"/>
        <v>10787434.619999999</v>
      </c>
      <c r="AP959" s="94">
        <f t="shared" si="340"/>
        <v>48399731.93</v>
      </c>
      <c r="AQ959" s="94">
        <f t="shared" si="341"/>
        <v>48399731.93</v>
      </c>
    </row>
    <row r="960" spans="1:43" ht="16.5" customHeight="1" x14ac:dyDescent="0.25">
      <c r="A960" s="46"/>
      <c r="B960" s="26"/>
      <c r="C960" s="4"/>
      <c r="D960" s="70" t="s">
        <v>40</v>
      </c>
      <c r="E960" s="70" t="s">
        <v>40</v>
      </c>
      <c r="F960" s="70" t="s">
        <v>40</v>
      </c>
      <c r="G960" s="70"/>
      <c r="H960" s="70" t="s">
        <v>40</v>
      </c>
      <c r="I960" s="70" t="s">
        <v>40</v>
      </c>
      <c r="J960" s="70" t="s">
        <v>40</v>
      </c>
      <c r="K960" s="70" t="s">
        <v>40</v>
      </c>
      <c r="L960" s="70" t="s">
        <v>40</v>
      </c>
      <c r="M960" s="70"/>
      <c r="N960" s="70" t="s">
        <v>40</v>
      </c>
      <c r="O960" s="70" t="s">
        <v>40</v>
      </c>
      <c r="P960" s="70" t="s">
        <v>40</v>
      </c>
      <c r="Q960" s="70"/>
      <c r="R960" s="70" t="s">
        <v>40</v>
      </c>
      <c r="S960" s="70" t="s">
        <v>40</v>
      </c>
      <c r="T960" s="70" t="s">
        <v>40</v>
      </c>
      <c r="U960" s="70" t="s">
        <v>40</v>
      </c>
      <c r="V960" s="70" t="s">
        <v>40</v>
      </c>
      <c r="W960" s="70"/>
      <c r="X960" s="70" t="s">
        <v>40</v>
      </c>
      <c r="Y960" s="70" t="s">
        <v>40</v>
      </c>
      <c r="Z960" s="70" t="s">
        <v>40</v>
      </c>
      <c r="AA960" s="70" t="s">
        <v>40</v>
      </c>
      <c r="AB960" s="70" t="s">
        <v>40</v>
      </c>
      <c r="AC960" s="49" t="s">
        <v>184</v>
      </c>
      <c r="AD960" s="94">
        <f>D907+D923+D951</f>
        <v>2380487.0699999998</v>
      </c>
      <c r="AE960" s="94">
        <f>E907+E923+E951</f>
        <v>0</v>
      </c>
      <c r="AF960" s="94">
        <f>F907+F923+F951</f>
        <v>0</v>
      </c>
      <c r="AG960" s="94">
        <f t="shared" si="335"/>
        <v>0</v>
      </c>
      <c r="AH960" s="94">
        <f>L907+L923+L951</f>
        <v>0</v>
      </c>
      <c r="AI960" s="94">
        <f t="shared" si="336"/>
        <v>0</v>
      </c>
      <c r="AJ960" s="94">
        <f>O907+O923+O951</f>
        <v>555916.41</v>
      </c>
      <c r="AK960" s="94">
        <f>P907+P923+P951</f>
        <v>0</v>
      </c>
      <c r="AL960" s="94">
        <f t="shared" si="337"/>
        <v>555916.41</v>
      </c>
      <c r="AM960" s="94">
        <f>V907+V923+V951</f>
        <v>0</v>
      </c>
      <c r="AN960" s="94">
        <f t="shared" si="338"/>
        <v>555916.41</v>
      </c>
      <c r="AO960" s="94">
        <f t="shared" si="339"/>
        <v>555916.41</v>
      </c>
      <c r="AP960" s="94">
        <f t="shared" si="340"/>
        <v>1824570.6599999997</v>
      </c>
      <c r="AQ960" s="94">
        <f t="shared" si="341"/>
        <v>1824570.6599999997</v>
      </c>
    </row>
    <row r="961" spans="1:43" ht="15.75" customHeight="1" x14ac:dyDescent="0.25">
      <c r="A961" s="46"/>
      <c r="B961" s="26"/>
      <c r="C961" s="4"/>
      <c r="D961" s="68">
        <f>SUM(D957:D959)</f>
        <v>5158987.09</v>
      </c>
      <c r="E961" s="68">
        <f t="shared" ref="E961:AB961" si="342">SUM(E957:E959)</f>
        <v>2506870.62</v>
      </c>
      <c r="F961" s="68">
        <f t="shared" si="342"/>
        <v>0</v>
      </c>
      <c r="G961" s="68"/>
      <c r="H961" s="68">
        <f t="shared" si="342"/>
        <v>2506870.62</v>
      </c>
      <c r="I961" s="68">
        <f t="shared" si="342"/>
        <v>0</v>
      </c>
      <c r="J961" s="68">
        <f t="shared" si="342"/>
        <v>0</v>
      </c>
      <c r="K961" s="68">
        <f t="shared" si="342"/>
        <v>0</v>
      </c>
      <c r="L961" s="68">
        <f t="shared" si="342"/>
        <v>0</v>
      </c>
      <c r="M961" s="68"/>
      <c r="N961" s="68">
        <f t="shared" si="342"/>
        <v>2506870.62</v>
      </c>
      <c r="O961" s="68">
        <f t="shared" si="342"/>
        <v>197445.2</v>
      </c>
      <c r="P961" s="68">
        <f t="shared" si="342"/>
        <v>0</v>
      </c>
      <c r="Q961" s="68"/>
      <c r="R961" s="68">
        <f t="shared" si="342"/>
        <v>197445.2</v>
      </c>
      <c r="S961" s="68">
        <f t="shared" si="342"/>
        <v>0</v>
      </c>
      <c r="T961" s="68">
        <f t="shared" si="342"/>
        <v>0</v>
      </c>
      <c r="U961" s="68">
        <f t="shared" si="342"/>
        <v>0</v>
      </c>
      <c r="V961" s="68">
        <f t="shared" si="342"/>
        <v>0</v>
      </c>
      <c r="W961" s="68"/>
      <c r="X961" s="68">
        <f t="shared" si="342"/>
        <v>197445.2</v>
      </c>
      <c r="Y961" s="68">
        <f t="shared" si="342"/>
        <v>2704315.8200000003</v>
      </c>
      <c r="Z961" s="68">
        <f t="shared" si="342"/>
        <v>2454671.2699999996</v>
      </c>
      <c r="AA961" s="68">
        <f t="shared" si="342"/>
        <v>2704315.8200000003</v>
      </c>
      <c r="AB961" s="68">
        <f t="shared" si="342"/>
        <v>2454671.2699999996</v>
      </c>
      <c r="AC961" s="49" t="s">
        <v>53</v>
      </c>
      <c r="AD961" s="94">
        <f t="shared" ref="AD961:AF962" si="343">D912+D931</f>
        <v>57780939.5</v>
      </c>
      <c r="AE961" s="94">
        <f t="shared" si="343"/>
        <v>0</v>
      </c>
      <c r="AF961" s="94">
        <f t="shared" si="343"/>
        <v>0</v>
      </c>
      <c r="AG961" s="94">
        <f t="shared" si="335"/>
        <v>0</v>
      </c>
      <c r="AH961" s="94">
        <f>L912+L931</f>
        <v>0</v>
      </c>
      <c r="AI961" s="94">
        <f t="shared" si="336"/>
        <v>0</v>
      </c>
      <c r="AJ961" s="94">
        <f>O912+O931</f>
        <v>10315070.649999999</v>
      </c>
      <c r="AK961" s="94">
        <f>P912+P931</f>
        <v>0</v>
      </c>
      <c r="AL961" s="94">
        <f t="shared" si="337"/>
        <v>10315070.649999999</v>
      </c>
      <c r="AM961" s="94">
        <f>V912+V931</f>
        <v>0</v>
      </c>
      <c r="AN961" s="94">
        <f t="shared" si="338"/>
        <v>10315070.649999999</v>
      </c>
      <c r="AO961" s="94">
        <f t="shared" si="339"/>
        <v>10315070.649999999</v>
      </c>
      <c r="AP961" s="94">
        <f t="shared" si="340"/>
        <v>47465868.850000001</v>
      </c>
      <c r="AQ961" s="94">
        <f t="shared" si="341"/>
        <v>47465868.850000001</v>
      </c>
    </row>
    <row r="962" spans="1:43" x14ac:dyDescent="0.25">
      <c r="A962" s="46"/>
      <c r="B962" s="26"/>
      <c r="C962" s="4"/>
      <c r="D962" s="70" t="s">
        <v>40</v>
      </c>
      <c r="E962" s="70" t="s">
        <v>40</v>
      </c>
      <c r="F962" s="70" t="s">
        <v>40</v>
      </c>
      <c r="G962" s="70"/>
      <c r="H962" s="70" t="s">
        <v>40</v>
      </c>
      <c r="I962" s="70" t="s">
        <v>40</v>
      </c>
      <c r="J962" s="70" t="s">
        <v>40</v>
      </c>
      <c r="K962" s="70" t="s">
        <v>40</v>
      </c>
      <c r="L962" s="70" t="s">
        <v>40</v>
      </c>
      <c r="M962" s="70"/>
      <c r="N962" s="70" t="s">
        <v>40</v>
      </c>
      <c r="O962" s="70" t="s">
        <v>40</v>
      </c>
      <c r="P962" s="70" t="s">
        <v>40</v>
      </c>
      <c r="Q962" s="70"/>
      <c r="R962" s="70" t="s">
        <v>40</v>
      </c>
      <c r="S962" s="70" t="s">
        <v>40</v>
      </c>
      <c r="T962" s="70" t="s">
        <v>40</v>
      </c>
      <c r="U962" s="70" t="s">
        <v>40</v>
      </c>
      <c r="V962" s="70" t="s">
        <v>40</v>
      </c>
      <c r="W962" s="70"/>
      <c r="X962" s="70" t="s">
        <v>40</v>
      </c>
      <c r="Y962" s="70" t="s">
        <v>40</v>
      </c>
      <c r="Z962" s="70" t="s">
        <v>40</v>
      </c>
      <c r="AA962" s="70" t="s">
        <v>40</v>
      </c>
      <c r="AB962" s="70" t="s">
        <v>40</v>
      </c>
      <c r="AC962" s="49" t="s">
        <v>54</v>
      </c>
      <c r="AD962" s="94">
        <f t="shared" si="343"/>
        <v>26496892.829999998</v>
      </c>
      <c r="AE962" s="94">
        <f t="shared" si="343"/>
        <v>0</v>
      </c>
      <c r="AF962" s="94">
        <f t="shared" si="343"/>
        <v>0</v>
      </c>
      <c r="AG962" s="94">
        <f t="shared" si="335"/>
        <v>0</v>
      </c>
      <c r="AH962" s="94">
        <f>L913+L932</f>
        <v>0</v>
      </c>
      <c r="AI962" s="94">
        <f t="shared" si="336"/>
        <v>0</v>
      </c>
      <c r="AJ962" s="94">
        <f>O913+O932</f>
        <v>26496892.829999998</v>
      </c>
      <c r="AK962" s="94">
        <f>P913+P932</f>
        <v>0</v>
      </c>
      <c r="AL962" s="94">
        <f t="shared" si="337"/>
        <v>26496892.829999998</v>
      </c>
      <c r="AM962" s="94">
        <f>V913+V932</f>
        <v>0</v>
      </c>
      <c r="AN962" s="94">
        <f t="shared" si="338"/>
        <v>26496892.829999998</v>
      </c>
      <c r="AO962" s="94">
        <f t="shared" si="339"/>
        <v>26496892.829999998</v>
      </c>
      <c r="AP962" s="94">
        <f t="shared" si="340"/>
        <v>0</v>
      </c>
      <c r="AQ962" s="94">
        <f t="shared" si="341"/>
        <v>0</v>
      </c>
    </row>
    <row r="963" spans="1:43" ht="18" customHeight="1" x14ac:dyDescent="0.25">
      <c r="A963" s="46">
        <v>101</v>
      </c>
      <c r="B963" s="26" t="s">
        <v>230</v>
      </c>
      <c r="C963" s="2" t="s">
        <v>35</v>
      </c>
      <c r="D963" s="68">
        <v>57052383.710000001</v>
      </c>
      <c r="E963" s="68"/>
      <c r="F963" s="68"/>
      <c r="G963" s="68"/>
      <c r="H963" s="67">
        <f>E963+F963</f>
        <v>0</v>
      </c>
      <c r="I963" s="68"/>
      <c r="J963" s="68"/>
      <c r="K963" s="68"/>
      <c r="L963" s="68"/>
      <c r="M963" s="68"/>
      <c r="N963" s="67">
        <f>H963+L963</f>
        <v>0</v>
      </c>
      <c r="O963" s="68">
        <f>271010.9+136175.47</f>
        <v>407186.37</v>
      </c>
      <c r="P963" s="68"/>
      <c r="Q963" s="68"/>
      <c r="R963" s="67">
        <f>O963+P963</f>
        <v>407186.37</v>
      </c>
      <c r="S963" s="68"/>
      <c r="T963" s="68"/>
      <c r="U963" s="68"/>
      <c r="V963" s="68"/>
      <c r="W963" s="68"/>
      <c r="X963" s="67">
        <f>R963+V963</f>
        <v>407186.37</v>
      </c>
      <c r="Y963" s="67">
        <f>R963+H963</f>
        <v>407186.37</v>
      </c>
      <c r="Z963" s="67">
        <f>D963-Y963</f>
        <v>56645197.340000004</v>
      </c>
      <c r="AA963" s="67">
        <f>N963+X963</f>
        <v>407186.37</v>
      </c>
      <c r="AB963" s="67">
        <f>+D963-N963-X963</f>
        <v>56645197.340000004</v>
      </c>
      <c r="AC963" s="49" t="s">
        <v>264</v>
      </c>
      <c r="AD963" s="94">
        <f>+D920</f>
        <v>507482.34</v>
      </c>
      <c r="AE963" s="94">
        <f>+E920</f>
        <v>0</v>
      </c>
      <c r="AF963" s="94">
        <f>+F920</f>
        <v>0</v>
      </c>
      <c r="AG963" s="94">
        <f t="shared" si="335"/>
        <v>0</v>
      </c>
      <c r="AH963" s="94">
        <f>+L920</f>
        <v>0</v>
      </c>
      <c r="AI963" s="94">
        <f t="shared" si="336"/>
        <v>0</v>
      </c>
      <c r="AJ963" s="94">
        <f>+O920</f>
        <v>0</v>
      </c>
      <c r="AK963" s="94">
        <f>+P920</f>
        <v>0</v>
      </c>
      <c r="AL963" s="94">
        <f t="shared" si="337"/>
        <v>0</v>
      </c>
      <c r="AM963" s="94">
        <f>+V920</f>
        <v>0</v>
      </c>
      <c r="AN963" s="94">
        <f t="shared" si="338"/>
        <v>0</v>
      </c>
      <c r="AO963" s="94">
        <f t="shared" si="339"/>
        <v>0</v>
      </c>
      <c r="AP963" s="94">
        <f t="shared" si="340"/>
        <v>507482.34</v>
      </c>
      <c r="AQ963" s="94">
        <f t="shared" si="341"/>
        <v>507482.34</v>
      </c>
    </row>
    <row r="964" spans="1:43" x14ac:dyDescent="0.25">
      <c r="C964" s="4" t="s">
        <v>302</v>
      </c>
      <c r="D964" s="55">
        <f>5000000+5000000</f>
        <v>10000000</v>
      </c>
      <c r="E964" s="55">
        <f>5000000+5000000</f>
        <v>10000000</v>
      </c>
      <c r="F964" s="55"/>
      <c r="G964" s="55"/>
      <c r="H964" s="55">
        <f>+E964+F964</f>
        <v>10000000</v>
      </c>
      <c r="I964" s="55"/>
      <c r="J964" s="55"/>
      <c r="K964" s="55"/>
      <c r="L964" s="55"/>
      <c r="M964" s="55"/>
      <c r="N964" s="55">
        <f>+H964+L964</f>
        <v>10000000</v>
      </c>
      <c r="O964" s="55"/>
      <c r="P964" s="55"/>
      <c r="Q964" s="55"/>
      <c r="R964" s="55">
        <f>+O964+P964</f>
        <v>0</v>
      </c>
      <c r="S964" s="55"/>
      <c r="T964" s="55"/>
      <c r="U964" s="55"/>
      <c r="V964" s="55"/>
      <c r="W964" s="55"/>
      <c r="X964" s="55">
        <f>+R964+V964</f>
        <v>0</v>
      </c>
      <c r="Y964" s="67">
        <f>R964+H964</f>
        <v>10000000</v>
      </c>
      <c r="Z964" s="67">
        <f>D964-Y964</f>
        <v>0</v>
      </c>
      <c r="AA964" s="67">
        <f>N964+X964</f>
        <v>10000000</v>
      </c>
      <c r="AB964" s="67">
        <f>+D964-N964-X964</f>
        <v>0</v>
      </c>
    </row>
    <row r="965" spans="1:43" x14ac:dyDescent="0.25">
      <c r="A965" s="46"/>
      <c r="B965" s="26"/>
      <c r="C965" s="4" t="s">
        <v>36</v>
      </c>
      <c r="D965" s="68">
        <v>1793593</v>
      </c>
      <c r="E965" s="68">
        <v>1793593</v>
      </c>
      <c r="F965" s="68"/>
      <c r="G965" s="68"/>
      <c r="H965" s="67">
        <f>E965+F965</f>
        <v>1793593</v>
      </c>
      <c r="I965" s="68"/>
      <c r="J965" s="68"/>
      <c r="K965" s="68"/>
      <c r="L965" s="68"/>
      <c r="M965" s="68"/>
      <c r="N965" s="67">
        <f>H965+L965</f>
        <v>1793593</v>
      </c>
      <c r="O965" s="68"/>
      <c r="P965" s="68"/>
      <c r="Q965" s="68"/>
      <c r="R965" s="67">
        <f>O965+P965</f>
        <v>0</v>
      </c>
      <c r="S965" s="68"/>
      <c r="T965" s="68"/>
      <c r="U965" s="68"/>
      <c r="V965" s="68"/>
      <c r="W965" s="68"/>
      <c r="X965" s="67">
        <f>R965+V965</f>
        <v>0</v>
      </c>
      <c r="Y965" s="67">
        <f>R965+H965</f>
        <v>1793593</v>
      </c>
      <c r="Z965" s="67">
        <f>D965-Y965</f>
        <v>0</v>
      </c>
      <c r="AA965" s="67">
        <f>N965+X965</f>
        <v>1793593</v>
      </c>
      <c r="AB965" s="67">
        <f>+D965-N965-X965</f>
        <v>0</v>
      </c>
      <c r="AC965" s="49" t="s">
        <v>38</v>
      </c>
      <c r="AD965" s="94">
        <f>D922+D950+D939</f>
        <v>18560082.16</v>
      </c>
      <c r="AE965" s="94">
        <f>E922+E950+E939</f>
        <v>0</v>
      </c>
      <c r="AF965" s="94">
        <f>F922+F950+F939</f>
        <v>0</v>
      </c>
      <c r="AG965" s="94">
        <f>+AE965+AF965</f>
        <v>0</v>
      </c>
      <c r="AH965" s="94">
        <f>L922+L950+L939</f>
        <v>0</v>
      </c>
      <c r="AI965" s="94">
        <f>+AG965+AH965</f>
        <v>0</v>
      </c>
      <c r="AJ965" s="94">
        <f>O922+O950+O939</f>
        <v>3376026.7300000004</v>
      </c>
      <c r="AK965" s="94">
        <f>P922+P950+P939</f>
        <v>0</v>
      </c>
      <c r="AL965" s="94">
        <f>+AJ965+AK965</f>
        <v>3376026.7300000004</v>
      </c>
      <c r="AM965" s="94">
        <f>V922+V950+V939</f>
        <v>0</v>
      </c>
      <c r="AN965" s="94">
        <f>+AL965+AM965</f>
        <v>3376026.7300000004</v>
      </c>
      <c r="AO965" s="94">
        <f>+AG965+AL965</f>
        <v>3376026.7300000004</v>
      </c>
      <c r="AP965" s="94">
        <f>+AD965-AO965</f>
        <v>15184055.43</v>
      </c>
      <c r="AQ965" s="94">
        <f>+AD965-AI965-AN965</f>
        <v>15184055.43</v>
      </c>
    </row>
    <row r="966" spans="1:43" x14ac:dyDescent="0.25">
      <c r="A966" s="46"/>
      <c r="B966" s="26"/>
      <c r="C966" s="4"/>
      <c r="D966" s="70" t="s">
        <v>40</v>
      </c>
      <c r="E966" s="70" t="s">
        <v>40</v>
      </c>
      <c r="F966" s="70" t="s">
        <v>40</v>
      </c>
      <c r="G966" s="70"/>
      <c r="H966" s="70" t="s">
        <v>40</v>
      </c>
      <c r="I966" s="70" t="s">
        <v>40</v>
      </c>
      <c r="J966" s="70" t="s">
        <v>40</v>
      </c>
      <c r="K966" s="70" t="s">
        <v>40</v>
      </c>
      <c r="L966" s="70" t="s">
        <v>40</v>
      </c>
      <c r="M966" s="70"/>
      <c r="N966" s="70" t="s">
        <v>40</v>
      </c>
      <c r="O966" s="70" t="s">
        <v>40</v>
      </c>
      <c r="P966" s="70" t="s">
        <v>40</v>
      </c>
      <c r="Q966" s="70"/>
      <c r="R966" s="70" t="s">
        <v>40</v>
      </c>
      <c r="S966" s="70" t="s">
        <v>40</v>
      </c>
      <c r="T966" s="70" t="s">
        <v>40</v>
      </c>
      <c r="U966" s="70" t="s">
        <v>40</v>
      </c>
      <c r="V966" s="70" t="s">
        <v>40</v>
      </c>
      <c r="W966" s="70"/>
      <c r="X966" s="70" t="s">
        <v>40</v>
      </c>
      <c r="Y966" s="70" t="s">
        <v>40</v>
      </c>
      <c r="Z966" s="70" t="s">
        <v>40</v>
      </c>
      <c r="AA966" s="70" t="s">
        <v>40</v>
      </c>
      <c r="AB966" s="70" t="s">
        <v>40</v>
      </c>
      <c r="AC966" s="49" t="s">
        <v>267</v>
      </c>
      <c r="AD966" s="94">
        <f t="shared" ref="AD966:AF967" si="344">+D940</f>
        <v>10000000</v>
      </c>
      <c r="AE966" s="94">
        <f t="shared" si="344"/>
        <v>8339997.9199999999</v>
      </c>
      <c r="AF966" s="94">
        <f t="shared" si="344"/>
        <v>0</v>
      </c>
      <c r="AG966" s="94">
        <f>+AE966+AF966</f>
        <v>8339997.9199999999</v>
      </c>
      <c r="AH966" s="94">
        <f>+L940</f>
        <v>0</v>
      </c>
      <c r="AI966" s="94">
        <f>+AG966+AH966</f>
        <v>8339997.9199999999</v>
      </c>
      <c r="AJ966" s="94">
        <f>+O940</f>
        <v>0</v>
      </c>
      <c r="AK966" s="94">
        <f>+P940</f>
        <v>0</v>
      </c>
      <c r="AL966" s="94">
        <f>+AJ966+AK966</f>
        <v>0</v>
      </c>
      <c r="AM966" s="94">
        <f>+V940</f>
        <v>0</v>
      </c>
      <c r="AN966" s="94">
        <f>+AL966+AM966</f>
        <v>0</v>
      </c>
      <c r="AO966" s="94">
        <f>+AG966+AL966</f>
        <v>8339997.9199999999</v>
      </c>
      <c r="AP966" s="94">
        <f>+AD966-AO966</f>
        <v>1660002.08</v>
      </c>
      <c r="AQ966" s="94">
        <f>+AD966-AI966-AN966</f>
        <v>1660002.08</v>
      </c>
    </row>
    <row r="967" spans="1:43" x14ac:dyDescent="0.25">
      <c r="A967" s="46"/>
      <c r="B967" s="26"/>
      <c r="C967" s="4"/>
      <c r="D967" s="68">
        <f>SUM(D963:D965)</f>
        <v>68845976.710000008</v>
      </c>
      <c r="E967" s="68">
        <f>SUM(E963:E965)</f>
        <v>11793593</v>
      </c>
      <c r="F967" s="68">
        <f>SUM(F963:F965)</f>
        <v>0</v>
      </c>
      <c r="G967" s="68"/>
      <c r="H967" s="68">
        <f>SUM(H963:H965)</f>
        <v>11793593</v>
      </c>
      <c r="I967" s="68">
        <f>SUM(I963:I965)</f>
        <v>0</v>
      </c>
      <c r="J967" s="68">
        <f>SUM(J963:J965)</f>
        <v>0</v>
      </c>
      <c r="K967" s="68">
        <f>SUM(K963:K965)</f>
        <v>0</v>
      </c>
      <c r="L967" s="68">
        <f>SUM(L963:L965)</f>
        <v>0</v>
      </c>
      <c r="M967" s="68"/>
      <c r="N967" s="68">
        <f>SUM(N963:N965)</f>
        <v>11793593</v>
      </c>
      <c r="O967" s="68">
        <f>SUM(O963:O965)</f>
        <v>407186.37</v>
      </c>
      <c r="P967" s="68">
        <f>SUM(P963:P965)</f>
        <v>0</v>
      </c>
      <c r="Q967" s="68"/>
      <c r="R967" s="68">
        <f>SUM(R963:R965)</f>
        <v>407186.37</v>
      </c>
      <c r="S967" s="68">
        <f>SUM(S963:S965)</f>
        <v>0</v>
      </c>
      <c r="T967" s="68">
        <f>SUM(T963:T965)</f>
        <v>0</v>
      </c>
      <c r="U967" s="68">
        <f>SUM(U963:U965)</f>
        <v>0</v>
      </c>
      <c r="V967" s="68">
        <f>SUM(V963:V965)</f>
        <v>0</v>
      </c>
      <c r="W967" s="68"/>
      <c r="X967" s="68">
        <f>SUM(X963:X965)</f>
        <v>407186.37</v>
      </c>
      <c r="Y967" s="68">
        <f>SUM(Y963:Y965)</f>
        <v>12200779.369999999</v>
      </c>
      <c r="Z967" s="68">
        <f>SUM(Z963:Z965)</f>
        <v>56645197.340000004</v>
      </c>
      <c r="AA967" s="68">
        <f>SUM(AA963:AA965)</f>
        <v>12200779.369999999</v>
      </c>
      <c r="AB967" s="68">
        <f>SUM(AB963:AB965)</f>
        <v>56645197.340000004</v>
      </c>
      <c r="AC967" s="49" t="s">
        <v>276</v>
      </c>
      <c r="AD967" s="94">
        <f t="shared" si="344"/>
        <v>2165213.2400000002</v>
      </c>
      <c r="AE967" s="94">
        <f t="shared" si="344"/>
        <v>0</v>
      </c>
      <c r="AF967" s="94">
        <f t="shared" si="344"/>
        <v>0</v>
      </c>
      <c r="AG967" s="94">
        <f>+AE967+AF967</f>
        <v>0</v>
      </c>
      <c r="AH967" s="94">
        <f>+L941</f>
        <v>0</v>
      </c>
      <c r="AI967" s="94">
        <f>+AG967+AH967</f>
        <v>0</v>
      </c>
      <c r="AJ967" s="94">
        <f>+O941</f>
        <v>2165213.2400000002</v>
      </c>
      <c r="AK967" s="94">
        <f>+P941</f>
        <v>0</v>
      </c>
      <c r="AL967" s="94">
        <f>+AJ967+AK967</f>
        <v>2165213.2400000002</v>
      </c>
      <c r="AM967" s="94">
        <f>+V941</f>
        <v>0</v>
      </c>
      <c r="AN967" s="94">
        <f>+AL967+AM967</f>
        <v>2165213.2400000002</v>
      </c>
      <c r="AO967" s="94">
        <f>+AG967+AL967</f>
        <v>2165213.2400000002</v>
      </c>
      <c r="AP967" s="94">
        <f>+AD967-AO967</f>
        <v>0</v>
      </c>
      <c r="AQ967" s="94">
        <f>+AD967-AI967-AN967</f>
        <v>0</v>
      </c>
    </row>
    <row r="968" spans="1:43" x14ac:dyDescent="0.25">
      <c r="A968" s="46"/>
      <c r="B968" s="26"/>
      <c r="C968" s="4"/>
      <c r="D968" s="70" t="s">
        <v>40</v>
      </c>
      <c r="E968" s="70" t="s">
        <v>40</v>
      </c>
      <c r="F968" s="70" t="s">
        <v>40</v>
      </c>
      <c r="G968" s="70"/>
      <c r="H968" s="70" t="s">
        <v>40</v>
      </c>
      <c r="I968" s="70" t="s">
        <v>40</v>
      </c>
      <c r="J968" s="70" t="s">
        <v>40</v>
      </c>
      <c r="K968" s="70" t="s">
        <v>40</v>
      </c>
      <c r="L968" s="70" t="s">
        <v>40</v>
      </c>
      <c r="M968" s="70"/>
      <c r="N968" s="70" t="s">
        <v>40</v>
      </c>
      <c r="O968" s="70" t="s">
        <v>40</v>
      </c>
      <c r="P968" s="70" t="s">
        <v>40</v>
      </c>
      <c r="Q968" s="70"/>
      <c r="R968" s="70" t="s">
        <v>40</v>
      </c>
      <c r="S968" s="70" t="s">
        <v>40</v>
      </c>
      <c r="T968" s="70" t="s">
        <v>40</v>
      </c>
      <c r="U968" s="70" t="s">
        <v>40</v>
      </c>
      <c r="V968" s="70" t="s">
        <v>40</v>
      </c>
      <c r="W968" s="70"/>
      <c r="X968" s="70" t="s">
        <v>40</v>
      </c>
      <c r="Y968" s="70" t="s">
        <v>40</v>
      </c>
      <c r="Z968" s="70" t="s">
        <v>40</v>
      </c>
      <c r="AA968" s="70" t="s">
        <v>40</v>
      </c>
      <c r="AB968" s="70" t="s">
        <v>40</v>
      </c>
      <c r="AC968" s="49" t="s">
        <v>271</v>
      </c>
      <c r="AD968" s="94">
        <f>+D959</f>
        <v>2360000</v>
      </c>
      <c r="AE968" s="94">
        <f>+E959</f>
        <v>2359759.62</v>
      </c>
      <c r="AF968" s="94">
        <f>+F959</f>
        <v>0</v>
      </c>
      <c r="AG968" s="94">
        <f>+AE968+AF968</f>
        <v>2359759.62</v>
      </c>
      <c r="AH968" s="94">
        <f>+L959</f>
        <v>0</v>
      </c>
      <c r="AI968" s="94">
        <f>+AG968+AH968</f>
        <v>2359759.62</v>
      </c>
      <c r="AJ968" s="94">
        <f>+O959</f>
        <v>0</v>
      </c>
      <c r="AK968" s="94">
        <f>+P959</f>
        <v>0</v>
      </c>
      <c r="AL968" s="94">
        <f>+AJ968+AK968</f>
        <v>0</v>
      </c>
      <c r="AM968" s="94">
        <f>+V959</f>
        <v>0</v>
      </c>
      <c r="AN968" s="94">
        <f>+AL968+AM968</f>
        <v>0</v>
      </c>
      <c r="AO968" s="94">
        <f>+AG968+AL968</f>
        <v>2359759.62</v>
      </c>
      <c r="AP968" s="94">
        <f>+AD968-AO968</f>
        <v>240.37999999988824</v>
      </c>
      <c r="AQ968" s="94">
        <f>+AD968-AI968-AN968</f>
        <v>240.37999999988824</v>
      </c>
    </row>
    <row r="969" spans="1:43" x14ac:dyDescent="0.25">
      <c r="A969" s="46"/>
      <c r="B969" s="36" t="s">
        <v>3</v>
      </c>
      <c r="C969" s="21" t="s">
        <v>223</v>
      </c>
      <c r="D969" s="72">
        <f>D909+D915+D925+D934+D943+D953+D961+D967</f>
        <v>361339143.17999995</v>
      </c>
      <c r="E969" s="72">
        <f>E909+E915+E925+E934+E943+E953+E961+E967</f>
        <v>32683629.16</v>
      </c>
      <c r="F969" s="72">
        <f>F909+F915+F925+F934+F943+F953+F961+F967</f>
        <v>0</v>
      </c>
      <c r="G969" s="72"/>
      <c r="H969" s="72">
        <f>H909+H915+H925+H934+H943+H953+H961+H967</f>
        <v>32683629.16</v>
      </c>
      <c r="I969" s="72">
        <f>I909+I915+I925+I934+I943+I953+I961+I967</f>
        <v>0</v>
      </c>
      <c r="J969" s="72">
        <f>J909+J915+J925+J934+J943+J953+J961+J967</f>
        <v>0</v>
      </c>
      <c r="K969" s="72">
        <f>K909+K915+K925+K934+K943+K953+K961+K967</f>
        <v>0</v>
      </c>
      <c r="L969" s="72">
        <f>L909+L915+L925+L934+L943+L953+L961+L967</f>
        <v>0</v>
      </c>
      <c r="M969" s="72"/>
      <c r="N969" s="72">
        <f>N909+N915+N925+N934+N943+N953+N961+N967</f>
        <v>32683629.16</v>
      </c>
      <c r="O969" s="72">
        <f>O909+O915+O925+O934+O943+O953+O961+O967</f>
        <v>54613402.359999999</v>
      </c>
      <c r="P969" s="72">
        <f>P909+P915+P925+P934+P943+P953+P961+P967</f>
        <v>872518.86</v>
      </c>
      <c r="Q969" s="72"/>
      <c r="R969" s="72">
        <f>R909+R915+R925+R934+R943+R953+R961+R967</f>
        <v>55485921.219999999</v>
      </c>
      <c r="S969" s="72">
        <f>S909+S915+S925+S934+S943+S953+S961+S967</f>
        <v>0</v>
      </c>
      <c r="T969" s="72">
        <f>T909+T915+T925+T934+T943+T953+T961+T967</f>
        <v>0</v>
      </c>
      <c r="U969" s="72">
        <f>U909+U915+U925+U934+U943+U953+U961+U967</f>
        <v>0</v>
      </c>
      <c r="V969" s="72">
        <f>V909+V915+V925+V934+V943+V953+V961+V967</f>
        <v>0</v>
      </c>
      <c r="W969" s="72"/>
      <c r="X969" s="72">
        <f>X909+X915+X925+X934+X943+X953+X961+X967</f>
        <v>55485921.219999999</v>
      </c>
      <c r="Y969" s="72">
        <f>Y909+Y915+Y925+Y934+Y943+Y953+Y961+Y967</f>
        <v>88169550.379999995</v>
      </c>
      <c r="Z969" s="72">
        <f>Z909+Z915+Z925+Z934+Z943+Z953+Z961+Z967</f>
        <v>273169592.80000001</v>
      </c>
      <c r="AA969" s="72">
        <f>AA909+AA915+AA925+AA934+AA943+AA953+AA961+AA967</f>
        <v>88169550.379999995</v>
      </c>
      <c r="AB969" s="72">
        <f>AB909+AB915+AB925+AB934+AB943+AB953+AB961+AB967</f>
        <v>273169592.80000001</v>
      </c>
      <c r="AD969" s="95">
        <f t="shared" ref="AD969:AQ969" si="345">SUM(AD956:AD968)</f>
        <v>361339143.18000001</v>
      </c>
      <c r="AE969" s="95">
        <f t="shared" si="345"/>
        <v>32683629.16</v>
      </c>
      <c r="AF969" s="95">
        <f t="shared" si="345"/>
        <v>0</v>
      </c>
      <c r="AG969" s="95">
        <f t="shared" si="345"/>
        <v>32683629.16</v>
      </c>
      <c r="AH969" s="95">
        <f t="shared" si="345"/>
        <v>0</v>
      </c>
      <c r="AI969" s="95">
        <f t="shared" si="345"/>
        <v>32683629.16</v>
      </c>
      <c r="AJ969" s="95">
        <f t="shared" si="345"/>
        <v>54613402.360000007</v>
      </c>
      <c r="AK969" s="95">
        <f t="shared" si="345"/>
        <v>872518.86</v>
      </c>
      <c r="AL969" s="95">
        <f t="shared" si="345"/>
        <v>55485921.220000006</v>
      </c>
      <c r="AM969" s="95">
        <f t="shared" si="345"/>
        <v>0</v>
      </c>
      <c r="AN969" s="95">
        <f t="shared" si="345"/>
        <v>55485921.220000006</v>
      </c>
      <c r="AO969" s="95">
        <f t="shared" si="345"/>
        <v>88169550.379999995</v>
      </c>
      <c r="AP969" s="95">
        <f t="shared" si="345"/>
        <v>273169592.79999995</v>
      </c>
      <c r="AQ969" s="95">
        <f t="shared" si="345"/>
        <v>273169592.79999995</v>
      </c>
    </row>
    <row r="970" spans="1:43" x14ac:dyDescent="0.25">
      <c r="A970" s="46"/>
      <c r="B970" s="26"/>
      <c r="C970" s="4"/>
      <c r="D970" s="70" t="s">
        <v>50</v>
      </c>
      <c r="E970" s="70" t="s">
        <v>50</v>
      </c>
      <c r="F970" s="70" t="s">
        <v>50</v>
      </c>
      <c r="G970" s="70"/>
      <c r="H970" s="70" t="s">
        <v>50</v>
      </c>
      <c r="I970" s="70" t="s">
        <v>50</v>
      </c>
      <c r="J970" s="70" t="s">
        <v>50</v>
      </c>
      <c r="K970" s="70" t="s">
        <v>50</v>
      </c>
      <c r="L970" s="70" t="s">
        <v>50</v>
      </c>
      <c r="M970" s="70"/>
      <c r="N970" s="70" t="s">
        <v>50</v>
      </c>
      <c r="O970" s="70" t="s">
        <v>50</v>
      </c>
      <c r="P970" s="70" t="s">
        <v>50</v>
      </c>
      <c r="Q970" s="70"/>
      <c r="R970" s="70" t="s">
        <v>50</v>
      </c>
      <c r="S970" s="70" t="s">
        <v>50</v>
      </c>
      <c r="T970" s="70" t="s">
        <v>50</v>
      </c>
      <c r="U970" s="70" t="s">
        <v>50</v>
      </c>
      <c r="V970" s="70" t="s">
        <v>50</v>
      </c>
      <c r="W970" s="70"/>
      <c r="X970" s="70" t="s">
        <v>50</v>
      </c>
      <c r="Y970" s="70" t="s">
        <v>50</v>
      </c>
      <c r="Z970" s="70" t="s">
        <v>50</v>
      </c>
      <c r="AA970" s="70" t="s">
        <v>50</v>
      </c>
      <c r="AB970" s="70" t="s">
        <v>50</v>
      </c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94"/>
    </row>
    <row r="971" spans="1:43" x14ac:dyDescent="0.25">
      <c r="A971" s="46"/>
      <c r="B971" s="26"/>
      <c r="C971" s="20"/>
      <c r="D971" s="75"/>
      <c r="E971" s="72"/>
      <c r="F971" s="70"/>
      <c r="G971" s="70"/>
      <c r="H971" s="70"/>
      <c r="I971" s="70"/>
      <c r="J971" s="70"/>
      <c r="K971" s="70"/>
      <c r="L971" s="70"/>
      <c r="M971" s="70"/>
      <c r="N971" s="70"/>
      <c r="O971" s="72"/>
      <c r="P971" s="70"/>
      <c r="Q971" s="70"/>
      <c r="R971" s="70"/>
      <c r="S971" s="70"/>
      <c r="T971" s="70"/>
      <c r="U971" s="70"/>
      <c r="V971" s="70"/>
      <c r="W971" s="70"/>
      <c r="X971" s="72"/>
      <c r="Y971" s="70"/>
      <c r="Z971" s="70"/>
      <c r="AA971" s="70"/>
      <c r="AB971" s="70"/>
      <c r="AD971" s="94"/>
      <c r="AE971" s="94"/>
      <c r="AF971" s="94"/>
      <c r="AG971" s="94"/>
      <c r="AH971" s="94"/>
      <c r="AI971" s="94"/>
      <c r="AJ971" s="94"/>
      <c r="AK971" s="94"/>
      <c r="AL971" s="94"/>
      <c r="AM971" s="94"/>
      <c r="AN971" s="94"/>
      <c r="AO971" s="94"/>
      <c r="AP971" s="94"/>
      <c r="AQ971" s="94">
        <f>+AQ969-AB969</f>
        <v>0</v>
      </c>
    </row>
    <row r="972" spans="1:43" ht="21.75" customHeight="1" x14ac:dyDescent="0.35">
      <c r="A972" s="46"/>
      <c r="B972" s="48" t="s">
        <v>232</v>
      </c>
      <c r="C972" s="4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  <c r="AN972" s="94"/>
      <c r="AO972" s="94"/>
      <c r="AP972" s="94"/>
      <c r="AQ972" s="94"/>
    </row>
    <row r="973" spans="1:43" x14ac:dyDescent="0.25">
      <c r="A973" s="46"/>
      <c r="B973" s="26"/>
      <c r="C973" s="4"/>
      <c r="D973" s="70"/>
      <c r="E973" s="70"/>
      <c r="F973" s="70"/>
      <c r="G973" s="70"/>
      <c r="H973" s="67"/>
      <c r="I973" s="70"/>
      <c r="J973" s="70"/>
      <c r="K973" s="70"/>
      <c r="L973" s="70"/>
      <c r="M973" s="70"/>
      <c r="N973" s="67"/>
      <c r="O973" s="70"/>
      <c r="P973" s="70"/>
      <c r="Q973" s="70"/>
      <c r="R973" s="67"/>
      <c r="S973" s="70"/>
      <c r="T973" s="70"/>
      <c r="U973" s="70"/>
      <c r="V973" s="70"/>
      <c r="W973" s="70"/>
      <c r="X973" s="67"/>
      <c r="Y973" s="67"/>
      <c r="Z973" s="67"/>
      <c r="AA973" s="67"/>
      <c r="AB973" s="67"/>
      <c r="AD973" s="94"/>
      <c r="AE973" s="94"/>
      <c r="AF973" s="94"/>
      <c r="AG973" s="94"/>
      <c r="AH973" s="94"/>
      <c r="AI973" s="94"/>
      <c r="AJ973" s="94"/>
      <c r="AK973" s="94"/>
      <c r="AL973" s="94"/>
      <c r="AM973" s="94"/>
      <c r="AN973" s="94"/>
      <c r="AO973" s="94"/>
      <c r="AP973" s="94"/>
      <c r="AQ973" s="94"/>
    </row>
    <row r="974" spans="1:43" x14ac:dyDescent="0.25">
      <c r="A974" s="46">
        <v>102</v>
      </c>
      <c r="B974" s="26" t="s">
        <v>233</v>
      </c>
      <c r="C974" s="2" t="s">
        <v>35</v>
      </c>
      <c r="D974" s="72">
        <v>36888563.280000001</v>
      </c>
      <c r="E974" s="70"/>
      <c r="F974" s="70"/>
      <c r="G974" s="70"/>
      <c r="H974" s="67">
        <f>E974+F974</f>
        <v>0</v>
      </c>
      <c r="I974" s="70"/>
      <c r="J974" s="70"/>
      <c r="K974" s="70"/>
      <c r="L974" s="70"/>
      <c r="M974" s="70"/>
      <c r="N974" s="67">
        <f>H974+L974</f>
        <v>0</v>
      </c>
      <c r="O974" s="70"/>
      <c r="P974" s="70"/>
      <c r="Q974" s="70"/>
      <c r="R974" s="67">
        <f>O974+P974</f>
        <v>0</v>
      </c>
      <c r="S974" s="70"/>
      <c r="T974" s="70"/>
      <c r="U974" s="70"/>
      <c r="V974" s="70"/>
      <c r="W974" s="70"/>
      <c r="X974" s="67">
        <f>R974+V974</f>
        <v>0</v>
      </c>
      <c r="Y974" s="67">
        <f>R974+H974</f>
        <v>0</v>
      </c>
      <c r="Z974" s="67">
        <f>D974-Y974</f>
        <v>36888563.280000001</v>
      </c>
      <c r="AA974" s="67">
        <f>N974+X974</f>
        <v>0</v>
      </c>
      <c r="AB974" s="67">
        <f>+D974-N974-X974</f>
        <v>36888563.280000001</v>
      </c>
      <c r="AD974" s="94"/>
      <c r="AE974" s="94"/>
      <c r="AF974" s="94"/>
      <c r="AG974" s="94"/>
      <c r="AH974" s="94"/>
      <c r="AI974" s="94"/>
      <c r="AJ974" s="94"/>
      <c r="AK974" s="94"/>
      <c r="AL974" s="94"/>
      <c r="AM974" s="94"/>
      <c r="AN974" s="94"/>
      <c r="AO974" s="94"/>
      <c r="AP974" s="94"/>
      <c r="AQ974" s="94"/>
    </row>
    <row r="975" spans="1:43" ht="15.75" customHeight="1" x14ac:dyDescent="0.25">
      <c r="A975" s="46"/>
      <c r="B975" s="26"/>
      <c r="C975" s="4" t="s">
        <v>183</v>
      </c>
      <c r="D975" s="72">
        <v>35419325.289999999</v>
      </c>
      <c r="E975" s="70"/>
      <c r="F975" s="70"/>
      <c r="G975" s="70"/>
      <c r="H975" s="67">
        <f>E975+F975</f>
        <v>0</v>
      </c>
      <c r="I975" s="70"/>
      <c r="J975" s="70"/>
      <c r="K975" s="70"/>
      <c r="L975" s="70"/>
      <c r="M975" s="70"/>
      <c r="N975" s="67">
        <f>H975+L975</f>
        <v>0</v>
      </c>
      <c r="O975" s="70"/>
      <c r="P975" s="70"/>
      <c r="Q975" s="70"/>
      <c r="R975" s="67">
        <f>O975+P975</f>
        <v>0</v>
      </c>
      <c r="S975" s="70"/>
      <c r="T975" s="70"/>
      <c r="U975" s="70"/>
      <c r="V975" s="70"/>
      <c r="W975" s="70"/>
      <c r="X975" s="67">
        <f>R975+V975</f>
        <v>0</v>
      </c>
      <c r="Y975" s="67">
        <f>R975+H975</f>
        <v>0</v>
      </c>
      <c r="Z975" s="67">
        <f>D975-Y975</f>
        <v>35419325.289999999</v>
      </c>
      <c r="AA975" s="67">
        <f>N975+X975</f>
        <v>0</v>
      </c>
      <c r="AB975" s="67">
        <f>+D975-N975-X975</f>
        <v>35419325.289999999</v>
      </c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  <c r="AN975" s="94"/>
      <c r="AO975" s="94"/>
      <c r="AP975" s="94"/>
      <c r="AQ975" s="94"/>
    </row>
    <row r="976" spans="1:43" ht="16.5" customHeight="1" x14ac:dyDescent="0.25">
      <c r="A976" s="46"/>
      <c r="B976" s="26"/>
      <c r="C976" s="4" t="s">
        <v>184</v>
      </c>
      <c r="D976" s="72">
        <v>0</v>
      </c>
      <c r="E976" s="70"/>
      <c r="F976" s="70"/>
      <c r="G976" s="70"/>
      <c r="H976" s="67">
        <f>E976+F976</f>
        <v>0</v>
      </c>
      <c r="I976" s="70"/>
      <c r="J976" s="70"/>
      <c r="K976" s="70"/>
      <c r="L976" s="70"/>
      <c r="M976" s="70"/>
      <c r="N976" s="67">
        <f>H976+L976</f>
        <v>0</v>
      </c>
      <c r="O976" s="70"/>
      <c r="P976" s="70"/>
      <c r="Q976" s="70"/>
      <c r="R976" s="67">
        <f>O976+P976</f>
        <v>0</v>
      </c>
      <c r="S976" s="70"/>
      <c r="T976" s="70"/>
      <c r="U976" s="70"/>
      <c r="V976" s="70"/>
      <c r="W976" s="70"/>
      <c r="X976" s="67">
        <f>R976+V976</f>
        <v>0</v>
      </c>
      <c r="Y976" s="67">
        <f>R976+H976</f>
        <v>0</v>
      </c>
      <c r="Z976" s="67">
        <f>D976-Y976</f>
        <v>0</v>
      </c>
      <c r="AA976" s="67">
        <f>N976+X976</f>
        <v>0</v>
      </c>
      <c r="AB976" s="67">
        <f>+D976-N976-X976</f>
        <v>0</v>
      </c>
      <c r="AD976" s="94"/>
      <c r="AE976" s="94"/>
      <c r="AF976" s="94"/>
      <c r="AG976" s="94"/>
      <c r="AH976" s="94"/>
      <c r="AI976" s="94"/>
      <c r="AJ976" s="94"/>
      <c r="AK976" s="94"/>
      <c r="AL976" s="94"/>
      <c r="AM976" s="94"/>
      <c r="AN976" s="94"/>
      <c r="AO976" s="94"/>
      <c r="AP976" s="94"/>
      <c r="AQ976" s="94"/>
    </row>
    <row r="977" spans="1:106" s="4" customFormat="1" ht="17.25" customHeight="1" x14ac:dyDescent="0.25">
      <c r="A977" s="46"/>
      <c r="B977" s="26"/>
      <c r="D977" s="70" t="s">
        <v>40</v>
      </c>
      <c r="E977" s="70" t="s">
        <v>40</v>
      </c>
      <c r="F977" s="70" t="s">
        <v>40</v>
      </c>
      <c r="G977" s="70"/>
      <c r="H977" s="70" t="s">
        <v>40</v>
      </c>
      <c r="I977" s="70" t="s">
        <v>40</v>
      </c>
      <c r="J977" s="70" t="s">
        <v>40</v>
      </c>
      <c r="K977" s="70" t="s">
        <v>40</v>
      </c>
      <c r="L977" s="70" t="s">
        <v>40</v>
      </c>
      <c r="M977" s="70"/>
      <c r="N977" s="70" t="s">
        <v>40</v>
      </c>
      <c r="O977" s="70" t="s">
        <v>40</v>
      </c>
      <c r="P977" s="70" t="s">
        <v>40</v>
      </c>
      <c r="Q977" s="70"/>
      <c r="R977" s="70" t="s">
        <v>40</v>
      </c>
      <c r="S977" s="70" t="s">
        <v>40</v>
      </c>
      <c r="T977" s="70" t="s">
        <v>40</v>
      </c>
      <c r="U977" s="70" t="s">
        <v>40</v>
      </c>
      <c r="V977" s="70" t="s">
        <v>40</v>
      </c>
      <c r="W977" s="70"/>
      <c r="X977" s="70" t="s">
        <v>40</v>
      </c>
      <c r="Y977" s="70" t="s">
        <v>40</v>
      </c>
      <c r="Z977" s="70" t="s">
        <v>40</v>
      </c>
      <c r="AA977" s="70" t="s">
        <v>40</v>
      </c>
      <c r="AB977" s="70" t="s">
        <v>40</v>
      </c>
      <c r="AC977"/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</row>
    <row r="978" spans="1:106" ht="15.75" customHeight="1" x14ac:dyDescent="0.25">
      <c r="A978" s="46"/>
      <c r="B978" s="26"/>
      <c r="C978" s="4"/>
      <c r="D978" s="72">
        <f>SUM(D974:D976)</f>
        <v>72307888.569999993</v>
      </c>
      <c r="E978" s="72">
        <f t="shared" ref="E978:AB978" si="346">SUM(E974:E976)</f>
        <v>0</v>
      </c>
      <c r="F978" s="72">
        <f t="shared" si="346"/>
        <v>0</v>
      </c>
      <c r="G978" s="72"/>
      <c r="H978" s="72">
        <f t="shared" si="346"/>
        <v>0</v>
      </c>
      <c r="I978" s="72">
        <f t="shared" si="346"/>
        <v>0</v>
      </c>
      <c r="J978" s="72">
        <f t="shared" si="346"/>
        <v>0</v>
      </c>
      <c r="K978" s="72">
        <f t="shared" si="346"/>
        <v>0</v>
      </c>
      <c r="L978" s="72">
        <f t="shared" si="346"/>
        <v>0</v>
      </c>
      <c r="M978" s="72"/>
      <c r="N978" s="72">
        <f t="shared" si="346"/>
        <v>0</v>
      </c>
      <c r="O978" s="72">
        <f t="shared" si="346"/>
        <v>0</v>
      </c>
      <c r="P978" s="72">
        <f t="shared" si="346"/>
        <v>0</v>
      </c>
      <c r="Q978" s="72"/>
      <c r="R978" s="72">
        <f t="shared" si="346"/>
        <v>0</v>
      </c>
      <c r="S978" s="72">
        <f t="shared" si="346"/>
        <v>0</v>
      </c>
      <c r="T978" s="72">
        <f t="shared" si="346"/>
        <v>0</v>
      </c>
      <c r="U978" s="72">
        <f t="shared" si="346"/>
        <v>0</v>
      </c>
      <c r="V978" s="72">
        <f t="shared" si="346"/>
        <v>0</v>
      </c>
      <c r="W978" s="72"/>
      <c r="X978" s="72">
        <f t="shared" si="346"/>
        <v>0</v>
      </c>
      <c r="Y978" s="72">
        <f t="shared" si="346"/>
        <v>0</v>
      </c>
      <c r="Z978" s="72">
        <f t="shared" si="346"/>
        <v>72307888.569999993</v>
      </c>
      <c r="AA978" s="72">
        <f t="shared" si="346"/>
        <v>0</v>
      </c>
      <c r="AB978" s="72">
        <f t="shared" si="346"/>
        <v>72307888.569999993</v>
      </c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</row>
    <row r="979" spans="1:106" x14ac:dyDescent="0.25">
      <c r="A979" s="46"/>
      <c r="B979" s="26"/>
      <c r="C979" s="4"/>
      <c r="D979" s="70" t="s">
        <v>40</v>
      </c>
      <c r="E979" s="70" t="s">
        <v>40</v>
      </c>
      <c r="F979" s="70" t="s">
        <v>40</v>
      </c>
      <c r="G979" s="70"/>
      <c r="H979" s="70" t="s">
        <v>40</v>
      </c>
      <c r="I979" s="70" t="s">
        <v>40</v>
      </c>
      <c r="J979" s="70" t="s">
        <v>40</v>
      </c>
      <c r="K979" s="70" t="s">
        <v>40</v>
      </c>
      <c r="L979" s="70" t="s">
        <v>40</v>
      </c>
      <c r="M979" s="70"/>
      <c r="N979" s="70" t="s">
        <v>40</v>
      </c>
      <c r="O979" s="70" t="s">
        <v>40</v>
      </c>
      <c r="P979" s="70" t="s">
        <v>40</v>
      </c>
      <c r="Q979" s="70"/>
      <c r="R979" s="70" t="s">
        <v>40</v>
      </c>
      <c r="S979" s="70" t="s">
        <v>40</v>
      </c>
      <c r="T979" s="70" t="s">
        <v>40</v>
      </c>
      <c r="U979" s="70" t="s">
        <v>40</v>
      </c>
      <c r="V979" s="70" t="s">
        <v>40</v>
      </c>
      <c r="W979" s="70"/>
      <c r="X979" s="70" t="s">
        <v>40</v>
      </c>
      <c r="Y979" s="70" t="s">
        <v>40</v>
      </c>
      <c r="Z979" s="70" t="s">
        <v>40</v>
      </c>
      <c r="AA979" s="70" t="s">
        <v>40</v>
      </c>
      <c r="AB979" s="70" t="s">
        <v>40</v>
      </c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</row>
    <row r="980" spans="1:106" ht="15.75" customHeight="1" x14ac:dyDescent="0.25">
      <c r="A980" s="46">
        <v>103</v>
      </c>
      <c r="B980" s="26" t="s">
        <v>234</v>
      </c>
      <c r="C980" s="2" t="s">
        <v>35</v>
      </c>
      <c r="D980" s="72">
        <f>38624903.16-5521162.92</f>
        <v>33103740.239999995</v>
      </c>
      <c r="E980" s="70"/>
      <c r="F980" s="70"/>
      <c r="G980" s="70"/>
      <c r="H980" s="67">
        <f>E980+F980</f>
        <v>0</v>
      </c>
      <c r="I980" s="70"/>
      <c r="J980" s="70"/>
      <c r="K980" s="70"/>
      <c r="L980" s="70"/>
      <c r="M980" s="70"/>
      <c r="N980" s="67">
        <f>H980+L980</f>
        <v>0</v>
      </c>
      <c r="O980" s="70"/>
      <c r="P980" s="70"/>
      <c r="Q980" s="70"/>
      <c r="R980" s="67">
        <f>O980+P980</f>
        <v>0</v>
      </c>
      <c r="S980" s="70"/>
      <c r="T980" s="70"/>
      <c r="U980" s="70"/>
      <c r="V980" s="70"/>
      <c r="W980" s="70"/>
      <c r="X980" s="67">
        <f>R980+V980</f>
        <v>0</v>
      </c>
      <c r="Y980" s="67">
        <f t="shared" ref="Y980:Y985" si="347">R980+H980</f>
        <v>0</v>
      </c>
      <c r="Z980" s="67">
        <f t="shared" ref="Z980:Z985" si="348">D980-Y980</f>
        <v>33103740.239999995</v>
      </c>
      <c r="AA980" s="67">
        <f t="shared" ref="AA980:AA985" si="349">N980+X980</f>
        <v>0</v>
      </c>
      <c r="AB980" s="67">
        <f t="shared" ref="AB980:AB985" si="350">+D980-N980-X980</f>
        <v>33103740.239999995</v>
      </c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</row>
    <row r="981" spans="1:106" x14ac:dyDescent="0.25">
      <c r="A981" s="46"/>
      <c r="B981" s="26"/>
      <c r="C981" s="4" t="s">
        <v>36</v>
      </c>
      <c r="D981" s="72">
        <v>257193</v>
      </c>
      <c r="E981" s="72">
        <v>257193</v>
      </c>
      <c r="F981" s="70"/>
      <c r="G981" s="70"/>
      <c r="H981" s="67">
        <f>E981+F981</f>
        <v>257193</v>
      </c>
      <c r="I981" s="70"/>
      <c r="J981" s="70"/>
      <c r="K981" s="70"/>
      <c r="L981" s="70"/>
      <c r="M981" s="70"/>
      <c r="N981" s="67">
        <f>H981+L981</f>
        <v>257193</v>
      </c>
      <c r="O981" s="70"/>
      <c r="P981" s="70"/>
      <c r="Q981" s="70"/>
      <c r="R981" s="67">
        <f>O981+P981</f>
        <v>0</v>
      </c>
      <c r="S981" s="70"/>
      <c r="T981" s="70"/>
      <c r="U981" s="70"/>
      <c r="V981" s="70"/>
      <c r="W981" s="70"/>
      <c r="X981" s="67">
        <f>R981+V981</f>
        <v>0</v>
      </c>
      <c r="Y981" s="67">
        <f t="shared" si="347"/>
        <v>257193</v>
      </c>
      <c r="Z981" s="67">
        <f t="shared" si="348"/>
        <v>0</v>
      </c>
      <c r="AA981" s="67">
        <f t="shared" si="349"/>
        <v>257193</v>
      </c>
      <c r="AB981" s="67">
        <f t="shared" si="350"/>
        <v>0</v>
      </c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  <c r="CD981" s="4"/>
      <c r="CE981" s="4"/>
      <c r="CF981" s="4"/>
      <c r="CG981" s="4"/>
      <c r="CH981" s="4"/>
      <c r="CI981" s="4"/>
    </row>
    <row r="982" spans="1:106" x14ac:dyDescent="0.25">
      <c r="C982" s="4" t="s">
        <v>317</v>
      </c>
      <c r="D982" s="55">
        <v>5521162.9199999999</v>
      </c>
      <c r="E982" s="55">
        <v>5521162.9199999999</v>
      </c>
      <c r="F982" s="55"/>
      <c r="G982" s="55"/>
      <c r="H982" s="55">
        <f>+E982+F982</f>
        <v>5521162.9199999999</v>
      </c>
      <c r="I982" s="55"/>
      <c r="J982" s="55"/>
      <c r="K982" s="55"/>
      <c r="L982" s="55"/>
      <c r="M982" s="55"/>
      <c r="N982" s="55">
        <f>+H982+L982</f>
        <v>5521162.9199999999</v>
      </c>
      <c r="O982" s="55"/>
      <c r="P982" s="55"/>
      <c r="Q982" s="55"/>
      <c r="R982" s="55">
        <f>+O982+P982</f>
        <v>0</v>
      </c>
      <c r="S982" s="55"/>
      <c r="T982" s="55"/>
      <c r="U982" s="55"/>
      <c r="V982" s="55"/>
      <c r="W982" s="55"/>
      <c r="X982" s="55">
        <f>+R982+V982</f>
        <v>0</v>
      </c>
      <c r="Y982" s="67">
        <f t="shared" si="347"/>
        <v>5521162.9199999999</v>
      </c>
      <c r="Z982" s="67">
        <f t="shared" si="348"/>
        <v>0</v>
      </c>
      <c r="AA982" s="67">
        <f t="shared" si="349"/>
        <v>5521162.9199999999</v>
      </c>
      <c r="AB982" s="67">
        <f t="shared" si="350"/>
        <v>0</v>
      </c>
      <c r="BZ982" s="4"/>
      <c r="CA982" s="4"/>
      <c r="CB982" s="4"/>
      <c r="CC982" s="4"/>
    </row>
    <row r="983" spans="1:106" x14ac:dyDescent="0.25">
      <c r="A983" s="46"/>
      <c r="B983" s="26"/>
      <c r="C983" s="4" t="s">
        <v>183</v>
      </c>
      <c r="D983" s="72">
        <v>18626426.620000001</v>
      </c>
      <c r="E983" s="70"/>
      <c r="F983" s="70"/>
      <c r="G983" s="70"/>
      <c r="H983" s="67">
        <f>E983+F983</f>
        <v>0</v>
      </c>
      <c r="I983" s="70"/>
      <c r="J983" s="70"/>
      <c r="K983" s="70"/>
      <c r="L983" s="70"/>
      <c r="M983" s="70"/>
      <c r="N983" s="67">
        <f>H983+L983</f>
        <v>0</v>
      </c>
      <c r="O983" s="70"/>
      <c r="P983" s="70"/>
      <c r="Q983" s="70"/>
      <c r="R983" s="67">
        <f>O983+P983</f>
        <v>0</v>
      </c>
      <c r="S983" s="70"/>
      <c r="T983" s="70"/>
      <c r="U983" s="70"/>
      <c r="V983" s="70"/>
      <c r="W983" s="70"/>
      <c r="X983" s="67">
        <f>R983+V983</f>
        <v>0</v>
      </c>
      <c r="Y983" s="67">
        <f t="shared" si="347"/>
        <v>0</v>
      </c>
      <c r="Z983" s="67">
        <f t="shared" si="348"/>
        <v>18626426.620000001</v>
      </c>
      <c r="AA983" s="67">
        <f t="shared" si="349"/>
        <v>0</v>
      </c>
      <c r="AB983" s="67">
        <f t="shared" si="350"/>
        <v>18626426.620000001</v>
      </c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  <c r="BY983" s="4"/>
    </row>
    <row r="984" spans="1:106" ht="15.75" customHeight="1" x14ac:dyDescent="0.25">
      <c r="A984" s="46"/>
      <c r="B984" s="26"/>
      <c r="C984" s="4" t="s">
        <v>38</v>
      </c>
      <c r="D984" s="72">
        <v>7242000</v>
      </c>
      <c r="E984" s="70"/>
      <c r="F984" s="70"/>
      <c r="G984" s="70"/>
      <c r="H984" s="67">
        <f>E984+F984</f>
        <v>0</v>
      </c>
      <c r="I984" s="70"/>
      <c r="J984" s="70"/>
      <c r="K984" s="70"/>
      <c r="L984" s="70"/>
      <c r="M984" s="70"/>
      <c r="N984" s="67">
        <f>H984+L984</f>
        <v>0</v>
      </c>
      <c r="O984" s="70"/>
      <c r="P984" s="70"/>
      <c r="Q984" s="70"/>
      <c r="R984" s="67">
        <f>O984+P984</f>
        <v>0</v>
      </c>
      <c r="S984" s="70"/>
      <c r="T984" s="70"/>
      <c r="U984" s="70"/>
      <c r="V984" s="70"/>
      <c r="W984" s="70"/>
      <c r="X984" s="67">
        <f>R984+V984</f>
        <v>0</v>
      </c>
      <c r="Y984" s="67">
        <f t="shared" si="347"/>
        <v>0</v>
      </c>
      <c r="Z984" s="67">
        <f t="shared" si="348"/>
        <v>7242000</v>
      </c>
      <c r="AA984" s="67">
        <f t="shared" si="349"/>
        <v>0</v>
      </c>
      <c r="AB984" s="67">
        <f t="shared" si="350"/>
        <v>7242000</v>
      </c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</row>
    <row r="985" spans="1:106" x14ac:dyDescent="0.25">
      <c r="A985" s="46"/>
      <c r="B985" s="26"/>
      <c r="C985" s="4" t="s">
        <v>184</v>
      </c>
      <c r="D985" s="72">
        <v>709704.47</v>
      </c>
      <c r="E985" s="70"/>
      <c r="F985" s="70"/>
      <c r="G985" s="70"/>
      <c r="H985" s="67">
        <f>E985+F985</f>
        <v>0</v>
      </c>
      <c r="I985" s="70"/>
      <c r="J985" s="70"/>
      <c r="K985" s="70"/>
      <c r="L985" s="70"/>
      <c r="M985" s="70"/>
      <c r="N985" s="67">
        <f>H985+L985</f>
        <v>0</v>
      </c>
      <c r="O985" s="70"/>
      <c r="P985" s="70"/>
      <c r="Q985" s="70"/>
      <c r="R985" s="67">
        <f>O985+P985</f>
        <v>0</v>
      </c>
      <c r="S985" s="70"/>
      <c r="T985" s="70"/>
      <c r="U985" s="70"/>
      <c r="V985" s="70"/>
      <c r="W985" s="70"/>
      <c r="X985" s="67">
        <f>R985+V985</f>
        <v>0</v>
      </c>
      <c r="Y985" s="67">
        <f t="shared" si="347"/>
        <v>0</v>
      </c>
      <c r="Z985" s="67">
        <f t="shared" si="348"/>
        <v>709704.47</v>
      </c>
      <c r="AA985" s="67">
        <f t="shared" si="349"/>
        <v>0</v>
      </c>
      <c r="AB985" s="67">
        <f t="shared" si="350"/>
        <v>709704.47</v>
      </c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</row>
    <row r="986" spans="1:106" x14ac:dyDescent="0.25">
      <c r="A986" s="46"/>
      <c r="B986" s="26"/>
      <c r="C986" s="4"/>
      <c r="D986" s="70" t="s">
        <v>40</v>
      </c>
      <c r="E986" s="70" t="s">
        <v>40</v>
      </c>
      <c r="F986" s="70" t="s">
        <v>40</v>
      </c>
      <c r="G986" s="70"/>
      <c r="H986" s="70" t="s">
        <v>40</v>
      </c>
      <c r="I986" s="70" t="s">
        <v>40</v>
      </c>
      <c r="J986" s="70" t="s">
        <v>40</v>
      </c>
      <c r="K986" s="70" t="s">
        <v>40</v>
      </c>
      <c r="L986" s="70" t="s">
        <v>40</v>
      </c>
      <c r="M986" s="70"/>
      <c r="N986" s="70" t="s">
        <v>40</v>
      </c>
      <c r="O986" s="70" t="s">
        <v>40</v>
      </c>
      <c r="P986" s="70" t="s">
        <v>40</v>
      </c>
      <c r="Q986" s="70"/>
      <c r="R986" s="70" t="s">
        <v>40</v>
      </c>
      <c r="S986" s="70" t="s">
        <v>40</v>
      </c>
      <c r="T986" s="70" t="s">
        <v>40</v>
      </c>
      <c r="U986" s="70" t="s">
        <v>40</v>
      </c>
      <c r="V986" s="70" t="s">
        <v>40</v>
      </c>
      <c r="W986" s="70"/>
      <c r="X986" s="70" t="s">
        <v>40</v>
      </c>
      <c r="Y986" s="70" t="s">
        <v>40</v>
      </c>
      <c r="Z986" s="70" t="s">
        <v>40</v>
      </c>
      <c r="AA986" s="70" t="s">
        <v>40</v>
      </c>
      <c r="AB986" s="70" t="s">
        <v>40</v>
      </c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</row>
    <row r="987" spans="1:106" x14ac:dyDescent="0.25">
      <c r="A987" s="46"/>
      <c r="B987" s="26"/>
      <c r="C987" s="4"/>
      <c r="D987" s="72">
        <f>SUM(D980:D985)</f>
        <v>65460227.25</v>
      </c>
      <c r="E987" s="72">
        <f>SUM(E980:E985)</f>
        <v>5778355.9199999999</v>
      </c>
      <c r="F987" s="72">
        <f>SUM(F980:F985)</f>
        <v>0</v>
      </c>
      <c r="G987" s="72"/>
      <c r="H987" s="72">
        <f>SUM(H980:H985)</f>
        <v>5778355.9199999999</v>
      </c>
      <c r="I987" s="72">
        <f>SUM(I980:I985)</f>
        <v>0</v>
      </c>
      <c r="J987" s="72">
        <f>SUM(J980:J985)</f>
        <v>0</v>
      </c>
      <c r="K987" s="72">
        <f>SUM(K980:K985)</f>
        <v>0</v>
      </c>
      <c r="L987" s="72">
        <f>SUM(L980:L985)</f>
        <v>0</v>
      </c>
      <c r="M987" s="72"/>
      <c r="N987" s="72">
        <f>SUM(N980:N985)</f>
        <v>5778355.9199999999</v>
      </c>
      <c r="O987" s="72">
        <f>SUM(O980:O985)</f>
        <v>0</v>
      </c>
      <c r="P987" s="72">
        <f>SUM(P980:P985)</f>
        <v>0</v>
      </c>
      <c r="Q987" s="72"/>
      <c r="R987" s="72">
        <f>SUM(R980:R985)</f>
        <v>0</v>
      </c>
      <c r="S987" s="72">
        <f>SUM(S980:S985)</f>
        <v>0</v>
      </c>
      <c r="T987" s="72">
        <f>SUM(T980:T985)</f>
        <v>0</v>
      </c>
      <c r="U987" s="72">
        <f>SUM(U980:U985)</f>
        <v>0</v>
      </c>
      <c r="V987" s="72">
        <f>SUM(V980:V985)</f>
        <v>0</v>
      </c>
      <c r="W987" s="72"/>
      <c r="X987" s="72">
        <f>SUM(X980:X985)</f>
        <v>0</v>
      </c>
      <c r="Y987" s="72">
        <f>SUM(Y980:Y985)</f>
        <v>5778355.9199999999</v>
      </c>
      <c r="Z987" s="72">
        <f>SUM(Z980:Z985)</f>
        <v>59681871.329999998</v>
      </c>
      <c r="AA987" s="72">
        <f>SUM(AA980:AA985)</f>
        <v>5778355.9199999999</v>
      </c>
      <c r="AB987" s="72">
        <f>SUM(AB980:AB985)</f>
        <v>59681871.329999998</v>
      </c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  <c r="BW987" s="4"/>
      <c r="BX987" s="4"/>
    </row>
    <row r="988" spans="1:106" x14ac:dyDescent="0.25">
      <c r="A988" s="46"/>
      <c r="B988" s="26"/>
      <c r="C988" s="4"/>
      <c r="D988" s="70" t="s">
        <v>40</v>
      </c>
      <c r="E988" s="70" t="s">
        <v>40</v>
      </c>
      <c r="F988" s="70" t="s">
        <v>40</v>
      </c>
      <c r="G988" s="70"/>
      <c r="H988" s="70" t="s">
        <v>40</v>
      </c>
      <c r="I988" s="70" t="s">
        <v>40</v>
      </c>
      <c r="J988" s="70" t="s">
        <v>40</v>
      </c>
      <c r="K988" s="70" t="s">
        <v>40</v>
      </c>
      <c r="L988" s="70" t="s">
        <v>40</v>
      </c>
      <c r="M988" s="70"/>
      <c r="N988" s="70" t="s">
        <v>40</v>
      </c>
      <c r="O988" s="70" t="s">
        <v>40</v>
      </c>
      <c r="P988" s="70" t="s">
        <v>40</v>
      </c>
      <c r="Q988" s="70"/>
      <c r="R988" s="70" t="s">
        <v>40</v>
      </c>
      <c r="S988" s="70" t="s">
        <v>40</v>
      </c>
      <c r="T988" s="70" t="s">
        <v>40</v>
      </c>
      <c r="U988" s="70" t="s">
        <v>40</v>
      </c>
      <c r="V988" s="70" t="s">
        <v>40</v>
      </c>
      <c r="W988" s="70"/>
      <c r="X988" s="70" t="s">
        <v>40</v>
      </c>
      <c r="Y988" s="70" t="s">
        <v>40</v>
      </c>
      <c r="Z988" s="70" t="s">
        <v>40</v>
      </c>
      <c r="AA988" s="70" t="s">
        <v>40</v>
      </c>
      <c r="AB988" s="70" t="s">
        <v>40</v>
      </c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</row>
    <row r="989" spans="1:106" x14ac:dyDescent="0.25">
      <c r="A989" s="46">
        <v>104</v>
      </c>
      <c r="B989" s="26" t="s">
        <v>235</v>
      </c>
      <c r="C989" s="2" t="s">
        <v>35</v>
      </c>
      <c r="D989" s="72">
        <v>0</v>
      </c>
      <c r="E989" s="72"/>
      <c r="F989" s="72"/>
      <c r="G989" s="72"/>
      <c r="H989" s="72">
        <f>E989+F989</f>
        <v>0</v>
      </c>
      <c r="I989" s="72"/>
      <c r="J989" s="72"/>
      <c r="K989" s="72"/>
      <c r="L989" s="72"/>
      <c r="M989" s="72"/>
      <c r="N989" s="72">
        <f>H989+L989</f>
        <v>0</v>
      </c>
      <c r="O989" s="72"/>
      <c r="P989" s="72"/>
      <c r="Q989" s="72"/>
      <c r="R989" s="72">
        <f>O989+P989</f>
        <v>0</v>
      </c>
      <c r="S989" s="72"/>
      <c r="T989" s="72"/>
      <c r="U989" s="72"/>
      <c r="V989" s="72"/>
      <c r="W989" s="72"/>
      <c r="X989" s="72">
        <f>R989+V989</f>
        <v>0</v>
      </c>
      <c r="Y989" s="72">
        <f t="shared" ref="Y989:Y994" si="351">R989+H989</f>
        <v>0</v>
      </c>
      <c r="Z989" s="72">
        <f t="shared" ref="Z989:Z994" si="352">D989-Y989</f>
        <v>0</v>
      </c>
      <c r="AA989" s="72">
        <f t="shared" ref="AA989:AA994" si="353">N989+X989</f>
        <v>0</v>
      </c>
      <c r="AB989" s="67">
        <f t="shared" ref="AB989:AB994" si="354">+D989-N989-X989</f>
        <v>0</v>
      </c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  <c r="BR989" s="4"/>
      <c r="BS989" s="4"/>
      <c r="BT989" s="4"/>
      <c r="BU989" s="4"/>
      <c r="BV989" s="4"/>
    </row>
    <row r="990" spans="1:106" x14ac:dyDescent="0.25">
      <c r="A990" s="46"/>
      <c r="B990" s="26"/>
      <c r="C990" s="4" t="s">
        <v>36</v>
      </c>
      <c r="D990" s="72">
        <v>2580531</v>
      </c>
      <c r="E990" s="72">
        <v>2580531</v>
      </c>
      <c r="F990" s="72"/>
      <c r="G990" s="72"/>
      <c r="H990" s="72">
        <f>E990+F990</f>
        <v>2580531</v>
      </c>
      <c r="I990" s="72"/>
      <c r="J990" s="72"/>
      <c r="K990" s="72"/>
      <c r="L990" s="72"/>
      <c r="M990" s="72"/>
      <c r="N990" s="72">
        <f>H990+L990</f>
        <v>2580531</v>
      </c>
      <c r="O990" s="72"/>
      <c r="P990" s="72"/>
      <c r="Q990" s="72"/>
      <c r="R990" s="72">
        <f>O990+P990</f>
        <v>0</v>
      </c>
      <c r="S990" s="72"/>
      <c r="T990" s="72"/>
      <c r="U990" s="72"/>
      <c r="V990" s="72"/>
      <c r="W990" s="72"/>
      <c r="X990" s="72">
        <f>R990+V990</f>
        <v>0</v>
      </c>
      <c r="Y990" s="72">
        <f t="shared" si="351"/>
        <v>2580531</v>
      </c>
      <c r="Z990" s="72">
        <f t="shared" si="352"/>
        <v>0</v>
      </c>
      <c r="AA990" s="72">
        <f t="shared" si="353"/>
        <v>2580531</v>
      </c>
      <c r="AB990" s="67">
        <f t="shared" si="354"/>
        <v>0</v>
      </c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  <c r="BQ990" s="4"/>
    </row>
    <row r="991" spans="1:106" x14ac:dyDescent="0.25">
      <c r="C991" s="4" t="s">
        <v>305</v>
      </c>
      <c r="D991" s="55">
        <v>8725120.4399999995</v>
      </c>
      <c r="E991" s="55">
        <v>8725120.4399999995</v>
      </c>
      <c r="F991" s="55"/>
      <c r="G991" s="55"/>
      <c r="H991" s="55">
        <f>+E991+F991</f>
        <v>8725120.4399999995</v>
      </c>
      <c r="I991" s="55"/>
      <c r="J991" s="55"/>
      <c r="K991" s="55"/>
      <c r="L991" s="55"/>
      <c r="M991" s="55"/>
      <c r="N991" s="55">
        <f>+H991+L991</f>
        <v>8725120.4399999995</v>
      </c>
      <c r="O991" s="55"/>
      <c r="P991" s="55"/>
      <c r="Q991" s="55"/>
      <c r="R991" s="55">
        <f>+O991+P991</f>
        <v>0</v>
      </c>
      <c r="S991" s="55"/>
      <c r="T991" s="55"/>
      <c r="U991" s="55"/>
      <c r="V991" s="55"/>
      <c r="W991" s="55"/>
      <c r="X991" s="55">
        <f>+R991+V991</f>
        <v>0</v>
      </c>
      <c r="Y991" s="72">
        <f t="shared" si="351"/>
        <v>8725120.4399999995</v>
      </c>
      <c r="Z991" s="72">
        <f t="shared" si="352"/>
        <v>0</v>
      </c>
      <c r="AA991" s="72">
        <f t="shared" si="353"/>
        <v>8725120.4399999995</v>
      </c>
      <c r="AB991" s="67">
        <f t="shared" si="354"/>
        <v>0</v>
      </c>
      <c r="BN991" s="4"/>
      <c r="BO991" s="4"/>
      <c r="BP991" s="4"/>
    </row>
    <row r="992" spans="1:106" x14ac:dyDescent="0.25">
      <c r="C992" s="4" t="s">
        <v>290</v>
      </c>
      <c r="D992" s="55">
        <f>5391717.7+4920816.75+4880381.7+5141192.23+5257366.95+5159847.7+5112155.45+5122851.19+5203274.16+4964140.51+4967068.6+5011169.83+4964262.8+5275866.64</f>
        <v>71372112.209999993</v>
      </c>
      <c r="E992" s="55">
        <f>5391717.7+4920816.75+10021573.93+5257366.95+5159847.7+5112155.45+5122851.19+5203274.16+4964140.51+4967068.6+5011169.83+4964262.8</f>
        <v>66096245.569999993</v>
      </c>
      <c r="F992" s="55">
        <v>5275866.6399999997</v>
      </c>
      <c r="G992" s="55"/>
      <c r="H992" s="55">
        <f>+E992+F992</f>
        <v>71372112.209999993</v>
      </c>
      <c r="I992" s="55"/>
      <c r="J992" s="55"/>
      <c r="K992" s="55"/>
      <c r="L992" s="55"/>
      <c r="M992" s="55"/>
      <c r="N992" s="55">
        <f>+H992+L992</f>
        <v>71372112.209999993</v>
      </c>
      <c r="O992" s="55"/>
      <c r="P992" s="55"/>
      <c r="Q992" s="55"/>
      <c r="R992" s="55">
        <f>+O992+P992</f>
        <v>0</v>
      </c>
      <c r="S992" s="55"/>
      <c r="T992" s="55"/>
      <c r="U992" s="55"/>
      <c r="V992" s="55"/>
      <c r="W992" s="55"/>
      <c r="X992" s="55">
        <f>+R992+V992</f>
        <v>0</v>
      </c>
      <c r="Y992" s="72">
        <f t="shared" si="351"/>
        <v>71372112.209999993</v>
      </c>
      <c r="Z992" s="72">
        <f t="shared" si="352"/>
        <v>0</v>
      </c>
      <c r="AA992" s="72">
        <f t="shared" si="353"/>
        <v>71372112.209999993</v>
      </c>
      <c r="AB992" s="67">
        <f t="shared" si="354"/>
        <v>0</v>
      </c>
      <c r="BM992" s="4"/>
    </row>
    <row r="993" spans="1:106" ht="15.75" customHeight="1" x14ac:dyDescent="0.25">
      <c r="A993" s="46"/>
      <c r="B993" s="26"/>
      <c r="C993" s="4" t="s">
        <v>53</v>
      </c>
      <c r="D993" s="72">
        <f>230473.52+857356.33</f>
        <v>1087829.8499999999</v>
      </c>
      <c r="E993" s="72"/>
      <c r="F993" s="72"/>
      <c r="G993" s="72"/>
      <c r="H993" s="72">
        <f>E993+F993</f>
        <v>0</v>
      </c>
      <c r="I993" s="72"/>
      <c r="J993" s="72"/>
      <c r="K993" s="72"/>
      <c r="L993" s="72"/>
      <c r="M993" s="72"/>
      <c r="N993" s="72">
        <f>H993+L993</f>
        <v>0</v>
      </c>
      <c r="O993" s="72">
        <v>1087829.8500000001</v>
      </c>
      <c r="P993" s="72"/>
      <c r="Q993" s="72"/>
      <c r="R993" s="72">
        <f>O993+P993</f>
        <v>1087829.8500000001</v>
      </c>
      <c r="S993" s="72"/>
      <c r="T993" s="72"/>
      <c r="U993" s="72"/>
      <c r="V993" s="72"/>
      <c r="W993" s="72"/>
      <c r="X993" s="72">
        <f>R993+V993</f>
        <v>1087829.8500000001</v>
      </c>
      <c r="Y993" s="67">
        <f t="shared" si="351"/>
        <v>1087829.8500000001</v>
      </c>
      <c r="Z993" s="72">
        <f t="shared" si="352"/>
        <v>0</v>
      </c>
      <c r="AA993" s="72">
        <f t="shared" si="353"/>
        <v>1087829.8500000001</v>
      </c>
      <c r="AB993" s="67">
        <f t="shared" si="354"/>
        <v>0</v>
      </c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</row>
    <row r="994" spans="1:106" s="4" customFormat="1" ht="16.5" customHeight="1" x14ac:dyDescent="0.25">
      <c r="A994" s="46"/>
      <c r="B994" s="26"/>
      <c r="C994" s="4" t="s">
        <v>54</v>
      </c>
      <c r="D994" s="72">
        <v>5765922.1600000001</v>
      </c>
      <c r="E994" s="72"/>
      <c r="F994" s="72"/>
      <c r="G994" s="72"/>
      <c r="H994" s="72">
        <f>E994+F994</f>
        <v>0</v>
      </c>
      <c r="I994" s="72"/>
      <c r="J994" s="72"/>
      <c r="K994" s="72"/>
      <c r="L994" s="72"/>
      <c r="M994" s="72"/>
      <c r="N994" s="72">
        <f>H994+L994</f>
        <v>0</v>
      </c>
      <c r="O994" s="72">
        <f>181752.55+516471.9</f>
        <v>698224.45</v>
      </c>
      <c r="P994" s="72"/>
      <c r="Q994" s="72"/>
      <c r="R994" s="72">
        <f>O994+P994</f>
        <v>698224.45</v>
      </c>
      <c r="S994" s="72"/>
      <c r="T994" s="72"/>
      <c r="U994" s="72"/>
      <c r="V994" s="72"/>
      <c r="W994" s="72"/>
      <c r="X994" s="72">
        <f>R994+V994</f>
        <v>698224.45</v>
      </c>
      <c r="Y994" s="72">
        <f t="shared" si="351"/>
        <v>698224.45</v>
      </c>
      <c r="Z994" s="72">
        <f t="shared" si="352"/>
        <v>5067697.71</v>
      </c>
      <c r="AA994" s="72">
        <f t="shared" si="353"/>
        <v>698224.45</v>
      </c>
      <c r="AB994" s="67">
        <f t="shared" si="354"/>
        <v>5067697.71</v>
      </c>
      <c r="AC9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</row>
    <row r="995" spans="1:106" ht="15.75" customHeight="1" x14ac:dyDescent="0.25">
      <c r="A995" s="46"/>
      <c r="B995" s="26"/>
      <c r="C995" s="4"/>
      <c r="D995" s="70" t="s">
        <v>40</v>
      </c>
      <c r="E995" s="70" t="s">
        <v>40</v>
      </c>
      <c r="F995" s="70" t="s">
        <v>40</v>
      </c>
      <c r="G995" s="70"/>
      <c r="H995" s="70" t="s">
        <v>40</v>
      </c>
      <c r="I995" s="70" t="s">
        <v>40</v>
      </c>
      <c r="J995" s="70" t="s">
        <v>40</v>
      </c>
      <c r="K995" s="70" t="s">
        <v>40</v>
      </c>
      <c r="L995" s="70" t="s">
        <v>40</v>
      </c>
      <c r="M995" s="70"/>
      <c r="N995" s="70" t="s">
        <v>40</v>
      </c>
      <c r="O995" s="70" t="s">
        <v>40</v>
      </c>
      <c r="P995" s="70" t="s">
        <v>40</v>
      </c>
      <c r="Q995" s="70"/>
      <c r="R995" s="70" t="s">
        <v>40</v>
      </c>
      <c r="S995" s="70" t="s">
        <v>40</v>
      </c>
      <c r="T995" s="70" t="s">
        <v>40</v>
      </c>
      <c r="U995" s="70" t="s">
        <v>40</v>
      </c>
      <c r="V995" s="70" t="s">
        <v>40</v>
      </c>
      <c r="W995" s="70"/>
      <c r="X995" s="70" t="s">
        <v>40</v>
      </c>
      <c r="Y995" s="70" t="s">
        <v>40</v>
      </c>
      <c r="Z995" s="70" t="s">
        <v>40</v>
      </c>
      <c r="AA995" s="70" t="s">
        <v>40</v>
      </c>
      <c r="AB995" s="70" t="s">
        <v>40</v>
      </c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BI995" s="4"/>
      <c r="BJ995" s="4"/>
      <c r="BK995" s="4"/>
    </row>
    <row r="996" spans="1:106" x14ac:dyDescent="0.25">
      <c r="A996" s="46"/>
      <c r="B996" s="26"/>
      <c r="C996" s="4"/>
      <c r="D996" s="72">
        <f>SUM(D989:D994)</f>
        <v>89531515.659999982</v>
      </c>
      <c r="E996" s="72">
        <f>SUM(E989:E994)</f>
        <v>77401897.00999999</v>
      </c>
      <c r="F996" s="72">
        <f>SUM(F989:F994)</f>
        <v>5275866.6399999997</v>
      </c>
      <c r="G996" s="72"/>
      <c r="H996" s="72">
        <f>SUM(H989:H994)</f>
        <v>82677763.649999991</v>
      </c>
      <c r="I996" s="72">
        <f>SUM(I989:I994)</f>
        <v>0</v>
      </c>
      <c r="J996" s="72">
        <f>SUM(J989:J994)</f>
        <v>0</v>
      </c>
      <c r="K996" s="72">
        <f>SUM(K989:K994)</f>
        <v>0</v>
      </c>
      <c r="L996" s="72">
        <f>SUM(L989:L994)</f>
        <v>0</v>
      </c>
      <c r="M996" s="72"/>
      <c r="N996" s="72">
        <f>SUM(N989:N994)</f>
        <v>82677763.649999991</v>
      </c>
      <c r="O996" s="72">
        <f>SUM(O989:O994)</f>
        <v>1786054.3</v>
      </c>
      <c r="P996" s="72">
        <f>SUM(P989:P994)</f>
        <v>0</v>
      </c>
      <c r="Q996" s="72"/>
      <c r="R996" s="72">
        <f>SUM(R989:R994)</f>
        <v>1786054.3</v>
      </c>
      <c r="S996" s="72">
        <f>SUM(S989:S994)</f>
        <v>0</v>
      </c>
      <c r="T996" s="72">
        <f>SUM(T989:T994)</f>
        <v>0</v>
      </c>
      <c r="U996" s="72">
        <f>SUM(U989:U994)</f>
        <v>0</v>
      </c>
      <c r="V996" s="72">
        <f>SUM(V989:V994)</f>
        <v>0</v>
      </c>
      <c r="W996" s="72"/>
      <c r="X996" s="72">
        <f>SUM(X989:X994)</f>
        <v>1786054.3</v>
      </c>
      <c r="Y996" s="72">
        <f>SUM(Y989:Y994)</f>
        <v>84463817.949999988</v>
      </c>
      <c r="Z996" s="72">
        <f>SUM(Z989:Z994)</f>
        <v>5067697.71</v>
      </c>
      <c r="AA996" s="72">
        <f>SUM(AA989:AA994)</f>
        <v>84463817.949999988</v>
      </c>
      <c r="AB996" s="72">
        <f>SUM(AB989:AB994)</f>
        <v>5067697.71</v>
      </c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  <c r="BG996" s="4"/>
      <c r="BH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</row>
    <row r="997" spans="1:106" ht="15.75" customHeight="1" x14ac:dyDescent="0.25">
      <c r="A997" s="46"/>
      <c r="B997" s="26"/>
      <c r="C997" s="4"/>
      <c r="D997" s="70" t="s">
        <v>40</v>
      </c>
      <c r="E997" s="70" t="s">
        <v>40</v>
      </c>
      <c r="F997" s="70" t="s">
        <v>40</v>
      </c>
      <c r="G997" s="70"/>
      <c r="H997" s="70" t="s">
        <v>40</v>
      </c>
      <c r="I997" s="70" t="s">
        <v>40</v>
      </c>
      <c r="J997" s="70" t="s">
        <v>40</v>
      </c>
      <c r="K997" s="70" t="s">
        <v>40</v>
      </c>
      <c r="L997" s="70" t="s">
        <v>40</v>
      </c>
      <c r="M997" s="70"/>
      <c r="N997" s="70" t="s">
        <v>40</v>
      </c>
      <c r="O997" s="70" t="s">
        <v>40</v>
      </c>
      <c r="P997" s="70" t="s">
        <v>40</v>
      </c>
      <c r="Q997" s="70"/>
      <c r="R997" s="70" t="s">
        <v>40</v>
      </c>
      <c r="S997" s="70" t="s">
        <v>40</v>
      </c>
      <c r="T997" s="70" t="s">
        <v>40</v>
      </c>
      <c r="U997" s="70" t="s">
        <v>40</v>
      </c>
      <c r="V997" s="70" t="s">
        <v>40</v>
      </c>
      <c r="W997" s="70"/>
      <c r="X997" s="70" t="s">
        <v>40</v>
      </c>
      <c r="Y997" s="70" t="s">
        <v>40</v>
      </c>
      <c r="Z997" s="70" t="s">
        <v>40</v>
      </c>
      <c r="AA997" s="70" t="s">
        <v>40</v>
      </c>
      <c r="AB997" s="70" t="s">
        <v>40</v>
      </c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  <c r="BF997" s="4"/>
    </row>
    <row r="998" spans="1:106" x14ac:dyDescent="0.25">
      <c r="A998" s="46">
        <v>105</v>
      </c>
      <c r="B998" s="26" t="s">
        <v>236</v>
      </c>
      <c r="C998" s="2" t="s">
        <v>35</v>
      </c>
      <c r="D998" s="72">
        <f>3530088.26+17292.2-3077163.6</f>
        <v>470216.85999999987</v>
      </c>
      <c r="E998" s="72"/>
      <c r="F998" s="72"/>
      <c r="G998" s="72"/>
      <c r="H998" s="72">
        <f>E998+F998</f>
        <v>0</v>
      </c>
      <c r="I998" s="72"/>
      <c r="J998" s="72"/>
      <c r="K998" s="72"/>
      <c r="L998" s="72"/>
      <c r="M998" s="72"/>
      <c r="N998" s="72">
        <f>H998+L998</f>
        <v>0</v>
      </c>
      <c r="O998" s="72">
        <f>17292.2+44184.18-44184.18</f>
        <v>17292.200000000004</v>
      </c>
      <c r="P998" s="72"/>
      <c r="Q998" s="72"/>
      <c r="R998" s="72">
        <f>O998+P998</f>
        <v>17292.200000000004</v>
      </c>
      <c r="S998" s="72"/>
      <c r="T998" s="72"/>
      <c r="U998" s="72"/>
      <c r="V998" s="72">
        <v>0</v>
      </c>
      <c r="W998" s="72"/>
      <c r="X998" s="72">
        <f>R998+V998</f>
        <v>17292.200000000004</v>
      </c>
      <c r="Y998" s="72">
        <f>R998+H998</f>
        <v>17292.200000000004</v>
      </c>
      <c r="Z998" s="72">
        <f>D998-Y998</f>
        <v>452924.65999999986</v>
      </c>
      <c r="AA998" s="72">
        <f>N998+X998</f>
        <v>17292.200000000004</v>
      </c>
      <c r="AB998" s="67">
        <f>+D998-N998-X998</f>
        <v>452924.65999999986</v>
      </c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  <c r="CD998" s="4"/>
      <c r="CE998" s="4"/>
      <c r="CF998" s="4"/>
      <c r="CG998" s="4"/>
      <c r="CH998" s="4"/>
      <c r="CI998" s="4"/>
    </row>
    <row r="999" spans="1:106" ht="15.75" customHeight="1" x14ac:dyDescent="0.25">
      <c r="C999" s="4" t="s">
        <v>317</v>
      </c>
      <c r="D999" s="55">
        <v>3077163.6</v>
      </c>
      <c r="E999" s="55">
        <v>3077163.6</v>
      </c>
      <c r="F999" s="55"/>
      <c r="G999" s="55"/>
      <c r="H999" s="55">
        <f>+E999+F999</f>
        <v>3077163.6</v>
      </c>
      <c r="I999" s="55"/>
      <c r="J999" s="55"/>
      <c r="K999" s="55"/>
      <c r="L999" s="55"/>
      <c r="M999" s="55"/>
      <c r="N999" s="55">
        <f>+H999+L999</f>
        <v>3077163.6</v>
      </c>
      <c r="O999" s="55">
        <v>0</v>
      </c>
      <c r="P999" s="55"/>
      <c r="Q999" s="55"/>
      <c r="R999" s="55">
        <f>+O999+P999</f>
        <v>0</v>
      </c>
      <c r="S999" s="55"/>
      <c r="T999" s="55"/>
      <c r="U999" s="55"/>
      <c r="V999" s="55"/>
      <c r="W999" s="55"/>
      <c r="X999" s="55">
        <f>+R999+V999</f>
        <v>0</v>
      </c>
      <c r="Y999" s="72">
        <f>R999+H999</f>
        <v>3077163.6</v>
      </c>
      <c r="Z999" s="72">
        <f>D999-Y999</f>
        <v>0</v>
      </c>
      <c r="AA999" s="72">
        <f>N999+X999</f>
        <v>3077163.6</v>
      </c>
      <c r="AB999" s="67">
        <f>+D999-N999-X999</f>
        <v>0</v>
      </c>
      <c r="BC999" s="4"/>
      <c r="BD999" s="4"/>
      <c r="BE999" s="4"/>
      <c r="BZ999" s="4"/>
      <c r="CA999" s="4"/>
      <c r="CB999" s="4"/>
      <c r="CC999" s="4"/>
    </row>
    <row r="1000" spans="1:106" ht="15.75" customHeight="1" x14ac:dyDescent="0.25">
      <c r="A1000" s="46"/>
      <c r="B1000" s="26"/>
      <c r="C1000" s="4" t="s">
        <v>36</v>
      </c>
      <c r="D1000" s="72">
        <v>125000</v>
      </c>
      <c r="E1000" s="72">
        <v>125000</v>
      </c>
      <c r="F1000" s="72"/>
      <c r="G1000" s="72"/>
      <c r="H1000" s="72">
        <f>E1000+F1000</f>
        <v>125000</v>
      </c>
      <c r="I1000" s="72"/>
      <c r="J1000" s="72"/>
      <c r="K1000" s="72"/>
      <c r="L1000" s="72"/>
      <c r="M1000" s="72"/>
      <c r="N1000" s="72">
        <f>+H1000+L1000</f>
        <v>125000</v>
      </c>
      <c r="O1000" s="72"/>
      <c r="P1000" s="72"/>
      <c r="Q1000" s="72"/>
      <c r="R1000" s="72">
        <f>O1000+P1000</f>
        <v>0</v>
      </c>
      <c r="S1000" s="72"/>
      <c r="T1000" s="72"/>
      <c r="U1000" s="72"/>
      <c r="V1000" s="72"/>
      <c r="W1000" s="72"/>
      <c r="X1000" s="72">
        <f>R1000+V1000</f>
        <v>0</v>
      </c>
      <c r="Y1000" s="72">
        <f>R1000+H1000</f>
        <v>125000</v>
      </c>
      <c r="Z1000" s="72">
        <f>D1000-Y1000</f>
        <v>0</v>
      </c>
      <c r="AA1000" s="72">
        <f>N1000+X1000</f>
        <v>125000</v>
      </c>
      <c r="AB1000" s="67">
        <f>+D1000-N1000-X1000</f>
        <v>0</v>
      </c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  <c r="BY1000" s="4"/>
    </row>
    <row r="1001" spans="1:106" ht="14.25" customHeight="1" x14ac:dyDescent="0.25">
      <c r="A1001" s="46"/>
      <c r="B1001" s="26"/>
      <c r="C1001" s="4"/>
      <c r="D1001" s="70" t="s">
        <v>40</v>
      </c>
      <c r="E1001" s="70" t="s">
        <v>40</v>
      </c>
      <c r="F1001" s="70" t="s">
        <v>40</v>
      </c>
      <c r="G1001" s="70"/>
      <c r="H1001" s="70" t="s">
        <v>40</v>
      </c>
      <c r="I1001" s="70" t="s">
        <v>40</v>
      </c>
      <c r="J1001" s="70" t="s">
        <v>40</v>
      </c>
      <c r="K1001" s="70" t="s">
        <v>40</v>
      </c>
      <c r="L1001" s="70" t="s">
        <v>40</v>
      </c>
      <c r="M1001" s="70"/>
      <c r="N1001" s="70" t="s">
        <v>40</v>
      </c>
      <c r="O1001" s="70" t="s">
        <v>40</v>
      </c>
      <c r="P1001" s="70" t="s">
        <v>40</v>
      </c>
      <c r="Q1001" s="70"/>
      <c r="R1001" s="70" t="s">
        <v>40</v>
      </c>
      <c r="S1001" s="70" t="s">
        <v>40</v>
      </c>
      <c r="T1001" s="70" t="s">
        <v>40</v>
      </c>
      <c r="U1001" s="70" t="s">
        <v>40</v>
      </c>
      <c r="V1001" s="70" t="s">
        <v>40</v>
      </c>
      <c r="W1001" s="70"/>
      <c r="X1001" s="70" t="s">
        <v>40</v>
      </c>
      <c r="Y1001" s="70" t="s">
        <v>40</v>
      </c>
      <c r="Z1001" s="70" t="s">
        <v>40</v>
      </c>
      <c r="AA1001" s="70" t="s">
        <v>40</v>
      </c>
      <c r="AB1001" s="70" t="s">
        <v>40</v>
      </c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</row>
    <row r="1002" spans="1:106" x14ac:dyDescent="0.25">
      <c r="A1002" s="46"/>
      <c r="B1002" s="161"/>
      <c r="C1002" s="4"/>
      <c r="D1002" s="72">
        <f>SUM(D998:D1000)</f>
        <v>3672380.46</v>
      </c>
      <c r="E1002" s="72">
        <f>SUM(E998:E1000)</f>
        <v>3202163.6</v>
      </c>
      <c r="F1002" s="72">
        <f>SUM(F998:F1000)</f>
        <v>0</v>
      </c>
      <c r="G1002" s="72"/>
      <c r="H1002" s="72">
        <f>SUM(H998:H1000)</f>
        <v>3202163.6</v>
      </c>
      <c r="I1002" s="72">
        <f>SUM(I998:I1000)</f>
        <v>0</v>
      </c>
      <c r="J1002" s="72">
        <f>SUM(J998:J1000)</f>
        <v>0</v>
      </c>
      <c r="K1002" s="72">
        <f>SUM(K998:K1000)</f>
        <v>0</v>
      </c>
      <c r="L1002" s="72">
        <f>SUM(L998:L1000)</f>
        <v>0</v>
      </c>
      <c r="M1002" s="72"/>
      <c r="N1002" s="72">
        <f>SUM(N998:N1000)</f>
        <v>3202163.6</v>
      </c>
      <c r="O1002" s="72">
        <f>SUM(O998:O1000)</f>
        <v>17292.200000000004</v>
      </c>
      <c r="P1002" s="72">
        <f>SUM(P998:P1000)</f>
        <v>0</v>
      </c>
      <c r="Q1002" s="72"/>
      <c r="R1002" s="72">
        <f>SUM(R998:R1000)</f>
        <v>17292.200000000004</v>
      </c>
      <c r="S1002" s="72">
        <f>SUM(S998:S1000)</f>
        <v>0</v>
      </c>
      <c r="T1002" s="72">
        <f>SUM(T998:T1000)</f>
        <v>0</v>
      </c>
      <c r="U1002" s="72">
        <f>SUM(U998:U1000)</f>
        <v>0</v>
      </c>
      <c r="V1002" s="72">
        <f>SUM(V998:V1000)</f>
        <v>0</v>
      </c>
      <c r="W1002" s="72"/>
      <c r="X1002" s="72">
        <f>SUM(X998:X1000)</f>
        <v>17292.200000000004</v>
      </c>
      <c r="Y1002" s="72">
        <f>SUM(Y998:Y1000)</f>
        <v>3219455.8000000003</v>
      </c>
      <c r="Z1002" s="72">
        <f>SUM(Z998:Z1000)</f>
        <v>452924.65999999986</v>
      </c>
      <c r="AA1002" s="72">
        <f>SUM(AA998:AA1000)</f>
        <v>3219455.8000000003</v>
      </c>
      <c r="AB1002" s="72">
        <f>SUM(AB998:AB1000)</f>
        <v>452924.65999999986</v>
      </c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  <c r="BB1002" s="4"/>
    </row>
    <row r="1003" spans="1:106" ht="15.75" customHeight="1" x14ac:dyDescent="0.25">
      <c r="A1003" s="46"/>
      <c r="B1003" s="26" t="str">
        <f>+B998</f>
        <v>SIARGAO IS.</v>
      </c>
      <c r="C1003" s="4"/>
      <c r="D1003" s="70" t="s">
        <v>40</v>
      </c>
      <c r="E1003" s="70" t="s">
        <v>40</v>
      </c>
      <c r="F1003" s="70" t="s">
        <v>40</v>
      </c>
      <c r="G1003" s="70"/>
      <c r="H1003" s="70" t="s">
        <v>40</v>
      </c>
      <c r="I1003" s="70" t="s">
        <v>40</v>
      </c>
      <c r="J1003" s="70" t="s">
        <v>40</v>
      </c>
      <c r="K1003" s="70" t="s">
        <v>40</v>
      </c>
      <c r="L1003" s="70" t="s">
        <v>40</v>
      </c>
      <c r="M1003" s="70"/>
      <c r="N1003" s="70" t="s">
        <v>40</v>
      </c>
      <c r="O1003" s="70" t="s">
        <v>40</v>
      </c>
      <c r="P1003" s="70" t="s">
        <v>40</v>
      </c>
      <c r="Q1003" s="70"/>
      <c r="R1003" s="70" t="s">
        <v>40</v>
      </c>
      <c r="S1003" s="70" t="s">
        <v>40</v>
      </c>
      <c r="T1003" s="70" t="s">
        <v>40</v>
      </c>
      <c r="U1003" s="70" t="s">
        <v>40</v>
      </c>
      <c r="V1003" s="70" t="s">
        <v>40</v>
      </c>
      <c r="W1003" s="70"/>
      <c r="X1003" s="70" t="s">
        <v>40</v>
      </c>
      <c r="Y1003" s="70" t="s">
        <v>40</v>
      </c>
      <c r="Z1003" s="70" t="s">
        <v>40</v>
      </c>
      <c r="AA1003" s="70" t="s">
        <v>40</v>
      </c>
      <c r="AB1003" s="70" t="s">
        <v>40</v>
      </c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</row>
    <row r="1004" spans="1:106" ht="16.5" thickBot="1" x14ac:dyDescent="0.3">
      <c r="B1004" s="112" t="s">
        <v>292</v>
      </c>
      <c r="D1004" s="87">
        <v>44184.18</v>
      </c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87">
        <v>44184.18</v>
      </c>
      <c r="P1004" s="63"/>
      <c r="Q1004" s="55"/>
      <c r="R1004" s="87">
        <f>+O1004+P1004</f>
        <v>44184.18</v>
      </c>
      <c r="S1004" s="55"/>
      <c r="T1004" s="55"/>
      <c r="U1004" s="55"/>
      <c r="V1004" s="55"/>
      <c r="W1004" s="55"/>
      <c r="X1004" s="55"/>
      <c r="Y1004" s="55"/>
      <c r="Z1004" s="55"/>
      <c r="AA1004" s="55"/>
      <c r="AB1004" s="55"/>
    </row>
    <row r="1005" spans="1:106" ht="16.5" thickTop="1" x14ac:dyDescent="0.25">
      <c r="BA1005" s="4"/>
      <c r="BW1005" s="4"/>
      <c r="BX1005" s="4"/>
    </row>
    <row r="1006" spans="1:106" ht="55.5" customHeight="1" x14ac:dyDescent="0.25">
      <c r="A1006" s="46">
        <v>106</v>
      </c>
      <c r="B1006" s="26" t="s">
        <v>237</v>
      </c>
      <c r="C1006" s="2" t="s">
        <v>35</v>
      </c>
      <c r="D1006" s="72">
        <v>36253064.479999997</v>
      </c>
      <c r="E1006" s="72">
        <v>4500000</v>
      </c>
      <c r="F1006" s="72"/>
      <c r="G1006" s="72"/>
      <c r="H1006" s="72">
        <f>E1006+F1006</f>
        <v>4500000</v>
      </c>
      <c r="I1006" s="72"/>
      <c r="J1006" s="72"/>
      <c r="K1006" s="72"/>
      <c r="L1006" s="72"/>
      <c r="M1006" s="72"/>
      <c r="N1006" s="72">
        <f>H1006+L1006</f>
        <v>4500000</v>
      </c>
      <c r="O1006" s="72">
        <f>518265+47416.03-29303.8</f>
        <v>536377.23</v>
      </c>
      <c r="P1006" s="72"/>
      <c r="Q1006" s="72"/>
      <c r="R1006" s="72">
        <f>O1006+P1006</f>
        <v>536377.23</v>
      </c>
      <c r="S1006" s="72"/>
      <c r="T1006" s="72"/>
      <c r="U1006" s="72"/>
      <c r="V1006" s="72"/>
      <c r="W1006" s="72"/>
      <c r="X1006" s="72">
        <f>R1006+V1006</f>
        <v>536377.23</v>
      </c>
      <c r="Y1006" s="72">
        <f>R1006+H1006</f>
        <v>5036377.2300000004</v>
      </c>
      <c r="Z1006" s="72">
        <f>D1006-Y1006</f>
        <v>31216687.249999996</v>
      </c>
      <c r="AA1006" s="72">
        <f>N1006+X1006</f>
        <v>5036377.2300000004</v>
      </c>
      <c r="AB1006" s="72">
        <f>D1006-AA1006</f>
        <v>31216687.249999996</v>
      </c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</row>
    <row r="1007" spans="1:106" x14ac:dyDescent="0.25">
      <c r="D1007" s="70" t="s">
        <v>40</v>
      </c>
      <c r="E1007" s="70" t="s">
        <v>40</v>
      </c>
      <c r="F1007" s="70" t="s">
        <v>40</v>
      </c>
      <c r="G1007" s="70"/>
      <c r="H1007" s="70" t="s">
        <v>40</v>
      </c>
      <c r="I1007" s="70" t="s">
        <v>40</v>
      </c>
      <c r="J1007" s="70" t="s">
        <v>40</v>
      </c>
      <c r="K1007" s="70" t="s">
        <v>40</v>
      </c>
      <c r="L1007" s="70" t="s">
        <v>40</v>
      </c>
      <c r="M1007" s="70"/>
      <c r="N1007" s="70" t="s">
        <v>40</v>
      </c>
      <c r="O1007" s="70" t="s">
        <v>40</v>
      </c>
      <c r="P1007" s="70" t="s">
        <v>40</v>
      </c>
      <c r="Q1007" s="70"/>
      <c r="R1007" s="70" t="s">
        <v>40</v>
      </c>
      <c r="S1007" s="70" t="s">
        <v>40</v>
      </c>
      <c r="T1007" s="70" t="s">
        <v>40</v>
      </c>
      <c r="U1007" s="70" t="s">
        <v>40</v>
      </c>
      <c r="V1007" s="70" t="s">
        <v>40</v>
      </c>
      <c r="W1007" s="70"/>
      <c r="X1007" s="70" t="s">
        <v>40</v>
      </c>
      <c r="Y1007" s="70" t="s">
        <v>40</v>
      </c>
      <c r="Z1007" s="70" t="s">
        <v>40</v>
      </c>
      <c r="AA1007" s="70" t="s">
        <v>40</v>
      </c>
      <c r="AB1007" s="70" t="s">
        <v>40</v>
      </c>
      <c r="BR1007" s="4"/>
      <c r="BS1007" s="4"/>
      <c r="BT1007" s="4"/>
      <c r="BU1007" s="4"/>
      <c r="BV1007" s="4"/>
    </row>
    <row r="1008" spans="1:106" ht="15.75" customHeight="1" thickBot="1" x14ac:dyDescent="0.3">
      <c r="A1008" s="46"/>
      <c r="B1008" s="112" t="s">
        <v>292</v>
      </c>
      <c r="C1008" s="4"/>
      <c r="D1008" s="87">
        <v>29303.8</v>
      </c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87">
        <v>29303.8</v>
      </c>
      <c r="P1008" s="104"/>
      <c r="Q1008" s="55"/>
      <c r="R1008" s="87">
        <f>+O1008+P1008</f>
        <v>29303.8</v>
      </c>
      <c r="S1008" s="55"/>
      <c r="T1008" s="55"/>
      <c r="U1008" s="55"/>
      <c r="V1008" s="55"/>
      <c r="W1008" s="55"/>
      <c r="X1008" s="55"/>
      <c r="Y1008" s="55"/>
      <c r="Z1008" s="55"/>
      <c r="AA1008" s="55"/>
      <c r="AB1008" s="55"/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  <c r="BQ1008" s="4"/>
    </row>
    <row r="1009" spans="1:68" ht="55.5" customHeight="1" thickTop="1" x14ac:dyDescent="0.25">
      <c r="A1009" s="46">
        <v>107</v>
      </c>
      <c r="B1009" s="26" t="s">
        <v>238</v>
      </c>
      <c r="C1009" s="2" t="s">
        <v>35</v>
      </c>
      <c r="D1009" s="72">
        <v>19170486.940000001</v>
      </c>
      <c r="E1009" s="72">
        <v>4000000</v>
      </c>
      <c r="F1009" s="72"/>
      <c r="G1009" s="72"/>
      <c r="H1009" s="72">
        <f>E1009+F1009</f>
        <v>4000000</v>
      </c>
      <c r="I1009" s="72"/>
      <c r="J1009" s="72"/>
      <c r="K1009" s="72"/>
      <c r="L1009" s="72"/>
      <c r="M1009" s="72"/>
      <c r="N1009" s="72">
        <f>H1009+L1009</f>
        <v>4000000</v>
      </c>
      <c r="O1009" s="72"/>
      <c r="P1009" s="72"/>
      <c r="Q1009" s="72"/>
      <c r="R1009" s="72">
        <f>O1009+P1009</f>
        <v>0</v>
      </c>
      <c r="S1009" s="72"/>
      <c r="T1009" s="72"/>
      <c r="U1009" s="72"/>
      <c r="V1009" s="72"/>
      <c r="W1009" s="72"/>
      <c r="X1009" s="72">
        <f>R1009+V1009</f>
        <v>0</v>
      </c>
      <c r="Y1009" s="72">
        <f>R1009+H1009</f>
        <v>4000000</v>
      </c>
      <c r="Z1009" s="72">
        <f>D1009-Y1009</f>
        <v>15170486.940000001</v>
      </c>
      <c r="AA1009" s="72">
        <f>N1009+X1009</f>
        <v>4000000</v>
      </c>
      <c r="AB1009" s="67">
        <f>+D1009-N1009-X1009</f>
        <v>15170486.940000001</v>
      </c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  <c r="BN1009" s="4"/>
      <c r="BO1009" s="4"/>
      <c r="BP1009" s="4"/>
    </row>
    <row r="1010" spans="1:68" ht="15.75" customHeight="1" x14ac:dyDescent="0.25">
      <c r="A1010" s="46"/>
      <c r="B1010" s="26"/>
      <c r="C1010" s="4" t="s">
        <v>36</v>
      </c>
      <c r="D1010" s="72">
        <v>2217196.52</v>
      </c>
      <c r="E1010" s="72">
        <v>2217196.52</v>
      </c>
      <c r="F1010" s="72"/>
      <c r="G1010" s="72"/>
      <c r="H1010" s="72">
        <f>E1010+F1010</f>
        <v>2217196.52</v>
      </c>
      <c r="I1010" s="72"/>
      <c r="J1010" s="72"/>
      <c r="K1010" s="72"/>
      <c r="L1010" s="72"/>
      <c r="M1010" s="72"/>
      <c r="N1010" s="72">
        <f>H1010+L1010</f>
        <v>2217196.52</v>
      </c>
      <c r="O1010" s="72"/>
      <c r="P1010" s="72"/>
      <c r="Q1010" s="72"/>
      <c r="R1010" s="72">
        <f>O1010+P1010</f>
        <v>0</v>
      </c>
      <c r="S1010" s="72"/>
      <c r="T1010" s="72"/>
      <c r="U1010" s="72"/>
      <c r="V1010" s="72"/>
      <c r="W1010" s="72"/>
      <c r="X1010" s="72">
        <f>R1010+V1010</f>
        <v>0</v>
      </c>
      <c r="Y1010" s="72">
        <f>R1010+H1010</f>
        <v>2217196.52</v>
      </c>
      <c r="Z1010" s="72">
        <f>D1010-Y1010</f>
        <v>0</v>
      </c>
      <c r="AA1010" s="72">
        <f>N1010+X1010</f>
        <v>2217196.52</v>
      </c>
      <c r="AB1010" s="67">
        <f>+D1010-N1010-X1010</f>
        <v>0</v>
      </c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  <c r="BM1010" s="4"/>
    </row>
    <row r="1011" spans="1:68" x14ac:dyDescent="0.25">
      <c r="C1011" s="4" t="s">
        <v>290</v>
      </c>
      <c r="D1011" s="55">
        <v>2718776.72</v>
      </c>
      <c r="E1011" s="55"/>
      <c r="F1011" s="55">
        <v>2718776.72</v>
      </c>
      <c r="G1011" s="55"/>
      <c r="H1011" s="55">
        <f>+E1011+F1011</f>
        <v>2718776.72</v>
      </c>
      <c r="I1011" s="55"/>
      <c r="J1011" s="55"/>
      <c r="K1011" s="55"/>
      <c r="L1011" s="55"/>
      <c r="M1011" s="55"/>
      <c r="N1011" s="55">
        <f>+H1011+L1011</f>
        <v>2718776.72</v>
      </c>
      <c r="O1011" s="55"/>
      <c r="P1011" s="55"/>
      <c r="Q1011" s="55"/>
      <c r="R1011" s="55">
        <f>+O1011+P1011</f>
        <v>0</v>
      </c>
      <c r="S1011" s="55"/>
      <c r="T1011" s="55"/>
      <c r="U1011" s="55"/>
      <c r="V1011" s="55"/>
      <c r="W1011" s="55"/>
      <c r="X1011" s="55">
        <f>+R1011+V1011</f>
        <v>0</v>
      </c>
      <c r="Y1011" s="72">
        <f>R1011+H1011</f>
        <v>2718776.72</v>
      </c>
      <c r="Z1011" s="72">
        <f>D1011-Y1011</f>
        <v>0</v>
      </c>
      <c r="AA1011" s="72">
        <f>N1011+X1011</f>
        <v>2718776.72</v>
      </c>
      <c r="AB1011" s="67">
        <f>+D1011-N1011-X1011</f>
        <v>0</v>
      </c>
    </row>
    <row r="1012" spans="1:68" ht="16.5" customHeight="1" x14ac:dyDescent="0.25">
      <c r="A1012" s="46"/>
      <c r="B1012" s="26"/>
      <c r="C1012" s="4" t="s">
        <v>53</v>
      </c>
      <c r="D1012" s="72">
        <v>3593720.28</v>
      </c>
      <c r="E1012" s="72"/>
      <c r="F1012" s="72"/>
      <c r="G1012" s="72"/>
      <c r="H1012" s="72">
        <f>E1012+F1012</f>
        <v>0</v>
      </c>
      <c r="I1012" s="72"/>
      <c r="J1012" s="72"/>
      <c r="K1012" s="72"/>
      <c r="L1012" s="72"/>
      <c r="M1012" s="72"/>
      <c r="N1012" s="72">
        <f>H1012+L1012</f>
        <v>0</v>
      </c>
      <c r="O1012" s="72">
        <f>3540831.06+52889.22</f>
        <v>3593720.2800000003</v>
      </c>
      <c r="P1012" s="72"/>
      <c r="Q1012" s="72"/>
      <c r="R1012" s="72">
        <f>O1012+P1012</f>
        <v>3593720.2800000003</v>
      </c>
      <c r="S1012" s="72"/>
      <c r="T1012" s="72"/>
      <c r="U1012" s="72"/>
      <c r="V1012" s="72"/>
      <c r="W1012" s="72"/>
      <c r="X1012" s="72">
        <f>R1012+V1012</f>
        <v>3593720.2800000003</v>
      </c>
      <c r="Y1012" s="72">
        <f>R1012+H1012</f>
        <v>3593720.2800000003</v>
      </c>
      <c r="Z1012" s="72">
        <f>D1012-Y1012</f>
        <v>0</v>
      </c>
      <c r="AA1012" s="72">
        <f>N1012+X1012</f>
        <v>3593720.2800000003</v>
      </c>
      <c r="AB1012" s="67">
        <f>+D1012-N1012-X1012</f>
        <v>0</v>
      </c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  <c r="BL1012" s="4"/>
    </row>
    <row r="1013" spans="1:68" x14ac:dyDescent="0.25">
      <c r="A1013" s="46"/>
      <c r="B1013" s="26"/>
      <c r="C1013" s="4" t="s">
        <v>54</v>
      </c>
      <c r="D1013" s="72">
        <f>437191.83+9755541.71</f>
        <v>10192733.540000001</v>
      </c>
      <c r="E1013" s="72"/>
      <c r="F1013" s="72"/>
      <c r="G1013" s="72"/>
      <c r="H1013" s="72">
        <f>E1013+F1013</f>
        <v>0</v>
      </c>
      <c r="I1013" s="72"/>
      <c r="J1013" s="72"/>
      <c r="K1013" s="72"/>
      <c r="L1013" s="72"/>
      <c r="M1013" s="72"/>
      <c r="N1013" s="72">
        <f>H1013+L1013</f>
        <v>0</v>
      </c>
      <c r="O1013" s="72">
        <v>10192733.539999999</v>
      </c>
      <c r="P1013" s="72"/>
      <c r="Q1013" s="72"/>
      <c r="R1013" s="72">
        <f>O1013+P1013</f>
        <v>10192733.539999999</v>
      </c>
      <c r="S1013" s="72"/>
      <c r="T1013" s="72"/>
      <c r="U1013" s="72"/>
      <c r="V1013" s="72"/>
      <c r="W1013" s="72"/>
      <c r="X1013" s="72">
        <f>R1013+V1013</f>
        <v>10192733.539999999</v>
      </c>
      <c r="Y1013" s="72">
        <f>R1013+H1013</f>
        <v>10192733.539999999</v>
      </c>
      <c r="Z1013" s="72">
        <f>D1013-Y1013</f>
        <v>0</v>
      </c>
      <c r="AA1013" s="72">
        <f>N1013+X1013</f>
        <v>10192733.539999999</v>
      </c>
      <c r="AB1013" s="67">
        <f>+D1013-N1013-X1013</f>
        <v>0</v>
      </c>
      <c r="AC1013" s="49" t="s">
        <v>317</v>
      </c>
      <c r="AD1013" s="94">
        <f>+D999+D982</f>
        <v>8598326.5199999996</v>
      </c>
      <c r="AE1013" s="94">
        <f>+E999+E982</f>
        <v>8598326.5199999996</v>
      </c>
      <c r="AF1013" s="94">
        <f>+F999+F982</f>
        <v>0</v>
      </c>
      <c r="AG1013" s="94">
        <f>+AE1013+AF1013</f>
        <v>8598326.5199999996</v>
      </c>
      <c r="AH1013" s="94">
        <f>+L999+L982</f>
        <v>0</v>
      </c>
      <c r="AI1013" s="94">
        <f>+AG1013+AH1013</f>
        <v>8598326.5199999996</v>
      </c>
      <c r="AJ1013" s="94">
        <f>+O999+O982</f>
        <v>0</v>
      </c>
      <c r="AK1013" s="94">
        <f>+P999+P982</f>
        <v>0</v>
      </c>
      <c r="AL1013" s="94">
        <f>+AJ1013+AK1013</f>
        <v>0</v>
      </c>
      <c r="AM1013" s="94">
        <f>+V999+V982</f>
        <v>0</v>
      </c>
      <c r="AN1013" s="94">
        <f>+AL1013+AM1013</f>
        <v>0</v>
      </c>
      <c r="AO1013" s="94">
        <f>+AG1013+AL1013</f>
        <v>8598326.5199999996</v>
      </c>
      <c r="AP1013" s="94">
        <f>+AD1013-AO1013</f>
        <v>0</v>
      </c>
      <c r="AQ1013" s="94">
        <f>+AD1013-AI1013-AN1013</f>
        <v>0</v>
      </c>
      <c r="BI1013" s="4"/>
      <c r="BJ1013" s="4"/>
      <c r="BK1013" s="4"/>
    </row>
    <row r="1014" spans="1:68" x14ac:dyDescent="0.25">
      <c r="A1014" s="46"/>
      <c r="B1014" s="26"/>
      <c r="C1014" s="4"/>
      <c r="D1014" s="70" t="s">
        <v>40</v>
      </c>
      <c r="E1014" s="70" t="s">
        <v>40</v>
      </c>
      <c r="F1014" s="70" t="s">
        <v>40</v>
      </c>
      <c r="G1014" s="70"/>
      <c r="H1014" s="70" t="s">
        <v>40</v>
      </c>
      <c r="I1014" s="70" t="s">
        <v>40</v>
      </c>
      <c r="J1014" s="70" t="s">
        <v>40</v>
      </c>
      <c r="K1014" s="70" t="s">
        <v>40</v>
      </c>
      <c r="L1014" s="70" t="s">
        <v>40</v>
      </c>
      <c r="M1014" s="70"/>
      <c r="N1014" s="70" t="s">
        <v>40</v>
      </c>
      <c r="O1014" s="70" t="s">
        <v>40</v>
      </c>
      <c r="P1014" s="70" t="s">
        <v>40</v>
      </c>
      <c r="Q1014" s="70"/>
      <c r="R1014" s="70" t="s">
        <v>40</v>
      </c>
      <c r="S1014" s="70" t="s">
        <v>40</v>
      </c>
      <c r="T1014" s="70" t="s">
        <v>40</v>
      </c>
      <c r="U1014" s="70" t="s">
        <v>40</v>
      </c>
      <c r="V1014" s="70" t="s">
        <v>40</v>
      </c>
      <c r="W1014" s="70"/>
      <c r="X1014" s="70" t="s">
        <v>40</v>
      </c>
      <c r="Y1014" s="70" t="s">
        <v>40</v>
      </c>
      <c r="Z1014" s="70" t="s">
        <v>40</v>
      </c>
      <c r="AA1014" s="70" t="s">
        <v>40</v>
      </c>
      <c r="AB1014" s="70" t="s">
        <v>40</v>
      </c>
      <c r="AC1014" s="124" t="s">
        <v>323</v>
      </c>
      <c r="AD1014" s="94">
        <f>+D992+D1018+D1011</f>
        <v>79090888.929999992</v>
      </c>
      <c r="AE1014" s="94">
        <f>+E992+E1018+E1011</f>
        <v>71096245.569999993</v>
      </c>
      <c r="AF1014" s="94">
        <f>+F992+F1018+F1011</f>
        <v>7994643.3599999994</v>
      </c>
      <c r="AG1014" s="94">
        <f>+AE1014+AF1014</f>
        <v>79090888.929999992</v>
      </c>
      <c r="AH1014" s="94">
        <f>+L992+L1018+L1011</f>
        <v>0</v>
      </c>
      <c r="AI1014" s="94">
        <f>+AG1014+AH1014</f>
        <v>79090888.929999992</v>
      </c>
      <c r="AJ1014" s="94">
        <f>+O992+O1018+O1011</f>
        <v>0</v>
      </c>
      <c r="AK1014" s="94">
        <f>+P992+P1018+P1011</f>
        <v>0</v>
      </c>
      <c r="AL1014" s="94">
        <f>+AJ1014+AK1014</f>
        <v>0</v>
      </c>
      <c r="AM1014" s="94">
        <f>+V992+V1018+V1011</f>
        <v>0</v>
      </c>
      <c r="AN1014" s="94">
        <f>+AL1014+AM1014</f>
        <v>0</v>
      </c>
      <c r="AO1014" s="94">
        <f>+AG1014+AL1014</f>
        <v>79090888.929999992</v>
      </c>
      <c r="AP1014" s="94">
        <f>+AD1014-AO1014</f>
        <v>0</v>
      </c>
      <c r="AQ1014" s="94">
        <f>+AD1014-AI1014-AN1014</f>
        <v>0</v>
      </c>
      <c r="BG1014" s="4"/>
      <c r="BH1014" s="4"/>
    </row>
    <row r="1015" spans="1:68" ht="15" customHeight="1" x14ac:dyDescent="0.25">
      <c r="A1015" s="46"/>
      <c r="B1015" s="26"/>
      <c r="C1015" s="4"/>
      <c r="D1015" s="72">
        <f>SUM(D1009:D1013)</f>
        <v>37892914</v>
      </c>
      <c r="E1015" s="72">
        <f>SUM(E1009:E1013)</f>
        <v>6217196.5199999996</v>
      </c>
      <c r="F1015" s="72">
        <f>SUM(F1009:F1013)</f>
        <v>2718776.72</v>
      </c>
      <c r="G1015" s="72"/>
      <c r="H1015" s="72">
        <f>SUM(H1009:H1013)</f>
        <v>8935973.2400000002</v>
      </c>
      <c r="I1015" s="72">
        <f>SUM(I1009:I1013)</f>
        <v>0</v>
      </c>
      <c r="J1015" s="72">
        <f>SUM(J1009:J1013)</f>
        <v>0</v>
      </c>
      <c r="K1015" s="72">
        <f>SUM(K1009:K1013)</f>
        <v>0</v>
      </c>
      <c r="L1015" s="72">
        <f>SUM(L1009:L1013)</f>
        <v>0</v>
      </c>
      <c r="M1015" s="72"/>
      <c r="N1015" s="72">
        <f>SUM(N1009:N1013)</f>
        <v>8935973.2400000002</v>
      </c>
      <c r="O1015" s="72">
        <f>SUM(O1009:O1013)</f>
        <v>13786453.82</v>
      </c>
      <c r="P1015" s="72">
        <f>SUM(P1009:P1013)</f>
        <v>0</v>
      </c>
      <c r="Q1015" s="72"/>
      <c r="R1015" s="72">
        <f>SUM(R1009:R1013)</f>
        <v>13786453.82</v>
      </c>
      <c r="S1015" s="72">
        <f>SUM(S1009:S1013)</f>
        <v>0</v>
      </c>
      <c r="T1015" s="72">
        <f>SUM(T1009:T1013)</f>
        <v>0</v>
      </c>
      <c r="U1015" s="72">
        <f>SUM(U1009:U1013)</f>
        <v>0</v>
      </c>
      <c r="V1015" s="72">
        <f>SUM(V1009:V1013)</f>
        <v>0</v>
      </c>
      <c r="W1015" s="72"/>
      <c r="X1015" s="72">
        <f>SUM(X1009:X1013)</f>
        <v>13786453.82</v>
      </c>
      <c r="Y1015" s="72">
        <f>SUM(Y1009:Y1013)</f>
        <v>22722427.059999999</v>
      </c>
      <c r="Z1015" s="72">
        <f>SUM(Z1009:Z1013)</f>
        <v>15170486.940000001</v>
      </c>
      <c r="AA1015" s="72">
        <f>SUM(AA1009:AA1013)</f>
        <v>22722427.059999999</v>
      </c>
      <c r="AB1015" s="72">
        <f>SUM(AB1009:AB1013)</f>
        <v>15170486.940000001</v>
      </c>
      <c r="AC1015" s="49" t="s">
        <v>313</v>
      </c>
      <c r="AD1015" s="124">
        <f>+D991</f>
        <v>8725120.4399999995</v>
      </c>
      <c r="AE1015">
        <f>+E991</f>
        <v>8725120.4399999995</v>
      </c>
      <c r="AF1015">
        <f>+F991</f>
        <v>0</v>
      </c>
      <c r="AG1015" s="94">
        <f>+AE1015+AF1015</f>
        <v>8725120.4399999995</v>
      </c>
      <c r="AH1015" s="94">
        <f>+L991</f>
        <v>0</v>
      </c>
      <c r="AI1015" s="94">
        <f>+AG1015+AH1015</f>
        <v>8725120.4399999995</v>
      </c>
      <c r="AJ1015" s="94">
        <f>+O991</f>
        <v>0</v>
      </c>
      <c r="AK1015" s="94">
        <f>+P991</f>
        <v>0</v>
      </c>
      <c r="AL1015" s="94">
        <f>+AJ1015+AK1015</f>
        <v>0</v>
      </c>
      <c r="AM1015" s="94">
        <f>+V991</f>
        <v>0</v>
      </c>
      <c r="AN1015" s="94">
        <f>+AL1015+AM1015</f>
        <v>0</v>
      </c>
      <c r="AO1015" s="94">
        <f>+AG1015+AL1015</f>
        <v>8725120.4399999995</v>
      </c>
      <c r="AP1015" s="94">
        <f>+AD1015-AO1015</f>
        <v>0</v>
      </c>
      <c r="AQ1015" s="94">
        <f>+AD1015-AI1015-AN1015</f>
        <v>0</v>
      </c>
      <c r="AZ1015" s="4"/>
    </row>
    <row r="1016" spans="1:68" ht="17.25" customHeight="1" x14ac:dyDescent="0.25">
      <c r="A1016" s="46"/>
      <c r="B1016" s="26"/>
      <c r="C1016" s="4"/>
      <c r="D1016" s="70" t="s">
        <v>40</v>
      </c>
      <c r="E1016" s="70" t="s">
        <v>40</v>
      </c>
      <c r="F1016" s="70" t="s">
        <v>40</v>
      </c>
      <c r="G1016" s="70"/>
      <c r="H1016" s="70" t="s">
        <v>40</v>
      </c>
      <c r="I1016" s="70" t="s">
        <v>40</v>
      </c>
      <c r="J1016" s="70" t="s">
        <v>40</v>
      </c>
      <c r="K1016" s="70" t="s">
        <v>40</v>
      </c>
      <c r="L1016" s="70" t="s">
        <v>40</v>
      </c>
      <c r="M1016" s="70"/>
      <c r="N1016" s="70" t="s">
        <v>40</v>
      </c>
      <c r="O1016" s="70" t="s">
        <v>40</v>
      </c>
      <c r="P1016" s="70" t="s">
        <v>40</v>
      </c>
      <c r="Q1016" s="70"/>
      <c r="R1016" s="70" t="s">
        <v>40</v>
      </c>
      <c r="S1016" s="70" t="s">
        <v>40</v>
      </c>
      <c r="T1016" s="70" t="s">
        <v>40</v>
      </c>
      <c r="U1016" s="70" t="s">
        <v>40</v>
      </c>
      <c r="V1016" s="70" t="s">
        <v>40</v>
      </c>
      <c r="W1016" s="70"/>
      <c r="X1016" s="70" t="s">
        <v>40</v>
      </c>
      <c r="Y1016" s="70" t="s">
        <v>40</v>
      </c>
      <c r="Z1016" s="70" t="s">
        <v>40</v>
      </c>
      <c r="AA1016" s="70" t="s">
        <v>40</v>
      </c>
      <c r="AB1016" s="70" t="s">
        <v>40</v>
      </c>
      <c r="AC1016" s="49" t="s">
        <v>47</v>
      </c>
      <c r="AD1016" s="94">
        <f>D974+D980+D989+D998+D1006+D1009+D1017</f>
        <v>178879579.97999999</v>
      </c>
      <c r="AE1016" s="94">
        <f>E974+E980+E989+E998+E1006+E1009+E1017</f>
        <v>8500000</v>
      </c>
      <c r="AF1016" s="94">
        <f>F974+F980+F989+F998+F1006+F1009+F1017</f>
        <v>0</v>
      </c>
      <c r="AG1016" s="94">
        <f>+AE1016+AF1016</f>
        <v>8500000</v>
      </c>
      <c r="AH1016" s="94">
        <f>L974+L980+L989+L998+L1006+L1009+L1017</f>
        <v>0</v>
      </c>
      <c r="AI1016" s="94">
        <f>+AG1016+AH1016</f>
        <v>8500000</v>
      </c>
      <c r="AJ1016" s="94">
        <f>O974+O980+O989+O998+O1006+O1009+O1017</f>
        <v>976890.40999999992</v>
      </c>
      <c r="AK1016" s="94">
        <f>P974+P980+P989+P998+P1006+P1009+P1017</f>
        <v>0</v>
      </c>
      <c r="AL1016" s="94">
        <f>+AJ1016+AK1016</f>
        <v>976890.40999999992</v>
      </c>
      <c r="AM1016" s="94">
        <f>V974+V980+V989+V998+V1006+V1009+V1017</f>
        <v>0</v>
      </c>
      <c r="AN1016" s="94">
        <f>+AL1016+AM1016</f>
        <v>976890.40999999992</v>
      </c>
      <c r="AO1016" s="94">
        <f>+AG1016+AL1016</f>
        <v>9476890.4100000001</v>
      </c>
      <c r="AP1016" s="94">
        <f>+AD1016-AO1016</f>
        <v>169402689.56999999</v>
      </c>
      <c r="AQ1016" s="94">
        <f>+AD1016-AI1016-AN1016</f>
        <v>169402689.56999999</v>
      </c>
      <c r="BF1016" s="4"/>
    </row>
    <row r="1017" spans="1:68" ht="15.75" customHeight="1" x14ac:dyDescent="0.25">
      <c r="A1017" s="46">
        <v>108</v>
      </c>
      <c r="B1017" s="26" t="s">
        <v>239</v>
      </c>
      <c r="C1017" s="2" t="s">
        <v>35</v>
      </c>
      <c r="D1017" s="72">
        <f>52589667.2+403840.98</f>
        <v>52993508.18</v>
      </c>
      <c r="E1017" s="72"/>
      <c r="F1017" s="72"/>
      <c r="G1017" s="72"/>
      <c r="H1017" s="72">
        <f>E1017+F1017</f>
        <v>0</v>
      </c>
      <c r="I1017" s="72"/>
      <c r="J1017" s="72"/>
      <c r="K1017" s="72"/>
      <c r="L1017" s="72"/>
      <c r="M1017" s="72"/>
      <c r="N1017" s="72">
        <f>H1017+L1017</f>
        <v>0</v>
      </c>
      <c r="O1017" s="72">
        <f>403840.98+19380</f>
        <v>423220.98</v>
      </c>
      <c r="P1017" s="72"/>
      <c r="Q1017" s="72"/>
      <c r="R1017" s="72">
        <f>O1017+P1017</f>
        <v>423220.98</v>
      </c>
      <c r="S1017" s="72"/>
      <c r="T1017" s="72"/>
      <c r="U1017" s="72"/>
      <c r="V1017" s="72"/>
      <c r="W1017" s="72"/>
      <c r="X1017" s="72">
        <f>R1017+V1017</f>
        <v>423220.98</v>
      </c>
      <c r="Y1017" s="72">
        <f>R1017+H1017</f>
        <v>423220.98</v>
      </c>
      <c r="Z1017" s="72">
        <f>D1017-Y1017</f>
        <v>52570287.200000003</v>
      </c>
      <c r="AA1017" s="72">
        <f>N1017+X1017</f>
        <v>423220.98</v>
      </c>
      <c r="AB1017" s="67">
        <f>+D1017-N1017-X1017</f>
        <v>52570287.200000003</v>
      </c>
      <c r="AC1017" s="49" t="s">
        <v>36</v>
      </c>
      <c r="AD1017" s="94">
        <f>D981+D990+D1000+D1010</f>
        <v>5179920.5199999996</v>
      </c>
      <c r="AE1017" s="94">
        <f>E981+E990+E1000+E1010</f>
        <v>5179920.5199999996</v>
      </c>
      <c r="AF1017" s="94">
        <f>F981+F990+F1000+F1010</f>
        <v>0</v>
      </c>
      <c r="AG1017" s="94">
        <f>+AE1017+AF1017</f>
        <v>5179920.5199999996</v>
      </c>
      <c r="AH1017" s="94">
        <f>L981+L990+L1000+L1010</f>
        <v>0</v>
      </c>
      <c r="AI1017" s="94">
        <f>+AG1017+AH1017</f>
        <v>5179920.5199999996</v>
      </c>
      <c r="AJ1017" s="94">
        <f>O981+O990+O1000+O1010</f>
        <v>0</v>
      </c>
      <c r="AK1017" s="94">
        <f>P981+P990+P1000+P1010</f>
        <v>0</v>
      </c>
      <c r="AL1017" s="94">
        <f>+AJ1017+AK1017</f>
        <v>0</v>
      </c>
      <c r="AM1017" s="94">
        <f>V981+V990+V1000+V1010</f>
        <v>0</v>
      </c>
      <c r="AN1017" s="94">
        <f>+AL1017+AM1017</f>
        <v>0</v>
      </c>
      <c r="AO1017" s="94">
        <f>+AG1017+AL1017</f>
        <v>5179920.5199999996</v>
      </c>
      <c r="AP1017" s="94">
        <f>+AD1017-AO1017</f>
        <v>0</v>
      </c>
      <c r="AQ1017" s="94">
        <f>+AD1017-AI1017-AN1017</f>
        <v>0</v>
      </c>
      <c r="AY1017" s="4"/>
    </row>
    <row r="1018" spans="1:68" x14ac:dyDescent="0.25">
      <c r="C1018" s="4" t="s">
        <v>290</v>
      </c>
      <c r="D1018" s="55">
        <v>5000000</v>
      </c>
      <c r="E1018" s="55">
        <v>5000000</v>
      </c>
      <c r="F1018" s="55"/>
      <c r="G1018" s="55"/>
      <c r="H1018" s="55">
        <f>+E1018+F1018</f>
        <v>5000000</v>
      </c>
      <c r="I1018" s="55"/>
      <c r="J1018" s="55"/>
      <c r="K1018" s="55"/>
      <c r="L1018" s="55"/>
      <c r="M1018" s="55"/>
      <c r="N1018" s="55">
        <f>+H1018+L1018</f>
        <v>5000000</v>
      </c>
      <c r="O1018" s="55">
        <v>0</v>
      </c>
      <c r="P1018" s="55"/>
      <c r="Q1018" s="55"/>
      <c r="R1018" s="55">
        <f>+O1018+P1018</f>
        <v>0</v>
      </c>
      <c r="S1018" s="55"/>
      <c r="T1018" s="55"/>
      <c r="U1018" s="55"/>
      <c r="V1018" s="55"/>
      <c r="W1018" s="55"/>
      <c r="X1018" s="55">
        <f>+R1018+V1018</f>
        <v>0</v>
      </c>
      <c r="Y1018" s="72">
        <f>R1018+H1018</f>
        <v>5000000</v>
      </c>
      <c r="Z1018" s="72">
        <f>D1018-Y1018</f>
        <v>0</v>
      </c>
      <c r="AA1018" s="72">
        <f>N1018+X1018</f>
        <v>5000000</v>
      </c>
      <c r="AB1018" s="67">
        <f>+D1018-N1018-X1018</f>
        <v>0</v>
      </c>
      <c r="BD1018" s="4"/>
      <c r="BE1018" s="4"/>
    </row>
    <row r="1019" spans="1:68" x14ac:dyDescent="0.25">
      <c r="A1019" s="46"/>
      <c r="B1019" s="26"/>
      <c r="C1019" s="4" t="s">
        <v>53</v>
      </c>
      <c r="D1019" s="72">
        <f>24547799.9+863136.18</f>
        <v>25410936.079999998</v>
      </c>
      <c r="E1019" s="72"/>
      <c r="F1019" s="72"/>
      <c r="G1019" s="72"/>
      <c r="H1019" s="72">
        <f>E1019+F1019</f>
        <v>0</v>
      </c>
      <c r="I1019" s="72"/>
      <c r="J1019" s="72"/>
      <c r="K1019" s="72"/>
      <c r="L1019" s="72"/>
      <c r="M1019" s="72"/>
      <c r="N1019" s="72">
        <f>H1019+L1019</f>
        <v>0</v>
      </c>
      <c r="O1019" s="72">
        <f>7341096.97+863136.18</f>
        <v>8204233.1499999994</v>
      </c>
      <c r="P1019" s="72"/>
      <c r="Q1019" s="72"/>
      <c r="R1019" s="72">
        <f>O1019+P1019</f>
        <v>8204233.1499999994</v>
      </c>
      <c r="S1019" s="72"/>
      <c r="T1019" s="72"/>
      <c r="U1019" s="72"/>
      <c r="V1019" s="72"/>
      <c r="W1019" s="72"/>
      <c r="X1019" s="72">
        <f>R1019+V1019</f>
        <v>8204233.1499999994</v>
      </c>
      <c r="Y1019" s="72">
        <f>R1019+H1019</f>
        <v>8204233.1499999994</v>
      </c>
      <c r="Z1019" s="72">
        <f>D1019-Y1019</f>
        <v>17206702.93</v>
      </c>
      <c r="AA1019" s="72">
        <f>N1019+X1019</f>
        <v>8204233.1499999994</v>
      </c>
      <c r="AB1019" s="67">
        <f>+D1019-N1019-X1019</f>
        <v>17206702.93</v>
      </c>
      <c r="AC1019" s="49" t="s">
        <v>183</v>
      </c>
      <c r="AD1019" s="94">
        <f>D975+D983+D993</f>
        <v>55133581.759999998</v>
      </c>
      <c r="AE1019" s="94">
        <f>E975+E983+E993</f>
        <v>0</v>
      </c>
      <c r="AF1019" s="94">
        <f>F975+F983+F993</f>
        <v>0</v>
      </c>
      <c r="AG1019" s="94">
        <f>+AE1019+AF1019</f>
        <v>0</v>
      </c>
      <c r="AH1019" s="94">
        <f>L975+L983+L993</f>
        <v>0</v>
      </c>
      <c r="AI1019" s="94">
        <f>+AG1019+AH1019</f>
        <v>0</v>
      </c>
      <c r="AJ1019" s="94">
        <f>O975+O983+O993</f>
        <v>1087829.8500000001</v>
      </c>
      <c r="AK1019" s="94">
        <f>P975+P983+P993</f>
        <v>0</v>
      </c>
      <c r="AL1019" s="94">
        <f>+AJ1019+AK1019</f>
        <v>1087829.8500000001</v>
      </c>
      <c r="AM1019" s="94">
        <f>V975+V983+V993</f>
        <v>0</v>
      </c>
      <c r="AN1019" s="94">
        <f>+AL1019+AM1019</f>
        <v>1087829.8500000001</v>
      </c>
      <c r="AO1019" s="94">
        <f>+AG1019+AL1019</f>
        <v>1087829.8500000001</v>
      </c>
      <c r="AP1019" s="94">
        <f>+AD1019-AO1019</f>
        <v>54045751.909999996</v>
      </c>
      <c r="AQ1019" s="94">
        <f>+AD1019-AI1019-AN1019</f>
        <v>54045751.909999996</v>
      </c>
      <c r="AX1019" s="4"/>
      <c r="BC1019" s="4"/>
    </row>
    <row r="1020" spans="1:68" x14ac:dyDescent="0.25">
      <c r="A1020" s="46"/>
      <c r="B1020" s="26"/>
      <c r="C1020" s="4" t="s">
        <v>54</v>
      </c>
      <c r="D1020" s="72">
        <v>16231231.630000001</v>
      </c>
      <c r="E1020" s="72"/>
      <c r="F1020" s="72"/>
      <c r="G1020" s="72"/>
      <c r="H1020" s="72">
        <f>E1020+F1020</f>
        <v>0</v>
      </c>
      <c r="I1020" s="72"/>
      <c r="J1020" s="72"/>
      <c r="K1020" s="72"/>
      <c r="L1020" s="72"/>
      <c r="M1020" s="72"/>
      <c r="N1020" s="72">
        <f>H1020+L1020</f>
        <v>0</v>
      </c>
      <c r="O1020" s="72">
        <f>16231231.63-5096366.77</f>
        <v>11134864.860000001</v>
      </c>
      <c r="P1020" s="72"/>
      <c r="Q1020" s="72"/>
      <c r="R1020" s="72">
        <f>O1020+P1020</f>
        <v>11134864.860000001</v>
      </c>
      <c r="S1020" s="72"/>
      <c r="T1020" s="72"/>
      <c r="U1020" s="72"/>
      <c r="V1020" s="72"/>
      <c r="W1020" s="72"/>
      <c r="X1020" s="72">
        <f>R1020+V1020</f>
        <v>11134864.860000001</v>
      </c>
      <c r="Y1020" s="72">
        <f>R1020+H1020</f>
        <v>11134864.860000001</v>
      </c>
      <c r="Z1020" s="72">
        <f>D1020-Y1020</f>
        <v>5096366.7699999996</v>
      </c>
      <c r="AA1020" s="72">
        <f>N1020+X1020</f>
        <v>11134864.860000001</v>
      </c>
      <c r="AB1020" s="67">
        <f>+D1020-N1020-X1020</f>
        <v>5096366.7699999996</v>
      </c>
      <c r="AC1020" s="49" t="s">
        <v>184</v>
      </c>
      <c r="AD1020" s="94">
        <f>D976+D985+D994</f>
        <v>6475626.6299999999</v>
      </c>
      <c r="AE1020" s="94">
        <f>E976+E985+E994</f>
        <v>0</v>
      </c>
      <c r="AF1020" s="94">
        <f>F976+F985+F994</f>
        <v>0</v>
      </c>
      <c r="AG1020" s="94">
        <f>+AE1020+AF1020</f>
        <v>0</v>
      </c>
      <c r="AH1020" s="94">
        <f>L976+L985+L994</f>
        <v>0</v>
      </c>
      <c r="AI1020" s="94">
        <f>+AG1020+AH1020</f>
        <v>0</v>
      </c>
      <c r="AJ1020" s="94">
        <f>O976+O985+O994</f>
        <v>698224.45</v>
      </c>
      <c r="AK1020" s="94">
        <f>P976+P985+P994</f>
        <v>0</v>
      </c>
      <c r="AL1020" s="94">
        <f>+AJ1020+AK1020</f>
        <v>698224.45</v>
      </c>
      <c r="AM1020" s="94">
        <f>V976+V985+V994</f>
        <v>0</v>
      </c>
      <c r="AN1020" s="94">
        <f>+AL1020+AM1020</f>
        <v>698224.45</v>
      </c>
      <c r="AO1020" s="94">
        <f>+AG1020+AL1020</f>
        <v>698224.45</v>
      </c>
      <c r="AP1020" s="94">
        <f>+AD1020-AO1020</f>
        <v>5777402.1799999997</v>
      </c>
      <c r="AQ1020" s="94">
        <f>+AD1020-AI1020-AN1020</f>
        <v>5777402.1799999997</v>
      </c>
      <c r="AW1020" s="4"/>
    </row>
    <row r="1021" spans="1:68" x14ac:dyDescent="0.25">
      <c r="A1021" s="46"/>
      <c r="B1021" s="26"/>
      <c r="C1021" s="4"/>
      <c r="D1021" s="70" t="s">
        <v>40</v>
      </c>
      <c r="E1021" s="70" t="s">
        <v>40</v>
      </c>
      <c r="F1021" s="70" t="s">
        <v>40</v>
      </c>
      <c r="G1021" s="70"/>
      <c r="H1021" s="70" t="s">
        <v>40</v>
      </c>
      <c r="I1021" s="70" t="s">
        <v>40</v>
      </c>
      <c r="J1021" s="70" t="s">
        <v>40</v>
      </c>
      <c r="K1021" s="70" t="s">
        <v>40</v>
      </c>
      <c r="L1021" s="70" t="s">
        <v>40</v>
      </c>
      <c r="M1021" s="70"/>
      <c r="N1021" s="70" t="s">
        <v>40</v>
      </c>
      <c r="O1021" s="70" t="s">
        <v>40</v>
      </c>
      <c r="P1021" s="70" t="s">
        <v>40</v>
      </c>
      <c r="Q1021" s="70"/>
      <c r="R1021" s="70" t="s">
        <v>40</v>
      </c>
      <c r="S1021" s="70" t="s">
        <v>40</v>
      </c>
      <c r="T1021" s="70" t="s">
        <v>40</v>
      </c>
      <c r="U1021" s="70" t="s">
        <v>40</v>
      </c>
      <c r="V1021" s="70" t="s">
        <v>40</v>
      </c>
      <c r="W1021" s="70"/>
      <c r="X1021" s="70" t="s">
        <v>40</v>
      </c>
      <c r="Y1021" s="70" t="s">
        <v>40</v>
      </c>
      <c r="Z1021" s="70" t="s">
        <v>40</v>
      </c>
      <c r="AA1021" s="70" t="s">
        <v>40</v>
      </c>
      <c r="AB1021" s="70" t="s">
        <v>40</v>
      </c>
      <c r="AC1021" s="49" t="s">
        <v>38</v>
      </c>
      <c r="AD1021" s="94">
        <f>+D984</f>
        <v>7242000</v>
      </c>
      <c r="AE1021" s="94">
        <f>+E984</f>
        <v>0</v>
      </c>
      <c r="AF1021" s="94">
        <f>+F984</f>
        <v>0</v>
      </c>
      <c r="AG1021" s="94">
        <f>+AE1021+AF1021</f>
        <v>0</v>
      </c>
      <c r="AH1021" s="94">
        <f>+L984</f>
        <v>0</v>
      </c>
      <c r="AI1021" s="94">
        <f>+AG1021+AH1021</f>
        <v>0</v>
      </c>
      <c r="AJ1021" s="94">
        <f>+O984</f>
        <v>0</v>
      </c>
      <c r="AK1021" s="94">
        <f>+P984</f>
        <v>0</v>
      </c>
      <c r="AL1021" s="94">
        <f>+AJ1021+AK1021</f>
        <v>0</v>
      </c>
      <c r="AM1021" s="94">
        <f>+V984</f>
        <v>0</v>
      </c>
      <c r="AN1021" s="94">
        <f>+AL1021+AM1021</f>
        <v>0</v>
      </c>
      <c r="AO1021" s="94">
        <f>+AG1021+AL1021</f>
        <v>0</v>
      </c>
      <c r="AP1021" s="94">
        <f>+AD1021-AO1021</f>
        <v>7242000</v>
      </c>
      <c r="AQ1021" s="94">
        <f>+AD1021-AI1021-AN1021</f>
        <v>7242000</v>
      </c>
    </row>
    <row r="1022" spans="1:68" ht="16.5" customHeight="1" x14ac:dyDescent="0.25">
      <c r="A1022" s="46"/>
      <c r="B1022" s="26"/>
      <c r="C1022" s="4"/>
      <c r="D1022" s="72">
        <f>SUM(D1017:D1020)</f>
        <v>99635675.889999986</v>
      </c>
      <c r="E1022" s="72">
        <f>SUM(E1017:E1020)</f>
        <v>5000000</v>
      </c>
      <c r="F1022" s="72">
        <f>SUM(F1017:F1020)</f>
        <v>0</v>
      </c>
      <c r="G1022" s="72"/>
      <c r="H1022" s="72">
        <f>SUM(H1017:H1020)</f>
        <v>5000000</v>
      </c>
      <c r="I1022" s="72">
        <f>SUM(I1017:I1020)</f>
        <v>0</v>
      </c>
      <c r="J1022" s="72">
        <f>SUM(J1017:J1020)</f>
        <v>0</v>
      </c>
      <c r="K1022" s="72">
        <f>SUM(K1017:K1020)</f>
        <v>0</v>
      </c>
      <c r="L1022" s="72">
        <f>SUM(L1017:L1020)</f>
        <v>0</v>
      </c>
      <c r="M1022" s="72"/>
      <c r="N1022" s="72">
        <f>SUM(N1017:N1020)</f>
        <v>5000000</v>
      </c>
      <c r="O1022" s="72">
        <f>SUM(O1017:O1020)</f>
        <v>19762318.990000002</v>
      </c>
      <c r="P1022" s="72">
        <f>SUM(P1017:P1020)</f>
        <v>0</v>
      </c>
      <c r="Q1022" s="72"/>
      <c r="R1022" s="72">
        <f>SUM(R1017:R1020)</f>
        <v>19762318.990000002</v>
      </c>
      <c r="S1022" s="72">
        <f>SUM(S1017:S1020)</f>
        <v>0</v>
      </c>
      <c r="T1022" s="72">
        <f>SUM(T1017:T1020)</f>
        <v>0</v>
      </c>
      <c r="U1022" s="72">
        <f>SUM(U1017:U1020)</f>
        <v>0</v>
      </c>
      <c r="V1022" s="72">
        <f>SUM(V1017:V1020)</f>
        <v>0</v>
      </c>
      <c r="W1022" s="72"/>
      <c r="X1022" s="72">
        <f>SUM(X1017:X1020)</f>
        <v>19762318.990000002</v>
      </c>
      <c r="Y1022" s="72">
        <f>SUM(Y1017:Y1020)</f>
        <v>24762318.990000002</v>
      </c>
      <c r="Z1022" s="72">
        <f>SUM(Z1017:Z1020)</f>
        <v>74873356.899999991</v>
      </c>
      <c r="AA1022" s="72">
        <f>SUM(AA1017:AA1020)</f>
        <v>24762318.990000002</v>
      </c>
      <c r="AB1022" s="72">
        <f>SUM(AB1017:AB1020)</f>
        <v>74873356.899999991</v>
      </c>
      <c r="AC1022" s="49" t="s">
        <v>53</v>
      </c>
      <c r="AD1022" s="94">
        <f t="shared" ref="AD1022:AF1023" si="355">D1012+D1019</f>
        <v>29004656.359999999</v>
      </c>
      <c r="AE1022" s="94">
        <f t="shared" si="355"/>
        <v>0</v>
      </c>
      <c r="AF1022" s="94">
        <f t="shared" si="355"/>
        <v>0</v>
      </c>
      <c r="AG1022" s="94">
        <f>+AE1022+AF1022</f>
        <v>0</v>
      </c>
      <c r="AH1022" s="94">
        <f>L1012+L1019</f>
        <v>0</v>
      </c>
      <c r="AI1022" s="94">
        <f>+AG1022+AH1022</f>
        <v>0</v>
      </c>
      <c r="AJ1022" s="94">
        <f>O1012+O1019</f>
        <v>11797953.43</v>
      </c>
      <c r="AK1022" s="94">
        <f>P1012+P1019</f>
        <v>0</v>
      </c>
      <c r="AL1022" s="94">
        <f>+AJ1022+AK1022</f>
        <v>11797953.43</v>
      </c>
      <c r="AM1022" s="94">
        <f>V1012+V1019</f>
        <v>0</v>
      </c>
      <c r="AN1022" s="94">
        <f>+AL1022+AM1022</f>
        <v>11797953.43</v>
      </c>
      <c r="AO1022" s="94">
        <f>+AG1022+AL1022</f>
        <v>11797953.43</v>
      </c>
      <c r="AP1022" s="94">
        <f>+AD1022-AO1022</f>
        <v>17206702.93</v>
      </c>
      <c r="AQ1022" s="94">
        <f>+AD1022-AI1022-AN1022</f>
        <v>17206702.93</v>
      </c>
      <c r="BB1022" s="4"/>
    </row>
    <row r="1023" spans="1:68" ht="21" customHeight="1" x14ac:dyDescent="0.25">
      <c r="A1023" s="46"/>
      <c r="B1023" s="26"/>
      <c r="C1023" s="4"/>
      <c r="D1023" s="70" t="s">
        <v>40</v>
      </c>
      <c r="E1023" s="70" t="s">
        <v>40</v>
      </c>
      <c r="F1023" s="70" t="s">
        <v>40</v>
      </c>
      <c r="G1023" s="70"/>
      <c r="H1023" s="70" t="s">
        <v>40</v>
      </c>
      <c r="I1023" s="70" t="s">
        <v>40</v>
      </c>
      <c r="J1023" s="70" t="s">
        <v>40</v>
      </c>
      <c r="K1023" s="70" t="s">
        <v>40</v>
      </c>
      <c r="L1023" s="70" t="s">
        <v>40</v>
      </c>
      <c r="M1023" s="70"/>
      <c r="N1023" s="70" t="s">
        <v>40</v>
      </c>
      <c r="O1023" s="70" t="s">
        <v>40</v>
      </c>
      <c r="P1023" s="70" t="s">
        <v>40</v>
      </c>
      <c r="Q1023" s="70"/>
      <c r="R1023" s="70" t="s">
        <v>40</v>
      </c>
      <c r="S1023" s="70" t="s">
        <v>40</v>
      </c>
      <c r="T1023" s="70" t="s">
        <v>40</v>
      </c>
      <c r="U1023" s="70" t="s">
        <v>40</v>
      </c>
      <c r="V1023" s="70" t="s">
        <v>40</v>
      </c>
      <c r="W1023" s="70"/>
      <c r="X1023" s="70" t="s">
        <v>40</v>
      </c>
      <c r="Y1023" s="70" t="s">
        <v>40</v>
      </c>
      <c r="Z1023" s="70" t="s">
        <v>40</v>
      </c>
      <c r="AA1023" s="70" t="s">
        <v>40</v>
      </c>
      <c r="AB1023" s="70" t="s">
        <v>40</v>
      </c>
      <c r="AC1023" s="49" t="s">
        <v>54</v>
      </c>
      <c r="AD1023" s="94">
        <f t="shared" si="355"/>
        <v>26423965.170000002</v>
      </c>
      <c r="AE1023" s="94">
        <f t="shared" si="355"/>
        <v>0</v>
      </c>
      <c r="AF1023" s="94">
        <f t="shared" si="355"/>
        <v>0</v>
      </c>
      <c r="AG1023" s="94">
        <f>+AE1023+AF1023</f>
        <v>0</v>
      </c>
      <c r="AH1023" s="94">
        <f>L1013+L1020</f>
        <v>0</v>
      </c>
      <c r="AI1023" s="94">
        <f>+AG1023+AH1023</f>
        <v>0</v>
      </c>
      <c r="AJ1023" s="94">
        <f>O1013+O1020</f>
        <v>21327598.399999999</v>
      </c>
      <c r="AK1023" s="94">
        <f>P1013+P1020</f>
        <v>0</v>
      </c>
      <c r="AL1023" s="94">
        <f>+AJ1023+AK1023</f>
        <v>21327598.399999999</v>
      </c>
      <c r="AM1023" s="94">
        <f>V1013+V1020</f>
        <v>0</v>
      </c>
      <c r="AN1023" s="94">
        <f>+AL1023+AM1023</f>
        <v>21327598.399999999</v>
      </c>
      <c r="AO1023" s="94">
        <f>+AG1023+AL1023</f>
        <v>21327598.399999999</v>
      </c>
      <c r="AP1023" s="94">
        <f>+AD1023-AO1023</f>
        <v>5096366.7700000033</v>
      </c>
      <c r="AQ1023" s="94">
        <f>+AD1023-AI1023-AN1023</f>
        <v>5096366.7700000033</v>
      </c>
    </row>
    <row r="1024" spans="1:68" x14ac:dyDescent="0.25">
      <c r="A1024" s="46"/>
      <c r="B1024" s="36" t="s">
        <v>3</v>
      </c>
      <c r="C1024" s="21" t="s">
        <v>232</v>
      </c>
      <c r="D1024" s="72">
        <f>D978+D987+D996+D1002+D1006+D1015+D1022</f>
        <v>404753666.30999994</v>
      </c>
      <c r="E1024" s="72">
        <f>E978+E987+E996+E1002+E1006+E1015+E1022</f>
        <v>102099613.04999998</v>
      </c>
      <c r="F1024" s="72">
        <f>F978+F987+F996+F1002+F1006+F1015+F1022</f>
        <v>7994643.3599999994</v>
      </c>
      <c r="G1024" s="72"/>
      <c r="H1024" s="72">
        <f>H978+H987+H996+H1002+H1006+H1015+H1022</f>
        <v>110094256.40999998</v>
      </c>
      <c r="I1024" s="72">
        <f>I978+I987+I996+I1002+I1006+I1015+I1022</f>
        <v>0</v>
      </c>
      <c r="J1024" s="72">
        <f>J978+J987+J996+J1002+J1006+J1015+J1022</f>
        <v>0</v>
      </c>
      <c r="K1024" s="72">
        <f>K978+K987+K996+K1002+K1006+K1015+K1022</f>
        <v>0</v>
      </c>
      <c r="L1024" s="72">
        <f>L978+L987+L996+L1002+L1006+L1015+L1022</f>
        <v>0</v>
      </c>
      <c r="M1024" s="72"/>
      <c r="N1024" s="72">
        <f>N978+N987+N996+N1002+N1006+N1015+N1022</f>
        <v>110094256.40999998</v>
      </c>
      <c r="O1024" s="72">
        <f>O978+O987+O996+O1002+O1006+O1015+O1022</f>
        <v>35888496.540000007</v>
      </c>
      <c r="P1024" s="72">
        <f>P978+P987+P996+P1002+P1006+P1015+P1022</f>
        <v>0</v>
      </c>
      <c r="Q1024" s="72"/>
      <c r="R1024" s="72">
        <f>R978+R987+R996+R1002+R1006+R1015+R1022</f>
        <v>35888496.540000007</v>
      </c>
      <c r="S1024" s="72">
        <f>S978+S987+S996+S1002+S1006+S1015+S1022</f>
        <v>0</v>
      </c>
      <c r="T1024" s="72">
        <f>T978+T987+T996+T1002+T1006+T1015+T1022</f>
        <v>0</v>
      </c>
      <c r="U1024" s="72">
        <f>U978+U987+U996+U1002+U1006+U1015+U1022</f>
        <v>0</v>
      </c>
      <c r="V1024" s="72">
        <f>V978+V987+V996+V1002+V1006+V1015+V1022</f>
        <v>0</v>
      </c>
      <c r="W1024" s="72"/>
      <c r="X1024" s="72">
        <f>X978+X987+X996+X1002+X1006+X1015+X1022</f>
        <v>35888496.540000007</v>
      </c>
      <c r="Y1024" s="72">
        <f>Y978+Y987+Y996+Y1002+Y1006+Y1015+Y1022</f>
        <v>145982752.94999999</v>
      </c>
      <c r="Z1024" s="72">
        <f>Z978+Z987+Z996+Z1002+Z1006+Z1015+Z1022</f>
        <v>258770913.35999995</v>
      </c>
      <c r="AA1024" s="72">
        <f>AA978+AA987+AA996+AA1002+AA1006+AA1015+AA1022</f>
        <v>145982752.94999999</v>
      </c>
      <c r="AB1024" s="72">
        <f>AB978+AB987+AB996+AB1002+AB1006+AB1015+AB1022</f>
        <v>258770913.35999995</v>
      </c>
      <c r="AD1024" s="95">
        <f t="shared" ref="AD1024:AQ1024" si="356">SUM(AD1013:AD1023)</f>
        <v>404753666.31</v>
      </c>
      <c r="AE1024" s="95">
        <f t="shared" si="356"/>
        <v>102099613.04999998</v>
      </c>
      <c r="AF1024" s="95">
        <f t="shared" si="356"/>
        <v>7994643.3599999994</v>
      </c>
      <c r="AG1024" s="95">
        <f t="shared" si="356"/>
        <v>110094256.40999998</v>
      </c>
      <c r="AH1024" s="95">
        <f t="shared" si="356"/>
        <v>0</v>
      </c>
      <c r="AI1024" s="95">
        <f t="shared" si="356"/>
        <v>110094256.40999998</v>
      </c>
      <c r="AJ1024" s="95">
        <f t="shared" si="356"/>
        <v>35888496.539999999</v>
      </c>
      <c r="AK1024" s="95">
        <f t="shared" si="356"/>
        <v>0</v>
      </c>
      <c r="AL1024" s="95">
        <f t="shared" si="356"/>
        <v>35888496.539999999</v>
      </c>
      <c r="AM1024" s="95">
        <f t="shared" si="356"/>
        <v>0</v>
      </c>
      <c r="AN1024" s="95">
        <f t="shared" si="356"/>
        <v>35888496.539999999</v>
      </c>
      <c r="AO1024" s="95">
        <f t="shared" si="356"/>
        <v>145982752.94999999</v>
      </c>
      <c r="AP1024" s="95">
        <f t="shared" si="356"/>
        <v>258770913.36000001</v>
      </c>
      <c r="AQ1024" s="95">
        <f t="shared" si="356"/>
        <v>258770913.36000001</v>
      </c>
      <c r="AV1024" s="4"/>
    </row>
    <row r="1025" spans="1:53" x14ac:dyDescent="0.25">
      <c r="A1025" s="46"/>
      <c r="B1025" s="26"/>
      <c r="C1025" s="4"/>
      <c r="D1025" s="70" t="s">
        <v>50</v>
      </c>
      <c r="E1025" s="70" t="s">
        <v>50</v>
      </c>
      <c r="F1025" s="70" t="s">
        <v>50</v>
      </c>
      <c r="G1025" s="70"/>
      <c r="H1025" s="70" t="s">
        <v>50</v>
      </c>
      <c r="I1025" s="70" t="s">
        <v>50</v>
      </c>
      <c r="J1025" s="70" t="s">
        <v>50</v>
      </c>
      <c r="K1025" s="70" t="s">
        <v>50</v>
      </c>
      <c r="L1025" s="70" t="s">
        <v>50</v>
      </c>
      <c r="M1025" s="70"/>
      <c r="N1025" s="70" t="s">
        <v>50</v>
      </c>
      <c r="O1025" s="70" t="s">
        <v>50</v>
      </c>
      <c r="P1025" s="70" t="s">
        <v>50</v>
      </c>
      <c r="Q1025" s="70"/>
      <c r="R1025" s="70" t="s">
        <v>50</v>
      </c>
      <c r="S1025" s="70" t="s">
        <v>50</v>
      </c>
      <c r="T1025" s="70" t="s">
        <v>50</v>
      </c>
      <c r="U1025" s="70" t="s">
        <v>50</v>
      </c>
      <c r="V1025" s="70" t="s">
        <v>50</v>
      </c>
      <c r="W1025" s="70"/>
      <c r="X1025" s="70" t="s">
        <v>50</v>
      </c>
      <c r="Y1025" s="70" t="s">
        <v>50</v>
      </c>
      <c r="Z1025" s="70" t="s">
        <v>50</v>
      </c>
      <c r="AA1025" s="70" t="s">
        <v>50</v>
      </c>
      <c r="AB1025" s="70" t="s">
        <v>50</v>
      </c>
      <c r="AD1025" s="94"/>
      <c r="AE1025" s="94"/>
      <c r="AF1025" s="94"/>
      <c r="AG1025" s="94"/>
      <c r="AH1025" s="94"/>
      <c r="AI1025" s="94"/>
      <c r="AJ1025" s="94"/>
      <c r="AK1025" s="94"/>
      <c r="AL1025" s="94"/>
      <c r="AM1025" s="94"/>
      <c r="AN1025" s="94"/>
      <c r="AO1025" s="94"/>
      <c r="AP1025" s="94"/>
      <c r="AQ1025" s="94"/>
      <c r="AU1025" s="4"/>
    </row>
    <row r="1026" spans="1:53" x14ac:dyDescent="0.25">
      <c r="A1026" s="46"/>
      <c r="B1026" s="26"/>
      <c r="C1026" s="20"/>
      <c r="D1026" s="75"/>
      <c r="E1026" s="68"/>
      <c r="F1026" s="68"/>
      <c r="G1026" s="68"/>
      <c r="H1026" s="68"/>
      <c r="I1026" s="68"/>
      <c r="J1026" s="68"/>
      <c r="K1026" s="68"/>
      <c r="L1026" s="68"/>
      <c r="M1026" s="68"/>
      <c r="N1026" s="68"/>
      <c r="O1026" s="127"/>
      <c r="P1026" s="128"/>
      <c r="Q1026" s="12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D1026" s="94"/>
      <c r="AE1026" s="94"/>
      <c r="AF1026" s="94"/>
      <c r="AG1026" s="94"/>
      <c r="AH1026" s="94"/>
      <c r="AI1026" s="94"/>
      <c r="AJ1026" s="94"/>
      <c r="AK1026" s="94"/>
      <c r="AL1026" s="94"/>
      <c r="AM1026" s="94"/>
      <c r="AN1026" s="94"/>
      <c r="AO1026" s="94"/>
      <c r="AP1026" s="94"/>
      <c r="AQ1026" s="94"/>
      <c r="BA1026" s="4"/>
    </row>
    <row r="1027" spans="1:53" x14ac:dyDescent="0.25">
      <c r="A1027" s="46"/>
      <c r="B1027" s="26"/>
      <c r="C1027" s="20"/>
      <c r="D1027" s="68"/>
      <c r="E1027" s="68"/>
      <c r="F1027" s="68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  <c r="AT1027" s="4"/>
    </row>
    <row r="1028" spans="1:53" x14ac:dyDescent="0.25">
      <c r="A1028" s="46"/>
      <c r="B1028" s="26"/>
      <c r="C1028" s="20"/>
      <c r="D1028" s="68"/>
      <c r="E1028" s="68"/>
      <c r="F1028" s="68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</row>
    <row r="1029" spans="1:53" ht="19.5" x14ac:dyDescent="0.35">
      <c r="A1029" s="46"/>
      <c r="B1029" s="47" t="s">
        <v>111</v>
      </c>
      <c r="C1029" s="4"/>
      <c r="D1029" s="68"/>
      <c r="E1029" s="68"/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</row>
    <row r="1030" spans="1:53" ht="16.5" customHeight="1" x14ac:dyDescent="0.25">
      <c r="A1030" s="46"/>
      <c r="B1030" s="26"/>
      <c r="C1030" s="4"/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</row>
    <row r="1031" spans="1:53" x14ac:dyDescent="0.25">
      <c r="A1031" s="46">
        <v>109</v>
      </c>
      <c r="B1031" s="23" t="s">
        <v>112</v>
      </c>
      <c r="C1031" s="2" t="s">
        <v>35</v>
      </c>
      <c r="D1031" s="67">
        <v>50397361.530000001</v>
      </c>
      <c r="E1031" s="67">
        <v>0</v>
      </c>
      <c r="F1031" s="68"/>
      <c r="G1031" s="68"/>
      <c r="H1031" s="67">
        <f>E1031+F1031</f>
        <v>0</v>
      </c>
      <c r="I1031" s="68"/>
      <c r="J1031" s="68"/>
      <c r="K1031" s="68"/>
      <c r="L1031" s="67"/>
      <c r="M1031" s="67"/>
      <c r="N1031" s="67">
        <f>H1031+L1031</f>
        <v>0</v>
      </c>
      <c r="O1031" s="67">
        <v>0</v>
      </c>
      <c r="P1031" s="68"/>
      <c r="Q1031" s="68"/>
      <c r="R1031" s="67">
        <f>O1031+P1031</f>
        <v>0</v>
      </c>
      <c r="S1031" s="68"/>
      <c r="T1031" s="68"/>
      <c r="U1031" s="68"/>
      <c r="V1031" s="67"/>
      <c r="W1031" s="67"/>
      <c r="X1031" s="67">
        <f>R1031+V1031</f>
        <v>0</v>
      </c>
      <c r="Y1031" s="67">
        <f>R1031+H1031</f>
        <v>0</v>
      </c>
      <c r="Z1031" s="67">
        <f>D1031-Y1031</f>
        <v>50397361.530000001</v>
      </c>
      <c r="AA1031" s="67">
        <f>N1031+X1031</f>
        <v>0</v>
      </c>
      <c r="AB1031" s="67">
        <f>+D1031-N1031-X1031</f>
        <v>50397361.530000001</v>
      </c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  <c r="AS1031" s="4"/>
    </row>
    <row r="1032" spans="1:53" x14ac:dyDescent="0.25">
      <c r="A1032" s="46"/>
      <c r="B1032" s="26"/>
      <c r="C1032" s="3" t="s">
        <v>36</v>
      </c>
      <c r="D1032" s="67">
        <f>110000+2212818.25</f>
        <v>2322818.25</v>
      </c>
      <c r="E1032" s="67">
        <f>110000+2212818.25</f>
        <v>2322818.25</v>
      </c>
      <c r="F1032" s="68"/>
      <c r="G1032" s="68"/>
      <c r="H1032" s="67">
        <f>E1032+F1032</f>
        <v>2322818.25</v>
      </c>
      <c r="I1032" s="68"/>
      <c r="J1032" s="68"/>
      <c r="K1032" s="68"/>
      <c r="L1032" s="67"/>
      <c r="M1032" s="67"/>
      <c r="N1032" s="67">
        <f>H1032+L1032</f>
        <v>2322818.25</v>
      </c>
      <c r="O1032" s="67">
        <v>0</v>
      </c>
      <c r="P1032" s="68"/>
      <c r="Q1032" s="68"/>
      <c r="R1032" s="67">
        <f>O1032+P1032</f>
        <v>0</v>
      </c>
      <c r="S1032" s="68"/>
      <c r="T1032" s="68"/>
      <c r="U1032" s="68"/>
      <c r="V1032" s="67"/>
      <c r="W1032" s="67"/>
      <c r="X1032" s="67">
        <f>R1032+V1032</f>
        <v>0</v>
      </c>
      <c r="Y1032" s="67">
        <f>R1032+H1032</f>
        <v>2322818.25</v>
      </c>
      <c r="Z1032" s="67">
        <f>D1032-Y1032</f>
        <v>0</v>
      </c>
      <c r="AA1032" s="67">
        <f>N1032+X1032</f>
        <v>2322818.25</v>
      </c>
      <c r="AB1032" s="67">
        <f>+D1032-N1032-X1032</f>
        <v>0</v>
      </c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</row>
    <row r="1033" spans="1:53" x14ac:dyDescent="0.25">
      <c r="A1033" s="46"/>
      <c r="B1033" s="26"/>
      <c r="C1033" s="3" t="s">
        <v>289</v>
      </c>
      <c r="D1033" s="67">
        <v>2000000</v>
      </c>
      <c r="E1033" s="67">
        <v>0</v>
      </c>
      <c r="F1033" s="68"/>
      <c r="G1033" s="68"/>
      <c r="H1033" s="67">
        <f>E1033+F1033</f>
        <v>0</v>
      </c>
      <c r="I1033" s="68"/>
      <c r="J1033" s="68"/>
      <c r="K1033" s="68"/>
      <c r="L1033" s="67"/>
      <c r="M1033" s="67"/>
      <c r="N1033" s="67">
        <f>H1033+L1033</f>
        <v>0</v>
      </c>
      <c r="O1033" s="67">
        <v>2000000</v>
      </c>
      <c r="P1033" s="68"/>
      <c r="Q1033" s="68"/>
      <c r="R1033" s="67">
        <f>O1033+P1033</f>
        <v>2000000</v>
      </c>
      <c r="S1033" s="68"/>
      <c r="T1033" s="68"/>
      <c r="U1033" s="68"/>
      <c r="V1033" s="67"/>
      <c r="W1033" s="67"/>
      <c r="X1033" s="67">
        <f>R1033+V1033</f>
        <v>2000000</v>
      </c>
      <c r="Y1033" s="67">
        <f>R1033+H1033</f>
        <v>2000000</v>
      </c>
      <c r="Z1033" s="67">
        <f>D1033-Y1033</f>
        <v>0</v>
      </c>
      <c r="AA1033" s="67">
        <f>N1033+X1033</f>
        <v>2000000</v>
      </c>
      <c r="AB1033" s="67">
        <f>+D1033-N1033-X1033</f>
        <v>0</v>
      </c>
      <c r="AC1033" s="67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</row>
    <row r="1034" spans="1:53" x14ac:dyDescent="0.25">
      <c r="A1034" s="46"/>
      <c r="B1034" s="26"/>
      <c r="C1034" s="2" t="s">
        <v>38</v>
      </c>
      <c r="D1034" s="67">
        <v>3152350</v>
      </c>
      <c r="E1034" s="67">
        <v>0</v>
      </c>
      <c r="F1034" s="68"/>
      <c r="G1034" s="68"/>
      <c r="H1034" s="67">
        <f>E1034+F1034</f>
        <v>0</v>
      </c>
      <c r="I1034" s="68"/>
      <c r="J1034" s="68"/>
      <c r="K1034" s="68"/>
      <c r="L1034" s="67"/>
      <c r="M1034" s="67"/>
      <c r="N1034" s="67">
        <f>H1034+L1034</f>
        <v>0</v>
      </c>
      <c r="O1034" s="67">
        <v>0</v>
      </c>
      <c r="P1034" s="68"/>
      <c r="Q1034" s="68"/>
      <c r="R1034" s="67">
        <f>O1034+P1034</f>
        <v>0</v>
      </c>
      <c r="S1034" s="68"/>
      <c r="T1034" s="68"/>
      <c r="U1034" s="68"/>
      <c r="V1034" s="67"/>
      <c r="W1034" s="67"/>
      <c r="X1034" s="67">
        <f>R1034+V1034</f>
        <v>0</v>
      </c>
      <c r="Y1034" s="67">
        <f>R1034+H1034</f>
        <v>0</v>
      </c>
      <c r="Z1034" s="67">
        <f>D1034-Y1034</f>
        <v>3152350</v>
      </c>
      <c r="AA1034" s="67">
        <f>N1034+X1034</f>
        <v>0</v>
      </c>
      <c r="AB1034" s="67">
        <f>+D1034-N1034-X1034</f>
        <v>3152350</v>
      </c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  <c r="AZ1034" s="4"/>
    </row>
    <row r="1035" spans="1:53" x14ac:dyDescent="0.25">
      <c r="A1035" s="46"/>
      <c r="B1035" s="30"/>
      <c r="C1035" s="4"/>
      <c r="D1035" s="70" t="s">
        <v>40</v>
      </c>
      <c r="E1035" s="70" t="s">
        <v>40</v>
      </c>
      <c r="F1035" s="70" t="s">
        <v>40</v>
      </c>
      <c r="G1035" s="70"/>
      <c r="H1035" s="70" t="s">
        <v>40</v>
      </c>
      <c r="I1035" s="70" t="s">
        <v>40</v>
      </c>
      <c r="J1035" s="70" t="s">
        <v>40</v>
      </c>
      <c r="K1035" s="70" t="s">
        <v>40</v>
      </c>
      <c r="L1035" s="70" t="s">
        <v>40</v>
      </c>
      <c r="M1035" s="70"/>
      <c r="N1035" s="70" t="s">
        <v>40</v>
      </c>
      <c r="O1035" s="70" t="s">
        <v>40</v>
      </c>
      <c r="P1035" s="70" t="s">
        <v>40</v>
      </c>
      <c r="Q1035" s="70"/>
      <c r="R1035" s="70" t="s">
        <v>40</v>
      </c>
      <c r="S1035" s="70" t="s">
        <v>40</v>
      </c>
      <c r="T1035" s="70" t="s">
        <v>40</v>
      </c>
      <c r="U1035" s="70" t="s">
        <v>40</v>
      </c>
      <c r="V1035" s="70" t="s">
        <v>40</v>
      </c>
      <c r="W1035" s="70"/>
      <c r="X1035" s="70" t="s">
        <v>40</v>
      </c>
      <c r="Y1035" s="70" t="s">
        <v>40</v>
      </c>
      <c r="Z1035" s="70" t="s">
        <v>40</v>
      </c>
      <c r="AA1035" s="70" t="s">
        <v>40</v>
      </c>
      <c r="AB1035" s="70" t="s">
        <v>40</v>
      </c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</row>
    <row r="1036" spans="1:53" x14ac:dyDescent="0.25">
      <c r="A1036" s="46"/>
      <c r="B1036" s="26"/>
      <c r="C1036" s="4"/>
      <c r="D1036" s="67">
        <f t="shared" ref="D1036:AA1036" si="357">SUM(D1031:D1034)</f>
        <v>57872529.780000001</v>
      </c>
      <c r="E1036" s="67">
        <f t="shared" si="357"/>
        <v>2322818.25</v>
      </c>
      <c r="F1036" s="67">
        <f t="shared" si="357"/>
        <v>0</v>
      </c>
      <c r="G1036" s="67"/>
      <c r="H1036" s="67">
        <f t="shared" si="357"/>
        <v>2322818.25</v>
      </c>
      <c r="I1036" s="67">
        <f t="shared" si="357"/>
        <v>0</v>
      </c>
      <c r="J1036" s="67">
        <f t="shared" si="357"/>
        <v>0</v>
      </c>
      <c r="K1036" s="67">
        <f t="shared" si="357"/>
        <v>0</v>
      </c>
      <c r="L1036" s="67">
        <f t="shared" si="357"/>
        <v>0</v>
      </c>
      <c r="M1036" s="67"/>
      <c r="N1036" s="67">
        <f t="shared" si="357"/>
        <v>2322818.25</v>
      </c>
      <c r="O1036" s="67">
        <f t="shared" si="357"/>
        <v>2000000</v>
      </c>
      <c r="P1036" s="67">
        <f t="shared" si="357"/>
        <v>0</v>
      </c>
      <c r="Q1036" s="67"/>
      <c r="R1036" s="67">
        <f t="shared" si="357"/>
        <v>2000000</v>
      </c>
      <c r="S1036" s="67">
        <f t="shared" si="357"/>
        <v>0</v>
      </c>
      <c r="T1036" s="67">
        <f t="shared" si="357"/>
        <v>0</v>
      </c>
      <c r="U1036" s="67">
        <f t="shared" si="357"/>
        <v>0</v>
      </c>
      <c r="V1036" s="67">
        <f t="shared" si="357"/>
        <v>0</v>
      </c>
      <c r="W1036" s="67"/>
      <c r="X1036" s="67">
        <f t="shared" si="357"/>
        <v>2000000</v>
      </c>
      <c r="Y1036" s="67">
        <f t="shared" si="357"/>
        <v>4322818.25</v>
      </c>
      <c r="Z1036" s="67">
        <f t="shared" si="357"/>
        <v>53549711.530000001</v>
      </c>
      <c r="AA1036" s="67">
        <f t="shared" si="357"/>
        <v>4322818.25</v>
      </c>
      <c r="AB1036" s="67">
        <f>SUM(AB1031:AB1034)</f>
        <v>53549711.530000001</v>
      </c>
      <c r="AD1036" s="94"/>
      <c r="AE1036" s="94"/>
      <c r="AF1036" s="94"/>
      <c r="AG1036" s="94"/>
      <c r="AH1036" s="94"/>
      <c r="AI1036" s="94"/>
      <c r="AJ1036" s="94"/>
      <c r="AK1036" s="94"/>
      <c r="AL1036" s="94"/>
      <c r="AM1036" s="94"/>
      <c r="AN1036" s="94"/>
      <c r="AO1036" s="94"/>
      <c r="AP1036" s="94"/>
      <c r="AQ1036" s="94"/>
      <c r="AY1036" s="4"/>
    </row>
    <row r="1037" spans="1:53" ht="15.75" customHeight="1" x14ac:dyDescent="0.25">
      <c r="A1037" s="46"/>
      <c r="B1037" s="26"/>
      <c r="C1037" s="4"/>
      <c r="D1037" s="70" t="s">
        <v>40</v>
      </c>
      <c r="E1037" s="70" t="s">
        <v>40</v>
      </c>
      <c r="F1037" s="70" t="s">
        <v>40</v>
      </c>
      <c r="G1037" s="70"/>
      <c r="H1037" s="70" t="s">
        <v>40</v>
      </c>
      <c r="I1037" s="70" t="s">
        <v>40</v>
      </c>
      <c r="J1037" s="70" t="s">
        <v>40</v>
      </c>
      <c r="K1037" s="70" t="s">
        <v>40</v>
      </c>
      <c r="L1037" s="70" t="s">
        <v>40</v>
      </c>
      <c r="M1037" s="70"/>
      <c r="N1037" s="70" t="s">
        <v>40</v>
      </c>
      <c r="O1037" s="70" t="s">
        <v>40</v>
      </c>
      <c r="P1037" s="70" t="s">
        <v>40</v>
      </c>
      <c r="Q1037" s="70"/>
      <c r="R1037" s="70" t="s">
        <v>40</v>
      </c>
      <c r="S1037" s="70" t="s">
        <v>40</v>
      </c>
      <c r="T1037" s="70" t="s">
        <v>40</v>
      </c>
      <c r="U1037" s="70" t="s">
        <v>40</v>
      </c>
      <c r="V1037" s="70" t="s">
        <v>40</v>
      </c>
      <c r="W1037" s="70"/>
      <c r="X1037" s="70" t="s">
        <v>40</v>
      </c>
      <c r="Y1037" s="70" t="s">
        <v>40</v>
      </c>
      <c r="Z1037" s="70" t="s">
        <v>40</v>
      </c>
      <c r="AA1037" s="70" t="s">
        <v>40</v>
      </c>
      <c r="AB1037" s="70" t="s">
        <v>40</v>
      </c>
      <c r="AD1037" s="94"/>
      <c r="AE1037" s="94"/>
      <c r="AF1037" s="94"/>
      <c r="AG1037" s="94"/>
      <c r="AH1037" s="94"/>
      <c r="AI1037" s="94"/>
      <c r="AJ1037" s="94"/>
      <c r="AK1037" s="94"/>
      <c r="AL1037" s="94"/>
      <c r="AM1037" s="94"/>
      <c r="AN1037" s="94"/>
      <c r="AO1037" s="94"/>
      <c r="AP1037" s="94"/>
      <c r="AQ1037" s="94"/>
    </row>
    <row r="1038" spans="1:53" ht="16.5" customHeight="1" x14ac:dyDescent="0.25">
      <c r="A1038" s="46"/>
      <c r="B1038" s="26"/>
      <c r="C1038" s="4"/>
      <c r="D1038" s="70"/>
      <c r="E1038" s="70"/>
      <c r="F1038" s="70"/>
      <c r="G1038" s="70"/>
      <c r="H1038" s="70"/>
      <c r="I1038" s="70"/>
      <c r="J1038" s="70"/>
      <c r="K1038" s="70"/>
      <c r="L1038" s="70"/>
      <c r="M1038" s="70"/>
      <c r="N1038" s="70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70"/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  <c r="AX1038" s="4"/>
    </row>
    <row r="1039" spans="1:53" ht="13.5" customHeight="1" x14ac:dyDescent="0.25">
      <c r="A1039" s="46">
        <v>110</v>
      </c>
      <c r="B1039" s="23" t="s">
        <v>113</v>
      </c>
      <c r="C1039" s="2" t="s">
        <v>35</v>
      </c>
      <c r="D1039" s="67">
        <v>20838782.84</v>
      </c>
      <c r="E1039" s="67">
        <v>0</v>
      </c>
      <c r="F1039" s="68"/>
      <c r="G1039" s="68"/>
      <c r="H1039" s="67">
        <f>E1039+F1039</f>
        <v>0</v>
      </c>
      <c r="I1039" s="68"/>
      <c r="J1039" s="68"/>
      <c r="K1039" s="68"/>
      <c r="L1039" s="67"/>
      <c r="M1039" s="67"/>
      <c r="N1039" s="67">
        <f>H1039+L1039</f>
        <v>0</v>
      </c>
      <c r="O1039" s="67">
        <v>0</v>
      </c>
      <c r="P1039" s="68"/>
      <c r="Q1039" s="68"/>
      <c r="R1039" s="67">
        <f>O1039+P1039</f>
        <v>0</v>
      </c>
      <c r="S1039" s="68"/>
      <c r="T1039" s="68"/>
      <c r="U1039" s="68"/>
      <c r="V1039" s="67"/>
      <c r="W1039" s="67"/>
      <c r="X1039" s="67">
        <f>R1039+V1039</f>
        <v>0</v>
      </c>
      <c r="Y1039" s="67">
        <f>R1039+H1039</f>
        <v>0</v>
      </c>
      <c r="Z1039" s="67">
        <f>D1039-Y1039</f>
        <v>20838782.84</v>
      </c>
      <c r="AA1039" s="67">
        <f>N1039+X1039</f>
        <v>0</v>
      </c>
      <c r="AB1039" s="67">
        <f>+D1039-N1039-X1039</f>
        <v>20838782.84</v>
      </c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W1039" s="4"/>
    </row>
    <row r="1040" spans="1:53" x14ac:dyDescent="0.25">
      <c r="A1040" s="46"/>
      <c r="B1040" s="26"/>
      <c r="C1040" s="3" t="s">
        <v>36</v>
      </c>
      <c r="D1040" s="67">
        <f>57324+134500+1108418.38</f>
        <v>1300242.3799999999</v>
      </c>
      <c r="E1040" s="67">
        <f>57324+134500+1108418.38</f>
        <v>1300242.3799999999</v>
      </c>
      <c r="F1040" s="68"/>
      <c r="G1040" s="68"/>
      <c r="H1040" s="67">
        <f>E1040+F1040</f>
        <v>1300242.3799999999</v>
      </c>
      <c r="I1040" s="68"/>
      <c r="J1040" s="68"/>
      <c r="K1040" s="68"/>
      <c r="L1040" s="67"/>
      <c r="M1040" s="67"/>
      <c r="N1040" s="67">
        <f>H1040+L1040</f>
        <v>1300242.3799999999</v>
      </c>
      <c r="O1040" s="67">
        <v>0</v>
      </c>
      <c r="P1040" s="68"/>
      <c r="Q1040" s="68"/>
      <c r="R1040" s="67">
        <f>O1040+P1040</f>
        <v>0</v>
      </c>
      <c r="S1040" s="68"/>
      <c r="T1040" s="68"/>
      <c r="U1040" s="68"/>
      <c r="V1040" s="67"/>
      <c r="W1040" s="67"/>
      <c r="X1040" s="67">
        <f>R1040+V1040</f>
        <v>0</v>
      </c>
      <c r="Y1040" s="67">
        <f>R1040+H1040</f>
        <v>1300242.3799999999</v>
      </c>
      <c r="Z1040" s="67">
        <f>D1040-Y1040</f>
        <v>0</v>
      </c>
      <c r="AA1040" s="67">
        <f>N1040+X1040</f>
        <v>1300242.3799999999</v>
      </c>
      <c r="AB1040" s="67">
        <f>+D1040-N1040-X1040</f>
        <v>0</v>
      </c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</row>
    <row r="1041" spans="1:106" ht="15" customHeight="1" x14ac:dyDescent="0.25">
      <c r="A1041" s="46"/>
      <c r="B1041" s="26"/>
      <c r="C1041" s="2" t="s">
        <v>53</v>
      </c>
      <c r="D1041" s="67">
        <v>6966507.5800000001</v>
      </c>
      <c r="E1041" s="67">
        <v>0</v>
      </c>
      <c r="F1041" s="68"/>
      <c r="G1041" s="68"/>
      <c r="H1041" s="67">
        <f>E1041+F1041</f>
        <v>0</v>
      </c>
      <c r="I1041" s="68"/>
      <c r="J1041" s="68"/>
      <c r="K1041" s="68"/>
      <c r="L1041" s="67"/>
      <c r="M1041" s="67"/>
      <c r="N1041" s="67">
        <f>H1041+L1041</f>
        <v>0</v>
      </c>
      <c r="O1041" s="67">
        <v>493855.1</v>
      </c>
      <c r="P1041" s="68"/>
      <c r="Q1041" s="68"/>
      <c r="R1041" s="67">
        <f>O1041+P1041</f>
        <v>493855.1</v>
      </c>
      <c r="S1041" s="68"/>
      <c r="T1041" s="68"/>
      <c r="U1041" s="68"/>
      <c r="V1041" s="67"/>
      <c r="W1041" s="67"/>
      <c r="X1041" s="67">
        <f>+R1041+V1041</f>
        <v>493855.1</v>
      </c>
      <c r="Y1041" s="67">
        <f>R1041+H1041</f>
        <v>493855.1</v>
      </c>
      <c r="Z1041" s="67">
        <f>D1041-Y1041</f>
        <v>6472652.4800000004</v>
      </c>
      <c r="AA1041" s="67">
        <f>N1041+X1041</f>
        <v>493855.1</v>
      </c>
      <c r="AB1041" s="67">
        <f>+D1041-N1041-X1041</f>
        <v>6472652.4800000004</v>
      </c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  <c r="AR1041" s="4"/>
    </row>
    <row r="1042" spans="1:106" x14ac:dyDescent="0.25">
      <c r="A1042" s="46"/>
      <c r="B1042" s="26"/>
      <c r="C1042" s="2" t="s">
        <v>38</v>
      </c>
      <c r="D1042" s="67">
        <f>6405000-1387836.95</f>
        <v>5017163.05</v>
      </c>
      <c r="E1042" s="67">
        <v>0</v>
      </c>
      <c r="F1042" s="68"/>
      <c r="G1042" s="68"/>
      <c r="H1042" s="67">
        <f>E1042+F1042</f>
        <v>0</v>
      </c>
      <c r="I1042" s="68"/>
      <c r="J1042" s="68"/>
      <c r="K1042" s="68"/>
      <c r="L1042" s="67"/>
      <c r="M1042" s="67"/>
      <c r="N1042" s="67">
        <f>H1042+L1042</f>
        <v>0</v>
      </c>
      <c r="O1042" s="67">
        <v>0</v>
      </c>
      <c r="P1042" s="68"/>
      <c r="Q1042" s="68"/>
      <c r="R1042" s="67">
        <f>O1042+P1042</f>
        <v>0</v>
      </c>
      <c r="S1042" s="68"/>
      <c r="T1042" s="68"/>
      <c r="U1042" s="68"/>
      <c r="V1042" s="67"/>
      <c r="W1042" s="67"/>
      <c r="X1042" s="67">
        <f>+R1042+V1042</f>
        <v>0</v>
      </c>
      <c r="Y1042" s="67">
        <f>R1042+H1042</f>
        <v>0</v>
      </c>
      <c r="Z1042" s="67">
        <f>D1042-Y1042</f>
        <v>5017163.05</v>
      </c>
      <c r="AA1042" s="67">
        <f>N1042+X1042</f>
        <v>0</v>
      </c>
      <c r="AB1042" s="67">
        <f>+D1042-N1042-X1042</f>
        <v>5017163.05</v>
      </c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</row>
    <row r="1043" spans="1:106" s="4" customFormat="1" x14ac:dyDescent="0.25">
      <c r="A1043" s="46"/>
      <c r="B1043" s="26"/>
      <c r="C1043" s="2" t="s">
        <v>54</v>
      </c>
      <c r="D1043" s="67">
        <f>3708529.82+1387836.95</f>
        <v>5096366.7699999996</v>
      </c>
      <c r="E1043" s="67">
        <v>0</v>
      </c>
      <c r="F1043" s="68"/>
      <c r="G1043" s="68"/>
      <c r="H1043" s="67">
        <f>E1043+F1043</f>
        <v>0</v>
      </c>
      <c r="I1043" s="68"/>
      <c r="J1043" s="68"/>
      <c r="K1043" s="68"/>
      <c r="L1043" s="67"/>
      <c r="M1043" s="67"/>
      <c r="N1043" s="67">
        <f>H1043+L1043</f>
        <v>0</v>
      </c>
      <c r="O1043" s="67">
        <f>10700263.03-5603896.26</f>
        <v>5096366.7699999996</v>
      </c>
      <c r="P1043" s="68"/>
      <c r="Q1043" s="68"/>
      <c r="R1043" s="67">
        <f>O1043+P1043</f>
        <v>5096366.7699999996</v>
      </c>
      <c r="S1043" s="68"/>
      <c r="T1043" s="68"/>
      <c r="U1043" s="68"/>
      <c r="V1043" s="67"/>
      <c r="W1043" s="67"/>
      <c r="X1043" s="67">
        <f>+R1043+V1043</f>
        <v>5096366.7699999996</v>
      </c>
      <c r="Y1043" s="67">
        <f>R1043+H1043</f>
        <v>5096366.7699999996</v>
      </c>
      <c r="Z1043" s="67">
        <f>D1043-Y1043</f>
        <v>0</v>
      </c>
      <c r="AA1043" s="67">
        <f>N1043+X1043</f>
        <v>5096366.7699999996</v>
      </c>
      <c r="AB1043" s="67">
        <f>+D1043-N1043-X1043</f>
        <v>0</v>
      </c>
      <c r="AC1043"/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  <c r="AR1043"/>
      <c r="AS1043"/>
      <c r="AT1043"/>
      <c r="AU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</row>
    <row r="1044" spans="1:106" ht="23.25" customHeight="1" x14ac:dyDescent="0.25">
      <c r="A1044" s="46"/>
      <c r="B1044" s="26"/>
      <c r="C1044" s="4"/>
      <c r="D1044" s="70" t="s">
        <v>40</v>
      </c>
      <c r="E1044" s="70" t="s">
        <v>40</v>
      </c>
      <c r="F1044" s="70" t="s">
        <v>40</v>
      </c>
      <c r="G1044" s="70"/>
      <c r="H1044" s="70" t="s">
        <v>40</v>
      </c>
      <c r="I1044" s="70" t="s">
        <v>40</v>
      </c>
      <c r="J1044" s="70" t="s">
        <v>40</v>
      </c>
      <c r="K1044" s="70" t="s">
        <v>40</v>
      </c>
      <c r="L1044" s="70" t="s">
        <v>40</v>
      </c>
      <c r="M1044" s="70"/>
      <c r="N1044" s="70" t="s">
        <v>40</v>
      </c>
      <c r="O1044" s="70" t="s">
        <v>40</v>
      </c>
      <c r="P1044" s="70" t="s">
        <v>40</v>
      </c>
      <c r="Q1044" s="70"/>
      <c r="R1044" s="70" t="s">
        <v>40</v>
      </c>
      <c r="S1044" s="70" t="s">
        <v>40</v>
      </c>
      <c r="T1044" s="70" t="s">
        <v>40</v>
      </c>
      <c r="U1044" s="70" t="s">
        <v>40</v>
      </c>
      <c r="V1044" s="70" t="s">
        <v>40</v>
      </c>
      <c r="W1044" s="70"/>
      <c r="X1044" s="70" t="s">
        <v>40</v>
      </c>
      <c r="Y1044" s="70" t="s">
        <v>40</v>
      </c>
      <c r="Z1044" s="70" t="s">
        <v>40</v>
      </c>
      <c r="AA1044" s="70" t="s">
        <v>40</v>
      </c>
      <c r="AB1044" s="70" t="s">
        <v>40</v>
      </c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  <c r="AU1044" s="4"/>
    </row>
    <row r="1045" spans="1:106" x14ac:dyDescent="0.25">
      <c r="A1045" s="46"/>
      <c r="B1045" s="26"/>
      <c r="C1045" s="4"/>
      <c r="D1045" s="67">
        <f t="shared" ref="D1045:AB1045" si="358">SUM(D1039:D1043)</f>
        <v>39219062.61999999</v>
      </c>
      <c r="E1045" s="67">
        <f t="shared" si="358"/>
        <v>1300242.3799999999</v>
      </c>
      <c r="F1045" s="67">
        <f t="shared" si="358"/>
        <v>0</v>
      </c>
      <c r="G1045" s="67"/>
      <c r="H1045" s="67">
        <f t="shared" si="358"/>
        <v>1300242.3799999999</v>
      </c>
      <c r="I1045" s="67">
        <f t="shared" si="358"/>
        <v>0</v>
      </c>
      <c r="J1045" s="67">
        <f t="shared" si="358"/>
        <v>0</v>
      </c>
      <c r="K1045" s="67">
        <f t="shared" si="358"/>
        <v>0</v>
      </c>
      <c r="L1045" s="67">
        <f t="shared" si="358"/>
        <v>0</v>
      </c>
      <c r="M1045" s="67"/>
      <c r="N1045" s="67">
        <f t="shared" si="358"/>
        <v>1300242.3799999999</v>
      </c>
      <c r="O1045" s="67">
        <f t="shared" si="358"/>
        <v>5590221.8699999992</v>
      </c>
      <c r="P1045" s="67">
        <f t="shared" si="358"/>
        <v>0</v>
      </c>
      <c r="Q1045" s="67"/>
      <c r="R1045" s="67">
        <f t="shared" si="358"/>
        <v>5590221.8699999992</v>
      </c>
      <c r="S1045" s="67">
        <f t="shared" si="358"/>
        <v>0</v>
      </c>
      <c r="T1045" s="67">
        <f t="shared" si="358"/>
        <v>0</v>
      </c>
      <c r="U1045" s="67">
        <f t="shared" si="358"/>
        <v>0</v>
      </c>
      <c r="V1045" s="67">
        <f t="shared" si="358"/>
        <v>0</v>
      </c>
      <c r="W1045" s="67"/>
      <c r="X1045" s="67">
        <f t="shared" si="358"/>
        <v>5590221.8699999992</v>
      </c>
      <c r="Y1045" s="67">
        <f t="shared" si="358"/>
        <v>6890464.25</v>
      </c>
      <c r="Z1045" s="67">
        <f t="shared" si="358"/>
        <v>32328598.370000001</v>
      </c>
      <c r="AA1045" s="67">
        <f t="shared" si="358"/>
        <v>6890464.25</v>
      </c>
      <c r="AB1045" s="67">
        <f t="shared" si="358"/>
        <v>32328598.370000001</v>
      </c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</row>
    <row r="1046" spans="1:106" x14ac:dyDescent="0.25">
      <c r="A1046" s="46"/>
      <c r="B1046" s="26"/>
      <c r="C1046" s="4"/>
      <c r="D1046" s="70" t="s">
        <v>40</v>
      </c>
      <c r="E1046" s="70" t="s">
        <v>40</v>
      </c>
      <c r="F1046" s="70" t="s">
        <v>40</v>
      </c>
      <c r="G1046" s="70"/>
      <c r="H1046" s="70" t="s">
        <v>40</v>
      </c>
      <c r="I1046" s="70" t="s">
        <v>40</v>
      </c>
      <c r="J1046" s="70" t="s">
        <v>40</v>
      </c>
      <c r="K1046" s="70" t="s">
        <v>40</v>
      </c>
      <c r="L1046" s="70" t="s">
        <v>40</v>
      </c>
      <c r="M1046" s="70"/>
      <c r="N1046" s="70" t="s">
        <v>40</v>
      </c>
      <c r="O1046" s="70" t="s">
        <v>40</v>
      </c>
      <c r="P1046" s="70" t="s">
        <v>40</v>
      </c>
      <c r="Q1046" s="70"/>
      <c r="R1046" s="70" t="s">
        <v>40</v>
      </c>
      <c r="S1046" s="70" t="s">
        <v>40</v>
      </c>
      <c r="T1046" s="70" t="s">
        <v>40</v>
      </c>
      <c r="U1046" s="70" t="s">
        <v>40</v>
      </c>
      <c r="V1046" s="70" t="s">
        <v>40</v>
      </c>
      <c r="W1046" s="70"/>
      <c r="X1046" s="70" t="s">
        <v>40</v>
      </c>
      <c r="Y1046" s="70" t="s">
        <v>40</v>
      </c>
      <c r="Z1046" s="70" t="s">
        <v>40</v>
      </c>
      <c r="AA1046" s="70" t="s">
        <v>40</v>
      </c>
      <c r="AB1046" s="70" t="s">
        <v>40</v>
      </c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  <c r="CJ1046" s="4"/>
      <c r="CK1046" s="4"/>
      <c r="CL1046" s="4"/>
      <c r="CM1046" s="4"/>
      <c r="CN1046" s="4"/>
      <c r="CO1046" s="4"/>
      <c r="CP1046" s="4"/>
    </row>
    <row r="1047" spans="1:106" x14ac:dyDescent="0.25">
      <c r="A1047" s="46"/>
      <c r="B1047" s="26"/>
      <c r="C1047" s="4"/>
      <c r="D1047" s="70"/>
      <c r="E1047" s="70"/>
      <c r="F1047" s="70"/>
      <c r="G1047" s="70"/>
      <c r="H1047" s="70"/>
      <c r="I1047" s="70"/>
      <c r="J1047" s="70"/>
      <c r="K1047" s="70"/>
      <c r="L1047" s="70"/>
      <c r="M1047" s="70"/>
      <c r="N1047" s="70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102"/>
      <c r="Z1047" s="70"/>
      <c r="AA1047" s="70"/>
      <c r="AB1047" s="70"/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  <c r="AT1047" s="4"/>
    </row>
    <row r="1048" spans="1:106" x14ac:dyDescent="0.25">
      <c r="A1048" s="46">
        <v>111</v>
      </c>
      <c r="B1048" s="23" t="s">
        <v>114</v>
      </c>
      <c r="C1048" s="2" t="s">
        <v>35</v>
      </c>
      <c r="D1048" s="67">
        <v>1393121.15</v>
      </c>
      <c r="E1048" s="67">
        <v>0</v>
      </c>
      <c r="F1048" s="68"/>
      <c r="G1048" s="68"/>
      <c r="H1048" s="67">
        <f>E1048+F1048</f>
        <v>0</v>
      </c>
      <c r="I1048" s="68"/>
      <c r="J1048" s="68"/>
      <c r="K1048" s="68"/>
      <c r="L1048" s="67"/>
      <c r="M1048" s="67"/>
      <c r="N1048" s="67">
        <f>H1048+L1048</f>
        <v>0</v>
      </c>
      <c r="O1048" s="67">
        <v>0</v>
      </c>
      <c r="P1048" s="68"/>
      <c r="Q1048" s="68"/>
      <c r="R1048" s="67">
        <f>O1048+P1048</f>
        <v>0</v>
      </c>
      <c r="S1048" s="68">
        <v>108127.75</v>
      </c>
      <c r="T1048" s="68"/>
      <c r="U1048" s="68"/>
      <c r="V1048" s="67"/>
      <c r="W1048" s="67"/>
      <c r="X1048" s="67">
        <f>R1048+V1048</f>
        <v>0</v>
      </c>
      <c r="Y1048" s="67">
        <f>R1048+H1048</f>
        <v>0</v>
      </c>
      <c r="Z1048" s="67">
        <f>D1048-Y1048</f>
        <v>1393121.15</v>
      </c>
      <c r="AA1048" s="67">
        <f>N1048+X1048</f>
        <v>0</v>
      </c>
      <c r="AB1048" s="67">
        <f>+D1048-N1048-X1048</f>
        <v>1393121.15</v>
      </c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  <c r="CD1048" s="4"/>
      <c r="CE1048" s="4"/>
      <c r="CF1048" s="4"/>
      <c r="CG1048" s="4"/>
      <c r="CH1048" s="4"/>
      <c r="CI1048" s="4"/>
    </row>
    <row r="1049" spans="1:106" x14ac:dyDescent="0.25">
      <c r="A1049" s="46"/>
      <c r="B1049" s="26"/>
      <c r="C1049" s="3" t="s">
        <v>36</v>
      </c>
      <c r="D1049" s="67">
        <v>38839.85</v>
      </c>
      <c r="E1049" s="67">
        <v>38839.85</v>
      </c>
      <c r="F1049" s="68"/>
      <c r="G1049" s="68"/>
      <c r="H1049" s="67">
        <f>E1049+F1049</f>
        <v>38839.85</v>
      </c>
      <c r="I1049" s="68"/>
      <c r="J1049" s="68"/>
      <c r="K1049" s="68"/>
      <c r="L1049" s="67"/>
      <c r="M1049" s="67"/>
      <c r="N1049" s="67">
        <f>H1049+L1049</f>
        <v>38839.85</v>
      </c>
      <c r="O1049" s="67">
        <v>0</v>
      </c>
      <c r="P1049" s="68"/>
      <c r="Q1049" s="68"/>
      <c r="R1049" s="67">
        <f>O1049+P1049</f>
        <v>0</v>
      </c>
      <c r="S1049" s="68"/>
      <c r="T1049" s="68"/>
      <c r="U1049" s="68"/>
      <c r="V1049" s="67"/>
      <c r="W1049" s="67"/>
      <c r="X1049" s="67">
        <f>R1049+V1049</f>
        <v>0</v>
      </c>
      <c r="Y1049" s="67">
        <f>R1049+H1049</f>
        <v>38839.85</v>
      </c>
      <c r="Z1049" s="67">
        <f>D1049-Y1049</f>
        <v>0</v>
      </c>
      <c r="AA1049" s="67">
        <f>N1049+X1049</f>
        <v>38839.85</v>
      </c>
      <c r="AB1049" s="67">
        <f>+D1049-N1049-X1049</f>
        <v>0</v>
      </c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  <c r="BZ1049" s="4"/>
      <c r="CA1049" s="4"/>
      <c r="CB1049" s="4"/>
      <c r="CC1049" s="4"/>
    </row>
    <row r="1050" spans="1:106" x14ac:dyDescent="0.25">
      <c r="A1050" s="46"/>
      <c r="B1050" s="26"/>
      <c r="C1050" s="4"/>
      <c r="D1050" s="70" t="s">
        <v>40</v>
      </c>
      <c r="E1050" s="70" t="s">
        <v>40</v>
      </c>
      <c r="F1050" s="70" t="s">
        <v>40</v>
      </c>
      <c r="G1050" s="70"/>
      <c r="H1050" s="70" t="s">
        <v>40</v>
      </c>
      <c r="I1050" s="70" t="s">
        <v>40</v>
      </c>
      <c r="J1050" s="70" t="s">
        <v>40</v>
      </c>
      <c r="K1050" s="70" t="s">
        <v>40</v>
      </c>
      <c r="L1050" s="70" t="s">
        <v>40</v>
      </c>
      <c r="M1050" s="70"/>
      <c r="N1050" s="70" t="s">
        <v>40</v>
      </c>
      <c r="O1050" s="70" t="s">
        <v>40</v>
      </c>
      <c r="P1050" s="70" t="s">
        <v>40</v>
      </c>
      <c r="Q1050" s="70"/>
      <c r="R1050" s="70" t="s">
        <v>40</v>
      </c>
      <c r="S1050" s="70" t="s">
        <v>40</v>
      </c>
      <c r="T1050" s="70" t="s">
        <v>40</v>
      </c>
      <c r="U1050" s="70" t="s">
        <v>40</v>
      </c>
      <c r="V1050" s="70" t="s">
        <v>40</v>
      </c>
      <c r="W1050" s="70"/>
      <c r="X1050" s="70" t="s">
        <v>40</v>
      </c>
      <c r="Y1050" s="70" t="s">
        <v>40</v>
      </c>
      <c r="Z1050" s="70" t="s">
        <v>40</v>
      </c>
      <c r="AA1050" s="70" t="s">
        <v>40</v>
      </c>
      <c r="AB1050" s="70" t="s">
        <v>40</v>
      </c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  <c r="BY1050" s="4"/>
    </row>
    <row r="1051" spans="1:106" x14ac:dyDescent="0.25">
      <c r="A1051" s="46"/>
      <c r="B1051" s="26"/>
      <c r="C1051" s="4"/>
      <c r="D1051" s="67">
        <f t="shared" ref="D1051:AB1051" si="359">D1048+D1049</f>
        <v>1431961</v>
      </c>
      <c r="E1051" s="67">
        <f t="shared" si="359"/>
        <v>38839.85</v>
      </c>
      <c r="F1051" s="67">
        <f t="shared" si="359"/>
        <v>0</v>
      </c>
      <c r="G1051" s="67"/>
      <c r="H1051" s="67">
        <f t="shared" si="359"/>
        <v>38839.85</v>
      </c>
      <c r="I1051" s="67">
        <f t="shared" si="359"/>
        <v>0</v>
      </c>
      <c r="J1051" s="67">
        <f t="shared" si="359"/>
        <v>0</v>
      </c>
      <c r="K1051" s="67">
        <f t="shared" si="359"/>
        <v>0</v>
      </c>
      <c r="L1051" s="67">
        <f t="shared" si="359"/>
        <v>0</v>
      </c>
      <c r="M1051" s="67"/>
      <c r="N1051" s="67">
        <f t="shared" si="359"/>
        <v>38839.85</v>
      </c>
      <c r="O1051" s="67">
        <f t="shared" si="359"/>
        <v>0</v>
      </c>
      <c r="P1051" s="67">
        <f t="shared" si="359"/>
        <v>0</v>
      </c>
      <c r="Q1051" s="67"/>
      <c r="R1051" s="67">
        <f t="shared" si="359"/>
        <v>0</v>
      </c>
      <c r="S1051" s="67">
        <f t="shared" si="359"/>
        <v>108127.75</v>
      </c>
      <c r="T1051" s="67">
        <f t="shared" si="359"/>
        <v>0</v>
      </c>
      <c r="U1051" s="67">
        <f t="shared" si="359"/>
        <v>0</v>
      </c>
      <c r="V1051" s="67">
        <f t="shared" si="359"/>
        <v>0</v>
      </c>
      <c r="W1051" s="67"/>
      <c r="X1051" s="67">
        <f t="shared" si="359"/>
        <v>0</v>
      </c>
      <c r="Y1051" s="67">
        <f t="shared" si="359"/>
        <v>38839.85</v>
      </c>
      <c r="Z1051" s="67">
        <f t="shared" si="359"/>
        <v>1393121.15</v>
      </c>
      <c r="AA1051" s="67">
        <f t="shared" si="359"/>
        <v>38839.85</v>
      </c>
      <c r="AB1051" s="67">
        <f t="shared" si="359"/>
        <v>1393121.15</v>
      </c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</row>
    <row r="1052" spans="1:106" ht="15.75" customHeight="1" x14ac:dyDescent="0.25">
      <c r="A1052" s="46"/>
      <c r="B1052" s="26"/>
      <c r="C1052" s="4"/>
      <c r="D1052" s="70" t="s">
        <v>40</v>
      </c>
      <c r="E1052" s="70" t="s">
        <v>40</v>
      </c>
      <c r="F1052" s="70" t="s">
        <v>40</v>
      </c>
      <c r="G1052" s="70"/>
      <c r="H1052" s="70" t="s">
        <v>40</v>
      </c>
      <c r="I1052" s="70" t="s">
        <v>40</v>
      </c>
      <c r="J1052" s="70" t="s">
        <v>40</v>
      </c>
      <c r="K1052" s="70" t="s">
        <v>40</v>
      </c>
      <c r="L1052" s="70" t="s">
        <v>40</v>
      </c>
      <c r="M1052" s="70"/>
      <c r="N1052" s="70" t="s">
        <v>40</v>
      </c>
      <c r="O1052" s="70" t="s">
        <v>40</v>
      </c>
      <c r="P1052" s="70" t="s">
        <v>40</v>
      </c>
      <c r="Q1052" s="70"/>
      <c r="R1052" s="70" t="s">
        <v>40</v>
      </c>
      <c r="S1052" s="70" t="s">
        <v>40</v>
      </c>
      <c r="T1052" s="70" t="s">
        <v>40</v>
      </c>
      <c r="U1052" s="70" t="s">
        <v>40</v>
      </c>
      <c r="V1052" s="70" t="s">
        <v>40</v>
      </c>
      <c r="W1052" s="70"/>
      <c r="X1052" s="70" t="s">
        <v>40</v>
      </c>
      <c r="Y1052" s="70" t="s">
        <v>40</v>
      </c>
      <c r="Z1052" s="70" t="s">
        <v>40</v>
      </c>
      <c r="AA1052" s="70" t="s">
        <v>40</v>
      </c>
      <c r="AB1052" s="70" t="s">
        <v>40</v>
      </c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  <c r="AS1052" s="4"/>
    </row>
    <row r="1053" spans="1:106" x14ac:dyDescent="0.25">
      <c r="A1053" s="46"/>
      <c r="B1053" s="26"/>
      <c r="C1053" s="4"/>
      <c r="D1053" s="70"/>
      <c r="E1053" s="70"/>
      <c r="F1053" s="70"/>
      <c r="G1053" s="70"/>
      <c r="H1053" s="70"/>
      <c r="I1053" s="70"/>
      <c r="J1053" s="70"/>
      <c r="K1053" s="70"/>
      <c r="L1053" s="70"/>
      <c r="M1053" s="70"/>
      <c r="N1053" s="70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70"/>
      <c r="AD1053" s="94"/>
      <c r="AE1053" s="94"/>
      <c r="AF1053" s="94"/>
      <c r="AG1053" s="94"/>
      <c r="AH1053" s="94"/>
      <c r="AI1053" s="94"/>
      <c r="AJ1053" s="94"/>
      <c r="AK1053" s="94"/>
      <c r="AL1053" s="94"/>
      <c r="AM1053" s="94"/>
      <c r="AN1053" s="94"/>
      <c r="AO1053" s="94"/>
      <c r="AP1053" s="94"/>
      <c r="AQ1053" s="94"/>
    </row>
    <row r="1054" spans="1:106" x14ac:dyDescent="0.25">
      <c r="A1054" s="46">
        <v>112</v>
      </c>
      <c r="B1054" s="23" t="s">
        <v>115</v>
      </c>
      <c r="C1054" s="2" t="s">
        <v>35</v>
      </c>
      <c r="D1054" s="67">
        <v>529367.1</v>
      </c>
      <c r="E1054" s="67">
        <v>0</v>
      </c>
      <c r="F1054" s="68"/>
      <c r="G1054" s="68"/>
      <c r="H1054" s="67">
        <f>E1054+F1054</f>
        <v>0</v>
      </c>
      <c r="I1054" s="68"/>
      <c r="J1054" s="68"/>
      <c r="K1054" s="68"/>
      <c r="L1054" s="67">
        <f>I1054-J1054+K1054</f>
        <v>0</v>
      </c>
      <c r="M1054" s="67"/>
      <c r="N1054" s="67">
        <f>H1054+L1054</f>
        <v>0</v>
      </c>
      <c r="O1054" s="67">
        <v>0</v>
      </c>
      <c r="P1054" s="68"/>
      <c r="Q1054" s="68"/>
      <c r="R1054" s="67">
        <f>O1054+P1054</f>
        <v>0</v>
      </c>
      <c r="S1054" s="68"/>
      <c r="T1054" s="68"/>
      <c r="U1054" s="68"/>
      <c r="V1054" s="67"/>
      <c r="W1054" s="67"/>
      <c r="X1054" s="67">
        <f>R1054+V1054</f>
        <v>0</v>
      </c>
      <c r="Y1054" s="67">
        <f>R1054+H1054</f>
        <v>0</v>
      </c>
      <c r="Z1054" s="67">
        <f>D1054-Y1054</f>
        <v>529367.1</v>
      </c>
      <c r="AA1054" s="67">
        <f>N1054+X1054</f>
        <v>0</v>
      </c>
      <c r="AB1054" s="67">
        <f>+D1054-N1054-X1054</f>
        <v>529367.1</v>
      </c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94"/>
      <c r="BW1054" s="4"/>
      <c r="BX1054" s="4"/>
    </row>
    <row r="1055" spans="1:106" ht="15.75" customHeight="1" x14ac:dyDescent="0.25">
      <c r="A1055" s="4"/>
      <c r="B1055" s="4"/>
      <c r="C1055" s="4" t="s">
        <v>305</v>
      </c>
      <c r="D1055" s="55">
        <v>5590007.3099999996</v>
      </c>
      <c r="E1055" s="55">
        <v>5590007.3099999996</v>
      </c>
      <c r="F1055" s="55"/>
      <c r="G1055" s="55"/>
      <c r="H1055" s="55">
        <f>+E1055+F1055</f>
        <v>5590007.3099999996</v>
      </c>
      <c r="I1055" s="55"/>
      <c r="J1055" s="55"/>
      <c r="K1055" s="55"/>
      <c r="L1055" s="55">
        <v>0</v>
      </c>
      <c r="M1055" s="55"/>
      <c r="N1055" s="55">
        <f>+H1055+L1055</f>
        <v>5590007.3099999996</v>
      </c>
      <c r="O1055" s="55">
        <v>0</v>
      </c>
      <c r="P1055" s="55"/>
      <c r="Q1055" s="55"/>
      <c r="R1055" s="55">
        <f>+O1055+P1055</f>
        <v>0</v>
      </c>
      <c r="S1055" s="55"/>
      <c r="T1055" s="55"/>
      <c r="U1055" s="55"/>
      <c r="V1055" s="55"/>
      <c r="W1055" s="55"/>
      <c r="X1055" s="55">
        <f>+R1055+V1055</f>
        <v>0</v>
      </c>
      <c r="Y1055" s="67">
        <f>R1055+H1055</f>
        <v>5590007.3099999996</v>
      </c>
      <c r="Z1055" s="67">
        <f>D1055-Y1055</f>
        <v>0</v>
      </c>
      <c r="AA1055" s="67">
        <f>N1055+X1055</f>
        <v>5590007.3099999996</v>
      </c>
      <c r="AB1055" s="67">
        <f>+D1055-N1055-X1055</f>
        <v>0</v>
      </c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</row>
    <row r="1056" spans="1:106" x14ac:dyDescent="0.25">
      <c r="A1056" s="46"/>
      <c r="B1056" s="26"/>
      <c r="C1056" s="4"/>
      <c r="D1056" s="70" t="s">
        <v>40</v>
      </c>
      <c r="E1056" s="70" t="s">
        <v>40</v>
      </c>
      <c r="F1056" s="70" t="s">
        <v>40</v>
      </c>
      <c r="G1056" s="70"/>
      <c r="H1056" s="70" t="s">
        <v>40</v>
      </c>
      <c r="I1056" s="70" t="s">
        <v>40</v>
      </c>
      <c r="J1056" s="70" t="s">
        <v>40</v>
      </c>
      <c r="K1056" s="70" t="s">
        <v>40</v>
      </c>
      <c r="L1056" s="70" t="s">
        <v>40</v>
      </c>
      <c r="M1056" s="70"/>
      <c r="N1056" s="70" t="s">
        <v>40</v>
      </c>
      <c r="O1056" s="70" t="s">
        <v>40</v>
      </c>
      <c r="P1056" s="70" t="s">
        <v>40</v>
      </c>
      <c r="Q1056" s="70"/>
      <c r="R1056" s="70" t="s">
        <v>40</v>
      </c>
      <c r="S1056" s="70" t="s">
        <v>40</v>
      </c>
      <c r="T1056" s="70" t="s">
        <v>40</v>
      </c>
      <c r="U1056" s="70" t="s">
        <v>40</v>
      </c>
      <c r="V1056" s="70" t="s">
        <v>40</v>
      </c>
      <c r="W1056" s="70"/>
      <c r="X1056" s="70" t="s">
        <v>40</v>
      </c>
      <c r="Y1056" s="70" t="s">
        <v>40</v>
      </c>
      <c r="Z1056" s="70" t="s">
        <v>40</v>
      </c>
      <c r="AA1056" s="70" t="s">
        <v>40</v>
      </c>
      <c r="AB1056" s="70" t="s">
        <v>40</v>
      </c>
      <c r="AD1056" s="94"/>
      <c r="AE1056" s="94"/>
      <c r="AF1056" s="94"/>
      <c r="AG1056" s="94"/>
      <c r="AH1056" s="94"/>
      <c r="AI1056" s="94"/>
      <c r="AJ1056" s="94"/>
      <c r="AK1056" s="94"/>
      <c r="AL1056" s="94"/>
      <c r="AM1056" s="94"/>
      <c r="AN1056" s="94"/>
      <c r="AO1056" s="94"/>
      <c r="AP1056" s="94"/>
      <c r="AQ1056" s="94"/>
      <c r="BR1056" s="4"/>
      <c r="BS1056" s="4"/>
      <c r="BT1056" s="4"/>
      <c r="BU1056" s="4"/>
      <c r="BV1056" s="4"/>
    </row>
    <row r="1057" spans="1:69" ht="16.5" customHeight="1" x14ac:dyDescent="0.25">
      <c r="A1057" s="46"/>
      <c r="B1057" s="26"/>
      <c r="C1057" s="4"/>
      <c r="D1057" s="67">
        <f>+D1054+D1055</f>
        <v>6119374.4099999992</v>
      </c>
      <c r="E1057" s="67">
        <f t="shared" ref="E1057:AB1057" si="360">+E1054+E1055</f>
        <v>5590007.3099999996</v>
      </c>
      <c r="F1057" s="67">
        <f t="shared" si="360"/>
        <v>0</v>
      </c>
      <c r="G1057" s="67"/>
      <c r="H1057" s="67">
        <f t="shared" si="360"/>
        <v>5590007.3099999996</v>
      </c>
      <c r="I1057" s="67">
        <f t="shared" si="360"/>
        <v>0</v>
      </c>
      <c r="J1057" s="67">
        <f t="shared" si="360"/>
        <v>0</v>
      </c>
      <c r="K1057" s="67">
        <f t="shared" si="360"/>
        <v>0</v>
      </c>
      <c r="L1057" s="67">
        <f t="shared" si="360"/>
        <v>0</v>
      </c>
      <c r="M1057" s="67"/>
      <c r="N1057" s="67">
        <f t="shared" si="360"/>
        <v>5590007.3099999996</v>
      </c>
      <c r="O1057" s="67">
        <f t="shared" si="360"/>
        <v>0</v>
      </c>
      <c r="P1057" s="67">
        <f t="shared" si="360"/>
        <v>0</v>
      </c>
      <c r="Q1057" s="67"/>
      <c r="R1057" s="67">
        <f t="shared" si="360"/>
        <v>0</v>
      </c>
      <c r="S1057" s="67">
        <f t="shared" si="360"/>
        <v>0</v>
      </c>
      <c r="T1057" s="67">
        <f t="shared" si="360"/>
        <v>0</v>
      </c>
      <c r="U1057" s="67">
        <f t="shared" si="360"/>
        <v>0</v>
      </c>
      <c r="V1057" s="67">
        <f t="shared" si="360"/>
        <v>0</v>
      </c>
      <c r="W1057" s="67"/>
      <c r="X1057" s="67">
        <f t="shared" si="360"/>
        <v>0</v>
      </c>
      <c r="Y1057" s="67">
        <f t="shared" si="360"/>
        <v>5590007.3099999996</v>
      </c>
      <c r="Z1057" s="67">
        <f t="shared" si="360"/>
        <v>529367.1</v>
      </c>
      <c r="AA1057" s="67">
        <f t="shared" si="360"/>
        <v>5590007.3099999996</v>
      </c>
      <c r="AB1057" s="67">
        <f t="shared" si="360"/>
        <v>529367.1</v>
      </c>
      <c r="AD1057" s="94"/>
      <c r="AE1057" s="94"/>
      <c r="AF1057" s="94"/>
      <c r="AG1057" s="94"/>
      <c r="AH1057" s="94"/>
      <c r="AI1057" s="94"/>
      <c r="AJ1057" s="94"/>
      <c r="AK1057" s="94"/>
      <c r="AL1057" s="94"/>
      <c r="AM1057" s="94"/>
      <c r="AN1057" s="94"/>
      <c r="AO1057" s="94"/>
      <c r="AP1057" s="94"/>
      <c r="AQ1057" s="94"/>
      <c r="BQ1057" s="4"/>
    </row>
    <row r="1058" spans="1:69" x14ac:dyDescent="0.25">
      <c r="A1058" s="46"/>
      <c r="B1058" s="26"/>
      <c r="C1058" s="4"/>
      <c r="D1058" s="70" t="s">
        <v>40</v>
      </c>
      <c r="E1058" s="70" t="s">
        <v>40</v>
      </c>
      <c r="F1058" s="70" t="s">
        <v>40</v>
      </c>
      <c r="G1058" s="70"/>
      <c r="H1058" s="70" t="s">
        <v>40</v>
      </c>
      <c r="I1058" s="70" t="s">
        <v>40</v>
      </c>
      <c r="J1058" s="70" t="s">
        <v>40</v>
      </c>
      <c r="K1058" s="70" t="s">
        <v>40</v>
      </c>
      <c r="L1058" s="70" t="s">
        <v>40</v>
      </c>
      <c r="M1058" s="70"/>
      <c r="N1058" s="70" t="s">
        <v>40</v>
      </c>
      <c r="O1058" s="70" t="s">
        <v>40</v>
      </c>
      <c r="P1058" s="70" t="s">
        <v>40</v>
      </c>
      <c r="Q1058" s="70"/>
      <c r="R1058" s="70" t="s">
        <v>40</v>
      </c>
      <c r="S1058" s="70" t="s">
        <v>40</v>
      </c>
      <c r="T1058" s="70" t="s">
        <v>40</v>
      </c>
      <c r="U1058" s="70" t="s">
        <v>40</v>
      </c>
      <c r="V1058" s="70" t="s">
        <v>40</v>
      </c>
      <c r="W1058" s="70"/>
      <c r="X1058" s="70" t="s">
        <v>40</v>
      </c>
      <c r="Y1058" s="70" t="s">
        <v>40</v>
      </c>
      <c r="Z1058" s="70" t="s">
        <v>40</v>
      </c>
      <c r="AA1058" s="70" t="s">
        <v>40</v>
      </c>
      <c r="AB1058" s="70" t="s">
        <v>40</v>
      </c>
      <c r="AD1058" s="94"/>
      <c r="AE1058" s="94"/>
      <c r="AF1058" s="94"/>
      <c r="AG1058" s="94"/>
      <c r="AH1058" s="94"/>
      <c r="AI1058" s="94"/>
      <c r="AJ1058" s="94"/>
      <c r="AK1058" s="94"/>
      <c r="AL1058" s="94"/>
      <c r="AM1058" s="94"/>
      <c r="AN1058" s="94"/>
      <c r="AO1058" s="94"/>
      <c r="AP1058" s="94"/>
      <c r="AQ1058" s="94"/>
      <c r="BN1058" s="4"/>
      <c r="BO1058" s="4"/>
      <c r="BP1058" s="4"/>
    </row>
    <row r="1059" spans="1:69" ht="15.75" customHeight="1" x14ac:dyDescent="0.25">
      <c r="A1059" s="46"/>
      <c r="B1059" s="26"/>
      <c r="C1059" s="4"/>
      <c r="D1059" s="70"/>
      <c r="E1059" s="70"/>
      <c r="F1059" s="70"/>
      <c r="G1059" s="70"/>
      <c r="H1059" s="70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70"/>
      <c r="AD1059" s="94"/>
      <c r="AE1059" s="94"/>
      <c r="AF1059" s="94"/>
      <c r="AG1059" s="94"/>
      <c r="AH1059" s="94"/>
      <c r="AI1059" s="94"/>
      <c r="AJ1059" s="94"/>
      <c r="AK1059" s="94"/>
      <c r="AL1059" s="94"/>
      <c r="AM1059" s="94"/>
      <c r="AN1059" s="94"/>
      <c r="AO1059" s="94"/>
      <c r="AP1059" s="94"/>
      <c r="AQ1059" s="94"/>
      <c r="BM1059" s="4"/>
    </row>
    <row r="1060" spans="1:69" x14ac:dyDescent="0.25">
      <c r="A1060" s="46">
        <v>113</v>
      </c>
      <c r="B1060" s="35" t="s">
        <v>116</v>
      </c>
      <c r="C1060" s="3" t="s">
        <v>35</v>
      </c>
      <c r="D1060" s="67">
        <v>0</v>
      </c>
      <c r="E1060" s="67">
        <v>0</v>
      </c>
      <c r="F1060" s="68"/>
      <c r="G1060" s="68"/>
      <c r="H1060" s="67">
        <f>E1060+F1060</f>
        <v>0</v>
      </c>
      <c r="I1060" s="68"/>
      <c r="J1060" s="68"/>
      <c r="K1060" s="68"/>
      <c r="L1060" s="67"/>
      <c r="M1060" s="67"/>
      <c r="N1060" s="67">
        <f>H1060+L1060</f>
        <v>0</v>
      </c>
      <c r="O1060" s="67">
        <v>2564315.88</v>
      </c>
      <c r="P1060" s="68"/>
      <c r="Q1060" s="68"/>
      <c r="R1060" s="67">
        <f>O1060+P1060</f>
        <v>2564315.88</v>
      </c>
      <c r="S1060" s="68"/>
      <c r="T1060" s="68"/>
      <c r="U1060" s="68"/>
      <c r="V1060" s="67"/>
      <c r="W1060" s="67"/>
      <c r="X1060" s="67">
        <f>R1060+V1060</f>
        <v>2564315.88</v>
      </c>
      <c r="Y1060" s="67">
        <f>R1060+H1060</f>
        <v>2564315.88</v>
      </c>
      <c r="Z1060" s="67">
        <f>D1060-Y1060</f>
        <v>-2564315.88</v>
      </c>
      <c r="AA1060" s="67">
        <f>N1060+X1060</f>
        <v>2564315.88</v>
      </c>
      <c r="AB1060" s="67">
        <f>+D1060-N1060-X1060</f>
        <v>-2564315.88</v>
      </c>
      <c r="AD1060" s="94"/>
      <c r="AE1060" s="94"/>
      <c r="AF1060" s="94"/>
      <c r="AG1060" s="94"/>
      <c r="AH1060" s="94"/>
      <c r="AI1060" s="94"/>
      <c r="AJ1060" s="94"/>
      <c r="AK1060" s="94"/>
      <c r="AL1060" s="94"/>
      <c r="AM1060" s="94"/>
      <c r="AN1060" s="94"/>
      <c r="AO1060" s="94"/>
      <c r="AP1060" s="94"/>
      <c r="AQ1060" s="94"/>
    </row>
    <row r="1061" spans="1:69" x14ac:dyDescent="0.25">
      <c r="A1061" s="46"/>
      <c r="B1061" s="26"/>
      <c r="C1061" s="3" t="s">
        <v>36</v>
      </c>
      <c r="D1061" s="67">
        <f>2014540.08+283294</f>
        <v>2297834.08</v>
      </c>
      <c r="E1061" s="67">
        <f>2014540.08+283294</f>
        <v>2297834.08</v>
      </c>
      <c r="F1061" s="68"/>
      <c r="G1061" s="68"/>
      <c r="H1061" s="67">
        <f>E1061+F1061</f>
        <v>2297834.08</v>
      </c>
      <c r="I1061" s="68"/>
      <c r="J1061" s="68"/>
      <c r="K1061" s="68"/>
      <c r="L1061" s="67"/>
      <c r="M1061" s="67"/>
      <c r="N1061" s="67">
        <f>H1061+L1061</f>
        <v>2297834.08</v>
      </c>
      <c r="O1061" s="67">
        <v>0</v>
      </c>
      <c r="P1061" s="68"/>
      <c r="Q1061" s="68"/>
      <c r="R1061" s="67">
        <f>O1061+P1061</f>
        <v>0</v>
      </c>
      <c r="S1061" s="68"/>
      <c r="T1061" s="68"/>
      <c r="U1061" s="68"/>
      <c r="V1061" s="67"/>
      <c r="W1061" s="67"/>
      <c r="X1061" s="67">
        <f>R1061+V1061</f>
        <v>0</v>
      </c>
      <c r="Y1061" s="67">
        <f>R1061+H1061</f>
        <v>2297834.08</v>
      </c>
      <c r="Z1061" s="67">
        <f>D1061-Y1061</f>
        <v>0</v>
      </c>
      <c r="AA1061" s="67">
        <f>N1061+X1061</f>
        <v>2297834.08</v>
      </c>
      <c r="AB1061" s="67">
        <f>+D1061-N1061-X1061</f>
        <v>0</v>
      </c>
      <c r="AD1061" s="94"/>
      <c r="AE1061" s="94"/>
      <c r="AF1061" s="94"/>
      <c r="AG1061" s="94"/>
      <c r="AH1061" s="94"/>
      <c r="AI1061" s="94"/>
      <c r="AJ1061" s="94"/>
      <c r="AK1061" s="94"/>
      <c r="AL1061" s="94"/>
      <c r="AM1061" s="94"/>
      <c r="AN1061" s="94"/>
      <c r="AO1061" s="94"/>
      <c r="AP1061" s="94"/>
      <c r="AQ1061" s="94"/>
      <c r="BL1061" s="4"/>
    </row>
    <row r="1062" spans="1:69" ht="21.75" customHeight="1" x14ac:dyDescent="0.25">
      <c r="A1062" s="46"/>
      <c r="B1062" s="26"/>
      <c r="C1062" s="3" t="s">
        <v>44</v>
      </c>
      <c r="D1062" s="67">
        <f>14750000+2500000</f>
        <v>17250000</v>
      </c>
      <c r="E1062" s="67">
        <v>17250000</v>
      </c>
      <c r="F1062" s="68"/>
      <c r="G1062" s="68"/>
      <c r="H1062" s="67">
        <f>E1062+F1062</f>
        <v>17250000</v>
      </c>
      <c r="I1062" s="68"/>
      <c r="J1062" s="68"/>
      <c r="K1062" s="68"/>
      <c r="L1062" s="67"/>
      <c r="M1062" s="67"/>
      <c r="N1062" s="67">
        <f>H1062+L1062</f>
        <v>17250000</v>
      </c>
      <c r="O1062" s="67">
        <v>0</v>
      </c>
      <c r="P1062" s="68"/>
      <c r="Q1062" s="68"/>
      <c r="R1062" s="67">
        <f>O1062+P1062</f>
        <v>0</v>
      </c>
      <c r="S1062" s="68"/>
      <c r="T1062" s="68"/>
      <c r="U1062" s="68"/>
      <c r="V1062" s="67"/>
      <c r="W1062" s="67"/>
      <c r="X1062" s="67">
        <f>R1062+V1062</f>
        <v>0</v>
      </c>
      <c r="Y1062" s="67">
        <f>R1062+H1062</f>
        <v>17250000</v>
      </c>
      <c r="Z1062" s="67">
        <f>D1062-Y1062</f>
        <v>0</v>
      </c>
      <c r="AA1062" s="67">
        <f>N1062+X1062</f>
        <v>17250000</v>
      </c>
      <c r="AB1062" s="67">
        <f>+D1062-N1062-X1062</f>
        <v>0</v>
      </c>
      <c r="AD1062" s="94"/>
      <c r="AE1062" s="94"/>
      <c r="AF1062" s="94"/>
      <c r="AG1062" s="94"/>
      <c r="AH1062" s="94"/>
      <c r="AI1062" s="94"/>
      <c r="AJ1062" s="94"/>
      <c r="AK1062" s="94"/>
      <c r="AL1062" s="94"/>
      <c r="AM1062" s="94"/>
      <c r="AN1062" s="94"/>
      <c r="AO1062" s="94"/>
      <c r="AP1062" s="94"/>
      <c r="AQ1062" s="94"/>
      <c r="AR1062" s="4"/>
      <c r="BI1062" s="4"/>
      <c r="BJ1062" s="4"/>
      <c r="BK1062" s="4"/>
    </row>
    <row r="1063" spans="1:69" ht="30.75" customHeight="1" x14ac:dyDescent="0.25">
      <c r="A1063" s="46"/>
      <c r="B1063" s="26"/>
      <c r="C1063" s="4"/>
      <c r="D1063" s="70" t="s">
        <v>40</v>
      </c>
      <c r="E1063" s="70" t="s">
        <v>40</v>
      </c>
      <c r="F1063" s="70" t="s">
        <v>40</v>
      </c>
      <c r="G1063" s="70"/>
      <c r="H1063" s="70" t="s">
        <v>40</v>
      </c>
      <c r="I1063" s="70" t="s">
        <v>40</v>
      </c>
      <c r="J1063" s="70" t="s">
        <v>40</v>
      </c>
      <c r="K1063" s="70" t="s">
        <v>40</v>
      </c>
      <c r="L1063" s="70" t="s">
        <v>40</v>
      </c>
      <c r="M1063" s="70"/>
      <c r="N1063" s="70" t="s">
        <v>40</v>
      </c>
      <c r="O1063" s="70" t="s">
        <v>40</v>
      </c>
      <c r="P1063" s="70" t="s">
        <v>40</v>
      </c>
      <c r="Q1063" s="70"/>
      <c r="R1063" s="70" t="s">
        <v>40</v>
      </c>
      <c r="S1063" s="70" t="s">
        <v>40</v>
      </c>
      <c r="T1063" s="70" t="s">
        <v>40</v>
      </c>
      <c r="U1063" s="70" t="s">
        <v>40</v>
      </c>
      <c r="V1063" s="70" t="s">
        <v>40</v>
      </c>
      <c r="W1063" s="70"/>
      <c r="X1063" s="70" t="s">
        <v>40</v>
      </c>
      <c r="Y1063" s="70" t="s">
        <v>40</v>
      </c>
      <c r="Z1063" s="70" t="s">
        <v>40</v>
      </c>
      <c r="AA1063" s="70" t="s">
        <v>40</v>
      </c>
      <c r="AB1063" s="70" t="s">
        <v>40</v>
      </c>
      <c r="AD1063" s="94"/>
      <c r="AE1063" s="94"/>
      <c r="AF1063" s="94"/>
      <c r="AG1063" s="94"/>
      <c r="AH1063" s="94"/>
      <c r="AI1063" s="94"/>
      <c r="AJ1063" s="94"/>
      <c r="AK1063" s="94"/>
      <c r="AL1063" s="94"/>
      <c r="AM1063" s="94"/>
      <c r="AN1063" s="94"/>
      <c r="AO1063" s="94"/>
      <c r="AP1063" s="94"/>
      <c r="AQ1063" s="94"/>
      <c r="BG1063" s="4"/>
      <c r="BH1063" s="4"/>
    </row>
    <row r="1064" spans="1:69" x14ac:dyDescent="0.25">
      <c r="A1064" s="46"/>
      <c r="B1064" s="26"/>
      <c r="C1064" s="4"/>
      <c r="D1064" s="67">
        <f t="shared" ref="D1064:AB1064" si="361">SUM(D1060:D1062)</f>
        <v>19547834.079999998</v>
      </c>
      <c r="E1064" s="67">
        <f t="shared" si="361"/>
        <v>19547834.079999998</v>
      </c>
      <c r="F1064" s="67">
        <f t="shared" si="361"/>
        <v>0</v>
      </c>
      <c r="G1064" s="67"/>
      <c r="H1064" s="67">
        <f t="shared" si="361"/>
        <v>19547834.079999998</v>
      </c>
      <c r="I1064" s="67">
        <f t="shared" si="361"/>
        <v>0</v>
      </c>
      <c r="J1064" s="67">
        <f t="shared" si="361"/>
        <v>0</v>
      </c>
      <c r="K1064" s="67">
        <f t="shared" si="361"/>
        <v>0</v>
      </c>
      <c r="L1064" s="67">
        <f t="shared" si="361"/>
        <v>0</v>
      </c>
      <c r="M1064" s="67"/>
      <c r="N1064" s="67">
        <f t="shared" si="361"/>
        <v>19547834.079999998</v>
      </c>
      <c r="O1064" s="67">
        <f t="shared" si="361"/>
        <v>2564315.88</v>
      </c>
      <c r="P1064" s="67">
        <f t="shared" si="361"/>
        <v>0</v>
      </c>
      <c r="Q1064" s="67"/>
      <c r="R1064" s="67">
        <f t="shared" si="361"/>
        <v>2564315.88</v>
      </c>
      <c r="S1064" s="67">
        <f t="shared" si="361"/>
        <v>0</v>
      </c>
      <c r="T1064" s="67">
        <f t="shared" si="361"/>
        <v>0</v>
      </c>
      <c r="U1064" s="67">
        <f t="shared" si="361"/>
        <v>0</v>
      </c>
      <c r="V1064" s="67">
        <f t="shared" si="361"/>
        <v>0</v>
      </c>
      <c r="W1064" s="67"/>
      <c r="X1064" s="67">
        <f t="shared" si="361"/>
        <v>2564315.88</v>
      </c>
      <c r="Y1064" s="67">
        <f t="shared" si="361"/>
        <v>22112149.960000001</v>
      </c>
      <c r="Z1064" s="67">
        <f t="shared" si="361"/>
        <v>-2564315.88</v>
      </c>
      <c r="AA1064" s="67">
        <f t="shared" si="361"/>
        <v>22112149.960000001</v>
      </c>
      <c r="AB1064" s="67">
        <f t="shared" si="361"/>
        <v>-2564315.88</v>
      </c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</row>
    <row r="1065" spans="1:69" x14ac:dyDescent="0.25">
      <c r="A1065" s="46"/>
      <c r="B1065" s="26"/>
      <c r="C1065" s="4"/>
      <c r="D1065" s="70" t="s">
        <v>40</v>
      </c>
      <c r="E1065" s="70" t="s">
        <v>40</v>
      </c>
      <c r="F1065" s="70" t="s">
        <v>40</v>
      </c>
      <c r="G1065" s="70"/>
      <c r="H1065" s="70" t="s">
        <v>40</v>
      </c>
      <c r="I1065" s="70" t="s">
        <v>40</v>
      </c>
      <c r="J1065" s="70" t="s">
        <v>40</v>
      </c>
      <c r="K1065" s="70" t="s">
        <v>40</v>
      </c>
      <c r="L1065" s="70" t="s">
        <v>40</v>
      </c>
      <c r="M1065" s="70"/>
      <c r="N1065" s="70" t="s">
        <v>40</v>
      </c>
      <c r="O1065" s="70" t="s">
        <v>40</v>
      </c>
      <c r="P1065" s="70" t="s">
        <v>40</v>
      </c>
      <c r="Q1065" s="70"/>
      <c r="R1065" s="70" t="s">
        <v>40</v>
      </c>
      <c r="S1065" s="70" t="s">
        <v>40</v>
      </c>
      <c r="T1065" s="70" t="s">
        <v>40</v>
      </c>
      <c r="U1065" s="70" t="s">
        <v>40</v>
      </c>
      <c r="V1065" s="70" t="s">
        <v>40</v>
      </c>
      <c r="W1065" s="70"/>
      <c r="X1065" s="70" t="s">
        <v>40</v>
      </c>
      <c r="Y1065" s="70" t="s">
        <v>40</v>
      </c>
      <c r="Z1065" s="70" t="s">
        <v>40</v>
      </c>
      <c r="AA1065" s="70" t="s">
        <v>40</v>
      </c>
      <c r="AB1065" s="70" t="s">
        <v>40</v>
      </c>
      <c r="AC1065" s="124" t="s">
        <v>305</v>
      </c>
      <c r="AD1065" s="97">
        <f>+D1055</f>
        <v>5590007.3099999996</v>
      </c>
      <c r="AE1065" s="97">
        <f>+E1055</f>
        <v>5590007.3099999996</v>
      </c>
      <c r="AF1065" s="97">
        <f>+F1055</f>
        <v>0</v>
      </c>
      <c r="AG1065" s="97">
        <f>+AE1065+AF1065</f>
        <v>5590007.3099999996</v>
      </c>
      <c r="AH1065" s="97">
        <f>+L1055</f>
        <v>0</v>
      </c>
      <c r="AI1065" s="97">
        <f>+AG1065+AH1065</f>
        <v>5590007.3099999996</v>
      </c>
      <c r="AJ1065" s="97">
        <f>+O1055</f>
        <v>0</v>
      </c>
      <c r="AK1065" s="97">
        <f>+P1055</f>
        <v>0</v>
      </c>
      <c r="AL1065" s="97">
        <f>+AJ1065+AK1065</f>
        <v>0</v>
      </c>
      <c r="AM1065" s="97">
        <f>+V1055</f>
        <v>0</v>
      </c>
      <c r="AN1065" s="97">
        <f>+AL1055+AM1055</f>
        <v>0</v>
      </c>
      <c r="AO1065" s="97">
        <f>+AG1065+AL1065</f>
        <v>5590007.3099999996</v>
      </c>
      <c r="AP1065" s="94">
        <f>+Z1055</f>
        <v>0</v>
      </c>
      <c r="AQ1065" s="94">
        <f>+AD1065-AI1065-AN1065</f>
        <v>0</v>
      </c>
      <c r="BF1065" s="4"/>
    </row>
    <row r="1066" spans="1:69" ht="15.75" customHeight="1" thickBot="1" x14ac:dyDescent="0.3">
      <c r="A1066" s="46"/>
      <c r="B1066" s="26"/>
      <c r="C1066" s="4"/>
      <c r="D1066" s="70"/>
      <c r="E1066" s="70"/>
      <c r="F1066" s="70"/>
      <c r="G1066" s="70"/>
      <c r="H1066" s="70"/>
      <c r="I1066" s="70"/>
      <c r="J1066" s="70"/>
      <c r="K1066" s="70"/>
      <c r="L1066" s="70"/>
      <c r="M1066" s="70"/>
      <c r="N1066" s="70"/>
      <c r="O1066" s="70"/>
      <c r="P1066" s="113">
        <f>532796.43+55960+1222692.05+589852.4</f>
        <v>2401300.88</v>
      </c>
      <c r="Q1066" s="147" t="s">
        <v>321</v>
      </c>
      <c r="R1066" s="147" t="s">
        <v>352</v>
      </c>
      <c r="S1066" s="70"/>
      <c r="T1066" s="70"/>
      <c r="U1066" s="70"/>
      <c r="V1066" s="148"/>
      <c r="W1066" s="70"/>
      <c r="X1066" s="70"/>
      <c r="Y1066" s="70"/>
      <c r="Z1066" s="70"/>
      <c r="AA1066" s="70"/>
      <c r="AB1066" s="70"/>
      <c r="AC1066" s="49" t="s">
        <v>289</v>
      </c>
      <c r="AD1066" s="94">
        <f>+D1033</f>
        <v>2000000</v>
      </c>
      <c r="AE1066" s="94">
        <f>E1033</f>
        <v>0</v>
      </c>
      <c r="AF1066" s="94">
        <f>F1033</f>
        <v>0</v>
      </c>
      <c r="AG1066" s="94">
        <f>+AE1066+AF1066</f>
        <v>0</v>
      </c>
      <c r="AH1066" s="94">
        <f>L1033</f>
        <v>0</v>
      </c>
      <c r="AI1066" s="94">
        <f>+AG1033</f>
        <v>0</v>
      </c>
      <c r="AJ1066" s="94">
        <f>O1033</f>
        <v>2000000</v>
      </c>
      <c r="AK1066" s="94">
        <f>P1033</f>
        <v>0</v>
      </c>
      <c r="AL1066" s="94">
        <f>+AJ1066+AK1066</f>
        <v>2000000</v>
      </c>
      <c r="AM1066" s="94">
        <f>V1033</f>
        <v>0</v>
      </c>
      <c r="AN1066" s="94">
        <f>+AL1066+AM1066</f>
        <v>2000000</v>
      </c>
      <c r="AO1066" s="97">
        <f t="shared" ref="AO1066:AO1073" si="362">+AG1066+AL1066</f>
        <v>2000000</v>
      </c>
      <c r="AP1066" s="94">
        <f>+AD1033-AO1033</f>
        <v>0</v>
      </c>
      <c r="AQ1066" s="94">
        <f>+AD1066-AI1066-AN1066</f>
        <v>0</v>
      </c>
    </row>
    <row r="1067" spans="1:69" ht="15.75" customHeight="1" thickTop="1" x14ac:dyDescent="0.25">
      <c r="A1067" s="46">
        <v>114</v>
      </c>
      <c r="B1067" s="35" t="s">
        <v>117</v>
      </c>
      <c r="C1067" s="3" t="s">
        <v>35</v>
      </c>
      <c r="D1067" s="67">
        <v>15419478.67</v>
      </c>
      <c r="E1067" s="67">
        <v>0</v>
      </c>
      <c r="F1067" s="68"/>
      <c r="G1067" s="68"/>
      <c r="H1067" s="67">
        <f>E1067+F1067</f>
        <v>0</v>
      </c>
      <c r="I1067" s="68"/>
      <c r="J1067" s="68"/>
      <c r="K1067" s="68"/>
      <c r="L1067" s="67"/>
      <c r="M1067" s="67"/>
      <c r="N1067" s="67">
        <f>H1067+L1067</f>
        <v>0</v>
      </c>
      <c r="O1067" s="67">
        <v>0</v>
      </c>
      <c r="P1067" s="68"/>
      <c r="Q1067" s="68"/>
      <c r="R1067" s="68"/>
      <c r="S1067" s="68"/>
      <c r="T1067" s="68"/>
      <c r="U1067" s="68"/>
      <c r="V1067" s="67"/>
      <c r="W1067" s="67"/>
      <c r="X1067" s="67">
        <f>R1067+V1067</f>
        <v>0</v>
      </c>
      <c r="Y1067" s="67">
        <f>R1067+H1067</f>
        <v>0</v>
      </c>
      <c r="Z1067" s="67">
        <f>D1067-Y1067</f>
        <v>15419478.67</v>
      </c>
      <c r="AA1067" s="67">
        <f>N1067+X1067</f>
        <v>0</v>
      </c>
      <c r="AB1067" s="67">
        <f>+D1067-N1067-X1067</f>
        <v>15419478.67</v>
      </c>
      <c r="AC1067" s="49" t="s">
        <v>47</v>
      </c>
      <c r="AD1067" s="94">
        <f>D1031+D1039+D1048+D1054+D1060+D1067</f>
        <v>88578111.290000007</v>
      </c>
      <c r="AE1067" s="94">
        <f>E1031+E1039+E1048+E1054+E1060+E1067</f>
        <v>0</v>
      </c>
      <c r="AF1067" s="94">
        <f>F1031+F1039+F1048+F1054+F1060+F1067</f>
        <v>0</v>
      </c>
      <c r="AG1067" s="94">
        <f>+AE1067+AF1067</f>
        <v>0</v>
      </c>
      <c r="AH1067" s="94">
        <f>L1031+L1039+L1048+L1054+L1060+L1067</f>
        <v>0</v>
      </c>
      <c r="AI1067" s="94">
        <f>+AG1067+AH1067</f>
        <v>0</v>
      </c>
      <c r="AJ1067" s="94">
        <f>O1031+O1039+O1048+O1054+O1060+O1067</f>
        <v>2564315.88</v>
      </c>
      <c r="AK1067" s="94">
        <f>P1031+P1039+P1048+P1054+P1060+P1067</f>
        <v>0</v>
      </c>
      <c r="AL1067" s="94">
        <f>+AJ1067+AK1067</f>
        <v>2564315.88</v>
      </c>
      <c r="AM1067" s="94">
        <f>V1031+V1039+V1048+V1054+V1060+V1067</f>
        <v>0</v>
      </c>
      <c r="AN1067" s="94">
        <f>+AL1067+AM1067</f>
        <v>2564315.88</v>
      </c>
      <c r="AO1067" s="97">
        <f t="shared" si="362"/>
        <v>2564315.88</v>
      </c>
      <c r="AP1067" s="94">
        <f>+AD1067-AO1067</f>
        <v>86013795.410000011</v>
      </c>
      <c r="AQ1067" s="94">
        <f>+AD1067-AI1067-AN1067</f>
        <v>86013795.410000011</v>
      </c>
      <c r="BD1067" s="4"/>
      <c r="BE1067" s="4"/>
    </row>
    <row r="1068" spans="1:69" x14ac:dyDescent="0.25">
      <c r="A1068" s="46"/>
      <c r="B1068" s="26"/>
      <c r="C1068" s="3" t="s">
        <v>36</v>
      </c>
      <c r="D1068" s="67">
        <v>2236989.6</v>
      </c>
      <c r="E1068" s="67">
        <v>2236989.6</v>
      </c>
      <c r="F1068" s="68"/>
      <c r="G1068" s="68"/>
      <c r="H1068" s="67">
        <f>E1068+F1068</f>
        <v>2236989.6</v>
      </c>
      <c r="I1068" s="68"/>
      <c r="J1068" s="68"/>
      <c r="K1068" s="68"/>
      <c r="L1068" s="67"/>
      <c r="M1068" s="67"/>
      <c r="N1068" s="67">
        <f>H1068+L1068</f>
        <v>2236989.6</v>
      </c>
      <c r="O1068" s="67">
        <v>0</v>
      </c>
      <c r="P1068" s="68"/>
      <c r="Q1068" s="68"/>
      <c r="R1068" s="68"/>
      <c r="S1068" s="68"/>
      <c r="T1068" s="68"/>
      <c r="U1068" s="68"/>
      <c r="V1068" s="67"/>
      <c r="W1068" s="67"/>
      <c r="X1068" s="67">
        <f>R1068+V1068</f>
        <v>0</v>
      </c>
      <c r="Y1068" s="67">
        <f>R1068+H1068</f>
        <v>2236989.6</v>
      </c>
      <c r="Z1068" s="67">
        <f>D1068-Y1068</f>
        <v>0</v>
      </c>
      <c r="AA1068" s="67">
        <f>N1068+X1068</f>
        <v>2236989.6</v>
      </c>
      <c r="AB1068" s="67">
        <f>+D1068-N1068-X1068</f>
        <v>0</v>
      </c>
      <c r="AC1068" s="49" t="s">
        <v>36</v>
      </c>
      <c r="AD1068" s="94">
        <f>D1032+D1040+D1049+D1061+D1068</f>
        <v>8196724.1600000001</v>
      </c>
      <c r="AE1068" s="94">
        <f>E1032+E1040+E1049+E1061+E1068</f>
        <v>8196724.1600000001</v>
      </c>
      <c r="AF1068" s="94">
        <f>F1032+F1040+F1049+F1061+F1068</f>
        <v>0</v>
      </c>
      <c r="AG1068" s="94">
        <f t="shared" ref="AG1068:AG1073" si="363">+AE1068+AF1068</f>
        <v>8196724.1600000001</v>
      </c>
      <c r="AH1068" s="94">
        <f>L1032+L1040+L1049+L1061+L1068</f>
        <v>0</v>
      </c>
      <c r="AI1068" s="94">
        <f t="shared" ref="AI1068:AI1073" si="364">+AG1068+AH1068</f>
        <v>8196724.1600000001</v>
      </c>
      <c r="AJ1068" s="94">
        <f>O1032+O1040+O1049+O1061+O1068</f>
        <v>0</v>
      </c>
      <c r="AK1068" s="94">
        <f>P1032+P1040+P1049+P1061+P1068</f>
        <v>0</v>
      </c>
      <c r="AL1068" s="94">
        <f t="shared" ref="AL1068:AL1073" si="365">+AJ1068+AK1068</f>
        <v>0</v>
      </c>
      <c r="AM1068" s="94">
        <f>V1032+V1040+V1049+V1061+V1068</f>
        <v>0</v>
      </c>
      <c r="AN1068" s="94">
        <f t="shared" ref="AN1068:AN1073" si="366">+AL1068+AM1068</f>
        <v>0</v>
      </c>
      <c r="AO1068" s="97">
        <f t="shared" si="362"/>
        <v>8196724.1600000001</v>
      </c>
      <c r="AP1068" s="94">
        <f t="shared" ref="AP1068:AP1073" si="367">+AD1068-AO1068</f>
        <v>0</v>
      </c>
      <c r="AQ1068" s="94">
        <f t="shared" ref="AQ1068:AQ1073" si="368">+AD1068-AI1068-AN1068</f>
        <v>0</v>
      </c>
      <c r="BC1068" s="4"/>
    </row>
    <row r="1069" spans="1:69" x14ac:dyDescent="0.25">
      <c r="A1069" s="46"/>
      <c r="B1069" s="26"/>
      <c r="C1069" s="3" t="s">
        <v>37</v>
      </c>
      <c r="D1069" s="67">
        <v>616947.12</v>
      </c>
      <c r="E1069" s="67">
        <v>0</v>
      </c>
      <c r="F1069" s="68"/>
      <c r="G1069" s="68"/>
      <c r="H1069" s="67">
        <f>E1069+F1069</f>
        <v>0</v>
      </c>
      <c r="I1069" s="68"/>
      <c r="J1069" s="68"/>
      <c r="K1069" s="68"/>
      <c r="L1069" s="67"/>
      <c r="M1069" s="67"/>
      <c r="N1069" s="67">
        <f>H1069+L1069</f>
        <v>0</v>
      </c>
      <c r="O1069" s="67">
        <v>0</v>
      </c>
      <c r="P1069" s="68"/>
      <c r="Q1069" s="68"/>
      <c r="R1069" s="68"/>
      <c r="S1069" s="68"/>
      <c r="T1069" s="68"/>
      <c r="U1069" s="68"/>
      <c r="V1069" s="67"/>
      <c r="W1069" s="67"/>
      <c r="X1069" s="67">
        <f>R1069+V1069</f>
        <v>0</v>
      </c>
      <c r="Y1069" s="67">
        <f>R1069+H1069</f>
        <v>0</v>
      </c>
      <c r="Z1069" s="67">
        <f>D1069-Y1069</f>
        <v>616947.12</v>
      </c>
      <c r="AA1069" s="67">
        <f>N1069+X1069</f>
        <v>0</v>
      </c>
      <c r="AB1069" s="67">
        <f>+D1069-N1069-X1069</f>
        <v>616947.12</v>
      </c>
      <c r="AC1069" s="49" t="s">
        <v>38</v>
      </c>
      <c r="AD1069" s="94">
        <f>D1034+D1042+D1070</f>
        <v>8258551.0300000003</v>
      </c>
      <c r="AE1069" s="94">
        <f>E1034+E1042+E1070</f>
        <v>0</v>
      </c>
      <c r="AF1069" s="94">
        <f>F1034+F1042+F1070</f>
        <v>0</v>
      </c>
      <c r="AG1069" s="94">
        <f t="shared" si="363"/>
        <v>0</v>
      </c>
      <c r="AH1069" s="94">
        <f>L1034+L1042+L1070</f>
        <v>0</v>
      </c>
      <c r="AI1069" s="94">
        <f t="shared" si="364"/>
        <v>0</v>
      </c>
      <c r="AJ1069" s="94">
        <f>O1034+O1042+O1070</f>
        <v>0</v>
      </c>
      <c r="AK1069" s="94">
        <f>P1034+P1042+P1070</f>
        <v>0</v>
      </c>
      <c r="AL1069" s="94">
        <f t="shared" si="365"/>
        <v>0</v>
      </c>
      <c r="AM1069" s="94">
        <f>V1034+V1042+V1070</f>
        <v>0</v>
      </c>
      <c r="AN1069" s="94">
        <f t="shared" si="366"/>
        <v>0</v>
      </c>
      <c r="AO1069" s="97">
        <f t="shared" si="362"/>
        <v>0</v>
      </c>
      <c r="AP1069" s="94">
        <f t="shared" si="367"/>
        <v>8258551.0300000003</v>
      </c>
      <c r="AQ1069" s="94">
        <f t="shared" si="368"/>
        <v>8258551.0300000003</v>
      </c>
    </row>
    <row r="1070" spans="1:69" x14ac:dyDescent="0.25">
      <c r="A1070" s="46"/>
      <c r="B1070" s="26"/>
      <c r="C1070" s="3" t="s">
        <v>38</v>
      </c>
      <c r="D1070" s="67">
        <v>89037.98</v>
      </c>
      <c r="E1070" s="67">
        <v>0</v>
      </c>
      <c r="F1070" s="68"/>
      <c r="G1070" s="68"/>
      <c r="H1070" s="67">
        <f>E1070+F1070</f>
        <v>0</v>
      </c>
      <c r="I1070" s="68"/>
      <c r="J1070" s="68"/>
      <c r="K1070" s="68"/>
      <c r="L1070" s="67"/>
      <c r="M1070" s="67"/>
      <c r="N1070" s="67">
        <f>H1070+L1070</f>
        <v>0</v>
      </c>
      <c r="O1070" s="67">
        <v>0</v>
      </c>
      <c r="P1070" s="68"/>
      <c r="Q1070" s="68"/>
      <c r="R1070" s="68"/>
      <c r="S1070" s="68"/>
      <c r="T1070" s="68"/>
      <c r="U1070" s="68"/>
      <c r="V1070" s="67"/>
      <c r="W1070" s="67"/>
      <c r="X1070" s="67">
        <f>R1070+V1070</f>
        <v>0</v>
      </c>
      <c r="Y1070" s="67">
        <f>R1070+H1070</f>
        <v>0</v>
      </c>
      <c r="Z1070" s="67">
        <f>D1070-Y1070</f>
        <v>89037.98</v>
      </c>
      <c r="AA1070" s="67">
        <f>N1070+X1070</f>
        <v>0</v>
      </c>
      <c r="AB1070" s="67">
        <f>+D1070-N1070-X1070</f>
        <v>89037.98</v>
      </c>
      <c r="AC1070" s="49" t="s">
        <v>53</v>
      </c>
      <c r="AD1070" s="94">
        <f>+D1041</f>
        <v>6966507.5800000001</v>
      </c>
      <c r="AE1070" s="94">
        <f>+E1041</f>
        <v>0</v>
      </c>
      <c r="AF1070" s="94">
        <f>+F1041</f>
        <v>0</v>
      </c>
      <c r="AG1070" s="94">
        <f t="shared" si="363"/>
        <v>0</v>
      </c>
      <c r="AH1070" s="94">
        <f>+L1041</f>
        <v>0</v>
      </c>
      <c r="AI1070" s="94">
        <f t="shared" si="364"/>
        <v>0</v>
      </c>
      <c r="AJ1070" s="94">
        <f>+O1041</f>
        <v>493855.1</v>
      </c>
      <c r="AK1070" s="94">
        <f>+P1041</f>
        <v>0</v>
      </c>
      <c r="AL1070" s="94">
        <f t="shared" si="365"/>
        <v>493855.1</v>
      </c>
      <c r="AM1070" s="94">
        <f>+V1041</f>
        <v>0</v>
      </c>
      <c r="AN1070" s="94">
        <f t="shared" si="366"/>
        <v>493855.1</v>
      </c>
      <c r="AO1070" s="97">
        <f t="shared" si="362"/>
        <v>493855.1</v>
      </c>
      <c r="AP1070" s="94">
        <f t="shared" si="367"/>
        <v>6472652.4800000004</v>
      </c>
      <c r="AQ1070" s="94">
        <f t="shared" si="368"/>
        <v>6472652.4800000004</v>
      </c>
    </row>
    <row r="1071" spans="1:69" x14ac:dyDescent="0.25">
      <c r="A1071" s="46"/>
      <c r="B1071" s="26"/>
      <c r="C1071" s="4"/>
      <c r="D1071" s="70" t="s">
        <v>40</v>
      </c>
      <c r="E1071" s="70" t="s">
        <v>40</v>
      </c>
      <c r="F1071" s="70" t="s">
        <v>40</v>
      </c>
      <c r="G1071" s="70"/>
      <c r="H1071" s="70" t="s">
        <v>40</v>
      </c>
      <c r="I1071" s="70" t="s">
        <v>40</v>
      </c>
      <c r="J1071" s="70" t="s">
        <v>40</v>
      </c>
      <c r="K1071" s="70" t="s">
        <v>40</v>
      </c>
      <c r="L1071" s="70" t="s">
        <v>40</v>
      </c>
      <c r="M1071" s="70"/>
      <c r="N1071" s="70" t="s">
        <v>40</v>
      </c>
      <c r="O1071" s="70" t="s">
        <v>40</v>
      </c>
      <c r="P1071" s="70" t="s">
        <v>40</v>
      </c>
      <c r="Q1071" s="70"/>
      <c r="R1071" s="70" t="s">
        <v>40</v>
      </c>
      <c r="S1071" s="70" t="s">
        <v>40</v>
      </c>
      <c r="T1071" s="70" t="s">
        <v>40</v>
      </c>
      <c r="U1071" s="70" t="s">
        <v>40</v>
      </c>
      <c r="V1071" s="70" t="s">
        <v>40</v>
      </c>
      <c r="W1071" s="70"/>
      <c r="X1071" s="70" t="s">
        <v>40</v>
      </c>
      <c r="Y1071" s="70" t="s">
        <v>40</v>
      </c>
      <c r="Z1071" s="70" t="s">
        <v>40</v>
      </c>
      <c r="AA1071" s="70" t="s">
        <v>40</v>
      </c>
      <c r="AB1071" s="70" t="s">
        <v>40</v>
      </c>
      <c r="AC1071" s="49" t="s">
        <v>54</v>
      </c>
      <c r="AD1071" s="94">
        <f>+D1043</f>
        <v>5096366.7699999996</v>
      </c>
      <c r="AE1071" s="94">
        <f>+E1043</f>
        <v>0</v>
      </c>
      <c r="AF1071" s="94">
        <f>+F1043</f>
        <v>0</v>
      </c>
      <c r="AG1071" s="94">
        <f t="shared" si="363"/>
        <v>0</v>
      </c>
      <c r="AH1071" s="94">
        <f>+L1043</f>
        <v>0</v>
      </c>
      <c r="AI1071" s="94">
        <f t="shared" si="364"/>
        <v>0</v>
      </c>
      <c r="AJ1071" s="94">
        <f>+O1043</f>
        <v>5096366.7699999996</v>
      </c>
      <c r="AK1071" s="94">
        <f>+P1043</f>
        <v>0</v>
      </c>
      <c r="AL1071" s="94">
        <f t="shared" si="365"/>
        <v>5096366.7699999996</v>
      </c>
      <c r="AM1071" s="94">
        <f>+V1043</f>
        <v>0</v>
      </c>
      <c r="AN1071" s="94">
        <f t="shared" si="366"/>
        <v>5096366.7699999996</v>
      </c>
      <c r="AO1071" s="97">
        <f t="shared" si="362"/>
        <v>5096366.7699999996</v>
      </c>
      <c r="AP1071" s="94">
        <f t="shared" si="367"/>
        <v>0</v>
      </c>
      <c r="AQ1071" s="94">
        <f t="shared" si="368"/>
        <v>0</v>
      </c>
      <c r="BB1071" s="4"/>
    </row>
    <row r="1072" spans="1:69" x14ac:dyDescent="0.25">
      <c r="A1072" s="46"/>
      <c r="B1072" s="26"/>
      <c r="C1072" s="4"/>
      <c r="D1072" s="67">
        <f t="shared" ref="D1072:AB1072" si="369">SUM(D1067:D1070)</f>
        <v>18362453.370000001</v>
      </c>
      <c r="E1072" s="67">
        <f t="shared" si="369"/>
        <v>2236989.6</v>
      </c>
      <c r="F1072" s="67">
        <f t="shared" si="369"/>
        <v>0</v>
      </c>
      <c r="G1072" s="67"/>
      <c r="H1072" s="67">
        <f t="shared" si="369"/>
        <v>2236989.6</v>
      </c>
      <c r="I1072" s="67">
        <f t="shared" si="369"/>
        <v>0</v>
      </c>
      <c r="J1072" s="67">
        <f t="shared" si="369"/>
        <v>0</v>
      </c>
      <c r="K1072" s="67">
        <f t="shared" si="369"/>
        <v>0</v>
      </c>
      <c r="L1072" s="67">
        <f t="shared" si="369"/>
        <v>0</v>
      </c>
      <c r="M1072" s="67"/>
      <c r="N1072" s="67">
        <f t="shared" si="369"/>
        <v>2236989.6</v>
      </c>
      <c r="O1072" s="67">
        <f t="shared" si="369"/>
        <v>0</v>
      </c>
      <c r="P1072" s="67">
        <f t="shared" si="369"/>
        <v>0</v>
      </c>
      <c r="Q1072" s="67"/>
      <c r="R1072" s="67">
        <f t="shared" si="369"/>
        <v>0</v>
      </c>
      <c r="S1072" s="67">
        <f t="shared" si="369"/>
        <v>0</v>
      </c>
      <c r="T1072" s="67">
        <f t="shared" si="369"/>
        <v>0</v>
      </c>
      <c r="U1072" s="67">
        <f t="shared" si="369"/>
        <v>0</v>
      </c>
      <c r="V1072" s="67">
        <f t="shared" si="369"/>
        <v>0</v>
      </c>
      <c r="W1072" s="67"/>
      <c r="X1072" s="67">
        <f t="shared" si="369"/>
        <v>0</v>
      </c>
      <c r="Y1072" s="67">
        <f t="shared" si="369"/>
        <v>2236989.6</v>
      </c>
      <c r="Z1072" s="67">
        <f t="shared" si="369"/>
        <v>16125463.77</v>
      </c>
      <c r="AA1072" s="67">
        <f t="shared" si="369"/>
        <v>2236989.6</v>
      </c>
      <c r="AB1072" s="67">
        <f t="shared" si="369"/>
        <v>16125463.77</v>
      </c>
      <c r="AC1072" s="49" t="s">
        <v>44</v>
      </c>
      <c r="AD1072" s="94">
        <f>+D1062</f>
        <v>17250000</v>
      </c>
      <c r="AE1072" s="94">
        <f>+E1062</f>
        <v>17250000</v>
      </c>
      <c r="AF1072" s="94">
        <f>+F1062</f>
        <v>0</v>
      </c>
      <c r="AG1072" s="94">
        <f t="shared" si="363"/>
        <v>17250000</v>
      </c>
      <c r="AH1072" s="94">
        <f>+L1062</f>
        <v>0</v>
      </c>
      <c r="AI1072" s="94">
        <f t="shared" si="364"/>
        <v>17250000</v>
      </c>
      <c r="AJ1072" s="94">
        <f>+O1062</f>
        <v>0</v>
      </c>
      <c r="AK1072" s="94">
        <f>+P1062</f>
        <v>0</v>
      </c>
      <c r="AL1072" s="94">
        <f t="shared" si="365"/>
        <v>0</v>
      </c>
      <c r="AM1072" s="94">
        <f>+V1062</f>
        <v>0</v>
      </c>
      <c r="AN1072" s="94">
        <f t="shared" si="366"/>
        <v>0</v>
      </c>
      <c r="AO1072" s="97">
        <f t="shared" si="362"/>
        <v>17250000</v>
      </c>
      <c r="AP1072" s="94">
        <f t="shared" si="367"/>
        <v>0</v>
      </c>
      <c r="AQ1072" s="94">
        <f t="shared" si="368"/>
        <v>0</v>
      </c>
    </row>
    <row r="1073" spans="1:106" x14ac:dyDescent="0.25">
      <c r="A1073" s="46"/>
      <c r="B1073" s="26"/>
      <c r="C1073" s="4"/>
      <c r="D1073" s="70" t="s">
        <v>40</v>
      </c>
      <c r="E1073" s="70" t="s">
        <v>40</v>
      </c>
      <c r="F1073" s="70" t="s">
        <v>40</v>
      </c>
      <c r="G1073" s="70"/>
      <c r="H1073" s="70" t="s">
        <v>40</v>
      </c>
      <c r="I1073" s="70" t="s">
        <v>40</v>
      </c>
      <c r="J1073" s="70" t="s">
        <v>40</v>
      </c>
      <c r="K1073" s="70" t="s">
        <v>40</v>
      </c>
      <c r="L1073" s="70" t="s">
        <v>40</v>
      </c>
      <c r="M1073" s="70"/>
      <c r="N1073" s="70" t="s">
        <v>40</v>
      </c>
      <c r="O1073" s="70" t="s">
        <v>40</v>
      </c>
      <c r="P1073" s="70" t="s">
        <v>40</v>
      </c>
      <c r="Q1073" s="70"/>
      <c r="R1073" s="70" t="s">
        <v>40</v>
      </c>
      <c r="S1073" s="70" t="s">
        <v>40</v>
      </c>
      <c r="T1073" s="70" t="s">
        <v>40</v>
      </c>
      <c r="U1073" s="70" t="s">
        <v>40</v>
      </c>
      <c r="V1073" s="70" t="s">
        <v>40</v>
      </c>
      <c r="W1073" s="70"/>
      <c r="X1073" s="70" t="s">
        <v>40</v>
      </c>
      <c r="Y1073" s="70" t="s">
        <v>40</v>
      </c>
      <c r="Z1073" s="70" t="s">
        <v>40</v>
      </c>
      <c r="AA1073" s="70" t="s">
        <v>40</v>
      </c>
      <c r="AB1073" s="70" t="s">
        <v>40</v>
      </c>
      <c r="AC1073" s="49" t="s">
        <v>183</v>
      </c>
      <c r="AD1073" s="94">
        <f>+D1069</f>
        <v>616947.12</v>
      </c>
      <c r="AE1073" s="94">
        <f>+E1069</f>
        <v>0</v>
      </c>
      <c r="AF1073" s="94">
        <f>+F1069</f>
        <v>0</v>
      </c>
      <c r="AG1073" s="94">
        <f t="shared" si="363"/>
        <v>0</v>
      </c>
      <c r="AH1073" s="94">
        <f>+H1069</f>
        <v>0</v>
      </c>
      <c r="AI1073" s="94">
        <f t="shared" si="364"/>
        <v>0</v>
      </c>
      <c r="AJ1073" s="94">
        <f>+O1069</f>
        <v>0</v>
      </c>
      <c r="AK1073" s="94">
        <f>+P1069</f>
        <v>0</v>
      </c>
      <c r="AL1073" s="94">
        <f t="shared" si="365"/>
        <v>0</v>
      </c>
      <c r="AM1073" s="94">
        <f>+V1069</f>
        <v>0</v>
      </c>
      <c r="AN1073" s="94">
        <f t="shared" si="366"/>
        <v>0</v>
      </c>
      <c r="AO1073" s="97">
        <f t="shared" si="362"/>
        <v>0</v>
      </c>
      <c r="AP1073" s="94">
        <f t="shared" si="367"/>
        <v>616947.12</v>
      </c>
      <c r="AQ1073" s="94">
        <f t="shared" si="368"/>
        <v>616947.12</v>
      </c>
    </row>
    <row r="1074" spans="1:106" s="4" customFormat="1" ht="15.75" customHeight="1" x14ac:dyDescent="0.25">
      <c r="A1074" s="46"/>
      <c r="B1074" s="26"/>
      <c r="D1074" s="70"/>
      <c r="E1074" s="70"/>
      <c r="F1074" s="70"/>
      <c r="G1074" s="70"/>
      <c r="H1074" s="70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70"/>
      <c r="AC1074"/>
      <c r="AD1074" s="95">
        <f>SUM(AD1065:AD1073)</f>
        <v>142553215.25999999</v>
      </c>
      <c r="AE1074" s="95">
        <f t="shared" ref="AE1074:AQ1074" si="370">SUM(AE1065:AE1073)</f>
        <v>31036731.469999999</v>
      </c>
      <c r="AF1074" s="95">
        <f t="shared" si="370"/>
        <v>0</v>
      </c>
      <c r="AG1074" s="95">
        <f t="shared" si="370"/>
        <v>31036731.469999999</v>
      </c>
      <c r="AH1074" s="95">
        <f t="shared" si="370"/>
        <v>0</v>
      </c>
      <c r="AI1074" s="95">
        <f t="shared" si="370"/>
        <v>31036731.469999999</v>
      </c>
      <c r="AJ1074" s="95">
        <f t="shared" si="370"/>
        <v>10154537.75</v>
      </c>
      <c r="AK1074" s="95">
        <f t="shared" si="370"/>
        <v>0</v>
      </c>
      <c r="AL1074" s="95">
        <f t="shared" si="370"/>
        <v>10154537.75</v>
      </c>
      <c r="AM1074" s="95">
        <f t="shared" si="370"/>
        <v>0</v>
      </c>
      <c r="AN1074" s="95">
        <f t="shared" si="370"/>
        <v>10154537.75</v>
      </c>
      <c r="AO1074" s="95">
        <f t="shared" si="370"/>
        <v>41191269.219999999</v>
      </c>
      <c r="AP1074" s="95">
        <f t="shared" si="370"/>
        <v>101361946.04000002</v>
      </c>
      <c r="AQ1074" s="95">
        <f t="shared" si="370"/>
        <v>101361946.04000002</v>
      </c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</row>
    <row r="1075" spans="1:106" s="4" customFormat="1" ht="16.5" customHeight="1" x14ac:dyDescent="0.25">
      <c r="A1075" s="46"/>
      <c r="B1075" s="23" t="s">
        <v>26</v>
      </c>
      <c r="C1075" s="2" t="s">
        <v>118</v>
      </c>
      <c r="D1075" s="67">
        <f>D1036+D1045+D1051+D1057+D1064+D1072</f>
        <v>142553215.25999999</v>
      </c>
      <c r="E1075" s="67">
        <f>E1036+E1045+E1051+E1057+E1064+E1072</f>
        <v>31036731.469999999</v>
      </c>
      <c r="F1075" s="67">
        <f>+F1072+F1064+F1057+F1051+F1045+F1036</f>
        <v>0</v>
      </c>
      <c r="G1075" s="67"/>
      <c r="H1075" s="67">
        <f>H1036+H1045+H1051+H1054+H1064+H1072+H1057</f>
        <v>31036731.469999999</v>
      </c>
      <c r="I1075" s="67">
        <f>I1036+I1045+I1051+I1054+I1064+I1072</f>
        <v>0</v>
      </c>
      <c r="J1075" s="67">
        <f>J1036+J1045+J1051+J1054+J1064+J1072</f>
        <v>0</v>
      </c>
      <c r="K1075" s="67">
        <f>K1036+K1045+K1051+K1054+K1064+K1072</f>
        <v>0</v>
      </c>
      <c r="L1075" s="67">
        <f>L1036+L1045+L1051+L1054+L1064+L1072</f>
        <v>0</v>
      </c>
      <c r="M1075" s="67"/>
      <c r="N1075" s="67">
        <f>N1036+N1045+N1051+N1054+N1064+N1072+N1057</f>
        <v>31036731.469999999</v>
      </c>
      <c r="O1075" s="67">
        <f>O1036+O1045+O1051+O1054+O1064+O1072+O970</f>
        <v>10154537.75</v>
      </c>
      <c r="P1075" s="67">
        <f>P1036+P1045+P1051+P1054+P1064+P1072+P970</f>
        <v>0</v>
      </c>
      <c r="Q1075" s="67"/>
      <c r="R1075" s="67">
        <f>R1036+R1045+R1051+R1054+R1064+R1072+R970</f>
        <v>10154537.75</v>
      </c>
      <c r="S1075" s="67">
        <f>S1036+S1045+S1051+S1054+S1064+S1072</f>
        <v>108127.75</v>
      </c>
      <c r="T1075" s="67">
        <f>T1036+T1045+T1051+T1054+T1064+T1072</f>
        <v>0</v>
      </c>
      <c r="U1075" s="67">
        <f>U1036+U1045+U1051+U1054+U1064+U1072</f>
        <v>0</v>
      </c>
      <c r="V1075" s="67">
        <f>V1036+V1045+V1051+V1054+V1064+V1072+V970</f>
        <v>0</v>
      </c>
      <c r="W1075" s="67"/>
      <c r="X1075" s="67">
        <f>X1036+X1045+X1051+X1054+X1064+X1072+X970</f>
        <v>10154537.75</v>
      </c>
      <c r="Y1075" s="67">
        <f>Y1036+Y1045+Y1051+Y1054+Y1064+Y1072+Y1057</f>
        <v>41191269.220000006</v>
      </c>
      <c r="Z1075" s="67">
        <f>Z1036+Z1045+Z1051+Z1057+Z1064+Z1072</f>
        <v>101361946.04000001</v>
      </c>
      <c r="AA1075" s="67">
        <f>AA1036+AA1045+AA1051+AA1054+AA1064+AA1072</f>
        <v>35601261.910000004</v>
      </c>
      <c r="AB1075" s="67">
        <f>AB1036+AB1045+AB1051+AB1057+AB1064+AB1072</f>
        <v>101361946.04000001</v>
      </c>
      <c r="AC1075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  <c r="AR1075"/>
      <c r="AS1075"/>
      <c r="AT1075"/>
      <c r="AU1075"/>
      <c r="AV1075"/>
      <c r="AW1075"/>
      <c r="AX1075"/>
      <c r="AY1075"/>
      <c r="AZ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</row>
    <row r="1076" spans="1:106" ht="16.5" customHeight="1" x14ac:dyDescent="0.25">
      <c r="A1076" s="46"/>
      <c r="B1076" s="26"/>
      <c r="C1076" s="4"/>
      <c r="D1076" s="70" t="s">
        <v>50</v>
      </c>
      <c r="E1076" s="70" t="s">
        <v>50</v>
      </c>
      <c r="F1076" s="70" t="s">
        <v>50</v>
      </c>
      <c r="G1076" s="70"/>
      <c r="H1076" s="70" t="s">
        <v>50</v>
      </c>
      <c r="I1076" s="70" t="s">
        <v>50</v>
      </c>
      <c r="J1076" s="70" t="s">
        <v>50</v>
      </c>
      <c r="K1076" s="70" t="s">
        <v>50</v>
      </c>
      <c r="L1076" s="70" t="s">
        <v>50</v>
      </c>
      <c r="M1076" s="70"/>
      <c r="N1076" s="70" t="s">
        <v>50</v>
      </c>
      <c r="O1076" s="70" t="s">
        <v>50</v>
      </c>
      <c r="P1076" s="70" t="s">
        <v>50</v>
      </c>
      <c r="Q1076" s="70"/>
      <c r="R1076" s="70" t="s">
        <v>50</v>
      </c>
      <c r="S1076" s="70" t="s">
        <v>50</v>
      </c>
      <c r="T1076" s="70" t="s">
        <v>50</v>
      </c>
      <c r="U1076" s="70" t="s">
        <v>50</v>
      </c>
      <c r="V1076" s="70" t="s">
        <v>50</v>
      </c>
      <c r="W1076" s="70"/>
      <c r="X1076" s="70" t="s">
        <v>50</v>
      </c>
      <c r="Y1076" s="70" t="s">
        <v>50</v>
      </c>
      <c r="Z1076" s="70" t="s">
        <v>50</v>
      </c>
      <c r="AA1076" s="70" t="s">
        <v>50</v>
      </c>
      <c r="AB1076" s="70" t="s">
        <v>50</v>
      </c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</row>
    <row r="1077" spans="1:106" ht="15.75" customHeight="1" x14ac:dyDescent="0.25">
      <c r="A1077" s="46"/>
      <c r="B1077" s="26"/>
      <c r="C1077" s="20"/>
      <c r="D1077" s="75"/>
      <c r="E1077" s="68"/>
      <c r="F1077" s="68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Z1077" s="68"/>
      <c r="AA1077" s="68"/>
      <c r="AB1077" s="68"/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</row>
    <row r="1078" spans="1:106" s="4" customFormat="1" ht="20.25" customHeight="1" x14ac:dyDescent="0.25">
      <c r="A1078" s="46"/>
      <c r="B1078" s="26"/>
      <c r="D1078" s="68"/>
      <c r="E1078" s="68"/>
      <c r="F1078" s="68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/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Q1078"/>
      <c r="CR1078"/>
      <c r="CS1078"/>
      <c r="CT1078"/>
      <c r="CU1078"/>
      <c r="CV1078"/>
      <c r="CW1078"/>
      <c r="CX1078"/>
      <c r="CY1078"/>
      <c r="CZ1078"/>
      <c r="DA1078"/>
      <c r="DB1078"/>
    </row>
    <row r="1079" spans="1:106" ht="17.25" customHeight="1" x14ac:dyDescent="0.25">
      <c r="A1079" s="46"/>
      <c r="B1079" s="26"/>
      <c r="C1079" s="4"/>
      <c r="D1079" s="68"/>
      <c r="E1079" s="68"/>
      <c r="F1079" s="68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  <c r="CD1079" s="4"/>
      <c r="CE1079" s="4"/>
      <c r="CF1079" s="4"/>
      <c r="CG1079" s="4"/>
      <c r="CH1079" s="4"/>
      <c r="CI1079" s="4"/>
    </row>
    <row r="1080" spans="1:106" ht="15.75" customHeight="1" x14ac:dyDescent="0.35">
      <c r="A1080" s="46"/>
      <c r="B1080" s="47" t="s">
        <v>119</v>
      </c>
      <c r="C1080" s="4"/>
      <c r="D1080" s="68"/>
      <c r="E1080" s="68"/>
      <c r="F1080" s="68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</row>
    <row r="1081" spans="1:106" x14ac:dyDescent="0.25">
      <c r="A1081" s="46"/>
      <c r="B1081" s="26"/>
      <c r="C1081" s="4"/>
      <c r="D1081" s="68"/>
      <c r="E1081" s="68"/>
      <c r="F1081" s="68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  <c r="BY1081" s="4"/>
      <c r="BZ1081" s="4"/>
      <c r="CA1081" s="4"/>
      <c r="CB1081" s="4"/>
      <c r="CC1081" s="4"/>
      <c r="CJ1081" s="4"/>
      <c r="CK1081" s="4"/>
      <c r="CL1081" s="4"/>
      <c r="CM1081" s="4"/>
      <c r="CN1081" s="4"/>
      <c r="CO1081" s="4"/>
      <c r="CP1081" s="4"/>
    </row>
    <row r="1082" spans="1:106" ht="15.75" customHeight="1" x14ac:dyDescent="0.25">
      <c r="A1082" s="46">
        <v>115</v>
      </c>
      <c r="B1082" s="23" t="s">
        <v>120</v>
      </c>
      <c r="C1082" s="2" t="s">
        <v>35</v>
      </c>
      <c r="D1082" s="67">
        <f>22992441.19+12292580.29-433799.41-5677928.17</f>
        <v>29173293.900000006</v>
      </c>
      <c r="E1082" s="68">
        <v>12292580.289999999</v>
      </c>
      <c r="F1082" s="68"/>
      <c r="G1082" s="68"/>
      <c r="H1082" s="67">
        <f>E1082+F1082</f>
        <v>12292580.289999999</v>
      </c>
      <c r="I1082" s="68"/>
      <c r="J1082" s="68"/>
      <c r="K1082" s="68"/>
      <c r="L1082" s="67"/>
      <c r="M1082" s="67"/>
      <c r="N1082" s="67">
        <f>H1082+L1082</f>
        <v>12292580.289999999</v>
      </c>
      <c r="O1082" s="67">
        <f>4083142.2+4262160.9+2464.47+3536109.96+611644.99-494782.01+3026653.1</f>
        <v>15027393.610000001</v>
      </c>
      <c r="P1082" s="68"/>
      <c r="Q1082" s="68"/>
      <c r="R1082" s="67">
        <f>O1082+P1082</f>
        <v>15027393.610000001</v>
      </c>
      <c r="S1082" s="67">
        <f>4775535.9+618692.94-4775535.9+365854.34</f>
        <v>984547.27999999956</v>
      </c>
      <c r="T1082" s="68"/>
      <c r="U1082" s="68">
        <f>703679.47+432013.55+258755.27+297091.86+353626.22</f>
        <v>2045166.3699999999</v>
      </c>
      <c r="V1082" s="67"/>
      <c r="W1082" s="67"/>
      <c r="X1082" s="67">
        <f>R1082+V1082</f>
        <v>15027393.610000001</v>
      </c>
      <c r="Y1082" s="67">
        <f t="shared" ref="Y1082:Y1088" si="371">R1082+H1082</f>
        <v>27319973.899999999</v>
      </c>
      <c r="Z1082" s="67">
        <f t="shared" ref="Z1082:Z1088" si="372">D1082-Y1082</f>
        <v>1853320.0000000075</v>
      </c>
      <c r="AA1082" s="67">
        <f t="shared" ref="AA1082:AA1088" si="373">N1082+X1082</f>
        <v>27319973.899999999</v>
      </c>
      <c r="AB1082" s="67">
        <f t="shared" ref="AB1082:AB1088" si="374">+D1082-N1082-X1082</f>
        <v>1853320.0000000056</v>
      </c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  <c r="BY1082" s="4"/>
    </row>
    <row r="1083" spans="1:106" x14ac:dyDescent="0.25">
      <c r="A1083" s="46"/>
      <c r="B1083" s="26"/>
      <c r="C1083" s="3" t="s">
        <v>36</v>
      </c>
      <c r="D1083" s="67">
        <v>7128475.4699999997</v>
      </c>
      <c r="E1083" s="67">
        <f>1992783.47+5135692</f>
        <v>7128475.4699999997</v>
      </c>
      <c r="F1083" s="68"/>
      <c r="G1083" s="68"/>
      <c r="H1083" s="67">
        <f>E1083+F1083</f>
        <v>7128475.4699999997</v>
      </c>
      <c r="I1083" s="68"/>
      <c r="J1083" s="68"/>
      <c r="K1083" s="68"/>
      <c r="L1083" s="67"/>
      <c r="M1083" s="67"/>
      <c r="N1083" s="67">
        <f>H1083+L1083</f>
        <v>7128475.4699999997</v>
      </c>
      <c r="O1083" s="67">
        <v>0</v>
      </c>
      <c r="P1083" s="68"/>
      <c r="Q1083" s="68"/>
      <c r="R1083" s="67">
        <f>O1083+P1083</f>
        <v>0</v>
      </c>
      <c r="S1083" s="68"/>
      <c r="T1083" s="68"/>
      <c r="U1083" s="68"/>
      <c r="V1083" s="67"/>
      <c r="W1083" s="67"/>
      <c r="X1083" s="67">
        <f>R1083+V1083</f>
        <v>0</v>
      </c>
      <c r="Y1083" s="67">
        <f t="shared" si="371"/>
        <v>7128475.4699999997</v>
      </c>
      <c r="Z1083" s="67">
        <f t="shared" si="372"/>
        <v>0</v>
      </c>
      <c r="AA1083" s="67">
        <f t="shared" si="373"/>
        <v>7128475.4699999997</v>
      </c>
      <c r="AB1083" s="67">
        <f t="shared" si="374"/>
        <v>0</v>
      </c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  <c r="AZ1083" s="4"/>
      <c r="CD1083" s="4"/>
      <c r="CE1083" s="4"/>
      <c r="CF1083" s="4"/>
      <c r="CG1083" s="4"/>
      <c r="CH1083" s="4"/>
      <c r="CI1083" s="4"/>
    </row>
    <row r="1084" spans="1:106" x14ac:dyDescent="0.25">
      <c r="A1084" s="4"/>
      <c r="B1084" s="4"/>
      <c r="C1084" s="4" t="s">
        <v>290</v>
      </c>
      <c r="D1084" s="55">
        <f>29918000+15000000+15000000+15000000+15000000+29000000+29000000+29000000+29000000+20082000+29000000+29000000</f>
        <v>284000000</v>
      </c>
      <c r="E1084" s="55">
        <f>15000000+15000000+15000000+15000000+29000000+29000000+29000000+29000000+50000000+29000000</f>
        <v>255000000</v>
      </c>
      <c r="F1084" s="55">
        <v>29000000</v>
      </c>
      <c r="G1084" s="55"/>
      <c r="H1084" s="55">
        <f>+E1084+F1084</f>
        <v>284000000</v>
      </c>
      <c r="I1084" s="55"/>
      <c r="J1084" s="55"/>
      <c r="K1084" s="55"/>
      <c r="L1084" s="55"/>
      <c r="M1084" s="55"/>
      <c r="N1084" s="55">
        <f>+H1084+L1084</f>
        <v>284000000</v>
      </c>
      <c r="O1084" s="55">
        <v>0</v>
      </c>
      <c r="P1084" s="55"/>
      <c r="Q1084" s="55"/>
      <c r="R1084" s="55">
        <f>+O1084+P1084</f>
        <v>0</v>
      </c>
      <c r="S1084" s="55"/>
      <c r="T1084" s="55"/>
      <c r="U1084" s="55"/>
      <c r="V1084" s="55"/>
      <c r="W1084" s="55"/>
      <c r="X1084" s="55">
        <f>+R1084+V1084</f>
        <v>0</v>
      </c>
      <c r="Y1084" s="67">
        <f t="shared" si="371"/>
        <v>284000000</v>
      </c>
      <c r="Z1084" s="67">
        <f t="shared" si="372"/>
        <v>0</v>
      </c>
      <c r="AA1084" s="67">
        <f t="shared" si="373"/>
        <v>284000000</v>
      </c>
      <c r="AB1084" s="67">
        <f t="shared" si="374"/>
        <v>0</v>
      </c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BZ1084" s="4"/>
      <c r="CA1084" s="4"/>
      <c r="CB1084" s="4"/>
      <c r="CC1084" s="4"/>
    </row>
    <row r="1085" spans="1:106" ht="15.75" customHeight="1" x14ac:dyDescent="0.25">
      <c r="C1085" s="4" t="s">
        <v>317</v>
      </c>
      <c r="D1085" s="55">
        <v>5677928.1699999999</v>
      </c>
      <c r="E1085" s="55">
        <v>5677928.1699999999</v>
      </c>
      <c r="F1085" s="55"/>
      <c r="G1085" s="55"/>
      <c r="H1085" s="55">
        <f>+E1085+F1085</f>
        <v>5677928.1699999999</v>
      </c>
      <c r="I1085" s="55"/>
      <c r="J1085" s="55"/>
      <c r="K1085" s="55"/>
      <c r="L1085" s="55"/>
      <c r="M1085" s="55"/>
      <c r="N1085" s="55">
        <f>+H1085+L1085</f>
        <v>5677928.1699999999</v>
      </c>
      <c r="O1085" s="55">
        <v>0</v>
      </c>
      <c r="P1085" s="55"/>
      <c r="Q1085" s="55"/>
      <c r="R1085" s="55">
        <f>+O1085+P1085</f>
        <v>0</v>
      </c>
      <c r="S1085" s="55"/>
      <c r="T1085" s="55"/>
      <c r="U1085" s="55"/>
      <c r="V1085" s="55"/>
      <c r="W1085" s="55"/>
      <c r="X1085" s="55">
        <f>+R1085+V1085</f>
        <v>0</v>
      </c>
      <c r="Y1085" s="67">
        <f t="shared" si="371"/>
        <v>5677928.1699999999</v>
      </c>
      <c r="Z1085" s="67">
        <f t="shared" si="372"/>
        <v>0</v>
      </c>
      <c r="AA1085" s="67">
        <f t="shared" si="373"/>
        <v>5677928.1699999999</v>
      </c>
      <c r="AB1085" s="67">
        <f t="shared" si="374"/>
        <v>0</v>
      </c>
      <c r="AR1085" s="94"/>
      <c r="AY1085" s="4"/>
      <c r="BW1085" s="4"/>
      <c r="BX1085" s="4"/>
      <c r="BY1085" s="4"/>
    </row>
    <row r="1086" spans="1:106" s="4" customFormat="1" x14ac:dyDescent="0.25">
      <c r="A1086" s="46"/>
      <c r="B1086" s="26"/>
      <c r="C1086" s="2" t="s">
        <v>37</v>
      </c>
      <c r="D1086" s="67">
        <f>8410809.3+433799.41</f>
        <v>8844608.7100000009</v>
      </c>
      <c r="E1086" s="67">
        <v>0</v>
      </c>
      <c r="F1086" s="68"/>
      <c r="G1086" s="68"/>
      <c r="H1086" s="67">
        <f>E1086+F1086</f>
        <v>0</v>
      </c>
      <c r="I1086" s="68"/>
      <c r="J1086" s="68"/>
      <c r="K1086" s="68"/>
      <c r="L1086" s="67"/>
      <c r="M1086" s="67"/>
      <c r="N1086" s="67">
        <f>H1086+L1086</f>
        <v>0</v>
      </c>
      <c r="O1086" s="67">
        <f>1761226.4+342250+855625+342250+782835.9+4760421.41</f>
        <v>8844608.7100000009</v>
      </c>
      <c r="P1086" s="68"/>
      <c r="Q1086" s="68"/>
      <c r="R1086" s="67">
        <f>O1086+P1086</f>
        <v>8844608.7100000009</v>
      </c>
      <c r="S1086" s="68">
        <f>345510+299468.75</f>
        <v>644978.75</v>
      </c>
      <c r="T1086" s="68"/>
      <c r="U1086" s="68">
        <v>80480.45</v>
      </c>
      <c r="V1086" s="67"/>
      <c r="W1086" s="67"/>
      <c r="X1086" s="67">
        <f>R1086+V1086</f>
        <v>8844608.7100000009</v>
      </c>
      <c r="Y1086" s="67">
        <f t="shared" si="371"/>
        <v>8844608.7100000009</v>
      </c>
      <c r="Z1086" s="67">
        <f t="shared" si="372"/>
        <v>0</v>
      </c>
      <c r="AA1086" s="67">
        <f t="shared" si="373"/>
        <v>8844608.7100000009</v>
      </c>
      <c r="AB1086" s="67">
        <f t="shared" si="374"/>
        <v>0</v>
      </c>
      <c r="AC1086"/>
      <c r="AD1086" s="94"/>
      <c r="AE1086" s="94"/>
      <c r="AF1086" s="94"/>
      <c r="AG1086" s="94"/>
      <c r="AH1086" s="94"/>
      <c r="AI1086" s="94"/>
      <c r="AJ1086" s="94"/>
      <c r="AK1086" s="94"/>
      <c r="AL1086" s="94"/>
      <c r="AM1086" s="94"/>
      <c r="AN1086" s="94"/>
      <c r="AO1086" s="94"/>
      <c r="AP1086" s="94"/>
      <c r="AQ1086" s="94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</row>
    <row r="1087" spans="1:106" x14ac:dyDescent="0.25">
      <c r="A1087" s="46"/>
      <c r="B1087" s="26"/>
      <c r="C1087" s="8" t="s">
        <v>39</v>
      </c>
      <c r="D1087" s="67">
        <v>2159966.89</v>
      </c>
      <c r="E1087" s="67">
        <v>0</v>
      </c>
      <c r="F1087" s="68"/>
      <c r="G1087" s="68"/>
      <c r="H1087" s="67">
        <f>E1087+F1087</f>
        <v>0</v>
      </c>
      <c r="I1087" s="68"/>
      <c r="J1087" s="68"/>
      <c r="K1087" s="68"/>
      <c r="L1087" s="67"/>
      <c r="M1087" s="67"/>
      <c r="N1087" s="67">
        <f>H1087+L1087</f>
        <v>0</v>
      </c>
      <c r="O1087" s="67">
        <v>494782.01</v>
      </c>
      <c r="P1087" s="68"/>
      <c r="Q1087" s="68"/>
      <c r="R1087" s="67">
        <f>O1087+P1087</f>
        <v>494782.01</v>
      </c>
      <c r="S1087" s="68"/>
      <c r="T1087" s="68"/>
      <c r="U1087" s="68"/>
      <c r="V1087" s="67"/>
      <c r="W1087" s="67"/>
      <c r="X1087" s="67">
        <f>R1087+V1087</f>
        <v>494782.01</v>
      </c>
      <c r="Y1087" s="67">
        <f t="shared" si="371"/>
        <v>494782.01</v>
      </c>
      <c r="Z1087" s="67">
        <f t="shared" si="372"/>
        <v>1665184.8800000001</v>
      </c>
      <c r="AA1087" s="67">
        <f t="shared" si="373"/>
        <v>494782.01</v>
      </c>
      <c r="AB1087" s="67">
        <f t="shared" si="374"/>
        <v>1665184.8800000001</v>
      </c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  <c r="AX1087" s="4"/>
      <c r="BR1087" s="4"/>
      <c r="BS1087" s="4"/>
      <c r="BT1087" s="4"/>
      <c r="BU1087" s="4"/>
      <c r="BV1087" s="4"/>
    </row>
    <row r="1088" spans="1:106" s="4" customFormat="1" x14ac:dyDescent="0.25">
      <c r="A1088" s="46"/>
      <c r="B1088" s="26"/>
      <c r="C1088" s="24" t="str">
        <f>+C940</f>
        <v>WB-RERP-STGNG AREA</v>
      </c>
      <c r="D1088" s="67">
        <v>10000000</v>
      </c>
      <c r="E1088" s="67">
        <v>5324323.1900000004</v>
      </c>
      <c r="F1088" s="68"/>
      <c r="G1088" s="68"/>
      <c r="H1088" s="67">
        <f>E1088+F1088</f>
        <v>5324323.1900000004</v>
      </c>
      <c r="I1088" s="68"/>
      <c r="J1088" s="68"/>
      <c r="K1088" s="68"/>
      <c r="L1088" s="67"/>
      <c r="M1088" s="67"/>
      <c r="N1088" s="67">
        <f>H1088+L1088</f>
        <v>5324323.1900000004</v>
      </c>
      <c r="O1088" s="67">
        <v>0</v>
      </c>
      <c r="P1088" s="68"/>
      <c r="Q1088" s="68"/>
      <c r="R1088" s="67">
        <f>O1088+P1088</f>
        <v>0</v>
      </c>
      <c r="S1088" s="68"/>
      <c r="T1088" s="68"/>
      <c r="U1088" s="68"/>
      <c r="V1088" s="67"/>
      <c r="W1088" s="67"/>
      <c r="X1088" s="67">
        <f>R1088+V1088</f>
        <v>0</v>
      </c>
      <c r="Y1088" s="67">
        <f t="shared" si="371"/>
        <v>5324323.1900000004</v>
      </c>
      <c r="Z1088" s="67">
        <f t="shared" si="372"/>
        <v>4675676.8099999996</v>
      </c>
      <c r="AA1088" s="67">
        <f t="shared" si="373"/>
        <v>5324323.1900000004</v>
      </c>
      <c r="AB1088" s="67">
        <f t="shared" si="374"/>
        <v>4675676.8099999996</v>
      </c>
      <c r="AC1088"/>
      <c r="AD1088" s="94"/>
      <c r="AE1088" s="94"/>
      <c r="AF1088" s="94"/>
      <c r="AG1088" s="94"/>
      <c r="AH1088" s="94"/>
      <c r="AI1088" s="94"/>
      <c r="AJ1088" s="94"/>
      <c r="AK1088" s="94"/>
      <c r="AL1088" s="94"/>
      <c r="AM1088" s="94"/>
      <c r="AN1088" s="94"/>
      <c r="AO1088" s="94"/>
      <c r="AP1088" s="94"/>
      <c r="AQ1088" s="94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</row>
    <row r="1089" spans="1:106" s="4" customFormat="1" x14ac:dyDescent="0.25">
      <c r="A1089" s="46"/>
      <c r="B1089" s="26"/>
      <c r="D1089" s="70" t="s">
        <v>40</v>
      </c>
      <c r="E1089" s="70" t="s">
        <v>40</v>
      </c>
      <c r="F1089" s="70" t="s">
        <v>40</v>
      </c>
      <c r="G1089" s="70"/>
      <c r="H1089" s="70" t="s">
        <v>40</v>
      </c>
      <c r="I1089" s="70" t="s">
        <v>40</v>
      </c>
      <c r="J1089" s="70" t="s">
        <v>40</v>
      </c>
      <c r="K1089" s="70" t="s">
        <v>40</v>
      </c>
      <c r="L1089" s="70" t="s">
        <v>40</v>
      </c>
      <c r="M1089" s="70"/>
      <c r="N1089" s="70" t="s">
        <v>40</v>
      </c>
      <c r="O1089" s="70" t="s">
        <v>40</v>
      </c>
      <c r="P1089" s="70" t="s">
        <v>40</v>
      </c>
      <c r="Q1089" s="70"/>
      <c r="R1089" s="70" t="s">
        <v>40</v>
      </c>
      <c r="S1089" s="70" t="s">
        <v>40</v>
      </c>
      <c r="T1089" s="70" t="s">
        <v>40</v>
      </c>
      <c r="U1089" s="70" t="s">
        <v>40</v>
      </c>
      <c r="V1089" s="70" t="s">
        <v>40</v>
      </c>
      <c r="W1089" s="70"/>
      <c r="X1089" s="70" t="s">
        <v>40</v>
      </c>
      <c r="Y1089" s="70" t="s">
        <v>40</v>
      </c>
      <c r="Z1089" s="70" t="s">
        <v>40</v>
      </c>
      <c r="AA1089" s="70" t="s">
        <v>40</v>
      </c>
      <c r="AB1089" s="70" t="s">
        <v>40</v>
      </c>
      <c r="AC1089"/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  <c r="AR1089"/>
      <c r="AS1089"/>
      <c r="AT1089"/>
      <c r="AU1089"/>
      <c r="AV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R1089"/>
      <c r="BS1089"/>
      <c r="BT1089"/>
      <c r="BU1089"/>
      <c r="BV1089"/>
      <c r="BY1089"/>
      <c r="BZ1089"/>
      <c r="CA1089"/>
      <c r="CB1089"/>
      <c r="CC1089"/>
      <c r="CD1089"/>
      <c r="CE1089"/>
      <c r="CF1089"/>
      <c r="CG1089"/>
      <c r="CH1089"/>
      <c r="CI1089"/>
      <c r="CQ1089"/>
      <c r="CR1089"/>
      <c r="CS1089"/>
      <c r="CT1089"/>
      <c r="CU1089"/>
      <c r="CV1089"/>
      <c r="CW1089"/>
      <c r="CX1089"/>
      <c r="CY1089"/>
      <c r="CZ1089"/>
      <c r="DA1089"/>
      <c r="DB1089"/>
    </row>
    <row r="1090" spans="1:106" x14ac:dyDescent="0.25">
      <c r="A1090" s="46"/>
      <c r="B1090" s="26"/>
      <c r="C1090" s="4"/>
      <c r="D1090" s="67">
        <f>SUM(D1082:D1088)</f>
        <v>346984273.13999999</v>
      </c>
      <c r="E1090" s="67">
        <f>SUM(E1082:E1088)</f>
        <v>285423307.12</v>
      </c>
      <c r="F1090" s="67">
        <f>SUM(F1082:F1088)</f>
        <v>29000000</v>
      </c>
      <c r="G1090" s="67"/>
      <c r="H1090" s="67">
        <f>SUM(H1082:H1088)</f>
        <v>314423307.12</v>
      </c>
      <c r="I1090" s="67">
        <f>SUM(I1082:I1088)</f>
        <v>0</v>
      </c>
      <c r="J1090" s="67">
        <f>SUM(J1082:J1088)</f>
        <v>0</v>
      </c>
      <c r="K1090" s="67">
        <f>SUM(K1082:K1088)</f>
        <v>0</v>
      </c>
      <c r="L1090" s="67">
        <f>SUM(L1082:L1088)</f>
        <v>0</v>
      </c>
      <c r="M1090" s="67"/>
      <c r="N1090" s="67">
        <f>SUM(N1082:N1088)</f>
        <v>314423307.12</v>
      </c>
      <c r="O1090" s="67">
        <f>SUM(O1082:O1088)</f>
        <v>24366784.330000002</v>
      </c>
      <c r="P1090" s="67">
        <f>SUM(P1082:P1088)</f>
        <v>0</v>
      </c>
      <c r="Q1090" s="67"/>
      <c r="R1090" s="67">
        <f>SUM(R1082:R1088)</f>
        <v>24366784.330000002</v>
      </c>
      <c r="S1090" s="67">
        <f>SUM(S1082:S1088)</f>
        <v>1629526.0299999996</v>
      </c>
      <c r="T1090" s="67">
        <f>SUM(T1082:T1088)</f>
        <v>0</v>
      </c>
      <c r="U1090" s="67">
        <f>SUM(U1082:U1088)</f>
        <v>2125646.8199999998</v>
      </c>
      <c r="V1090" s="67">
        <f>SUM(V1082:V1088)</f>
        <v>0</v>
      </c>
      <c r="W1090" s="67"/>
      <c r="X1090" s="67">
        <f>SUM(X1082:X1088)</f>
        <v>24366784.330000002</v>
      </c>
      <c r="Y1090" s="67">
        <f>SUM(Y1082:Y1088)</f>
        <v>338790091.44999999</v>
      </c>
      <c r="Z1090" s="67">
        <f>SUM(Z1082:Z1088)</f>
        <v>8194181.6900000069</v>
      </c>
      <c r="AA1090" s="67">
        <f>SUM(AA1082:AA1088)</f>
        <v>338790091.44999999</v>
      </c>
      <c r="AB1090" s="67">
        <f>SUM(AB1082:AB1088)</f>
        <v>8194181.6900000051</v>
      </c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  <c r="BM1090" s="4"/>
      <c r="BN1090" s="4"/>
      <c r="BO1090" s="4"/>
      <c r="B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</row>
    <row r="1091" spans="1:106" s="4" customFormat="1" x14ac:dyDescent="0.25">
      <c r="A1091" s="46"/>
      <c r="B1091" s="30"/>
      <c r="D1091" s="70" t="s">
        <v>40</v>
      </c>
      <c r="E1091" s="70" t="s">
        <v>40</v>
      </c>
      <c r="F1091" s="70" t="s">
        <v>40</v>
      </c>
      <c r="G1091" s="70"/>
      <c r="H1091" s="70" t="s">
        <v>40</v>
      </c>
      <c r="I1091" s="70" t="s">
        <v>40</v>
      </c>
      <c r="J1091" s="70" t="s">
        <v>40</v>
      </c>
      <c r="K1091" s="70" t="s">
        <v>40</v>
      </c>
      <c r="L1091" s="70" t="s">
        <v>40</v>
      </c>
      <c r="M1091" s="70"/>
      <c r="N1091" s="70" t="s">
        <v>40</v>
      </c>
      <c r="O1091" s="70" t="s">
        <v>40</v>
      </c>
      <c r="P1091" s="70" t="s">
        <v>40</v>
      </c>
      <c r="Q1091" s="70"/>
      <c r="R1091" s="70" t="s">
        <v>40</v>
      </c>
      <c r="S1091" s="70" t="s">
        <v>40</v>
      </c>
      <c r="T1091" s="70" t="s">
        <v>40</v>
      </c>
      <c r="U1091" s="70" t="s">
        <v>40</v>
      </c>
      <c r="V1091" s="70" t="s">
        <v>40</v>
      </c>
      <c r="W1091" s="70"/>
      <c r="X1091" s="70" t="s">
        <v>40</v>
      </c>
      <c r="Y1091" s="70" t="s">
        <v>40</v>
      </c>
      <c r="Z1091" s="70" t="s">
        <v>40</v>
      </c>
      <c r="AA1091" s="70" t="s">
        <v>40</v>
      </c>
      <c r="AB1091" s="70" t="s">
        <v>40</v>
      </c>
      <c r="AC1091"/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N1091"/>
      <c r="BO1091"/>
      <c r="BP1091"/>
      <c r="BQ1091"/>
      <c r="BW1091"/>
      <c r="BX1091"/>
      <c r="BY1091"/>
      <c r="BZ1091"/>
      <c r="CA1091"/>
      <c r="CB1091"/>
      <c r="CC1091"/>
    </row>
    <row r="1092" spans="1:106" x14ac:dyDescent="0.25">
      <c r="A1092" s="46"/>
      <c r="B1092" s="30"/>
      <c r="C1092" s="4"/>
      <c r="D1092" s="70"/>
      <c r="E1092" s="70"/>
      <c r="F1092" s="70"/>
      <c r="G1092" s="70"/>
      <c r="H1092" s="70"/>
      <c r="I1092" s="70"/>
      <c r="J1092" s="70"/>
      <c r="K1092" s="70"/>
      <c r="L1092" s="70"/>
      <c r="M1092" s="70"/>
      <c r="N1092" s="70"/>
      <c r="O1092" s="129"/>
      <c r="P1092" s="105"/>
      <c r="Q1092" s="105"/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  <c r="BL1092" s="4"/>
      <c r="BQ1092" s="4"/>
      <c r="BZ1092" s="4"/>
      <c r="CA1092" s="4"/>
      <c r="CB1092" s="4"/>
      <c r="CC1092" s="4"/>
      <c r="CJ1092" s="4"/>
      <c r="CK1092" s="4"/>
      <c r="CL1092" s="4"/>
      <c r="CM1092" s="4"/>
      <c r="CN1092" s="4"/>
      <c r="CO1092" s="4"/>
      <c r="CP1092" s="4"/>
    </row>
    <row r="1093" spans="1:106" x14ac:dyDescent="0.25">
      <c r="A1093" s="46">
        <v>116</v>
      </c>
      <c r="B1093" s="23" t="s">
        <v>121</v>
      </c>
      <c r="C1093" s="2" t="s">
        <v>35</v>
      </c>
      <c r="D1093" s="67">
        <f>89825556-3000000</f>
        <v>86825556</v>
      </c>
      <c r="E1093" s="67">
        <v>0</v>
      </c>
      <c r="F1093" s="68"/>
      <c r="G1093" s="68"/>
      <c r="H1093" s="67">
        <f>E1093+F1093</f>
        <v>0</v>
      </c>
      <c r="I1093" s="68"/>
      <c r="J1093" s="68"/>
      <c r="K1093" s="68"/>
      <c r="L1093" s="67"/>
      <c r="M1093" s="67"/>
      <c r="N1093" s="67">
        <f>H1093+L1093</f>
        <v>0</v>
      </c>
      <c r="O1093" s="67">
        <v>0</v>
      </c>
      <c r="P1093" s="68"/>
      <c r="Q1093" s="68"/>
      <c r="R1093" s="67">
        <f>O1093+P1093</f>
        <v>0</v>
      </c>
      <c r="S1093" s="68"/>
      <c r="T1093" s="68"/>
      <c r="U1093" s="68"/>
      <c r="V1093" s="67"/>
      <c r="W1093" s="67"/>
      <c r="X1093" s="67">
        <f>R1093+V1093</f>
        <v>0</v>
      </c>
      <c r="Y1093" s="67">
        <f t="shared" ref="Y1093:Y1098" si="375">R1093+H1093</f>
        <v>0</v>
      </c>
      <c r="Z1093" s="67">
        <f t="shared" ref="Z1093:Z1098" si="376">D1093-Y1093</f>
        <v>86825556</v>
      </c>
      <c r="AA1093" s="67">
        <f>N1093+X1093</f>
        <v>0</v>
      </c>
      <c r="AB1093" s="67">
        <f t="shared" ref="AB1093:AB1098" si="377">+D1093-N1093-X1093</f>
        <v>86825556</v>
      </c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  <c r="BI1093" s="4"/>
      <c r="BJ1093" s="4"/>
      <c r="BK1093" s="4"/>
      <c r="BL1093" s="4"/>
      <c r="BN1093" s="4"/>
      <c r="BO1093" s="4"/>
      <c r="BP1093" s="4"/>
      <c r="BY1093" s="4"/>
      <c r="CD1093" s="4"/>
      <c r="CE1093" s="4"/>
      <c r="CF1093" s="4"/>
      <c r="CG1093" s="4"/>
      <c r="CH1093" s="4"/>
      <c r="CI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</row>
    <row r="1094" spans="1:106" ht="15.75" customHeight="1" x14ac:dyDescent="0.25">
      <c r="A1094" s="46"/>
      <c r="B1094" s="26"/>
      <c r="C1094" s="3" t="s">
        <v>36</v>
      </c>
      <c r="D1094" s="67">
        <v>1250400.57</v>
      </c>
      <c r="E1094" s="67">
        <v>1250400.57</v>
      </c>
      <c r="F1094" s="68"/>
      <c r="G1094" s="68"/>
      <c r="H1094" s="67">
        <f>E1094+F1094</f>
        <v>1250400.57</v>
      </c>
      <c r="I1094" s="68"/>
      <c r="J1094" s="68"/>
      <c r="K1094" s="68"/>
      <c r="L1094" s="67"/>
      <c r="M1094" s="67"/>
      <c r="N1094" s="67">
        <f>H1094+L1094</f>
        <v>1250400.57</v>
      </c>
      <c r="O1094" s="67">
        <v>0</v>
      </c>
      <c r="P1094" s="68"/>
      <c r="Q1094" s="68"/>
      <c r="R1094" s="67">
        <f>O1094+P1094</f>
        <v>0</v>
      </c>
      <c r="S1094" s="68"/>
      <c r="T1094" s="68"/>
      <c r="U1094" s="68"/>
      <c r="V1094" s="67"/>
      <c r="W1094" s="67"/>
      <c r="X1094" s="67">
        <f>R1094+V1094</f>
        <v>0</v>
      </c>
      <c r="Y1094" s="67">
        <f t="shared" si="375"/>
        <v>1250400.57</v>
      </c>
      <c r="Z1094" s="67">
        <f t="shared" si="376"/>
        <v>0</v>
      </c>
      <c r="AA1094" s="67">
        <f>N1094+X1094</f>
        <v>1250400.57</v>
      </c>
      <c r="AB1094" s="67">
        <f t="shared" si="377"/>
        <v>0</v>
      </c>
      <c r="AD1094" s="94"/>
      <c r="AE1094" s="94"/>
      <c r="AF1094" s="94"/>
      <c r="AG1094" s="94"/>
      <c r="AH1094" s="94"/>
      <c r="AI1094" s="94"/>
      <c r="AJ1094" s="94"/>
      <c r="AK1094" s="94"/>
      <c r="AL1094" s="94"/>
      <c r="AM1094" s="94"/>
      <c r="AN1094" s="94"/>
      <c r="AO1094" s="94"/>
      <c r="AP1094" s="94"/>
      <c r="AQ1094" s="94"/>
      <c r="AV1094" s="4"/>
      <c r="BG1094" s="4"/>
      <c r="BH1094" s="4"/>
      <c r="BI1094" s="4"/>
      <c r="BJ1094" s="4"/>
      <c r="BK1094" s="4"/>
      <c r="BM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</row>
    <row r="1095" spans="1:106" x14ac:dyDescent="0.25">
      <c r="C1095" s="4" t="s">
        <v>317</v>
      </c>
      <c r="D1095" s="55">
        <v>3000000</v>
      </c>
      <c r="E1095" s="55">
        <v>3000000</v>
      </c>
      <c r="F1095" s="55"/>
      <c r="G1095" s="55"/>
      <c r="H1095" s="55">
        <f>+E1095+F1095</f>
        <v>3000000</v>
      </c>
      <c r="I1095" s="55"/>
      <c r="J1095" s="55"/>
      <c r="K1095" s="55"/>
      <c r="L1095" s="55"/>
      <c r="M1095" s="55"/>
      <c r="N1095" s="55">
        <f>+H1095+L1095</f>
        <v>3000000</v>
      </c>
      <c r="O1095" s="55">
        <v>0</v>
      </c>
      <c r="P1095" s="55"/>
      <c r="Q1095" s="55"/>
      <c r="R1095" s="55">
        <f>+O1095+P1095</f>
        <v>0</v>
      </c>
      <c r="S1095" s="55"/>
      <c r="T1095" s="55"/>
      <c r="U1095" s="55"/>
      <c r="V1095" s="55"/>
      <c r="W1095" s="55"/>
      <c r="X1095" s="55">
        <f>+R1095+V1095</f>
        <v>0</v>
      </c>
      <c r="Y1095" s="67">
        <f t="shared" si="375"/>
        <v>3000000</v>
      </c>
      <c r="Z1095" s="67">
        <f t="shared" si="376"/>
        <v>0</v>
      </c>
      <c r="AA1095" s="67">
        <f>N1095+X1095</f>
        <v>3000000</v>
      </c>
      <c r="AB1095" s="67">
        <f t="shared" si="377"/>
        <v>0</v>
      </c>
      <c r="AU1095" s="4"/>
      <c r="BG1095" s="4"/>
      <c r="BH1095" s="4"/>
      <c r="BY1095" s="4"/>
      <c r="BZ1095" s="4"/>
      <c r="CA1095" s="4"/>
      <c r="CB1095" s="4"/>
      <c r="CC1095" s="4"/>
    </row>
    <row r="1096" spans="1:106" x14ac:dyDescent="0.25">
      <c r="A1096" s="46"/>
      <c r="B1096" s="26"/>
      <c r="C1096" s="3" t="s">
        <v>54</v>
      </c>
      <c r="D1096" s="67">
        <v>0</v>
      </c>
      <c r="E1096" s="67">
        <v>0</v>
      </c>
      <c r="F1096" s="68"/>
      <c r="G1096" s="68"/>
      <c r="H1096" s="67">
        <f>E1096+F1096</f>
        <v>0</v>
      </c>
      <c r="I1096" s="68"/>
      <c r="J1096" s="68"/>
      <c r="K1096" s="68"/>
      <c r="L1096" s="67"/>
      <c r="M1096" s="67"/>
      <c r="N1096" s="67">
        <f>H1096+L1096</f>
        <v>0</v>
      </c>
      <c r="O1096" s="67">
        <v>0</v>
      </c>
      <c r="P1096" s="68"/>
      <c r="Q1096" s="68"/>
      <c r="R1096" s="67">
        <f>O1096+P1096</f>
        <v>0</v>
      </c>
      <c r="S1096" s="68"/>
      <c r="T1096" s="68"/>
      <c r="U1096" s="68"/>
      <c r="V1096" s="67"/>
      <c r="W1096" s="67"/>
      <c r="X1096" s="67">
        <f>R1096+V1096</f>
        <v>0</v>
      </c>
      <c r="Y1096" s="67">
        <f t="shared" si="375"/>
        <v>0</v>
      </c>
      <c r="Z1096" s="67">
        <f t="shared" si="376"/>
        <v>0</v>
      </c>
      <c r="AA1096" s="67"/>
      <c r="AB1096" s="67">
        <f t="shared" si="377"/>
        <v>0</v>
      </c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94"/>
      <c r="BF1096" s="4"/>
      <c r="BL1096" s="4"/>
      <c r="BY1096" s="4"/>
      <c r="CD1096" s="4"/>
      <c r="CE1096" s="4"/>
      <c r="CF1096" s="4"/>
      <c r="CG1096" s="4"/>
      <c r="CH1096" s="4"/>
      <c r="CI1096" s="4"/>
    </row>
    <row r="1097" spans="1:106" ht="16.5" customHeight="1" x14ac:dyDescent="0.25">
      <c r="A1097" s="46"/>
      <c r="B1097" s="26"/>
      <c r="C1097" s="2" t="s">
        <v>37</v>
      </c>
      <c r="D1097" s="67">
        <v>7827235.29</v>
      </c>
      <c r="E1097" s="67">
        <v>0</v>
      </c>
      <c r="F1097" s="68"/>
      <c r="G1097" s="68"/>
      <c r="H1097" s="67">
        <f>E1097+F1097</f>
        <v>0</v>
      </c>
      <c r="I1097" s="68"/>
      <c r="J1097" s="68"/>
      <c r="K1097" s="68"/>
      <c r="L1097" s="67"/>
      <c r="M1097" s="67"/>
      <c r="N1097" s="67">
        <f>H1097+L1097</f>
        <v>0</v>
      </c>
      <c r="O1097" s="67">
        <v>0</v>
      </c>
      <c r="P1097" s="68"/>
      <c r="Q1097" s="68"/>
      <c r="R1097" s="67">
        <f>O1097+P1097</f>
        <v>0</v>
      </c>
      <c r="S1097" s="68"/>
      <c r="T1097" s="68"/>
      <c r="U1097" s="68"/>
      <c r="V1097" s="67"/>
      <c r="W1097" s="67"/>
      <c r="X1097" s="67">
        <f>R1097+V1097</f>
        <v>0</v>
      </c>
      <c r="Y1097" s="67">
        <f t="shared" si="375"/>
        <v>0</v>
      </c>
      <c r="Z1097" s="67">
        <f t="shared" si="376"/>
        <v>7827235.29</v>
      </c>
      <c r="AA1097" s="67">
        <f>N1097+X1097</f>
        <v>0</v>
      </c>
      <c r="AB1097" s="67">
        <f t="shared" si="377"/>
        <v>7827235.29</v>
      </c>
      <c r="AD1097" s="94"/>
      <c r="AE1097" s="94"/>
      <c r="AF1097" s="94"/>
      <c r="AG1097" s="94"/>
      <c r="AH1097" s="94"/>
      <c r="AI1097" s="94"/>
      <c r="AJ1097" s="94"/>
      <c r="AK1097" s="94"/>
      <c r="AL1097" s="94"/>
      <c r="AM1097" s="94"/>
      <c r="AN1097" s="94"/>
      <c r="AO1097" s="94"/>
      <c r="AP1097" s="94"/>
      <c r="AQ1097" s="94"/>
      <c r="BF1097" s="4"/>
      <c r="BI1097" s="4"/>
      <c r="BJ1097" s="4"/>
      <c r="BK1097" s="4"/>
      <c r="BW1097" s="4"/>
      <c r="BX1097" s="4"/>
      <c r="BZ1097" s="4"/>
      <c r="CA1097" s="4"/>
      <c r="CB1097" s="4"/>
      <c r="CC1097" s="4"/>
    </row>
    <row r="1098" spans="1:106" x14ac:dyDescent="0.25">
      <c r="A1098" s="46"/>
      <c r="B1098" s="26"/>
      <c r="C1098" s="8" t="s">
        <v>39</v>
      </c>
      <c r="D1098" s="67">
        <v>2148907.44</v>
      </c>
      <c r="E1098" s="67">
        <v>0</v>
      </c>
      <c r="F1098" s="68"/>
      <c r="G1098" s="68"/>
      <c r="H1098" s="67">
        <f>E1098+F1098</f>
        <v>0</v>
      </c>
      <c r="I1098" s="68"/>
      <c r="J1098" s="68"/>
      <c r="K1098" s="68"/>
      <c r="L1098" s="67"/>
      <c r="M1098" s="67"/>
      <c r="N1098" s="67">
        <f>H1098+L1098</f>
        <v>0</v>
      </c>
      <c r="O1098" s="67">
        <v>0</v>
      </c>
      <c r="P1098" s="68"/>
      <c r="Q1098" s="68"/>
      <c r="R1098" s="67">
        <f>O1098+P1098</f>
        <v>0</v>
      </c>
      <c r="S1098" s="68"/>
      <c r="T1098" s="68"/>
      <c r="U1098" s="68"/>
      <c r="V1098" s="67"/>
      <c r="W1098" s="67"/>
      <c r="X1098" s="67">
        <f>R1098+V1098</f>
        <v>0</v>
      </c>
      <c r="Y1098" s="67">
        <f t="shared" si="375"/>
        <v>0</v>
      </c>
      <c r="Z1098" s="67">
        <f t="shared" si="376"/>
        <v>2148907.44</v>
      </c>
      <c r="AA1098" s="67">
        <f>N1098+X1098</f>
        <v>0</v>
      </c>
      <c r="AB1098" s="67">
        <f t="shared" si="377"/>
        <v>2148907.44</v>
      </c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/>
      <c r="AP1098" s="94"/>
      <c r="AQ1098" s="94"/>
      <c r="AT1098" s="4"/>
      <c r="BD1098" s="4"/>
      <c r="BE1098" s="4"/>
      <c r="BG1098" s="4"/>
      <c r="BH1098" s="4"/>
      <c r="BY1098" s="4"/>
    </row>
    <row r="1099" spans="1:106" x14ac:dyDescent="0.25">
      <c r="A1099" s="46"/>
      <c r="B1099" s="26"/>
      <c r="C1099" s="4"/>
      <c r="D1099" s="70" t="s">
        <v>40</v>
      </c>
      <c r="E1099" s="70" t="s">
        <v>40</v>
      </c>
      <c r="F1099" s="70" t="s">
        <v>40</v>
      </c>
      <c r="G1099" s="70"/>
      <c r="H1099" s="70" t="s">
        <v>40</v>
      </c>
      <c r="I1099" s="70" t="s">
        <v>40</v>
      </c>
      <c r="J1099" s="70" t="s">
        <v>40</v>
      </c>
      <c r="K1099" s="70" t="s">
        <v>40</v>
      </c>
      <c r="L1099" s="70" t="s">
        <v>40</v>
      </c>
      <c r="M1099" s="70"/>
      <c r="N1099" s="70" t="s">
        <v>40</v>
      </c>
      <c r="O1099" s="70" t="s">
        <v>40</v>
      </c>
      <c r="P1099" s="70" t="s">
        <v>40</v>
      </c>
      <c r="Q1099" s="70"/>
      <c r="R1099" s="70" t="s">
        <v>40</v>
      </c>
      <c r="S1099" s="70" t="s">
        <v>40</v>
      </c>
      <c r="T1099" s="70" t="s">
        <v>40</v>
      </c>
      <c r="U1099" s="70" t="s">
        <v>40</v>
      </c>
      <c r="V1099" s="70" t="s">
        <v>40</v>
      </c>
      <c r="W1099" s="70"/>
      <c r="X1099" s="70" t="s">
        <v>40</v>
      </c>
      <c r="Y1099" s="70" t="s">
        <v>40</v>
      </c>
      <c r="Z1099" s="70" t="s">
        <v>40</v>
      </c>
      <c r="AA1099" s="70" t="s">
        <v>40</v>
      </c>
      <c r="AB1099" s="70" t="s">
        <v>40</v>
      </c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/>
      <c r="AP1099" s="94"/>
      <c r="AQ1099" s="94"/>
      <c r="BC1099" s="4"/>
      <c r="BD1099" s="4"/>
      <c r="BE1099" s="4"/>
      <c r="BR1099" s="4"/>
      <c r="BS1099" s="4"/>
      <c r="BT1099" s="4"/>
      <c r="BU1099" s="4"/>
      <c r="BV1099" s="4"/>
      <c r="BW1099" s="4"/>
      <c r="BX1099" s="4"/>
    </row>
    <row r="1100" spans="1:106" x14ac:dyDescent="0.25">
      <c r="A1100" s="46"/>
      <c r="B1100" s="26"/>
      <c r="C1100" s="4"/>
      <c r="D1100" s="67">
        <f>SUM(D1093:D1098)</f>
        <v>101052099.3</v>
      </c>
      <c r="E1100" s="67">
        <f>SUM(E1093:E1098)</f>
        <v>4250400.57</v>
      </c>
      <c r="F1100" s="67">
        <f>SUM(F1093:F1098)</f>
        <v>0</v>
      </c>
      <c r="G1100" s="67"/>
      <c r="H1100" s="67">
        <f>SUM(H1093:H1098)</f>
        <v>4250400.57</v>
      </c>
      <c r="I1100" s="67">
        <f>SUM(I1093:I1098)</f>
        <v>0</v>
      </c>
      <c r="J1100" s="67">
        <f>SUM(J1093:J1098)</f>
        <v>0</v>
      </c>
      <c r="K1100" s="67">
        <f>SUM(K1093:K1098)</f>
        <v>0</v>
      </c>
      <c r="L1100" s="67">
        <f>SUM(L1093:L1098)</f>
        <v>0</v>
      </c>
      <c r="M1100" s="67"/>
      <c r="N1100" s="67">
        <f>SUM(N1093:N1098)</f>
        <v>4250400.57</v>
      </c>
      <c r="O1100" s="67">
        <f>SUM(O1093:O1098)</f>
        <v>0</v>
      </c>
      <c r="P1100" s="67">
        <f>SUM(P1093:P1098)</f>
        <v>0</v>
      </c>
      <c r="Q1100" s="67"/>
      <c r="R1100" s="67">
        <f>SUM(R1093:R1098)</f>
        <v>0</v>
      </c>
      <c r="S1100" s="67">
        <f>SUM(S1093:S1098)</f>
        <v>0</v>
      </c>
      <c r="T1100" s="67">
        <f>SUM(T1093:T1098)</f>
        <v>0</v>
      </c>
      <c r="U1100" s="67">
        <f>SUM(U1093:U1098)</f>
        <v>0</v>
      </c>
      <c r="V1100" s="67">
        <f>SUM(V1093:V1098)</f>
        <v>0</v>
      </c>
      <c r="W1100" s="67"/>
      <c r="X1100" s="67">
        <f>SUM(X1093:X1098)</f>
        <v>0</v>
      </c>
      <c r="Y1100" s="67">
        <f>SUM(Y1093:Y1098)</f>
        <v>4250400.57</v>
      </c>
      <c r="Z1100" s="67">
        <f>SUM(Z1093:Z1098)</f>
        <v>96801698.730000004</v>
      </c>
      <c r="AA1100" s="67">
        <f>SUM(AA1093:AA1098)</f>
        <v>4250400.57</v>
      </c>
      <c r="AB1100" s="67">
        <f>SUM(AB1093:AB1098)</f>
        <v>96801698.730000004</v>
      </c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/>
      <c r="AP1100" s="94"/>
      <c r="AQ1100" s="94"/>
      <c r="BC1100" s="4"/>
      <c r="BF1100" s="4"/>
      <c r="BQ1100" s="4"/>
      <c r="BW1100" s="4"/>
      <c r="BX1100" s="4"/>
    </row>
    <row r="1101" spans="1:106" ht="15.75" customHeight="1" x14ac:dyDescent="0.25">
      <c r="A1101" s="46"/>
      <c r="B1101" s="4"/>
      <c r="C1101" s="4"/>
      <c r="D1101" s="70" t="s">
        <v>40</v>
      </c>
      <c r="E1101" s="70" t="s">
        <v>40</v>
      </c>
      <c r="F1101" s="70" t="s">
        <v>40</v>
      </c>
      <c r="G1101" s="70"/>
      <c r="H1101" s="70" t="s">
        <v>40</v>
      </c>
      <c r="I1101" s="70" t="s">
        <v>40</v>
      </c>
      <c r="J1101" s="70" t="s">
        <v>40</v>
      </c>
      <c r="K1101" s="70" t="s">
        <v>40</v>
      </c>
      <c r="L1101" s="70" t="s">
        <v>40</v>
      </c>
      <c r="M1101" s="70"/>
      <c r="N1101" s="70" t="s">
        <v>40</v>
      </c>
      <c r="O1101" s="70" t="s">
        <v>40</v>
      </c>
      <c r="P1101" s="70" t="s">
        <v>40</v>
      </c>
      <c r="Q1101" s="70"/>
      <c r="R1101" s="70" t="s">
        <v>40</v>
      </c>
      <c r="S1101" s="70" t="s">
        <v>40</v>
      </c>
      <c r="T1101" s="70" t="s">
        <v>40</v>
      </c>
      <c r="U1101" s="70" t="s">
        <v>40</v>
      </c>
      <c r="V1101" s="70" t="s">
        <v>40</v>
      </c>
      <c r="W1101" s="70"/>
      <c r="X1101" s="70" t="s">
        <v>40</v>
      </c>
      <c r="Y1101" s="70" t="s">
        <v>40</v>
      </c>
      <c r="Z1101" s="70" t="s">
        <v>40</v>
      </c>
      <c r="AA1101" s="70" t="s">
        <v>40</v>
      </c>
      <c r="AB1101" s="70" t="s">
        <v>40</v>
      </c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/>
      <c r="AP1101" s="94"/>
      <c r="AQ1101" s="94"/>
      <c r="BN1101" s="4"/>
      <c r="BO1101" s="4"/>
      <c r="BP1101" s="4"/>
      <c r="BR1101" s="4"/>
      <c r="BS1101" s="4"/>
      <c r="BT1101" s="4"/>
      <c r="BU1101" s="4"/>
      <c r="BV1101" s="4"/>
    </row>
    <row r="1102" spans="1:106" ht="15.75" customHeight="1" x14ac:dyDescent="0.25">
      <c r="A1102" s="46"/>
      <c r="B1102" s="112"/>
      <c r="C1102" s="11"/>
      <c r="D1102" s="104"/>
      <c r="E1102" s="105"/>
      <c r="F1102" s="105"/>
      <c r="G1102" s="105"/>
      <c r="H1102" s="105"/>
      <c r="I1102" s="105"/>
      <c r="J1102" s="105"/>
      <c r="K1102" s="105"/>
      <c r="L1102" s="105"/>
      <c r="M1102" s="105"/>
      <c r="N1102" s="105"/>
      <c r="O1102" s="104"/>
      <c r="P1102" s="104"/>
      <c r="Q1102" s="105"/>
      <c r="R1102" s="104"/>
      <c r="S1102" s="105"/>
      <c r="T1102" s="105"/>
      <c r="U1102" s="105"/>
      <c r="V1102" s="105"/>
      <c r="W1102" s="70"/>
      <c r="X1102" s="70"/>
      <c r="Y1102" s="104"/>
      <c r="Z1102" s="70"/>
      <c r="AA1102" s="70"/>
      <c r="AB1102" s="70"/>
      <c r="AC1102" s="49" t="s">
        <v>317</v>
      </c>
      <c r="AD1102" s="94">
        <f>+D1085+D1095</f>
        <v>8677928.1699999999</v>
      </c>
      <c r="AE1102" s="94">
        <f>+E1085+E1095</f>
        <v>8677928.1699999999</v>
      </c>
      <c r="AF1102" s="94">
        <f>+F1085+F1095</f>
        <v>0</v>
      </c>
      <c r="AG1102" s="94">
        <f t="shared" ref="AG1102:AG1111" si="378">+AE1102+AF1102</f>
        <v>8677928.1699999999</v>
      </c>
      <c r="AH1102" s="94">
        <f>+L1085+L1095</f>
        <v>0</v>
      </c>
      <c r="AI1102" s="94">
        <f t="shared" ref="AI1102:AI1111" si="379">+AG1102+AH1102</f>
        <v>8677928.1699999999</v>
      </c>
      <c r="AJ1102" s="94">
        <f>+O1085+O1095</f>
        <v>0</v>
      </c>
      <c r="AK1102" s="94">
        <f>+P1085+P1095</f>
        <v>0</v>
      </c>
      <c r="AL1102" s="94">
        <f>+AJ1102+AK1102</f>
        <v>0</v>
      </c>
      <c r="AM1102" s="94">
        <f>+V1085+V1095</f>
        <v>0</v>
      </c>
      <c r="AN1102" s="94">
        <f>+AL1102+AM1102</f>
        <v>0</v>
      </c>
      <c r="AO1102" s="94">
        <f>+AG1102+AL1102</f>
        <v>8677928.1699999999</v>
      </c>
      <c r="AP1102" s="94">
        <f>+AD1102-AO1102</f>
        <v>0</v>
      </c>
      <c r="AQ1102" s="94">
        <f>+AD1102-AN1102-AI1102</f>
        <v>0</v>
      </c>
      <c r="BB1102" s="4"/>
      <c r="BD1102" s="4"/>
      <c r="BE1102" s="4"/>
      <c r="BM1102" s="4"/>
      <c r="BQ1102" s="4"/>
      <c r="BR1102" s="4"/>
      <c r="BS1102" s="4"/>
      <c r="BT1102" s="4"/>
      <c r="BU1102" s="4"/>
      <c r="BV1102" s="4"/>
      <c r="BW1102" s="4"/>
      <c r="BX1102" s="4"/>
    </row>
    <row r="1103" spans="1:106" x14ac:dyDescent="0.25">
      <c r="A1103" s="46">
        <v>117</v>
      </c>
      <c r="B1103" s="23" t="s">
        <v>122</v>
      </c>
      <c r="C1103" s="2" t="s">
        <v>35</v>
      </c>
      <c r="D1103" s="67">
        <v>36683125.609999999</v>
      </c>
      <c r="E1103" s="67">
        <v>0</v>
      </c>
      <c r="F1103" s="68"/>
      <c r="G1103" s="68"/>
      <c r="H1103" s="67">
        <f>E1103+F1103</f>
        <v>0</v>
      </c>
      <c r="I1103" s="68"/>
      <c r="J1103" s="68"/>
      <c r="K1103" s="68"/>
      <c r="L1103" s="67"/>
      <c r="M1103" s="67"/>
      <c r="N1103" s="67">
        <f>H1103+L1103</f>
        <v>0</v>
      </c>
      <c r="O1103" s="67">
        <v>1717552.75</v>
      </c>
      <c r="P1103" s="68"/>
      <c r="Q1103" s="68"/>
      <c r="R1103" s="67">
        <f>O1103+P1103</f>
        <v>1717552.75</v>
      </c>
      <c r="S1103" s="67">
        <v>958285.94</v>
      </c>
      <c r="T1103" s="68"/>
      <c r="U1103" s="68"/>
      <c r="V1103" s="67"/>
      <c r="W1103" s="67"/>
      <c r="X1103" s="67">
        <f>R1103+V1103</f>
        <v>1717552.75</v>
      </c>
      <c r="Y1103" s="67">
        <f>R1103+H1103</f>
        <v>1717552.75</v>
      </c>
      <c r="Z1103" s="67">
        <f>D1103-Y1103</f>
        <v>34965572.859999999</v>
      </c>
      <c r="AA1103" s="67">
        <f>N1103+X1103</f>
        <v>1717552.75</v>
      </c>
      <c r="AB1103" s="67">
        <f>+D1103-N1103-X1103</f>
        <v>34965572.859999999</v>
      </c>
      <c r="AC1103" s="49" t="s">
        <v>303</v>
      </c>
      <c r="AD1103" s="94">
        <f>+D1084</f>
        <v>284000000</v>
      </c>
      <c r="AE1103" s="94">
        <f>+E1084</f>
        <v>255000000</v>
      </c>
      <c r="AF1103" s="94">
        <f>+F1084</f>
        <v>29000000</v>
      </c>
      <c r="AG1103" s="94">
        <f t="shared" si="378"/>
        <v>284000000</v>
      </c>
      <c r="AH1103" s="94">
        <f>+L1084</f>
        <v>0</v>
      </c>
      <c r="AI1103" s="94">
        <f t="shared" si="379"/>
        <v>284000000</v>
      </c>
      <c r="AJ1103" s="94">
        <f>+O1084</f>
        <v>0</v>
      </c>
      <c r="AK1103" s="94">
        <f>+P1084</f>
        <v>0</v>
      </c>
      <c r="AL1103" s="94">
        <f>+AJ1103+AK1103</f>
        <v>0</v>
      </c>
      <c r="AM1103" s="94">
        <f>+V1084</f>
        <v>0</v>
      </c>
      <c r="AN1103" s="94">
        <f>+AL1103+AM1103</f>
        <v>0</v>
      </c>
      <c r="AO1103" s="94">
        <f>+AG1103+AL1103</f>
        <v>284000000</v>
      </c>
      <c r="AP1103" s="94">
        <f>+AD1103-AO1103</f>
        <v>0</v>
      </c>
      <c r="AQ1103" s="94">
        <f>+AD1103-AN1103-AI1103</f>
        <v>0</v>
      </c>
      <c r="AS1103" s="4"/>
      <c r="BB1103" s="4"/>
      <c r="BC1103" s="4"/>
      <c r="BN1103" s="4"/>
      <c r="BO1103" s="4"/>
      <c r="BP1103" s="4"/>
      <c r="BQ1103" s="4"/>
    </row>
    <row r="1104" spans="1:106" ht="21.75" customHeight="1" x14ac:dyDescent="0.25">
      <c r="A1104" s="46"/>
      <c r="B1104" s="26"/>
      <c r="C1104" s="3" t="s">
        <v>36</v>
      </c>
      <c r="D1104" s="67">
        <f>122000+703740</f>
        <v>825740</v>
      </c>
      <c r="E1104" s="67">
        <f>122000+703740</f>
        <v>825740</v>
      </c>
      <c r="F1104" s="68"/>
      <c r="G1104" s="68"/>
      <c r="H1104" s="67">
        <f>E1104+F1104</f>
        <v>825740</v>
      </c>
      <c r="I1104" s="68"/>
      <c r="J1104" s="68"/>
      <c r="K1104" s="68"/>
      <c r="L1104" s="67"/>
      <c r="M1104" s="67"/>
      <c r="N1104" s="67">
        <f>H1104+L1104</f>
        <v>825740</v>
      </c>
      <c r="O1104" s="67">
        <v>0</v>
      </c>
      <c r="P1104" s="68"/>
      <c r="Q1104" s="68"/>
      <c r="R1104" s="67">
        <f>O1104+P1104</f>
        <v>0</v>
      </c>
      <c r="S1104" s="68"/>
      <c r="T1104" s="68"/>
      <c r="U1104" s="68"/>
      <c r="V1104" s="67"/>
      <c r="W1104" s="67"/>
      <c r="X1104" s="67">
        <f>R1104+V1104</f>
        <v>0</v>
      </c>
      <c r="Y1104" s="67">
        <f>R1104+H1104</f>
        <v>825740</v>
      </c>
      <c r="Z1104" s="67">
        <f>D1104-Y1104</f>
        <v>0</v>
      </c>
      <c r="AA1104" s="67">
        <f>N1104+X1104</f>
        <v>825740</v>
      </c>
      <c r="AB1104" s="67">
        <f>+D1104-N1104-X1104</f>
        <v>0</v>
      </c>
      <c r="AC1104" s="49" t="s">
        <v>47</v>
      </c>
      <c r="AD1104" s="94">
        <f>D1082+D1093+D1103</f>
        <v>152681975.50999999</v>
      </c>
      <c r="AE1104" s="94">
        <f>E1082+E1093+E1103</f>
        <v>12292580.289999999</v>
      </c>
      <c r="AF1104" s="94">
        <f>F1082+F1093+F1103</f>
        <v>0</v>
      </c>
      <c r="AG1104" s="94">
        <f t="shared" si="378"/>
        <v>12292580.289999999</v>
      </c>
      <c r="AH1104" s="94">
        <f>L1082+L1093+L1103</f>
        <v>0</v>
      </c>
      <c r="AI1104" s="94">
        <f t="shared" si="379"/>
        <v>12292580.289999999</v>
      </c>
      <c r="AJ1104" s="94">
        <f>O1082+O1093+O1103</f>
        <v>16744946.360000001</v>
      </c>
      <c r="AK1104" s="94">
        <f>P1082+P1093+P1103</f>
        <v>0</v>
      </c>
      <c r="AL1104" s="94">
        <f>+AJ1104+AK1104</f>
        <v>16744946.360000001</v>
      </c>
      <c r="AM1104" s="94">
        <f>V1082+V1093+V1103</f>
        <v>0</v>
      </c>
      <c r="AN1104" s="94">
        <f>+AL1104+AM1104</f>
        <v>16744946.360000001</v>
      </c>
      <c r="AO1104" s="94">
        <f>+AG1104+AL1104</f>
        <v>29037526.649999999</v>
      </c>
      <c r="AP1104" s="94">
        <f>+AD1104-AO1104</f>
        <v>123644448.85999998</v>
      </c>
      <c r="AQ1104" s="94">
        <f>+AD1104-AN1104-AI1104</f>
        <v>123644448.85999998</v>
      </c>
      <c r="BL1104" s="4"/>
      <c r="BM1104" s="4"/>
      <c r="BN1104" s="4"/>
      <c r="BO1104" s="4"/>
      <c r="BP1104" s="4"/>
      <c r="BR1104" s="4"/>
      <c r="BS1104" s="4"/>
      <c r="BT1104" s="4"/>
      <c r="BU1104" s="4"/>
      <c r="BV1104" s="4"/>
    </row>
    <row r="1105" spans="1:69" ht="15.75" customHeight="1" x14ac:dyDescent="0.25">
      <c r="C1105" s="4" t="s">
        <v>298</v>
      </c>
      <c r="D1105" s="55">
        <v>3883333.2</v>
      </c>
      <c r="E1105" s="55">
        <v>3883333.2</v>
      </c>
      <c r="F1105" s="55"/>
      <c r="G1105" s="55"/>
      <c r="H1105" s="55">
        <f>+E1105+F1105</f>
        <v>3883333.2</v>
      </c>
      <c r="I1105" s="55"/>
      <c r="J1105" s="55"/>
      <c r="K1105" s="55"/>
      <c r="L1105" s="55"/>
      <c r="M1105" s="55"/>
      <c r="N1105" s="55">
        <f>+H1105+L1105</f>
        <v>3883333.2</v>
      </c>
      <c r="O1105" s="55">
        <v>0</v>
      </c>
      <c r="P1105" s="55"/>
      <c r="Q1105" s="55"/>
      <c r="R1105" s="55">
        <f>+O1105+P1105</f>
        <v>0</v>
      </c>
      <c r="S1105" s="55"/>
      <c r="T1105" s="55"/>
      <c r="U1105" s="55"/>
      <c r="V1105" s="55"/>
      <c r="W1105" s="55"/>
      <c r="X1105" s="55">
        <f>+R1105+V1105</f>
        <v>0</v>
      </c>
      <c r="Y1105" s="67">
        <f>R1105+H1105</f>
        <v>3883333.2</v>
      </c>
      <c r="Z1105" s="67">
        <f>D1105-Y1105</f>
        <v>0</v>
      </c>
      <c r="AA1105" s="67">
        <f>N1105+X1105</f>
        <v>3883333.2</v>
      </c>
      <c r="AB1105" s="67">
        <f>+D1105-N1105-X1105</f>
        <v>0</v>
      </c>
      <c r="AC1105" s="49" t="s">
        <v>298</v>
      </c>
      <c r="AD1105" s="94">
        <f>+D1105</f>
        <v>3883333.2</v>
      </c>
      <c r="AE1105" s="94">
        <f>+E1105</f>
        <v>3883333.2</v>
      </c>
      <c r="AF1105" s="94">
        <f>+F1105</f>
        <v>0</v>
      </c>
      <c r="AG1105" s="94">
        <f t="shared" si="378"/>
        <v>3883333.2</v>
      </c>
      <c r="AH1105" s="94">
        <f>+L1105</f>
        <v>0</v>
      </c>
      <c r="AI1105" s="94">
        <f t="shared" si="379"/>
        <v>3883333.2</v>
      </c>
      <c r="AJ1105" s="94">
        <f>+O1105</f>
        <v>0</v>
      </c>
      <c r="AK1105" s="94">
        <f>+P1105</f>
        <v>0</v>
      </c>
      <c r="AL1105" s="94">
        <f>+AJ1105+AK1105</f>
        <v>0</v>
      </c>
      <c r="AM1105" s="94">
        <f>+V1105</f>
        <v>0</v>
      </c>
      <c r="AN1105" s="94">
        <f>+AL1105+AM1105</f>
        <v>0</v>
      </c>
      <c r="AO1105" s="94">
        <f>+AG1105+AL1105</f>
        <v>3883333.2</v>
      </c>
      <c r="AP1105" s="94">
        <f>+AD1105-AO1105</f>
        <v>0</v>
      </c>
      <c r="AQ1105" s="94">
        <f>+AD1105-AN1105-AI1105</f>
        <v>0</v>
      </c>
      <c r="BI1105" s="4"/>
      <c r="BJ1105" s="4"/>
      <c r="BK1105" s="4"/>
      <c r="BM1105" s="4"/>
      <c r="BQ1105" s="4"/>
    </row>
    <row r="1106" spans="1:69" ht="16.5" customHeight="1" x14ac:dyDescent="0.25">
      <c r="A1106" s="46"/>
      <c r="B1106" s="26"/>
      <c r="C1106" s="3" t="s">
        <v>44</v>
      </c>
      <c r="D1106" s="67">
        <v>1200000</v>
      </c>
      <c r="E1106" s="67">
        <v>1200000</v>
      </c>
      <c r="F1106" s="68"/>
      <c r="G1106" s="68"/>
      <c r="H1106" s="67">
        <f>E1106+F1106</f>
        <v>1200000</v>
      </c>
      <c r="I1106" s="68"/>
      <c r="J1106" s="68"/>
      <c r="K1106" s="68"/>
      <c r="L1106" s="67"/>
      <c r="M1106" s="67"/>
      <c r="N1106" s="67">
        <f>H1106+L1106</f>
        <v>1200000</v>
      </c>
      <c r="O1106" s="67">
        <v>0</v>
      </c>
      <c r="P1106" s="68"/>
      <c r="Q1106" s="68"/>
      <c r="R1106" s="67">
        <f>O1106+P1106</f>
        <v>0</v>
      </c>
      <c r="S1106" s="68"/>
      <c r="T1106" s="68"/>
      <c r="U1106" s="68"/>
      <c r="V1106" s="67"/>
      <c r="W1106" s="67"/>
      <c r="X1106" s="67">
        <f>R1106+V1106</f>
        <v>0</v>
      </c>
      <c r="Y1106" s="67">
        <f>R1106+H1106</f>
        <v>1200000</v>
      </c>
      <c r="Z1106" s="67">
        <f>D1106-Y1106</f>
        <v>0</v>
      </c>
      <c r="AA1106" s="67">
        <f>N1106+X1106</f>
        <v>1200000</v>
      </c>
      <c r="AB1106" s="67">
        <f>+D1106-N1106-X1106</f>
        <v>0</v>
      </c>
      <c r="AC1106" s="49" t="s">
        <v>36</v>
      </c>
      <c r="AD1106" s="94">
        <f>D1083+D1094+D1104</f>
        <v>9204616.0399999991</v>
      </c>
      <c r="AE1106" s="94">
        <f>E1083+E1094+E1104</f>
        <v>9204616.0399999991</v>
      </c>
      <c r="AF1106" s="94">
        <f>F1083+F1094+F1104</f>
        <v>0</v>
      </c>
      <c r="AG1106" s="94">
        <f t="shared" si="378"/>
        <v>9204616.0399999991</v>
      </c>
      <c r="AH1106" s="94">
        <f>L1083+L1094+L1104</f>
        <v>0</v>
      </c>
      <c r="AI1106" s="94">
        <f t="shared" si="379"/>
        <v>9204616.0399999991</v>
      </c>
      <c r="AJ1106" s="94">
        <f>O1083+O1094+O1104</f>
        <v>0</v>
      </c>
      <c r="AK1106" s="94">
        <f>P1083+P1094+P1104</f>
        <v>0</v>
      </c>
      <c r="AL1106" s="94">
        <f t="shared" ref="AL1106:AL1111" si="380">+AJ1106+AK1106</f>
        <v>0</v>
      </c>
      <c r="AM1106" s="94">
        <f>V1083+V1094+V1104</f>
        <v>0</v>
      </c>
      <c r="AN1106" s="94">
        <f t="shared" ref="AN1106:AN1111" si="381">+AL1106+AM1106</f>
        <v>0</v>
      </c>
      <c r="AO1106" s="94">
        <f t="shared" ref="AO1106:AO1111" si="382">+AG1106+AL1106</f>
        <v>9204616.0399999991</v>
      </c>
      <c r="AP1106" s="94">
        <f t="shared" ref="AP1106:AP1111" si="383">+AD1106-AO1106</f>
        <v>0</v>
      </c>
      <c r="AQ1106" s="94">
        <f t="shared" ref="AQ1106:AQ1111" si="384">+AD1106-AN1106-AI1106</f>
        <v>0</v>
      </c>
      <c r="BA1106" s="4"/>
      <c r="BB1106" s="4"/>
      <c r="BG1106" s="4"/>
      <c r="BH1106" s="4"/>
      <c r="BL1106" s="4"/>
      <c r="BN1106" s="4"/>
      <c r="BO1106" s="4"/>
      <c r="BP1106" s="4"/>
    </row>
    <row r="1107" spans="1:69" ht="16.5" customHeight="1" x14ac:dyDescent="0.25">
      <c r="A1107" s="46"/>
      <c r="B1107" s="26"/>
      <c r="C1107" s="2" t="s">
        <v>37</v>
      </c>
      <c r="D1107" s="67">
        <f>4191100.02+176</f>
        <v>4191276.02</v>
      </c>
      <c r="E1107" s="67">
        <v>0</v>
      </c>
      <c r="F1107" s="68"/>
      <c r="G1107" s="68"/>
      <c r="H1107" s="67">
        <f>E1107+F1107</f>
        <v>0</v>
      </c>
      <c r="I1107" s="68"/>
      <c r="J1107" s="68"/>
      <c r="K1107" s="68"/>
      <c r="L1107" s="67"/>
      <c r="M1107" s="67"/>
      <c r="N1107" s="67">
        <f>H1107+L1107</f>
        <v>0</v>
      </c>
      <c r="O1107" s="67">
        <f>38283.65+176</f>
        <v>38459.65</v>
      </c>
      <c r="P1107" s="68"/>
      <c r="Q1107" s="68"/>
      <c r="R1107" s="67">
        <f>O1107+P1107</f>
        <v>38459.65</v>
      </c>
      <c r="S1107" s="67">
        <v>7004.7</v>
      </c>
      <c r="T1107" s="68"/>
      <c r="U1107" s="68"/>
      <c r="V1107" s="67"/>
      <c r="W1107" s="67"/>
      <c r="X1107" s="67">
        <f>R1107+V1107</f>
        <v>38459.65</v>
      </c>
      <c r="Y1107" s="67">
        <f>R1107+H1107</f>
        <v>38459.65</v>
      </c>
      <c r="Z1107" s="67">
        <f>D1107-Y1107</f>
        <v>4152816.37</v>
      </c>
      <c r="AA1107" s="67">
        <f>N1107+X1107</f>
        <v>38459.65</v>
      </c>
      <c r="AB1107" s="67">
        <f>+D1107-N1107-X1107</f>
        <v>4152816.37</v>
      </c>
      <c r="AC1107" s="49" t="s">
        <v>183</v>
      </c>
      <c r="AD1107" s="94">
        <f>D1086+D1097+D1107</f>
        <v>20863120.02</v>
      </c>
      <c r="AE1107" s="94">
        <f>E1086+E1097+E1107</f>
        <v>0</v>
      </c>
      <c r="AF1107" s="94">
        <f>F1086+F1097+F1107</f>
        <v>0</v>
      </c>
      <c r="AG1107" s="94">
        <f t="shared" si="378"/>
        <v>0</v>
      </c>
      <c r="AH1107" s="94">
        <f>L1086+L1097+L1107</f>
        <v>0</v>
      </c>
      <c r="AI1107" s="94">
        <f t="shared" si="379"/>
        <v>0</v>
      </c>
      <c r="AJ1107" s="94">
        <f>O1086+O1097+O1107</f>
        <v>8883068.3600000013</v>
      </c>
      <c r="AK1107" s="94">
        <f>P1086+P1097+P1107</f>
        <v>0</v>
      </c>
      <c r="AL1107" s="94">
        <f t="shared" si="380"/>
        <v>8883068.3600000013</v>
      </c>
      <c r="AM1107" s="94">
        <f>V1086+V1097+V1107</f>
        <v>0</v>
      </c>
      <c r="AN1107" s="94">
        <f t="shared" si="381"/>
        <v>8883068.3600000013</v>
      </c>
      <c r="AO1107" s="94">
        <f t="shared" si="382"/>
        <v>8883068.3600000013</v>
      </c>
      <c r="AP1107" s="94">
        <f t="shared" si="383"/>
        <v>11980051.659999998</v>
      </c>
      <c r="AQ1107" s="94">
        <f t="shared" si="384"/>
        <v>11980051.659999998</v>
      </c>
      <c r="BA1107" s="4"/>
      <c r="BI1107" s="4"/>
      <c r="BJ1107" s="4"/>
      <c r="BK1107" s="4"/>
      <c r="BL1107" s="4"/>
      <c r="BM1107" s="4"/>
    </row>
    <row r="1108" spans="1:69" ht="16.5" customHeight="1" x14ac:dyDescent="0.25">
      <c r="A1108" s="46"/>
      <c r="B1108" s="26"/>
      <c r="C1108" s="4"/>
      <c r="D1108" s="70" t="s">
        <v>40</v>
      </c>
      <c r="E1108" s="70" t="s">
        <v>40</v>
      </c>
      <c r="F1108" s="70" t="s">
        <v>40</v>
      </c>
      <c r="G1108" s="70"/>
      <c r="H1108" s="70" t="s">
        <v>40</v>
      </c>
      <c r="I1108" s="70" t="s">
        <v>40</v>
      </c>
      <c r="J1108" s="70" t="s">
        <v>40</v>
      </c>
      <c r="K1108" s="70" t="s">
        <v>40</v>
      </c>
      <c r="L1108" s="70" t="s">
        <v>40</v>
      </c>
      <c r="M1108" s="70"/>
      <c r="N1108" s="70" t="s">
        <v>40</v>
      </c>
      <c r="O1108" s="70" t="s">
        <v>40</v>
      </c>
      <c r="P1108" s="70" t="s">
        <v>40</v>
      </c>
      <c r="Q1108" s="70"/>
      <c r="R1108" s="70" t="s">
        <v>40</v>
      </c>
      <c r="S1108" s="70" t="s">
        <v>40</v>
      </c>
      <c r="T1108" s="70" t="s">
        <v>40</v>
      </c>
      <c r="U1108" s="70" t="s">
        <v>40</v>
      </c>
      <c r="V1108" s="70" t="s">
        <v>40</v>
      </c>
      <c r="W1108" s="70"/>
      <c r="X1108" s="70" t="s">
        <v>40</v>
      </c>
      <c r="Y1108" s="70" t="s">
        <v>40</v>
      </c>
      <c r="Z1108" s="70" t="s">
        <v>40</v>
      </c>
      <c r="AA1108" s="70" t="s">
        <v>40</v>
      </c>
      <c r="AB1108" s="70" t="s">
        <v>40</v>
      </c>
      <c r="AC1108" s="49" t="s">
        <v>184</v>
      </c>
      <c r="AD1108" s="94">
        <f>D1087+D1098</f>
        <v>4308874.33</v>
      </c>
      <c r="AE1108" s="94">
        <f>E1087+E1098</f>
        <v>0</v>
      </c>
      <c r="AF1108" s="94">
        <f>F1087+F1098</f>
        <v>0</v>
      </c>
      <c r="AG1108" s="94">
        <f t="shared" si="378"/>
        <v>0</v>
      </c>
      <c r="AH1108" s="94">
        <f>L1087+L1098</f>
        <v>0</v>
      </c>
      <c r="AI1108" s="94">
        <f t="shared" si="379"/>
        <v>0</v>
      </c>
      <c r="AJ1108" s="94">
        <f>O1087+O1098</f>
        <v>494782.01</v>
      </c>
      <c r="AK1108" s="94">
        <f>P1087+P1098</f>
        <v>0</v>
      </c>
      <c r="AL1108" s="94">
        <f t="shared" si="380"/>
        <v>494782.01</v>
      </c>
      <c r="AM1108" s="94">
        <f>V1087+V1098</f>
        <v>0</v>
      </c>
      <c r="AN1108" s="94">
        <f t="shared" si="381"/>
        <v>494782.01</v>
      </c>
      <c r="AO1108" s="94">
        <f t="shared" si="382"/>
        <v>494782.01</v>
      </c>
      <c r="AP1108" s="94">
        <f t="shared" si="383"/>
        <v>3814092.3200000003</v>
      </c>
      <c r="AQ1108" s="94">
        <f t="shared" si="384"/>
        <v>3814092.3200000003</v>
      </c>
      <c r="BF1108" s="4"/>
      <c r="BG1108" s="4"/>
      <c r="BH1108" s="4"/>
      <c r="BI1108" s="4"/>
      <c r="BJ1108" s="4"/>
      <c r="BK1108" s="4"/>
    </row>
    <row r="1109" spans="1:69" ht="15.75" customHeight="1" x14ac:dyDescent="0.25">
      <c r="A1109" s="46"/>
      <c r="B1109" s="26"/>
      <c r="C1109" s="4"/>
      <c r="D1109" s="67">
        <f>SUM(D1103:D1107)</f>
        <v>46783474.830000006</v>
      </c>
      <c r="E1109" s="67">
        <f>SUM(E1103:E1107)</f>
        <v>5909073.2000000002</v>
      </c>
      <c r="F1109" s="67">
        <f>SUM(F1103:F1107)</f>
        <v>0</v>
      </c>
      <c r="G1109" s="67"/>
      <c r="H1109" s="67">
        <f>SUM(H1103:H1107)</f>
        <v>5909073.2000000002</v>
      </c>
      <c r="I1109" s="67">
        <f>SUM(I1103:I1107)</f>
        <v>0</v>
      </c>
      <c r="J1109" s="67">
        <f>SUM(J1103:J1107)</f>
        <v>0</v>
      </c>
      <c r="K1109" s="67">
        <f>SUM(K1103:K1107)</f>
        <v>0</v>
      </c>
      <c r="L1109" s="67">
        <f>SUM(L1103:L1107)</f>
        <v>0</v>
      </c>
      <c r="M1109" s="67"/>
      <c r="N1109" s="67">
        <f>SUM(N1103:N1107)</f>
        <v>5909073.2000000002</v>
      </c>
      <c r="O1109" s="67">
        <f>SUM(O1103:O1107)</f>
        <v>1756012.4</v>
      </c>
      <c r="P1109" s="67">
        <f>SUM(P1103:P1107)</f>
        <v>0</v>
      </c>
      <c r="Q1109" s="67"/>
      <c r="R1109" s="67">
        <f>SUM(R1103:R1107)</f>
        <v>1756012.4</v>
      </c>
      <c r="S1109" s="67">
        <f>SUM(S1103:S1107)</f>
        <v>965290.6399999999</v>
      </c>
      <c r="T1109" s="67">
        <f>SUM(T1103:T1107)</f>
        <v>0</v>
      </c>
      <c r="U1109" s="67">
        <f>SUM(U1103:U1107)</f>
        <v>0</v>
      </c>
      <c r="V1109" s="67">
        <f>SUM(V1103:V1107)</f>
        <v>0</v>
      </c>
      <c r="W1109" s="67"/>
      <c r="X1109" s="67">
        <f>SUM(X1103:X1107)</f>
        <v>1756012.4</v>
      </c>
      <c r="Y1109" s="67">
        <f>SUM(Y1103:Y1107)</f>
        <v>7665085.6000000006</v>
      </c>
      <c r="Z1109" s="67">
        <f>SUM(Z1103:Z1107)</f>
        <v>39118389.229999997</v>
      </c>
      <c r="AA1109" s="67">
        <f>SUM(AA1103:AA1107)</f>
        <v>7665085.6000000006</v>
      </c>
      <c r="AB1109" s="67">
        <f>SUM(AB1103:AB1107)</f>
        <v>39118389.229999997</v>
      </c>
      <c r="AC1109" s="49" t="s">
        <v>267</v>
      </c>
      <c r="AD1109" s="94">
        <f>+D1088</f>
        <v>10000000</v>
      </c>
      <c r="AE1109" s="94">
        <f>+E1088</f>
        <v>5324323.1900000004</v>
      </c>
      <c r="AF1109" s="94">
        <f>+F1088</f>
        <v>0</v>
      </c>
      <c r="AG1109" s="94">
        <f t="shared" si="378"/>
        <v>5324323.1900000004</v>
      </c>
      <c r="AH1109" s="94">
        <f>+L1088</f>
        <v>0</v>
      </c>
      <c r="AI1109" s="94">
        <f t="shared" si="379"/>
        <v>5324323.1900000004</v>
      </c>
      <c r="AJ1109" s="94">
        <f>+O1088</f>
        <v>0</v>
      </c>
      <c r="AK1109" s="94">
        <f>+P1088</f>
        <v>0</v>
      </c>
      <c r="AL1109" s="94">
        <f t="shared" si="380"/>
        <v>0</v>
      </c>
      <c r="AM1109" s="94">
        <f>+V1088</f>
        <v>0</v>
      </c>
      <c r="AN1109" s="94">
        <f t="shared" si="381"/>
        <v>0</v>
      </c>
      <c r="AO1109" s="94">
        <f t="shared" si="382"/>
        <v>5324323.1900000004</v>
      </c>
      <c r="AP1109" s="94">
        <f t="shared" si="383"/>
        <v>4675676.8099999996</v>
      </c>
      <c r="AQ1109" s="94">
        <f t="shared" si="384"/>
        <v>4675676.8099999996</v>
      </c>
      <c r="BG1109" s="4"/>
      <c r="BH1109" s="4"/>
      <c r="BL1109" s="4"/>
    </row>
    <row r="1110" spans="1:69" ht="15.75" customHeight="1" x14ac:dyDescent="0.25">
      <c r="A1110" s="46"/>
      <c r="B1110" s="30" t="str">
        <f>+B1103</f>
        <v>DAVAO OR.</v>
      </c>
      <c r="C1110" s="4"/>
      <c r="D1110" s="70" t="s">
        <v>40</v>
      </c>
      <c r="E1110" s="70" t="s">
        <v>40</v>
      </c>
      <c r="F1110" s="70" t="s">
        <v>40</v>
      </c>
      <c r="G1110" s="70"/>
      <c r="H1110" s="70" t="s">
        <v>40</v>
      </c>
      <c r="I1110" s="70" t="s">
        <v>40</v>
      </c>
      <c r="J1110" s="70" t="s">
        <v>40</v>
      </c>
      <c r="K1110" s="70" t="s">
        <v>40</v>
      </c>
      <c r="L1110" s="70" t="s">
        <v>40</v>
      </c>
      <c r="M1110" s="70"/>
      <c r="N1110" s="70" t="s">
        <v>40</v>
      </c>
      <c r="O1110" s="70" t="s">
        <v>40</v>
      </c>
      <c r="P1110" s="70" t="s">
        <v>40</v>
      </c>
      <c r="Q1110" s="70"/>
      <c r="R1110" s="70" t="s">
        <v>40</v>
      </c>
      <c r="S1110" s="70" t="s">
        <v>40</v>
      </c>
      <c r="T1110" s="70" t="s">
        <v>40</v>
      </c>
      <c r="U1110" s="70" t="s">
        <v>40</v>
      </c>
      <c r="V1110" s="70" t="s">
        <v>40</v>
      </c>
      <c r="W1110" s="70"/>
      <c r="X1110" s="70" t="s">
        <v>40</v>
      </c>
      <c r="Y1110" s="70" t="s">
        <v>40</v>
      </c>
      <c r="Z1110" s="70" t="s">
        <v>40</v>
      </c>
      <c r="AA1110" s="70" t="s">
        <v>40</v>
      </c>
      <c r="AB1110" s="70" t="s">
        <v>40</v>
      </c>
      <c r="AC1110" s="49" t="s">
        <v>44</v>
      </c>
      <c r="AD1110" s="94">
        <f>+D1106</f>
        <v>1200000</v>
      </c>
      <c r="AE1110" s="94">
        <f>+E1106</f>
        <v>1200000</v>
      </c>
      <c r="AF1110" s="94">
        <f>+F1106</f>
        <v>0</v>
      </c>
      <c r="AG1110" s="94">
        <f t="shared" si="378"/>
        <v>1200000</v>
      </c>
      <c r="AH1110" s="94">
        <f>+L1106</f>
        <v>0</v>
      </c>
      <c r="AI1110" s="94">
        <f t="shared" si="379"/>
        <v>1200000</v>
      </c>
      <c r="AJ1110" s="94">
        <f>+O1106</f>
        <v>0</v>
      </c>
      <c r="AK1110" s="94">
        <f>+P1106</f>
        <v>0</v>
      </c>
      <c r="AL1110" s="94">
        <f t="shared" si="380"/>
        <v>0</v>
      </c>
      <c r="AM1110" s="94">
        <f>+V1106</f>
        <v>0</v>
      </c>
      <c r="AN1110" s="94">
        <f t="shared" si="381"/>
        <v>0</v>
      </c>
      <c r="AO1110" s="94">
        <f t="shared" si="382"/>
        <v>1200000</v>
      </c>
      <c r="AP1110" s="94">
        <f t="shared" si="383"/>
        <v>0</v>
      </c>
      <c r="AQ1110" s="94">
        <f t="shared" si="384"/>
        <v>0</v>
      </c>
      <c r="BA1110" s="4"/>
      <c r="BD1110" s="4"/>
      <c r="BE1110" s="4"/>
      <c r="BF1110" s="4"/>
      <c r="BI1110" s="4"/>
      <c r="BJ1110" s="4"/>
      <c r="BK1110" s="4"/>
    </row>
    <row r="1111" spans="1:69" ht="16.5" customHeight="1" thickBot="1" x14ac:dyDescent="0.3">
      <c r="A1111" s="46"/>
      <c r="B1111" s="30" t="s">
        <v>292</v>
      </c>
      <c r="C1111" s="4"/>
      <c r="D1111" s="113">
        <f>121817.28+253188.08-1535.58</f>
        <v>373469.77999999997</v>
      </c>
      <c r="E1111" s="70"/>
      <c r="F1111" s="70"/>
      <c r="G1111" s="70"/>
      <c r="H1111" s="70"/>
      <c r="I1111" s="70"/>
      <c r="J1111" s="70"/>
      <c r="K1111" s="70"/>
      <c r="L1111" s="70"/>
      <c r="M1111" s="70"/>
      <c r="N1111" s="70"/>
      <c r="O1111" s="113">
        <f>121817.28+253188.08-1535.58</f>
        <v>373469.77999999997</v>
      </c>
      <c r="P1111" s="104"/>
      <c r="Q1111" s="70"/>
      <c r="R1111" s="113">
        <f>+O1111+P1111</f>
        <v>373469.77999999997</v>
      </c>
      <c r="S1111" s="70"/>
      <c r="T1111" s="70"/>
      <c r="U1111" s="70"/>
      <c r="V1111" s="70"/>
      <c r="W1111" s="70"/>
      <c r="X1111" s="70"/>
      <c r="Y1111" s="70"/>
      <c r="Z1111" s="70"/>
      <c r="AA1111" s="70"/>
      <c r="AB1111" s="70"/>
      <c r="AC1111" s="49" t="s">
        <v>54</v>
      </c>
      <c r="AD1111" s="96">
        <f>+D1096</f>
        <v>0</v>
      </c>
      <c r="AE1111" s="94">
        <f>+E1096</f>
        <v>0</v>
      </c>
      <c r="AF1111" s="94">
        <f>+F1096</f>
        <v>0</v>
      </c>
      <c r="AG1111" s="94">
        <f t="shared" si="378"/>
        <v>0</v>
      </c>
      <c r="AH1111" s="94">
        <f>+L1096</f>
        <v>0</v>
      </c>
      <c r="AI1111" s="94">
        <f t="shared" si="379"/>
        <v>0</v>
      </c>
      <c r="AJ1111" s="94">
        <f>+O1096</f>
        <v>0</v>
      </c>
      <c r="AK1111" s="94">
        <f>+P1096</f>
        <v>0</v>
      </c>
      <c r="AL1111" s="94">
        <f t="shared" si="380"/>
        <v>0</v>
      </c>
      <c r="AM1111" s="94">
        <f>+V1096</f>
        <v>0</v>
      </c>
      <c r="AN1111" s="94">
        <f t="shared" si="381"/>
        <v>0</v>
      </c>
      <c r="AO1111" s="94">
        <f t="shared" si="382"/>
        <v>0</v>
      </c>
      <c r="AP1111" s="94">
        <f t="shared" si="383"/>
        <v>0</v>
      </c>
      <c r="AQ1111" s="94">
        <f t="shared" si="384"/>
        <v>0</v>
      </c>
      <c r="BC1111" s="4"/>
      <c r="BF1111" s="4"/>
      <c r="BG1111" s="4"/>
      <c r="BH1111" s="4"/>
    </row>
    <row r="1112" spans="1:69" ht="56.25" customHeight="1" thickTop="1" x14ac:dyDescent="0.25">
      <c r="A1112" s="46"/>
      <c r="B1112" s="23" t="s">
        <v>26</v>
      </c>
      <c r="C1112" s="2" t="s">
        <v>119</v>
      </c>
      <c r="D1112" s="67">
        <f>D1109+D1100+D1090</f>
        <v>494819847.26999998</v>
      </c>
      <c r="E1112" s="67">
        <f>E1109+E1100+E1090</f>
        <v>295582780.88999999</v>
      </c>
      <c r="F1112" s="67">
        <f>F1109+F1100+F1090</f>
        <v>29000000</v>
      </c>
      <c r="G1112" s="67"/>
      <c r="H1112" s="67">
        <f>H1109+H1100+H1090</f>
        <v>324582780.88999999</v>
      </c>
      <c r="I1112" s="67">
        <f>I1109+I1100+I1090</f>
        <v>0</v>
      </c>
      <c r="J1112" s="67">
        <f>J1109+J1100+J1090</f>
        <v>0</v>
      </c>
      <c r="K1112" s="67">
        <f>K1109+K1100+K1090</f>
        <v>0</v>
      </c>
      <c r="L1112" s="67">
        <f>L1109+L1100+L1090</f>
        <v>0</v>
      </c>
      <c r="M1112" s="67"/>
      <c r="N1112" s="67">
        <f>N1109+N1100+N1090</f>
        <v>324582780.88999999</v>
      </c>
      <c r="O1112" s="67">
        <f>O1109+O1100+O1090</f>
        <v>26122796.73</v>
      </c>
      <c r="P1112" s="67">
        <f>P1109+P1100+P1090</f>
        <v>0</v>
      </c>
      <c r="Q1112" s="67"/>
      <c r="R1112" s="67">
        <f>R1109+R1100+R1090</f>
        <v>26122796.73</v>
      </c>
      <c r="S1112" s="67">
        <f>S1109+S1100+S1090</f>
        <v>2594816.6699999995</v>
      </c>
      <c r="T1112" s="67">
        <f>T1109+T1100+T1090</f>
        <v>0</v>
      </c>
      <c r="U1112" s="67">
        <f>U1109+U1100+U1090</f>
        <v>2125646.8199999998</v>
      </c>
      <c r="V1112" s="67">
        <f>V1109+V1100+V1090</f>
        <v>0</v>
      </c>
      <c r="W1112" s="67"/>
      <c r="X1112" s="67">
        <f>X1109+X1100+X1090</f>
        <v>26122796.73</v>
      </c>
      <c r="Y1112" s="67">
        <f>Y1109+Y1100+Y1090</f>
        <v>350705577.62</v>
      </c>
      <c r="Z1112" s="67">
        <f>Z1109+Z1100+Z1090</f>
        <v>144114269.65000001</v>
      </c>
      <c r="AA1112" s="67">
        <f>AA1109+AA1100+AA1090</f>
        <v>350705577.62</v>
      </c>
      <c r="AB1112" s="67">
        <f>AB1109+AB1100+AB1090</f>
        <v>144114269.65000001</v>
      </c>
      <c r="AD1112" s="95">
        <f t="shared" ref="AD1112:AQ1112" si="385">SUM(AD1102:AD1111)</f>
        <v>494819847.26999998</v>
      </c>
      <c r="AE1112" s="95">
        <f t="shared" si="385"/>
        <v>295582780.88999999</v>
      </c>
      <c r="AF1112" s="95">
        <f t="shared" si="385"/>
        <v>29000000</v>
      </c>
      <c r="AG1112" s="95">
        <f t="shared" si="385"/>
        <v>324582780.89000005</v>
      </c>
      <c r="AH1112" s="95">
        <f t="shared" si="385"/>
        <v>0</v>
      </c>
      <c r="AI1112" s="95">
        <f t="shared" si="385"/>
        <v>324582780.89000005</v>
      </c>
      <c r="AJ1112" s="95">
        <f t="shared" si="385"/>
        <v>26122796.730000004</v>
      </c>
      <c r="AK1112" s="95">
        <f t="shared" si="385"/>
        <v>0</v>
      </c>
      <c r="AL1112" s="95">
        <f t="shared" si="385"/>
        <v>26122796.730000004</v>
      </c>
      <c r="AM1112" s="95">
        <f t="shared" si="385"/>
        <v>0</v>
      </c>
      <c r="AN1112" s="95">
        <f t="shared" si="385"/>
        <v>26122796.730000004</v>
      </c>
      <c r="AO1112" s="95">
        <f t="shared" si="385"/>
        <v>350705577.62</v>
      </c>
      <c r="AP1112" s="95">
        <f t="shared" si="385"/>
        <v>144114269.64999998</v>
      </c>
      <c r="AQ1112" s="95">
        <f t="shared" si="385"/>
        <v>144114269.64999998</v>
      </c>
      <c r="BD1112" s="4"/>
      <c r="BE1112" s="4"/>
    </row>
    <row r="1113" spans="1:69" ht="16.5" customHeight="1" x14ac:dyDescent="0.25">
      <c r="A1113" s="46"/>
      <c r="B1113" s="26"/>
      <c r="C1113" s="4"/>
      <c r="D1113" s="70" t="s">
        <v>50</v>
      </c>
      <c r="E1113" s="70" t="s">
        <v>50</v>
      </c>
      <c r="F1113" s="70" t="s">
        <v>50</v>
      </c>
      <c r="G1113" s="70"/>
      <c r="H1113" s="70" t="s">
        <v>50</v>
      </c>
      <c r="I1113" s="70" t="s">
        <v>50</v>
      </c>
      <c r="J1113" s="70" t="s">
        <v>50</v>
      </c>
      <c r="K1113" s="70" t="s">
        <v>50</v>
      </c>
      <c r="L1113" s="70" t="s">
        <v>50</v>
      </c>
      <c r="M1113" s="70"/>
      <c r="N1113" s="70" t="s">
        <v>50</v>
      </c>
      <c r="O1113" s="70" t="s">
        <v>50</v>
      </c>
      <c r="P1113" s="70" t="s">
        <v>50</v>
      </c>
      <c r="Q1113" s="70"/>
      <c r="R1113" s="70" t="s">
        <v>50</v>
      </c>
      <c r="S1113" s="70" t="s">
        <v>50</v>
      </c>
      <c r="T1113" s="70" t="s">
        <v>50</v>
      </c>
      <c r="U1113" s="70" t="s">
        <v>50</v>
      </c>
      <c r="V1113" s="70" t="s">
        <v>50</v>
      </c>
      <c r="W1113" s="70"/>
      <c r="X1113" s="70" t="s">
        <v>50</v>
      </c>
      <c r="Y1113" s="70" t="s">
        <v>50</v>
      </c>
      <c r="Z1113" s="70" t="s">
        <v>50</v>
      </c>
      <c r="AA1113" s="70" t="s">
        <v>50</v>
      </c>
      <c r="AB1113" s="70" t="s">
        <v>50</v>
      </c>
      <c r="AJ1113" s="94"/>
      <c r="AN1113" s="94"/>
      <c r="AO1113" s="94"/>
      <c r="AP1113" s="94"/>
      <c r="AQ1113" s="94"/>
      <c r="AR1113" s="4"/>
      <c r="BC1113" s="4"/>
      <c r="BD1113" s="4"/>
      <c r="BE1113" s="4"/>
      <c r="BF1113" s="4"/>
    </row>
    <row r="1114" spans="1:69" ht="15.75" customHeight="1" x14ac:dyDescent="0.25">
      <c r="A1114" s="46"/>
      <c r="B1114" s="26"/>
      <c r="C1114" s="20"/>
      <c r="D1114" s="75"/>
      <c r="E1114" s="68"/>
      <c r="F1114" s="68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  <c r="AZ1114" s="4"/>
      <c r="BB1114" s="4"/>
      <c r="BC1114" s="4"/>
    </row>
    <row r="1115" spans="1:69" ht="24" customHeight="1" x14ac:dyDescent="0.35">
      <c r="A1115" s="46"/>
      <c r="B1115" s="47" t="s">
        <v>123</v>
      </c>
      <c r="C1115" s="4"/>
      <c r="D1115" s="68"/>
      <c r="E1115" s="68"/>
      <c r="F1115" s="68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  <c r="AZ1115" s="4"/>
      <c r="BD1115" s="4"/>
      <c r="BE1115" s="4"/>
    </row>
    <row r="1116" spans="1:69" ht="15.75" customHeight="1" x14ac:dyDescent="0.25">
      <c r="A1116" s="46"/>
      <c r="B1116" s="26"/>
      <c r="C1116" s="4"/>
      <c r="D1116" s="68"/>
      <c r="E1116" s="68"/>
      <c r="F1116" s="68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  <c r="AY1116" s="4"/>
      <c r="BB1116" s="4"/>
      <c r="BC1116" s="4"/>
    </row>
    <row r="1117" spans="1:69" ht="15.75" customHeight="1" x14ac:dyDescent="0.25">
      <c r="A1117" s="46">
        <v>118</v>
      </c>
      <c r="B1117" s="23" t="s">
        <v>124</v>
      </c>
      <c r="C1117" s="2" t="s">
        <v>35</v>
      </c>
      <c r="D1117" s="67">
        <f>34404633.21-1000000-15000000+15000000</f>
        <v>33404633.210000001</v>
      </c>
      <c r="E1117" s="67">
        <v>15000000</v>
      </c>
      <c r="F1117" s="68"/>
      <c r="G1117" s="80"/>
      <c r="H1117" s="67">
        <f>E1117+F1117</f>
        <v>15000000</v>
      </c>
      <c r="I1117" s="68"/>
      <c r="J1117" s="68"/>
      <c r="K1117" s="68"/>
      <c r="L1117" s="67"/>
      <c r="M1117" s="67"/>
      <c r="N1117" s="67">
        <f>H1117+L1117</f>
        <v>15000000</v>
      </c>
      <c r="O1117" s="67">
        <v>5603896.2599999998</v>
      </c>
      <c r="P1117" s="68">
        <v>772910.16</v>
      </c>
      <c r="Q1117" s="68"/>
      <c r="R1117" s="67">
        <f>O1117+P1117</f>
        <v>6376806.4199999999</v>
      </c>
      <c r="S1117" s="68"/>
      <c r="T1117" s="68"/>
      <c r="U1117" s="68"/>
      <c r="V1117" s="67"/>
      <c r="W1117" s="67"/>
      <c r="X1117" s="67">
        <f>R1117+V1117</f>
        <v>6376806.4199999999</v>
      </c>
      <c r="Y1117" s="67">
        <f t="shared" ref="Y1117:Y1122" si="386">R1117+H1117</f>
        <v>21376806.420000002</v>
      </c>
      <c r="Z1117" s="67">
        <f t="shared" ref="Z1117:Z1122" si="387">D1117-Y1117</f>
        <v>12027826.789999999</v>
      </c>
      <c r="AA1117" s="67">
        <f t="shared" ref="AA1117:AA1122" si="388">N1117+X1117</f>
        <v>21376806.420000002</v>
      </c>
      <c r="AB1117" s="67">
        <f t="shared" ref="AB1117:AB1122" si="389">+D1117-N1117-X1117</f>
        <v>12027826.790000001</v>
      </c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  <c r="AY1117" s="4"/>
      <c r="BB1117" s="4"/>
    </row>
    <row r="1118" spans="1:69" ht="15.75" customHeight="1" x14ac:dyDescent="0.25">
      <c r="A1118" s="46"/>
      <c r="B1118" s="23"/>
      <c r="C1118" s="2" t="s">
        <v>254</v>
      </c>
      <c r="D1118" s="67">
        <v>1000000</v>
      </c>
      <c r="E1118" s="67">
        <v>1000000</v>
      </c>
      <c r="F1118" s="68"/>
      <c r="G1118" s="80"/>
      <c r="H1118" s="67">
        <f>+E1118+F1118</f>
        <v>1000000</v>
      </c>
      <c r="I1118" s="68"/>
      <c r="J1118" s="68"/>
      <c r="K1118" s="68"/>
      <c r="L1118" s="67"/>
      <c r="M1118" s="67"/>
      <c r="N1118" s="67">
        <f>+H1118+L1118</f>
        <v>1000000</v>
      </c>
      <c r="O1118" s="67">
        <v>0</v>
      </c>
      <c r="P1118" s="68"/>
      <c r="Q1118" s="68"/>
      <c r="R1118" s="67">
        <f>+O1118+P1118</f>
        <v>0</v>
      </c>
      <c r="S1118" s="68"/>
      <c r="T1118" s="68"/>
      <c r="U1118" s="68"/>
      <c r="V1118" s="67"/>
      <c r="W1118" s="67"/>
      <c r="X1118" s="67">
        <v>0</v>
      </c>
      <c r="Y1118" s="67">
        <f t="shared" si="386"/>
        <v>1000000</v>
      </c>
      <c r="Z1118" s="67">
        <f t="shared" si="387"/>
        <v>0</v>
      </c>
      <c r="AA1118" s="67">
        <f t="shared" si="388"/>
        <v>1000000</v>
      </c>
      <c r="AB1118" s="67">
        <f t="shared" si="389"/>
        <v>0</v>
      </c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  <c r="AZ1118" s="4"/>
      <c r="BA1118" s="4"/>
    </row>
    <row r="1119" spans="1:69" ht="15.75" customHeight="1" x14ac:dyDescent="0.25">
      <c r="C1119" s="4" t="s">
        <v>298</v>
      </c>
      <c r="D1119" s="55">
        <v>2500000</v>
      </c>
      <c r="E1119" s="55">
        <v>2500000</v>
      </c>
      <c r="F1119" s="55"/>
      <c r="G1119" s="55"/>
      <c r="H1119" s="55">
        <f>+E1119+F1119</f>
        <v>2500000</v>
      </c>
      <c r="I1119" s="55"/>
      <c r="J1119" s="55"/>
      <c r="K1119" s="55"/>
      <c r="L1119" s="55"/>
      <c r="M1119" s="55"/>
      <c r="N1119" s="55">
        <f>+H1119+L1119</f>
        <v>2500000</v>
      </c>
      <c r="O1119" s="55">
        <v>0</v>
      </c>
      <c r="P1119" s="55"/>
      <c r="Q1119" s="55"/>
      <c r="R1119" s="55">
        <f>+O1119+P1119</f>
        <v>0</v>
      </c>
      <c r="S1119" s="55"/>
      <c r="T1119" s="55"/>
      <c r="U1119" s="55"/>
      <c r="V1119" s="55"/>
      <c r="W1119" s="55"/>
      <c r="X1119" s="55">
        <f>+R1119+V1119</f>
        <v>0</v>
      </c>
      <c r="Y1119" s="67">
        <f t="shared" si="386"/>
        <v>2500000</v>
      </c>
      <c r="Z1119" s="67">
        <f t="shared" si="387"/>
        <v>0</v>
      </c>
      <c r="AA1119" s="67">
        <f t="shared" si="388"/>
        <v>2500000</v>
      </c>
      <c r="AB1119" s="67">
        <f t="shared" si="389"/>
        <v>0</v>
      </c>
      <c r="AX1119" s="4"/>
      <c r="BB1119" s="4"/>
    </row>
    <row r="1120" spans="1:69" ht="19.5" customHeight="1" x14ac:dyDescent="0.25">
      <c r="C1120" s="4" t="s">
        <v>317</v>
      </c>
      <c r="D1120" s="55">
        <f>15000000-15000000</f>
        <v>0</v>
      </c>
      <c r="E1120" s="55">
        <f>15000000-15000000</f>
        <v>0</v>
      </c>
      <c r="F1120" s="55"/>
      <c r="G1120" s="55"/>
      <c r="H1120" s="55">
        <f>+E1120+F1120</f>
        <v>0</v>
      </c>
      <c r="I1120" s="55"/>
      <c r="J1120" s="55"/>
      <c r="K1120" s="55"/>
      <c r="L1120" s="55"/>
      <c r="M1120" s="55"/>
      <c r="N1120" s="55">
        <f>+H1120+L1120</f>
        <v>0</v>
      </c>
      <c r="O1120" s="55">
        <v>0</v>
      </c>
      <c r="P1120" s="55"/>
      <c r="Q1120" s="55"/>
      <c r="R1120" s="55">
        <f>+O1120+P1120</f>
        <v>0</v>
      </c>
      <c r="S1120" s="55"/>
      <c r="T1120" s="55"/>
      <c r="U1120" s="55"/>
      <c r="V1120" s="55"/>
      <c r="W1120" s="55"/>
      <c r="X1120" s="55">
        <f>+R1120+V1120</f>
        <v>0</v>
      </c>
      <c r="Y1120" s="67">
        <f t="shared" si="386"/>
        <v>0</v>
      </c>
      <c r="Z1120" s="67">
        <f t="shared" si="387"/>
        <v>0</v>
      </c>
      <c r="AA1120" s="67">
        <f t="shared" si="388"/>
        <v>0</v>
      </c>
      <c r="AB1120" s="67">
        <f t="shared" si="389"/>
        <v>0</v>
      </c>
      <c r="AX1120" s="4"/>
      <c r="AY1120" s="4"/>
      <c r="BA1120" s="4"/>
    </row>
    <row r="1121" spans="1:53" ht="14.25" customHeight="1" x14ac:dyDescent="0.25">
      <c r="A1121" s="46"/>
      <c r="B1121" s="26"/>
      <c r="C1121" s="3" t="s">
        <v>36</v>
      </c>
      <c r="D1121" s="67">
        <v>1783299.86</v>
      </c>
      <c r="E1121" s="67">
        <v>1783299.86</v>
      </c>
      <c r="F1121" s="68"/>
      <c r="G1121" s="68"/>
      <c r="H1121" s="67">
        <f>E1121+F1121</f>
        <v>1783299.86</v>
      </c>
      <c r="I1121" s="68"/>
      <c r="J1121" s="68"/>
      <c r="K1121" s="68"/>
      <c r="L1121" s="67"/>
      <c r="M1121" s="67"/>
      <c r="N1121" s="67">
        <f>H1121+L1121</f>
        <v>1783299.86</v>
      </c>
      <c r="O1121" s="67">
        <v>0</v>
      </c>
      <c r="P1121" s="68"/>
      <c r="Q1121" s="68"/>
      <c r="R1121" s="67">
        <f>O1121+P1121</f>
        <v>0</v>
      </c>
      <c r="S1121" s="68"/>
      <c r="T1121" s="68"/>
      <c r="U1121" s="68"/>
      <c r="V1121" s="67"/>
      <c r="W1121" s="67"/>
      <c r="X1121" s="67">
        <f>R1121+V1121</f>
        <v>0</v>
      </c>
      <c r="Y1121" s="67">
        <f t="shared" si="386"/>
        <v>1783299.86</v>
      </c>
      <c r="Z1121" s="67">
        <f t="shared" si="387"/>
        <v>0</v>
      </c>
      <c r="AA1121" s="67">
        <f t="shared" si="388"/>
        <v>1783299.86</v>
      </c>
      <c r="AB1121" s="67">
        <f t="shared" si="389"/>
        <v>0</v>
      </c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  <c r="BA1121" s="4"/>
    </row>
    <row r="1122" spans="1:53" ht="15.75" customHeight="1" x14ac:dyDescent="0.25">
      <c r="A1122" s="46"/>
      <c r="B1122" s="26"/>
      <c r="C1122" s="2" t="s">
        <v>37</v>
      </c>
      <c r="D1122" s="67">
        <v>4342929.83</v>
      </c>
      <c r="E1122" s="67">
        <v>0</v>
      </c>
      <c r="F1122" s="68"/>
      <c r="G1122" s="68"/>
      <c r="H1122" s="67">
        <f>E1122+F1122</f>
        <v>0</v>
      </c>
      <c r="I1122" s="68"/>
      <c r="J1122" s="68"/>
      <c r="K1122" s="68"/>
      <c r="L1122" s="67"/>
      <c r="M1122" s="67"/>
      <c r="N1122" s="67">
        <f>H1122+L1122</f>
        <v>0</v>
      </c>
      <c r="O1122" s="67">
        <v>0</v>
      </c>
      <c r="P1122" s="68"/>
      <c r="Q1122" s="68"/>
      <c r="R1122" s="67">
        <f>O1122+P1122</f>
        <v>0</v>
      </c>
      <c r="S1122" s="68"/>
      <c r="T1122" s="68"/>
      <c r="U1122" s="68"/>
      <c r="V1122" s="67"/>
      <c r="W1122" s="67"/>
      <c r="X1122" s="67">
        <f>R1122+V1122</f>
        <v>0</v>
      </c>
      <c r="Y1122" s="67">
        <f t="shared" si="386"/>
        <v>0</v>
      </c>
      <c r="Z1122" s="67">
        <f t="shared" si="387"/>
        <v>4342929.83</v>
      </c>
      <c r="AA1122" s="67">
        <f t="shared" si="388"/>
        <v>0</v>
      </c>
      <c r="AB1122" s="67">
        <f t="shared" si="389"/>
        <v>4342929.83</v>
      </c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</row>
    <row r="1123" spans="1:53" ht="15.75" customHeight="1" x14ac:dyDescent="0.25">
      <c r="A1123" s="46"/>
      <c r="B1123" s="30"/>
      <c r="C1123" s="4"/>
      <c r="D1123" s="70" t="s">
        <v>40</v>
      </c>
      <c r="E1123" s="70" t="s">
        <v>40</v>
      </c>
      <c r="F1123" s="70" t="s">
        <v>40</v>
      </c>
      <c r="G1123" s="70"/>
      <c r="H1123" s="70" t="s">
        <v>40</v>
      </c>
      <c r="I1123" s="70" t="s">
        <v>40</v>
      </c>
      <c r="J1123" s="70" t="s">
        <v>40</v>
      </c>
      <c r="K1123" s="70" t="s">
        <v>40</v>
      </c>
      <c r="L1123" s="70" t="s">
        <v>40</v>
      </c>
      <c r="M1123" s="70"/>
      <c r="N1123" s="70" t="s">
        <v>40</v>
      </c>
      <c r="O1123" s="70" t="s">
        <v>40</v>
      </c>
      <c r="P1123" s="70" t="s">
        <v>40</v>
      </c>
      <c r="Q1123" s="70"/>
      <c r="R1123" s="70" t="s">
        <v>40</v>
      </c>
      <c r="S1123" s="70" t="s">
        <v>40</v>
      </c>
      <c r="T1123" s="70" t="s">
        <v>40</v>
      </c>
      <c r="U1123" s="70" t="s">
        <v>40</v>
      </c>
      <c r="V1123" s="70" t="s">
        <v>40</v>
      </c>
      <c r="W1123" s="70"/>
      <c r="X1123" s="70" t="s">
        <v>40</v>
      </c>
      <c r="Y1123" s="70" t="s">
        <v>40</v>
      </c>
      <c r="Z1123" s="70" t="s">
        <v>40</v>
      </c>
      <c r="AA1123" s="70" t="s">
        <v>40</v>
      </c>
      <c r="AB1123" s="70" t="s">
        <v>40</v>
      </c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  <c r="AX1123" s="4"/>
      <c r="BA1123" s="4"/>
    </row>
    <row r="1124" spans="1:53" ht="15.75" customHeight="1" x14ac:dyDescent="0.25">
      <c r="A1124" s="46"/>
      <c r="B1124" s="26"/>
      <c r="C1124" s="4"/>
      <c r="D1124" s="67">
        <f>SUM(D1117:D1122)</f>
        <v>43030862.899999999</v>
      </c>
      <c r="E1124" s="67">
        <f>SUM(E1117:E1122)</f>
        <v>20283299.859999999</v>
      </c>
      <c r="F1124" s="67">
        <f>SUM(F1117:F1122)</f>
        <v>0</v>
      </c>
      <c r="G1124" s="67"/>
      <c r="H1124" s="67">
        <f>SUM(H1117:H1122)</f>
        <v>20283299.859999999</v>
      </c>
      <c r="I1124" s="67">
        <f>SUM(I1117:I1122)</f>
        <v>0</v>
      </c>
      <c r="J1124" s="67">
        <f>SUM(J1117:J1122)</f>
        <v>0</v>
      </c>
      <c r="K1124" s="67">
        <f>SUM(K1117:K1122)</f>
        <v>0</v>
      </c>
      <c r="L1124" s="67">
        <f>SUM(L1117:L1122)</f>
        <v>0</v>
      </c>
      <c r="M1124" s="67"/>
      <c r="N1124" s="67">
        <f>SUM(N1117:N1122)</f>
        <v>20283299.859999999</v>
      </c>
      <c r="O1124" s="67">
        <f>SUM(O1117:O1122)</f>
        <v>5603896.2599999998</v>
      </c>
      <c r="P1124" s="67">
        <f>SUM(P1117:P1122)</f>
        <v>772910.16</v>
      </c>
      <c r="Q1124" s="67"/>
      <c r="R1124" s="67">
        <f>SUM(R1117:R1122)</f>
        <v>6376806.4199999999</v>
      </c>
      <c r="S1124" s="67">
        <f>SUM(S1117:S1122)</f>
        <v>0</v>
      </c>
      <c r="T1124" s="67">
        <f>SUM(T1117:T1122)</f>
        <v>0</v>
      </c>
      <c r="U1124" s="67">
        <f>SUM(U1117:U1122)</f>
        <v>0</v>
      </c>
      <c r="V1124" s="67">
        <f>SUM(V1117:V1122)</f>
        <v>0</v>
      </c>
      <c r="W1124" s="67"/>
      <c r="X1124" s="67">
        <f>SUM(X1117:X1122)</f>
        <v>6376806.4199999999</v>
      </c>
      <c r="Y1124" s="67">
        <f>SUM(Y1117:Y1122)</f>
        <v>26660106.280000001</v>
      </c>
      <c r="Z1124" s="67">
        <f>SUM(Z1117:Z1122)</f>
        <v>16370756.619999999</v>
      </c>
      <c r="AA1124" s="67">
        <f>SUM(AA1117:AA1122)</f>
        <v>26660106.280000001</v>
      </c>
      <c r="AB1124" s="67">
        <f>SUM(AB1117:AB1122)</f>
        <v>16370756.620000001</v>
      </c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</row>
    <row r="1125" spans="1:53" ht="15.75" customHeight="1" x14ac:dyDescent="0.25">
      <c r="A1125" s="46"/>
      <c r="B1125" s="26"/>
      <c r="C1125" s="4"/>
      <c r="D1125" s="70" t="s">
        <v>40</v>
      </c>
      <c r="E1125" s="70" t="s">
        <v>40</v>
      </c>
      <c r="F1125" s="70" t="s">
        <v>40</v>
      </c>
      <c r="G1125" s="70"/>
      <c r="H1125" s="70" t="s">
        <v>40</v>
      </c>
      <c r="I1125" s="70" t="s">
        <v>40</v>
      </c>
      <c r="J1125" s="70" t="s">
        <v>40</v>
      </c>
      <c r="K1125" s="70" t="s">
        <v>40</v>
      </c>
      <c r="L1125" s="70" t="s">
        <v>40</v>
      </c>
      <c r="M1125" s="70"/>
      <c r="N1125" s="70" t="s">
        <v>40</v>
      </c>
      <c r="O1125" s="70" t="s">
        <v>40</v>
      </c>
      <c r="P1125" s="70" t="s">
        <v>40</v>
      </c>
      <c r="Q1125" s="70"/>
      <c r="R1125" s="70" t="s">
        <v>40</v>
      </c>
      <c r="S1125" s="70" t="s">
        <v>40</v>
      </c>
      <c r="T1125" s="70" t="s">
        <v>40</v>
      </c>
      <c r="U1125" s="70" t="s">
        <v>40</v>
      </c>
      <c r="V1125" s="70" t="s">
        <v>40</v>
      </c>
      <c r="W1125" s="70"/>
      <c r="X1125" s="70" t="s">
        <v>40</v>
      </c>
      <c r="Y1125" s="70" t="s">
        <v>40</v>
      </c>
      <c r="Z1125" s="70" t="s">
        <v>40</v>
      </c>
      <c r="AA1125" s="70" t="s">
        <v>40</v>
      </c>
      <c r="AB1125" s="70" t="s">
        <v>40</v>
      </c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/>
      <c r="AP1125" s="94"/>
      <c r="AQ1125" s="94"/>
    </row>
    <row r="1126" spans="1:53" ht="15.75" customHeight="1" x14ac:dyDescent="0.25">
      <c r="A1126" s="46"/>
      <c r="B1126" s="26"/>
      <c r="C1126" s="4"/>
      <c r="D1126" s="70"/>
      <c r="E1126" s="70"/>
      <c r="F1126" s="77"/>
      <c r="G1126" s="70"/>
      <c r="H1126" s="70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70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/>
      <c r="AP1126" s="94"/>
      <c r="AQ1126" s="94"/>
      <c r="AW1126" s="4"/>
      <c r="AZ1126" s="4"/>
    </row>
    <row r="1127" spans="1:53" ht="15.75" customHeight="1" x14ac:dyDescent="0.25">
      <c r="A1127" s="46">
        <v>119</v>
      </c>
      <c r="B1127" s="23" t="s">
        <v>125</v>
      </c>
      <c r="C1127" s="2" t="s">
        <v>35</v>
      </c>
      <c r="D1127" s="67">
        <v>130288031.48999999</v>
      </c>
      <c r="E1127" s="67">
        <v>0</v>
      </c>
      <c r="F1127" s="68"/>
      <c r="G1127" s="68"/>
      <c r="H1127" s="67">
        <f>E1127+F1127</f>
        <v>0</v>
      </c>
      <c r="I1127" s="68"/>
      <c r="J1127" s="68"/>
      <c r="K1127" s="68"/>
      <c r="L1127" s="67"/>
      <c r="M1127" s="67"/>
      <c r="N1127" s="67">
        <f>H1127+L1127</f>
        <v>0</v>
      </c>
      <c r="O1127" s="67">
        <f>426349.71+4554143.84</f>
        <v>4980493.55</v>
      </c>
      <c r="P1127" s="68"/>
      <c r="Q1127" s="68"/>
      <c r="R1127" s="67">
        <f>O1127+P1127</f>
        <v>4980493.55</v>
      </c>
      <c r="S1127" s="68">
        <f>5944669.33-12387.78</f>
        <v>5932281.5499999998</v>
      </c>
      <c r="T1127" s="68">
        <f>56759.18+172323.86+4325060.8</f>
        <v>4554143.84</v>
      </c>
      <c r="U1127" s="68"/>
      <c r="V1127" s="67"/>
      <c r="W1127" s="67"/>
      <c r="X1127" s="67">
        <f>R1127+V1127</f>
        <v>4980493.55</v>
      </c>
      <c r="Y1127" s="67">
        <f>R1127+H1127</f>
        <v>4980493.55</v>
      </c>
      <c r="Z1127" s="67">
        <f>D1127-Y1127</f>
        <v>125307537.94</v>
      </c>
      <c r="AA1127" s="67">
        <f>N1127+X1127</f>
        <v>4980493.55</v>
      </c>
      <c r="AB1127" s="67">
        <f>+D1127-N1127-X1127</f>
        <v>125307537.94</v>
      </c>
      <c r="AD1127" s="94"/>
      <c r="AE1127" s="94"/>
      <c r="AF1127" s="94"/>
      <c r="AG1127" s="94"/>
      <c r="AH1127" s="94"/>
      <c r="AI1127" s="94"/>
      <c r="AJ1127" s="94"/>
      <c r="AK1127" s="94"/>
      <c r="AL1127" s="94"/>
      <c r="AM1127" s="94"/>
      <c r="AN1127" s="94"/>
      <c r="AO1127" s="94"/>
      <c r="AP1127" s="94"/>
      <c r="AQ1127" s="94"/>
      <c r="AW1127" s="4"/>
      <c r="AX1127" s="4"/>
    </row>
    <row r="1128" spans="1:53" ht="15.75" customHeight="1" x14ac:dyDescent="0.25">
      <c r="A1128" s="46"/>
      <c r="B1128" s="26"/>
      <c r="C1128" s="3" t="s">
        <v>36</v>
      </c>
      <c r="D1128" s="67">
        <v>253000</v>
      </c>
      <c r="E1128" s="67">
        <v>253000</v>
      </c>
      <c r="F1128" s="68"/>
      <c r="G1128" s="68"/>
      <c r="H1128" s="67">
        <f>E1128+F1128</f>
        <v>253000</v>
      </c>
      <c r="I1128" s="68"/>
      <c r="J1128" s="68"/>
      <c r="K1128" s="68"/>
      <c r="L1128" s="67"/>
      <c r="M1128" s="67"/>
      <c r="N1128" s="67">
        <f>H1128+L1128</f>
        <v>253000</v>
      </c>
      <c r="O1128" s="67">
        <v>0</v>
      </c>
      <c r="P1128" s="68"/>
      <c r="Q1128" s="68"/>
      <c r="R1128" s="67">
        <f>O1128+P1128</f>
        <v>0</v>
      </c>
      <c r="S1128" s="68"/>
      <c r="T1128" s="68"/>
      <c r="U1128" s="68"/>
      <c r="V1128" s="67"/>
      <c r="W1128" s="67"/>
      <c r="X1128" s="67">
        <f>R1128+V1128</f>
        <v>0</v>
      </c>
      <c r="Y1128" s="67">
        <f>R1128+H1128</f>
        <v>253000</v>
      </c>
      <c r="Z1128" s="67">
        <f>D1128-Y1128</f>
        <v>0</v>
      </c>
      <c r="AA1128" s="67">
        <f>N1128+X1128</f>
        <v>253000</v>
      </c>
      <c r="AB1128" s="67">
        <f>+D1128-N1128-X1128</f>
        <v>0</v>
      </c>
      <c r="AD1128" s="94"/>
      <c r="AE1128" s="94"/>
      <c r="AF1128" s="94"/>
      <c r="AG1128" s="94"/>
      <c r="AH1128" s="94"/>
      <c r="AI1128" s="94"/>
      <c r="AJ1128" s="94"/>
      <c r="AK1128" s="94"/>
      <c r="AL1128" s="94"/>
      <c r="AM1128" s="94"/>
      <c r="AN1128" s="94"/>
      <c r="AO1128" s="94"/>
      <c r="AP1128" s="94"/>
      <c r="AQ1128" s="94"/>
      <c r="AY1128" s="4"/>
      <c r="AZ1128" s="4"/>
    </row>
    <row r="1129" spans="1:53" ht="15.75" customHeight="1" x14ac:dyDescent="0.25">
      <c r="A1129" s="46"/>
      <c r="B1129" s="26"/>
      <c r="C1129" s="2" t="s">
        <v>37</v>
      </c>
      <c r="D1129" s="67">
        <v>9059112.5</v>
      </c>
      <c r="E1129" s="67">
        <v>0</v>
      </c>
      <c r="F1129" s="68"/>
      <c r="G1129" s="68"/>
      <c r="H1129" s="67">
        <f>E1129+F1129</f>
        <v>0</v>
      </c>
      <c r="I1129" s="68"/>
      <c r="J1129" s="68"/>
      <c r="K1129" s="68"/>
      <c r="L1129" s="67"/>
      <c r="M1129" s="67"/>
      <c r="N1129" s="67">
        <f>H1129+L1129</f>
        <v>0</v>
      </c>
      <c r="O1129" s="67">
        <v>0</v>
      </c>
      <c r="P1129" s="68"/>
      <c r="Q1129" s="68"/>
      <c r="R1129" s="67">
        <f>O1129+P1129</f>
        <v>0</v>
      </c>
      <c r="S1129" s="68"/>
      <c r="T1129" s="68"/>
      <c r="U1129" s="68"/>
      <c r="V1129" s="67"/>
      <c r="W1129" s="67"/>
      <c r="X1129" s="67">
        <f>R1129+V1129</f>
        <v>0</v>
      </c>
      <c r="Y1129" s="67">
        <f>R1129+H1129</f>
        <v>0</v>
      </c>
      <c r="Z1129" s="67">
        <f>D1129-Y1129</f>
        <v>9059112.5</v>
      </c>
      <c r="AA1129" s="67">
        <f>N1129+X1129</f>
        <v>0</v>
      </c>
      <c r="AB1129" s="67">
        <f>+D1129-N1129-X1129</f>
        <v>9059112.5</v>
      </c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W1129" s="4"/>
      <c r="AY1129" s="4"/>
      <c r="AZ1129" s="4"/>
    </row>
    <row r="1130" spans="1:53" ht="15.75" customHeight="1" x14ac:dyDescent="0.25">
      <c r="A1130" s="46"/>
      <c r="B1130" s="26"/>
      <c r="C1130" s="8" t="s">
        <v>39</v>
      </c>
      <c r="D1130" s="67">
        <v>15158040.74</v>
      </c>
      <c r="E1130" s="67">
        <v>0</v>
      </c>
      <c r="F1130" s="68"/>
      <c r="G1130" s="68"/>
      <c r="H1130" s="67">
        <f>E1130+F1130</f>
        <v>0</v>
      </c>
      <c r="I1130" s="68"/>
      <c r="J1130" s="68"/>
      <c r="K1130" s="68"/>
      <c r="L1130" s="67"/>
      <c r="M1130" s="67"/>
      <c r="N1130" s="67">
        <f>H1130+L1130</f>
        <v>0</v>
      </c>
      <c r="O1130" s="67">
        <v>12387.78</v>
      </c>
      <c r="P1130" s="68"/>
      <c r="Q1130" s="68"/>
      <c r="R1130" s="67">
        <f>O1130+P1130</f>
        <v>12387.78</v>
      </c>
      <c r="S1130" s="68"/>
      <c r="T1130" s="68"/>
      <c r="U1130" s="68"/>
      <c r="V1130" s="67"/>
      <c r="W1130" s="67"/>
      <c r="X1130" s="67">
        <f>R1130+V1130</f>
        <v>12387.78</v>
      </c>
      <c r="Y1130" s="67">
        <f>R1130+H1130</f>
        <v>12387.78</v>
      </c>
      <c r="Z1130" s="67">
        <f>D1130-Y1130</f>
        <v>15145652.960000001</v>
      </c>
      <c r="AA1130" s="67">
        <f>N1130+X1130</f>
        <v>12387.78</v>
      </c>
      <c r="AB1130" s="67">
        <f>+D1130-N1130-X1130</f>
        <v>15145652.960000001</v>
      </c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4"/>
      <c r="AQ1130" s="94"/>
      <c r="AV1130" s="4"/>
    </row>
    <row r="1131" spans="1:53" ht="15.75" customHeight="1" x14ac:dyDescent="0.25">
      <c r="A1131" s="46"/>
      <c r="B1131" s="26"/>
      <c r="C1131" s="4"/>
      <c r="D1131" s="70" t="s">
        <v>40</v>
      </c>
      <c r="E1131" s="70" t="s">
        <v>40</v>
      </c>
      <c r="F1131" s="70" t="s">
        <v>40</v>
      </c>
      <c r="G1131" s="70"/>
      <c r="H1131" s="70" t="s">
        <v>40</v>
      </c>
      <c r="I1131" s="70" t="s">
        <v>40</v>
      </c>
      <c r="J1131" s="70" t="s">
        <v>40</v>
      </c>
      <c r="K1131" s="70" t="s">
        <v>40</v>
      </c>
      <c r="L1131" s="70" t="s">
        <v>40</v>
      </c>
      <c r="M1131" s="70"/>
      <c r="N1131" s="70" t="s">
        <v>40</v>
      </c>
      <c r="O1131" s="70" t="s">
        <v>40</v>
      </c>
      <c r="P1131" s="70" t="s">
        <v>40</v>
      </c>
      <c r="Q1131" s="70"/>
      <c r="R1131" s="70" t="s">
        <v>40</v>
      </c>
      <c r="S1131" s="70" t="s">
        <v>40</v>
      </c>
      <c r="T1131" s="70" t="s">
        <v>40</v>
      </c>
      <c r="U1131" s="70" t="s">
        <v>40</v>
      </c>
      <c r="V1131" s="70" t="s">
        <v>40</v>
      </c>
      <c r="W1131" s="70"/>
      <c r="X1131" s="70" t="s">
        <v>40</v>
      </c>
      <c r="Y1131" s="70" t="s">
        <v>40</v>
      </c>
      <c r="Z1131" s="70" t="s">
        <v>40</v>
      </c>
      <c r="AA1131" s="70" t="s">
        <v>40</v>
      </c>
      <c r="AB1131" s="70" t="s">
        <v>40</v>
      </c>
      <c r="AD1131" s="94"/>
      <c r="AE1131" s="94"/>
      <c r="AF1131" s="94"/>
      <c r="AG1131" s="94"/>
      <c r="AH1131" s="94"/>
      <c r="AI1131" s="94"/>
      <c r="AJ1131" s="94"/>
      <c r="AK1131" s="94"/>
      <c r="AL1131" s="94"/>
      <c r="AM1131" s="94"/>
      <c r="AN1131" s="94"/>
      <c r="AO1131" s="94"/>
      <c r="AP1131" s="94"/>
      <c r="AQ1131" s="94"/>
      <c r="AS1131" s="4"/>
      <c r="AU1131" s="4"/>
      <c r="AV1131" s="4"/>
      <c r="AW1131" s="4"/>
      <c r="AY1131" s="4"/>
      <c r="AZ1131" s="4"/>
    </row>
    <row r="1132" spans="1:53" ht="15.75" customHeight="1" x14ac:dyDescent="0.25">
      <c r="A1132" s="46"/>
      <c r="B1132" s="26"/>
      <c r="C1132" s="4"/>
      <c r="D1132" s="67">
        <f t="shared" ref="D1132:AB1132" si="390">SUM(D1127:D1130)</f>
        <v>154758184.73000002</v>
      </c>
      <c r="E1132" s="67">
        <f t="shared" si="390"/>
        <v>253000</v>
      </c>
      <c r="F1132" s="67">
        <f t="shared" si="390"/>
        <v>0</v>
      </c>
      <c r="G1132" s="67"/>
      <c r="H1132" s="67">
        <f t="shared" si="390"/>
        <v>253000</v>
      </c>
      <c r="I1132" s="67">
        <f t="shared" si="390"/>
        <v>0</v>
      </c>
      <c r="J1132" s="67">
        <f t="shared" si="390"/>
        <v>0</v>
      </c>
      <c r="K1132" s="67">
        <f t="shared" si="390"/>
        <v>0</v>
      </c>
      <c r="L1132" s="67">
        <f t="shared" si="390"/>
        <v>0</v>
      </c>
      <c r="M1132" s="67"/>
      <c r="N1132" s="67">
        <f t="shared" si="390"/>
        <v>253000</v>
      </c>
      <c r="O1132" s="67">
        <f t="shared" si="390"/>
        <v>4992881.33</v>
      </c>
      <c r="P1132" s="67">
        <f t="shared" si="390"/>
        <v>0</v>
      </c>
      <c r="Q1132" s="67"/>
      <c r="R1132" s="67">
        <f t="shared" si="390"/>
        <v>4992881.33</v>
      </c>
      <c r="S1132" s="67">
        <f t="shared" si="390"/>
        <v>5932281.5499999998</v>
      </c>
      <c r="T1132" s="67">
        <f t="shared" si="390"/>
        <v>4554143.84</v>
      </c>
      <c r="U1132" s="67">
        <f t="shared" si="390"/>
        <v>0</v>
      </c>
      <c r="V1132" s="67">
        <f t="shared" si="390"/>
        <v>0</v>
      </c>
      <c r="W1132" s="67"/>
      <c r="X1132" s="67">
        <f t="shared" si="390"/>
        <v>4992881.33</v>
      </c>
      <c r="Y1132" s="67">
        <f t="shared" si="390"/>
        <v>5245881.33</v>
      </c>
      <c r="Z1132" s="67">
        <f t="shared" si="390"/>
        <v>149512303.40000001</v>
      </c>
      <c r="AA1132" s="67">
        <f t="shared" si="390"/>
        <v>5245881.33</v>
      </c>
      <c r="AB1132" s="67">
        <f t="shared" si="390"/>
        <v>149512303.40000001</v>
      </c>
      <c r="AD1132" s="94"/>
      <c r="AE1132" s="94"/>
      <c r="AF1132" s="94"/>
      <c r="AG1132" s="94"/>
      <c r="AH1132" s="94"/>
      <c r="AI1132" s="94"/>
      <c r="AJ1132" s="94"/>
      <c r="AK1132" s="94"/>
      <c r="AL1132" s="94"/>
      <c r="AM1132" s="94"/>
      <c r="AN1132" s="94"/>
      <c r="AO1132" s="94"/>
      <c r="AP1132" s="94"/>
      <c r="AQ1132" s="94"/>
      <c r="AU1132" s="4"/>
      <c r="AV1132" s="4"/>
      <c r="AX1132" s="4"/>
    </row>
    <row r="1133" spans="1:53" ht="15.75" customHeight="1" x14ac:dyDescent="0.25">
      <c r="A1133" s="46"/>
      <c r="B1133" s="23"/>
      <c r="C1133" s="4"/>
      <c r="D1133" s="70" t="s">
        <v>40</v>
      </c>
      <c r="E1133" s="70" t="s">
        <v>40</v>
      </c>
      <c r="F1133" s="70" t="s">
        <v>40</v>
      </c>
      <c r="G1133" s="70"/>
      <c r="H1133" s="70" t="s">
        <v>40</v>
      </c>
      <c r="I1133" s="70" t="s">
        <v>40</v>
      </c>
      <c r="J1133" s="70" t="s">
        <v>40</v>
      </c>
      <c r="K1133" s="70" t="s">
        <v>40</v>
      </c>
      <c r="L1133" s="70" t="s">
        <v>40</v>
      </c>
      <c r="M1133" s="70"/>
      <c r="N1133" s="70" t="s">
        <v>40</v>
      </c>
      <c r="O1133" s="70" t="s">
        <v>40</v>
      </c>
      <c r="P1133" s="70" t="s">
        <v>40</v>
      </c>
      <c r="Q1133" s="70"/>
      <c r="R1133" s="70" t="s">
        <v>40</v>
      </c>
      <c r="S1133" s="70" t="s">
        <v>40</v>
      </c>
      <c r="T1133" s="70" t="s">
        <v>40</v>
      </c>
      <c r="U1133" s="70" t="s">
        <v>40</v>
      </c>
      <c r="V1133" s="70" t="s">
        <v>40</v>
      </c>
      <c r="W1133" s="70"/>
      <c r="X1133" s="70" t="s">
        <v>40</v>
      </c>
      <c r="Y1133" s="70" t="s">
        <v>40</v>
      </c>
      <c r="Z1133" s="70" t="s">
        <v>40</v>
      </c>
      <c r="AA1133" s="70" t="s">
        <v>40</v>
      </c>
      <c r="AB1133" s="70" t="s">
        <v>40</v>
      </c>
      <c r="AD1133" s="94"/>
      <c r="AE1133" s="94"/>
      <c r="AF1133" s="94"/>
      <c r="AG1133" s="94"/>
      <c r="AH1133" s="94"/>
      <c r="AI1133" s="94"/>
      <c r="AJ1133" s="94"/>
      <c r="AK1133" s="94"/>
      <c r="AL1133" s="94"/>
      <c r="AM1133" s="94"/>
      <c r="AN1133" s="94"/>
      <c r="AO1133" s="94"/>
      <c r="AP1133" s="94"/>
      <c r="AQ1133" s="94"/>
      <c r="AT1133" s="4"/>
      <c r="AU1133" s="4"/>
      <c r="AX1133" s="4"/>
      <c r="AY1133" s="4"/>
    </row>
    <row r="1134" spans="1:53" ht="15.75" customHeight="1" x14ac:dyDescent="0.25">
      <c r="A1134" s="46"/>
      <c r="B1134" s="4"/>
      <c r="C1134" s="4"/>
      <c r="D1134" s="70"/>
      <c r="E1134" s="70"/>
      <c r="F1134" s="70"/>
      <c r="G1134" s="70"/>
      <c r="H1134" s="70"/>
      <c r="I1134" s="70"/>
      <c r="J1134" s="70"/>
      <c r="K1134" s="70"/>
      <c r="L1134" s="70"/>
      <c r="M1134" s="70"/>
      <c r="N1134" s="70"/>
      <c r="O1134" s="70"/>
      <c r="P1134" s="70"/>
      <c r="Q1134" s="70"/>
      <c r="R1134" s="70"/>
      <c r="S1134" s="70"/>
      <c r="T1134" s="70"/>
      <c r="U1134" s="70"/>
      <c r="V1134" s="104"/>
      <c r="W1134" s="70"/>
      <c r="X1134" s="70"/>
      <c r="Y1134" s="70"/>
      <c r="Z1134" s="70"/>
      <c r="AA1134" s="70"/>
      <c r="AB1134" s="70"/>
      <c r="AD1134" s="94"/>
      <c r="AE1134" s="94"/>
      <c r="AF1134" s="94"/>
      <c r="AG1134" s="94"/>
      <c r="AH1134" s="94"/>
      <c r="AI1134" s="94"/>
      <c r="AJ1134" s="94"/>
      <c r="AK1134" s="94"/>
      <c r="AL1134" s="94"/>
      <c r="AM1134" s="94"/>
      <c r="AN1134" s="94"/>
      <c r="AO1134" s="94"/>
      <c r="AP1134" s="94"/>
      <c r="AQ1134" s="94"/>
    </row>
    <row r="1135" spans="1:53" ht="21.75" customHeight="1" x14ac:dyDescent="0.25">
      <c r="A1135" s="46">
        <v>120</v>
      </c>
      <c r="B1135" s="39" t="s">
        <v>126</v>
      </c>
      <c r="C1135" s="3" t="s">
        <v>35</v>
      </c>
      <c r="D1135" s="67">
        <f>73225413.13-6771866</f>
        <v>66453547.129999995</v>
      </c>
      <c r="E1135" s="67">
        <v>0</v>
      </c>
      <c r="F1135" s="68"/>
      <c r="G1135" s="68"/>
      <c r="H1135" s="67">
        <f>E1135+F1135</f>
        <v>0</v>
      </c>
      <c r="I1135" s="68"/>
      <c r="J1135" s="68"/>
      <c r="K1135" s="68"/>
      <c r="L1135" s="67"/>
      <c r="M1135" s="67"/>
      <c r="N1135" s="67">
        <f>H1135+L1135</f>
        <v>0</v>
      </c>
      <c r="O1135" s="67">
        <v>271341.73</v>
      </c>
      <c r="P1135" s="68"/>
      <c r="Q1135" s="68"/>
      <c r="R1135" s="67">
        <f>O1135+P1135</f>
        <v>271341.73</v>
      </c>
      <c r="S1135" s="67">
        <v>248021.49</v>
      </c>
      <c r="T1135" s="68"/>
      <c r="U1135" s="68"/>
      <c r="V1135" s="67"/>
      <c r="W1135" s="67"/>
      <c r="X1135" s="67">
        <f>R1135+V1135</f>
        <v>271341.73</v>
      </c>
      <c r="Y1135" s="67">
        <f t="shared" ref="Y1135:Y1140" si="391">R1135+H1135</f>
        <v>271341.73</v>
      </c>
      <c r="Z1135" s="67">
        <f t="shared" ref="Z1135:Z1140" si="392">D1135-Y1135</f>
        <v>66182205.399999999</v>
      </c>
      <c r="AA1135" s="67">
        <f t="shared" ref="AA1135:AA1140" si="393">N1135+X1135</f>
        <v>271341.73</v>
      </c>
      <c r="AB1135" s="67">
        <f t="shared" ref="AB1135:AB1140" si="394">+D1135-N1135-X1135</f>
        <v>66182205.399999999</v>
      </c>
      <c r="AD1135" s="94"/>
      <c r="AE1135" s="94"/>
      <c r="AF1135" s="94"/>
      <c r="AG1135" s="94"/>
      <c r="AH1135" s="94"/>
      <c r="AI1135" s="94"/>
      <c r="AJ1135" s="94"/>
      <c r="AK1135" s="94"/>
      <c r="AL1135" s="94"/>
      <c r="AM1135" s="94"/>
      <c r="AN1135" s="94"/>
      <c r="AO1135" s="94"/>
      <c r="AP1135" s="94"/>
      <c r="AQ1135" s="94"/>
      <c r="AS1135" s="4"/>
      <c r="AT1135" s="4"/>
      <c r="AV1135" s="4"/>
      <c r="AW1135" s="4"/>
      <c r="AX1135" s="4"/>
    </row>
    <row r="1136" spans="1:53" ht="15.75" customHeight="1" x14ac:dyDescent="0.25">
      <c r="C1136" s="4" t="s">
        <v>317</v>
      </c>
      <c r="D1136" s="55">
        <v>6771866</v>
      </c>
      <c r="E1136" s="55">
        <v>6771866</v>
      </c>
      <c r="F1136" s="55"/>
      <c r="G1136" s="55"/>
      <c r="H1136" s="55">
        <f>+E1136+F1136</f>
        <v>6771866</v>
      </c>
      <c r="I1136" s="55"/>
      <c r="J1136" s="55"/>
      <c r="K1136" s="55"/>
      <c r="L1136" s="55"/>
      <c r="M1136" s="55"/>
      <c r="N1136" s="55">
        <f>+H1136+L1136</f>
        <v>6771866</v>
      </c>
      <c r="O1136" s="55">
        <v>0</v>
      </c>
      <c r="P1136" s="55"/>
      <c r="Q1136" s="55"/>
      <c r="R1136" s="55">
        <f>+O1136+P1136</f>
        <v>0</v>
      </c>
      <c r="S1136" s="55"/>
      <c r="T1136" s="55"/>
      <c r="U1136" s="55"/>
      <c r="V1136" s="55"/>
      <c r="W1136" s="55"/>
      <c r="X1136" s="55">
        <f>+R1136+V1136</f>
        <v>0</v>
      </c>
      <c r="Y1136" s="67">
        <f t="shared" si="391"/>
        <v>6771866</v>
      </c>
      <c r="Z1136" s="67">
        <f t="shared" si="392"/>
        <v>0</v>
      </c>
      <c r="AA1136" s="67">
        <f t="shared" si="393"/>
        <v>6771866</v>
      </c>
      <c r="AB1136" s="67">
        <f t="shared" si="394"/>
        <v>0</v>
      </c>
      <c r="AT1136" s="4"/>
      <c r="AU1136" s="4"/>
    </row>
    <row r="1137" spans="1:50" ht="18.75" customHeight="1" x14ac:dyDescent="0.25">
      <c r="A1137" s="46"/>
      <c r="B1137" s="26"/>
      <c r="C1137" s="3" t="s">
        <v>36</v>
      </c>
      <c r="D1137" s="67">
        <v>5403040.8499999996</v>
      </c>
      <c r="E1137" s="67">
        <v>5403040.8499999996</v>
      </c>
      <c r="F1137" s="68"/>
      <c r="G1137" s="68"/>
      <c r="H1137" s="67">
        <f>E1137+F1137</f>
        <v>5403040.8499999996</v>
      </c>
      <c r="I1137" s="68"/>
      <c r="J1137" s="68"/>
      <c r="K1137" s="68"/>
      <c r="L1137" s="67"/>
      <c r="M1137" s="67"/>
      <c r="N1137" s="67">
        <f>H1137+L1137</f>
        <v>5403040.8499999996</v>
      </c>
      <c r="O1137" s="67">
        <v>0</v>
      </c>
      <c r="P1137" s="68"/>
      <c r="Q1137" s="68"/>
      <c r="R1137" s="67">
        <f>O1137+P1137</f>
        <v>0</v>
      </c>
      <c r="S1137" s="68"/>
      <c r="T1137" s="68"/>
      <c r="U1137" s="68"/>
      <c r="V1137" s="67"/>
      <c r="W1137" s="67"/>
      <c r="X1137" s="67">
        <f>R1137+V1137</f>
        <v>0</v>
      </c>
      <c r="Y1137" s="67">
        <f t="shared" si="391"/>
        <v>5403040.8499999996</v>
      </c>
      <c r="Z1137" s="67">
        <f t="shared" si="392"/>
        <v>0</v>
      </c>
      <c r="AA1137" s="67">
        <f t="shared" si="393"/>
        <v>5403040.8499999996</v>
      </c>
      <c r="AB1137" s="67">
        <f t="shared" si="394"/>
        <v>0</v>
      </c>
      <c r="AD1137" s="94"/>
      <c r="AE1137" s="94"/>
      <c r="AF1137" s="94"/>
      <c r="AG1137" s="94"/>
      <c r="AH1137" s="94"/>
      <c r="AI1137" s="94"/>
      <c r="AJ1137" s="94"/>
      <c r="AK1137" s="94"/>
      <c r="AL1137" s="94"/>
      <c r="AM1137" s="94"/>
      <c r="AN1137" s="94"/>
      <c r="AO1137" s="94"/>
      <c r="AP1137" s="94"/>
      <c r="AQ1137" s="94"/>
      <c r="AX1137" s="4"/>
    </row>
    <row r="1138" spans="1:50" ht="15.75" customHeight="1" x14ac:dyDescent="0.25">
      <c r="A1138" s="4"/>
      <c r="B1138" s="4"/>
      <c r="C1138" s="4" t="s">
        <v>298</v>
      </c>
      <c r="D1138" s="55">
        <v>4600000</v>
      </c>
      <c r="E1138" s="55">
        <v>4600000</v>
      </c>
      <c r="F1138" s="55"/>
      <c r="G1138" s="55"/>
      <c r="H1138" s="55">
        <f>+E1138+F1138</f>
        <v>4600000</v>
      </c>
      <c r="I1138" s="55"/>
      <c r="J1138" s="55"/>
      <c r="K1138" s="55"/>
      <c r="L1138" s="55"/>
      <c r="M1138" s="55"/>
      <c r="N1138" s="55">
        <f>+H1138+L1138</f>
        <v>4600000</v>
      </c>
      <c r="O1138" s="55">
        <v>0</v>
      </c>
      <c r="P1138" s="55"/>
      <c r="Q1138" s="55"/>
      <c r="R1138" s="55">
        <f>+O1138+P1138</f>
        <v>0</v>
      </c>
      <c r="S1138" s="55"/>
      <c r="T1138" s="55"/>
      <c r="U1138" s="55"/>
      <c r="V1138" s="55"/>
      <c r="W1138" s="55"/>
      <c r="X1138" s="55">
        <f>+R1138+V1138</f>
        <v>0</v>
      </c>
      <c r="Y1138" s="67">
        <f t="shared" si="391"/>
        <v>4600000</v>
      </c>
      <c r="Z1138" s="67">
        <f t="shared" si="392"/>
        <v>0</v>
      </c>
      <c r="AA1138" s="67">
        <f t="shared" si="393"/>
        <v>4600000</v>
      </c>
      <c r="AB1138" s="67">
        <f t="shared" si="394"/>
        <v>0</v>
      </c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</row>
    <row r="1139" spans="1:50" ht="15.75" customHeight="1" x14ac:dyDescent="0.25">
      <c r="A1139" s="46"/>
      <c r="B1139" s="26"/>
      <c r="C1139" s="2" t="s">
        <v>37</v>
      </c>
      <c r="D1139" s="67">
        <v>121199502.33</v>
      </c>
      <c r="E1139" s="67">
        <v>0</v>
      </c>
      <c r="F1139" s="68"/>
      <c r="G1139" s="68"/>
      <c r="H1139" s="67">
        <f>E1139+F1139</f>
        <v>0</v>
      </c>
      <c r="I1139" s="68"/>
      <c r="J1139" s="68"/>
      <c r="K1139" s="68"/>
      <c r="L1139" s="67"/>
      <c r="M1139" s="67"/>
      <c r="N1139" s="67">
        <f>H1139+L1139</f>
        <v>0</v>
      </c>
      <c r="O1139" s="67">
        <v>0</v>
      </c>
      <c r="P1139" s="68"/>
      <c r="Q1139" s="68"/>
      <c r="R1139" s="67">
        <f>O1139+P1139</f>
        <v>0</v>
      </c>
      <c r="S1139" s="68"/>
      <c r="T1139" s="68"/>
      <c r="U1139" s="68"/>
      <c r="V1139" s="67"/>
      <c r="W1139" s="67"/>
      <c r="X1139" s="67">
        <f>R1139+V1139</f>
        <v>0</v>
      </c>
      <c r="Y1139" s="67">
        <f t="shared" si="391"/>
        <v>0</v>
      </c>
      <c r="Z1139" s="67">
        <f t="shared" si="392"/>
        <v>121199502.33</v>
      </c>
      <c r="AA1139" s="67">
        <f t="shared" si="393"/>
        <v>0</v>
      </c>
      <c r="AB1139" s="67">
        <f t="shared" si="394"/>
        <v>121199502.33</v>
      </c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O1139" s="94"/>
      <c r="AP1139" s="94"/>
      <c r="AQ1139" s="94"/>
      <c r="AS1139" s="4"/>
      <c r="AT1139" s="4"/>
      <c r="AV1139" s="4"/>
      <c r="AW1139" s="4"/>
    </row>
    <row r="1140" spans="1:50" ht="15.75" customHeight="1" x14ac:dyDescent="0.25">
      <c r="A1140" s="46"/>
      <c r="B1140" s="26"/>
      <c r="C1140" s="8" t="s">
        <v>39</v>
      </c>
      <c r="D1140" s="67">
        <v>1937062.94</v>
      </c>
      <c r="E1140" s="67">
        <v>0</v>
      </c>
      <c r="F1140" s="68"/>
      <c r="G1140" s="68"/>
      <c r="H1140" s="67">
        <f>E1140+F1140</f>
        <v>0</v>
      </c>
      <c r="I1140" s="68"/>
      <c r="J1140" s="68"/>
      <c r="K1140" s="68"/>
      <c r="L1140" s="67"/>
      <c r="M1140" s="67"/>
      <c r="N1140" s="67">
        <f>H1140+L1140</f>
        <v>0</v>
      </c>
      <c r="O1140" s="67">
        <v>0</v>
      </c>
      <c r="P1140" s="68"/>
      <c r="Q1140" s="68"/>
      <c r="R1140" s="67">
        <f>O1140+P1140</f>
        <v>0</v>
      </c>
      <c r="S1140" s="68"/>
      <c r="T1140" s="68"/>
      <c r="U1140" s="68"/>
      <c r="V1140" s="67"/>
      <c r="W1140" s="67"/>
      <c r="X1140" s="67">
        <f>R1140+V1140</f>
        <v>0</v>
      </c>
      <c r="Y1140" s="67">
        <f t="shared" si="391"/>
        <v>0</v>
      </c>
      <c r="Z1140" s="67">
        <f t="shared" si="392"/>
        <v>1937062.94</v>
      </c>
      <c r="AA1140" s="67">
        <f t="shared" si="393"/>
        <v>0</v>
      </c>
      <c r="AB1140" s="67">
        <f t="shared" si="394"/>
        <v>1937062.94</v>
      </c>
      <c r="AD1140" s="94"/>
      <c r="AE1140" s="94"/>
      <c r="AF1140" s="94"/>
      <c r="AG1140" s="94"/>
      <c r="AH1140" s="94"/>
      <c r="AI1140" s="94"/>
      <c r="AJ1140" s="94"/>
      <c r="AK1140" s="94"/>
      <c r="AL1140" s="94"/>
      <c r="AM1140" s="94"/>
      <c r="AN1140" s="94"/>
      <c r="AO1140" s="94"/>
      <c r="AP1140" s="94"/>
      <c r="AQ1140" s="94"/>
      <c r="AS1140" s="4"/>
      <c r="AU1140" s="4"/>
    </row>
    <row r="1141" spans="1:50" ht="15.75" customHeight="1" x14ac:dyDescent="0.25">
      <c r="A1141" s="46"/>
      <c r="B1141" s="26"/>
      <c r="C1141" s="4"/>
      <c r="D1141" s="70" t="s">
        <v>40</v>
      </c>
      <c r="E1141" s="70" t="s">
        <v>40</v>
      </c>
      <c r="F1141" s="70" t="s">
        <v>40</v>
      </c>
      <c r="G1141" s="70"/>
      <c r="H1141" s="70" t="s">
        <v>40</v>
      </c>
      <c r="I1141" s="70" t="s">
        <v>40</v>
      </c>
      <c r="J1141" s="70" t="s">
        <v>40</v>
      </c>
      <c r="K1141" s="70" t="s">
        <v>40</v>
      </c>
      <c r="L1141" s="70" t="s">
        <v>40</v>
      </c>
      <c r="M1141" s="70"/>
      <c r="N1141" s="70" t="s">
        <v>40</v>
      </c>
      <c r="O1141" s="70" t="s">
        <v>40</v>
      </c>
      <c r="P1141" s="70" t="s">
        <v>40</v>
      </c>
      <c r="Q1141" s="70"/>
      <c r="R1141" s="70" t="s">
        <v>40</v>
      </c>
      <c r="S1141" s="70" t="s">
        <v>40</v>
      </c>
      <c r="T1141" s="70" t="s">
        <v>40</v>
      </c>
      <c r="U1141" s="70" t="s">
        <v>40</v>
      </c>
      <c r="V1141" s="70" t="s">
        <v>40</v>
      </c>
      <c r="W1141" s="70"/>
      <c r="X1141" s="70" t="s">
        <v>40</v>
      </c>
      <c r="Y1141" s="70" t="s">
        <v>40</v>
      </c>
      <c r="Z1141" s="70" t="s">
        <v>40</v>
      </c>
      <c r="AA1141" s="70" t="s">
        <v>40</v>
      </c>
      <c r="AB1141" s="70" t="s">
        <v>40</v>
      </c>
      <c r="AD1141" s="94"/>
      <c r="AE1141" s="94"/>
      <c r="AF1141" s="94"/>
      <c r="AG1141" s="94"/>
      <c r="AH1141" s="94"/>
      <c r="AI1141" s="94"/>
      <c r="AJ1141" s="94"/>
      <c r="AK1141" s="94"/>
      <c r="AL1141" s="94"/>
      <c r="AM1141" s="94"/>
      <c r="AN1141" s="94"/>
      <c r="AO1141" s="94"/>
      <c r="AP1141" s="94"/>
      <c r="AQ1141" s="94"/>
      <c r="AR1141" s="4"/>
    </row>
    <row r="1142" spans="1:50" ht="15.75" customHeight="1" x14ac:dyDescent="0.25">
      <c r="A1142" s="46"/>
      <c r="B1142" s="26"/>
      <c r="C1142" s="4"/>
      <c r="D1142" s="67">
        <f>SUM(D1135:D1140)</f>
        <v>206365019.25</v>
      </c>
      <c r="E1142" s="67">
        <f>SUM(E1135:E1140)</f>
        <v>16774906.85</v>
      </c>
      <c r="F1142" s="67">
        <f>SUM(F1135:F1140)</f>
        <v>0</v>
      </c>
      <c r="G1142" s="67"/>
      <c r="H1142" s="67">
        <f>SUM(H1135:H1140)</f>
        <v>16774906.85</v>
      </c>
      <c r="I1142" s="67">
        <f>SUM(I1135:I1140)</f>
        <v>0</v>
      </c>
      <c r="J1142" s="67">
        <f>SUM(J1135:J1140)</f>
        <v>0</v>
      </c>
      <c r="K1142" s="67">
        <f>SUM(K1135:K1140)</f>
        <v>0</v>
      </c>
      <c r="L1142" s="67">
        <f>SUM(L1135:L1140)</f>
        <v>0</v>
      </c>
      <c r="M1142" s="67"/>
      <c r="N1142" s="67">
        <f>SUM(N1135:N1140)</f>
        <v>16774906.85</v>
      </c>
      <c r="O1142" s="67">
        <f>SUM(O1135:O1140)</f>
        <v>271341.73</v>
      </c>
      <c r="P1142" s="67">
        <f>SUM(P1135:P1140)</f>
        <v>0</v>
      </c>
      <c r="Q1142" s="67"/>
      <c r="R1142" s="67">
        <f>SUM(R1135:R1140)</f>
        <v>271341.73</v>
      </c>
      <c r="S1142" s="67">
        <f>SUM(S1135:S1140)</f>
        <v>248021.49</v>
      </c>
      <c r="T1142" s="67">
        <f>SUM(T1135:T1140)</f>
        <v>0</v>
      </c>
      <c r="U1142" s="67">
        <f>SUM(U1135:U1140)</f>
        <v>0</v>
      </c>
      <c r="V1142" s="67">
        <f>SUM(V1135:V1140)</f>
        <v>0</v>
      </c>
      <c r="W1142" s="67"/>
      <c r="X1142" s="67">
        <f>SUM(X1135:X1140)</f>
        <v>271341.73</v>
      </c>
      <c r="Y1142" s="67">
        <f>SUM(Y1135:Y1140)</f>
        <v>17046248.579999998</v>
      </c>
      <c r="Z1142" s="67">
        <f>SUM(Z1135:Z1140)</f>
        <v>189318770.66999999</v>
      </c>
      <c r="AA1142" s="67">
        <f>SUM(AA1135:AA1140)</f>
        <v>17046248.579999998</v>
      </c>
      <c r="AB1142" s="67">
        <f>SUM(AB1135:AB1140)</f>
        <v>189318770.66999999</v>
      </c>
      <c r="AD1142" s="94"/>
      <c r="AE1142" s="94"/>
      <c r="AF1142" s="94"/>
      <c r="AG1142" s="94"/>
      <c r="AH1142" s="94"/>
      <c r="AI1142" s="94"/>
      <c r="AJ1142" s="94"/>
      <c r="AK1142" s="94"/>
      <c r="AL1142" s="94"/>
      <c r="AM1142" s="94"/>
      <c r="AN1142" s="94"/>
      <c r="AO1142" s="94"/>
      <c r="AP1142" s="94"/>
      <c r="AQ1142" s="94"/>
      <c r="AR1142" s="4"/>
    </row>
    <row r="1143" spans="1:50" ht="15.75" customHeight="1" x14ac:dyDescent="0.25">
      <c r="A1143" s="46"/>
      <c r="B1143" s="26"/>
      <c r="C1143" s="4"/>
      <c r="D1143" s="70" t="s">
        <v>40</v>
      </c>
      <c r="E1143" s="70" t="s">
        <v>40</v>
      </c>
      <c r="F1143" s="70" t="s">
        <v>40</v>
      </c>
      <c r="G1143" s="70"/>
      <c r="H1143" s="70" t="s">
        <v>40</v>
      </c>
      <c r="I1143" s="70" t="s">
        <v>40</v>
      </c>
      <c r="J1143" s="70" t="s">
        <v>40</v>
      </c>
      <c r="K1143" s="70" t="s">
        <v>40</v>
      </c>
      <c r="L1143" s="70" t="s">
        <v>40</v>
      </c>
      <c r="M1143" s="70"/>
      <c r="N1143" s="70" t="s">
        <v>40</v>
      </c>
      <c r="O1143" s="70" t="s">
        <v>40</v>
      </c>
      <c r="P1143" s="70" t="s">
        <v>40</v>
      </c>
      <c r="Q1143" s="70"/>
      <c r="R1143" s="70" t="s">
        <v>40</v>
      </c>
      <c r="S1143" s="70" t="s">
        <v>40</v>
      </c>
      <c r="T1143" s="70" t="s">
        <v>40</v>
      </c>
      <c r="U1143" s="70" t="s">
        <v>40</v>
      </c>
      <c r="V1143" s="70" t="s">
        <v>40</v>
      </c>
      <c r="W1143" s="70"/>
      <c r="X1143" s="70" t="s">
        <v>40</v>
      </c>
      <c r="Y1143" s="70" t="s">
        <v>40</v>
      </c>
      <c r="Z1143" s="70" t="s">
        <v>40</v>
      </c>
      <c r="AA1143" s="70" t="s">
        <v>40</v>
      </c>
      <c r="AB1143" s="70" t="s">
        <v>40</v>
      </c>
      <c r="AD1143" s="94"/>
      <c r="AE1143" s="94"/>
      <c r="AF1143" s="94"/>
      <c r="AG1143" s="94"/>
      <c r="AH1143" s="94"/>
      <c r="AI1143" s="94"/>
      <c r="AJ1143" s="94"/>
      <c r="AK1143" s="94"/>
      <c r="AL1143" s="94"/>
      <c r="AM1143" s="94"/>
      <c r="AN1143" s="94"/>
      <c r="AO1143" s="94"/>
      <c r="AP1143" s="94"/>
      <c r="AQ1143" s="94"/>
      <c r="AS1143" s="4"/>
      <c r="AT1143" s="4"/>
      <c r="AV1143" s="4"/>
      <c r="AW1143" s="4"/>
    </row>
    <row r="1144" spans="1:50" ht="15.75" customHeight="1" x14ac:dyDescent="0.25">
      <c r="A1144" s="46"/>
      <c r="B1144" s="26"/>
      <c r="C1144" s="4"/>
      <c r="D1144" s="70"/>
      <c r="E1144" s="70"/>
      <c r="F1144" s="70"/>
      <c r="G1144" s="70"/>
      <c r="H1144" s="70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70"/>
      <c r="AC1144" s="49" t="s">
        <v>317</v>
      </c>
      <c r="AD1144" s="94">
        <f>+D1120+D1136</f>
        <v>6771866</v>
      </c>
      <c r="AE1144" s="94">
        <f>+E1120+E1136</f>
        <v>6771866</v>
      </c>
      <c r="AF1144" s="94">
        <f>+F1120+F1136</f>
        <v>0</v>
      </c>
      <c r="AG1144" s="94">
        <f>+AE1144+AF1144</f>
        <v>6771866</v>
      </c>
      <c r="AH1144" s="94">
        <f>+L1120+L1136</f>
        <v>0</v>
      </c>
      <c r="AI1144" s="94">
        <f>+AG1144+AH1144</f>
        <v>6771866</v>
      </c>
      <c r="AJ1144" s="94">
        <f>+O1120+O1136</f>
        <v>0</v>
      </c>
      <c r="AK1144" s="94">
        <f>+P1120+P1136</f>
        <v>0</v>
      </c>
      <c r="AL1144" s="94">
        <f>+AJ1144+AK1144</f>
        <v>0</v>
      </c>
      <c r="AM1144" s="94">
        <f>+V1120+V1136</f>
        <v>0</v>
      </c>
      <c r="AN1144" s="94">
        <f>+AL1144+AM1144</f>
        <v>0</v>
      </c>
      <c r="AO1144" s="94">
        <f>+AG1144+AL1144</f>
        <v>6771866</v>
      </c>
      <c r="AP1144" s="94">
        <f>+AD1144-AO1144</f>
        <v>0</v>
      </c>
      <c r="AQ1144" s="94">
        <f>+AD1144-AI1144-AN1144</f>
        <v>0</v>
      </c>
      <c r="AU1144" s="4"/>
    </row>
    <row r="1145" spans="1:50" ht="24" customHeight="1" x14ac:dyDescent="0.25">
      <c r="A1145" s="46">
        <v>121</v>
      </c>
      <c r="B1145" s="39" t="s">
        <v>140</v>
      </c>
      <c r="C1145" s="3" t="s">
        <v>35</v>
      </c>
      <c r="D1145" s="67">
        <f>13396688.37-346395</f>
        <v>13050293.369999999</v>
      </c>
      <c r="E1145" s="67">
        <v>0</v>
      </c>
      <c r="F1145" s="68"/>
      <c r="G1145" s="68"/>
      <c r="H1145" s="67">
        <f>E1145+F1145</f>
        <v>0</v>
      </c>
      <c r="I1145" s="68"/>
      <c r="J1145" s="68"/>
      <c r="K1145" s="68"/>
      <c r="L1145" s="67"/>
      <c r="M1145" s="67"/>
      <c r="N1145" s="67">
        <f>H1145+L1145</f>
        <v>0</v>
      </c>
      <c r="O1145" s="67">
        <v>0</v>
      </c>
      <c r="P1145" s="68"/>
      <c r="Q1145" s="68"/>
      <c r="R1145" s="67">
        <f>O1145+P1145</f>
        <v>0</v>
      </c>
      <c r="S1145" s="68"/>
      <c r="T1145" s="68"/>
      <c r="U1145" s="68"/>
      <c r="V1145" s="67"/>
      <c r="W1145" s="67"/>
      <c r="X1145" s="67">
        <f>R1145+V1145</f>
        <v>0</v>
      </c>
      <c r="Y1145" s="67">
        <f>R1145+H1145</f>
        <v>0</v>
      </c>
      <c r="Z1145" s="67">
        <f>D1145-Y1145</f>
        <v>13050293.369999999</v>
      </c>
      <c r="AA1145" s="67">
        <f>N1145+X1145</f>
        <v>0</v>
      </c>
      <c r="AB1145" s="67">
        <f>+D1145-N1145-X1145</f>
        <v>13050293.369999999</v>
      </c>
      <c r="AC1145" s="49" t="s">
        <v>298</v>
      </c>
      <c r="AD1145" s="94">
        <f>+D1138+D1119+D1146</f>
        <v>15100000</v>
      </c>
      <c r="AE1145" s="94">
        <f>+E1138+E1119+E1146</f>
        <v>15100000</v>
      </c>
      <c r="AF1145" s="94">
        <f>+F1138+F1119+F1146</f>
        <v>0</v>
      </c>
      <c r="AG1145" s="94">
        <f>+AE1145+AF1145</f>
        <v>15100000</v>
      </c>
      <c r="AH1145" s="94">
        <f>+L1138+L1119</f>
        <v>0</v>
      </c>
      <c r="AI1145" s="94">
        <f>+AG1145+AH1145</f>
        <v>15100000</v>
      </c>
      <c r="AJ1145" s="94">
        <f>+O1138+O1119</f>
        <v>0</v>
      </c>
      <c r="AK1145" s="94">
        <f>+P1138+P1119</f>
        <v>0</v>
      </c>
      <c r="AL1145" s="94">
        <f>+AJ1145+AK1145</f>
        <v>0</v>
      </c>
      <c r="AM1145" s="94">
        <f>+V1138+V1119</f>
        <v>0</v>
      </c>
      <c r="AN1145" s="94">
        <f>+AL1145+AM1145</f>
        <v>0</v>
      </c>
      <c r="AO1145" s="94">
        <f>+AG1145+AL1145</f>
        <v>15100000</v>
      </c>
      <c r="AP1145" s="94">
        <f>+AD1145-AO1145</f>
        <v>0</v>
      </c>
      <c r="AQ1145" s="94">
        <f>+AD1145-AI1145-AN1145</f>
        <v>0</v>
      </c>
    </row>
    <row r="1146" spans="1:50" ht="15.75" customHeight="1" x14ac:dyDescent="0.25">
      <c r="A1146" s="4"/>
      <c r="B1146" s="4"/>
      <c r="C1146" s="4" t="s">
        <v>298</v>
      </c>
      <c r="D1146" s="95">
        <v>8000000</v>
      </c>
      <c r="E1146" s="95">
        <v>8000000</v>
      </c>
      <c r="F1146" s="95"/>
      <c r="G1146" s="95"/>
      <c r="H1146" s="121">
        <f>+E1146+F1146</f>
        <v>8000000</v>
      </c>
      <c r="I1146" s="95"/>
      <c r="J1146" s="95"/>
      <c r="K1146" s="95"/>
      <c r="L1146" s="95"/>
      <c r="M1146" s="95"/>
      <c r="N1146" s="95">
        <f>+H1146+L1146</f>
        <v>8000000</v>
      </c>
      <c r="O1146" s="121">
        <v>0</v>
      </c>
      <c r="P1146" s="121"/>
      <c r="Q1146" s="121"/>
      <c r="R1146" s="121">
        <f>+O1146+P1146</f>
        <v>0</v>
      </c>
      <c r="S1146" s="95"/>
      <c r="T1146" s="95"/>
      <c r="U1146" s="95"/>
      <c r="V1146" s="95"/>
      <c r="W1146" s="95"/>
      <c r="X1146" s="95">
        <f>+R1146+V1146</f>
        <v>0</v>
      </c>
      <c r="Y1146" s="67">
        <f>R1146+H1146</f>
        <v>8000000</v>
      </c>
      <c r="Z1146" s="67">
        <f>D1146-Y1146</f>
        <v>0</v>
      </c>
      <c r="AA1146" s="67">
        <f>N1146+X1146</f>
        <v>8000000</v>
      </c>
      <c r="AB1146" s="67">
        <f>+D1146-N1146-X1146</f>
        <v>0</v>
      </c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</row>
    <row r="1147" spans="1:50" ht="15.75" customHeight="1" x14ac:dyDescent="0.25">
      <c r="A1147" s="46"/>
      <c r="B1147" s="26"/>
      <c r="C1147" s="3" t="s">
        <v>36</v>
      </c>
      <c r="D1147" s="67">
        <v>105081.2</v>
      </c>
      <c r="E1147" s="67">
        <v>105081.2</v>
      </c>
      <c r="F1147" s="68"/>
      <c r="G1147" s="68"/>
      <c r="H1147" s="67">
        <f>E1147+F1147</f>
        <v>105081.2</v>
      </c>
      <c r="I1147" s="68"/>
      <c r="J1147" s="68"/>
      <c r="K1147" s="68"/>
      <c r="L1147" s="67"/>
      <c r="M1147" s="67"/>
      <c r="N1147" s="67">
        <f>H1147+L1147</f>
        <v>105081.2</v>
      </c>
      <c r="O1147" s="67">
        <v>0</v>
      </c>
      <c r="P1147" s="68"/>
      <c r="Q1147" s="68"/>
      <c r="R1147" s="67">
        <f>O1147+P1147</f>
        <v>0</v>
      </c>
      <c r="S1147" s="68"/>
      <c r="T1147" s="68"/>
      <c r="U1147" s="68"/>
      <c r="V1147" s="67"/>
      <c r="W1147" s="67"/>
      <c r="X1147" s="67">
        <f>R1147+V1147</f>
        <v>0</v>
      </c>
      <c r="Y1147" s="67">
        <f>R1147+H1147</f>
        <v>105081.2</v>
      </c>
      <c r="Z1147" s="67">
        <f>D1147-Y1147</f>
        <v>0</v>
      </c>
      <c r="AA1147" s="67">
        <f>N1147+X1147</f>
        <v>105081.2</v>
      </c>
      <c r="AB1147" s="67">
        <f>+D1147-N1147-X1147</f>
        <v>0</v>
      </c>
      <c r="AC1147" s="49" t="s">
        <v>47</v>
      </c>
      <c r="AD1147" s="94">
        <f>D1117+D1127+D1135+D1145</f>
        <v>243196505.19999999</v>
      </c>
      <c r="AE1147" s="94">
        <f>E1117+E1127+E1135+E1145</f>
        <v>15000000</v>
      </c>
      <c r="AF1147" s="94">
        <f>F1117+F1127+F1135+F1145</f>
        <v>0</v>
      </c>
      <c r="AG1147" s="94">
        <f>+AE1147+AF1147</f>
        <v>15000000</v>
      </c>
      <c r="AH1147" s="94">
        <f>L1117+L1127+L1135+L1145</f>
        <v>0</v>
      </c>
      <c r="AI1147" s="94">
        <f>+AG1147+AH1147</f>
        <v>15000000</v>
      </c>
      <c r="AJ1147" s="94">
        <f>O1117+O1127+O1135+O1145</f>
        <v>10855731.539999999</v>
      </c>
      <c r="AK1147" s="94">
        <f>P1117+P1127+P1135+P1145</f>
        <v>772910.16</v>
      </c>
      <c r="AL1147" s="94">
        <f>+AJ1147+AK1147</f>
        <v>11628641.699999999</v>
      </c>
      <c r="AM1147" s="94">
        <f>V1117+V1127+V1135+V1145</f>
        <v>0</v>
      </c>
      <c r="AN1147" s="94">
        <f>+AL1147+AM1147</f>
        <v>11628641.699999999</v>
      </c>
      <c r="AO1147" s="94">
        <f>+AG1147+AL1147</f>
        <v>26628641.699999999</v>
      </c>
      <c r="AP1147" s="94">
        <f>+AD1147-AO1147-0.2</f>
        <v>216567863.30000001</v>
      </c>
      <c r="AQ1147" s="94">
        <f>+AD1147-AI1147-AN1147</f>
        <v>216567863.5</v>
      </c>
    </row>
    <row r="1148" spans="1:50" ht="15.75" customHeight="1" x14ac:dyDescent="0.25">
      <c r="A1148" s="46"/>
      <c r="B1148" s="26"/>
      <c r="C1148" s="3" t="s">
        <v>53</v>
      </c>
      <c r="D1148" s="67">
        <f>4326610.51+346395</f>
        <v>4673005.51</v>
      </c>
      <c r="E1148" s="67">
        <v>0</v>
      </c>
      <c r="F1148" s="68"/>
      <c r="G1148" s="68"/>
      <c r="H1148" s="67">
        <f>E1148+F1148</f>
        <v>0</v>
      </c>
      <c r="I1148" s="68"/>
      <c r="J1148" s="68"/>
      <c r="K1148" s="68"/>
      <c r="L1148" s="67"/>
      <c r="M1148" s="67"/>
      <c r="N1148" s="67">
        <f>H1148+L1148</f>
        <v>0</v>
      </c>
      <c r="O1148" s="67">
        <v>4673005.51</v>
      </c>
      <c r="P1148" s="68"/>
      <c r="Q1148" s="68"/>
      <c r="R1148" s="67">
        <f>O1148+P1148</f>
        <v>4673005.51</v>
      </c>
      <c r="S1148" s="68"/>
      <c r="T1148" s="68"/>
      <c r="U1148" s="68"/>
      <c r="V1148" s="67"/>
      <c r="W1148" s="67"/>
      <c r="X1148" s="67">
        <f>R1148+V1148</f>
        <v>4673005.51</v>
      </c>
      <c r="Y1148" s="67">
        <f>R1148+H1148</f>
        <v>4673005.51</v>
      </c>
      <c r="Z1148" s="67">
        <f>D1148-Y1148</f>
        <v>0</v>
      </c>
      <c r="AA1148" s="67">
        <f>N1148+X1148</f>
        <v>4673005.51</v>
      </c>
      <c r="AB1148" s="67">
        <f>+D1148-N1148-X1148</f>
        <v>0</v>
      </c>
      <c r="AC1148" s="49" t="s">
        <v>36</v>
      </c>
      <c r="AD1148" s="94">
        <f>D1121+D1128+D1137+D1147</f>
        <v>7544421.9100000001</v>
      </c>
      <c r="AE1148" s="94">
        <f>E1121+E1128+E1137+E1147</f>
        <v>7544421.9100000001</v>
      </c>
      <c r="AF1148" s="94">
        <f>F1118+F1128+F1137+F1147</f>
        <v>0</v>
      </c>
      <c r="AG1148" s="94">
        <f t="shared" ref="AG1148:AG1153" si="395">+AE1148+AF1148</f>
        <v>7544421.9100000001</v>
      </c>
      <c r="AH1148" s="94">
        <f>L1118+L1128+L1137+L1147</f>
        <v>0</v>
      </c>
      <c r="AI1148" s="94">
        <f t="shared" ref="AI1148:AI1153" si="396">+AG1148+AH1148</f>
        <v>7544421.9100000001</v>
      </c>
      <c r="AJ1148" s="94">
        <f>O1118+O1128+O1137+O1147</f>
        <v>0</v>
      </c>
      <c r="AK1148" s="94">
        <f>P1118+P1128+P1137+P1147</f>
        <v>0</v>
      </c>
      <c r="AL1148" s="94">
        <f t="shared" ref="AL1148:AL1153" si="397">+AJ1148+AK1148</f>
        <v>0</v>
      </c>
      <c r="AM1148" s="94">
        <f>V1118+V1128+V1137+V1147</f>
        <v>0</v>
      </c>
      <c r="AN1148" s="94">
        <f>+AL1148+AM1148</f>
        <v>0</v>
      </c>
      <c r="AO1148" s="94">
        <f t="shared" ref="AO1148:AO1153" si="398">+AG1148+AL1148</f>
        <v>7544421.9100000001</v>
      </c>
      <c r="AP1148" s="94">
        <f t="shared" ref="AP1148:AP1153" si="399">+AD1148-AO1148</f>
        <v>0</v>
      </c>
      <c r="AQ1148" s="94">
        <f t="shared" ref="AQ1148:AQ1153" si="400">+AD1148-AI1148-AN1148</f>
        <v>0</v>
      </c>
    </row>
    <row r="1149" spans="1:50" ht="15.75" customHeight="1" x14ac:dyDescent="0.25">
      <c r="A1149" s="46"/>
      <c r="B1149" s="26"/>
      <c r="C1149" s="3" t="s">
        <v>54</v>
      </c>
      <c r="D1149" s="67">
        <f>826777.86+4777118.4</f>
        <v>5603896.2600000007</v>
      </c>
      <c r="E1149" s="67">
        <v>0</v>
      </c>
      <c r="F1149" s="68"/>
      <c r="G1149" s="68"/>
      <c r="H1149" s="67">
        <f>E1149+F1149</f>
        <v>0</v>
      </c>
      <c r="I1149" s="68"/>
      <c r="J1149" s="68"/>
      <c r="K1149" s="68"/>
      <c r="L1149" s="67"/>
      <c r="M1149" s="67"/>
      <c r="N1149" s="67">
        <f>H1149+L1149</f>
        <v>0</v>
      </c>
      <c r="O1149" s="67">
        <v>5603896.2599999998</v>
      </c>
      <c r="P1149" s="68"/>
      <c r="Q1149" s="68"/>
      <c r="R1149" s="67">
        <f>O1149+P1149</f>
        <v>5603896.2599999998</v>
      </c>
      <c r="S1149" s="68"/>
      <c r="T1149" s="68"/>
      <c r="U1149" s="68"/>
      <c r="V1149" s="67"/>
      <c r="W1149" s="67"/>
      <c r="X1149" s="67">
        <f>R1149+V1149</f>
        <v>5603896.2599999998</v>
      </c>
      <c r="Y1149" s="67">
        <f>R1149+H1149</f>
        <v>5603896.2599999998</v>
      </c>
      <c r="Z1149" s="67">
        <f>D1149-Y1149</f>
        <v>0</v>
      </c>
      <c r="AA1149" s="67">
        <f>N1149+X1149</f>
        <v>5603896.2599999998</v>
      </c>
      <c r="AB1149" s="67">
        <v>0</v>
      </c>
      <c r="AC1149" s="49" t="s">
        <v>254</v>
      </c>
      <c r="AD1149" s="94">
        <f>+D1118</f>
        <v>1000000</v>
      </c>
      <c r="AE1149" s="94">
        <f>+E1118</f>
        <v>1000000</v>
      </c>
      <c r="AF1149" s="94">
        <f>+F1118</f>
        <v>0</v>
      </c>
      <c r="AG1149" s="94">
        <f>+AE1149</f>
        <v>1000000</v>
      </c>
      <c r="AH1149" s="94">
        <f>+L1118</f>
        <v>0</v>
      </c>
      <c r="AI1149" s="94">
        <f>+AG1149</f>
        <v>1000000</v>
      </c>
      <c r="AJ1149" s="94">
        <f>+O1118</f>
        <v>0</v>
      </c>
      <c r="AK1149" s="94">
        <f>+P1118</f>
        <v>0</v>
      </c>
      <c r="AL1149" s="94">
        <f>+AJ1118</f>
        <v>0</v>
      </c>
      <c r="AM1149" s="94">
        <f>+V1118</f>
        <v>0</v>
      </c>
      <c r="AN1149" s="94">
        <f>+AL1149</f>
        <v>0</v>
      </c>
      <c r="AO1149" s="94">
        <f t="shared" si="398"/>
        <v>1000000</v>
      </c>
      <c r="AP1149" s="94">
        <f t="shared" si="399"/>
        <v>0</v>
      </c>
      <c r="AQ1149" s="94">
        <f>+R1118</f>
        <v>0</v>
      </c>
      <c r="AV1149" s="4"/>
    </row>
    <row r="1150" spans="1:50" ht="15.75" customHeight="1" x14ac:dyDescent="0.25">
      <c r="A1150" s="46"/>
      <c r="B1150" s="26"/>
      <c r="C1150" s="4"/>
      <c r="D1150" s="70" t="s">
        <v>40</v>
      </c>
      <c r="E1150" s="70" t="s">
        <v>40</v>
      </c>
      <c r="F1150" s="70" t="s">
        <v>40</v>
      </c>
      <c r="G1150" s="70"/>
      <c r="H1150" s="70" t="s">
        <v>40</v>
      </c>
      <c r="I1150" s="70" t="s">
        <v>40</v>
      </c>
      <c r="J1150" s="70" t="s">
        <v>40</v>
      </c>
      <c r="K1150" s="70" t="s">
        <v>40</v>
      </c>
      <c r="L1150" s="70" t="s">
        <v>40</v>
      </c>
      <c r="M1150" s="70"/>
      <c r="N1150" s="70" t="s">
        <v>40</v>
      </c>
      <c r="O1150" s="70" t="s">
        <v>40</v>
      </c>
      <c r="P1150" s="70" t="s">
        <v>40</v>
      </c>
      <c r="Q1150" s="70"/>
      <c r="R1150" s="70" t="s">
        <v>40</v>
      </c>
      <c r="S1150" s="70" t="s">
        <v>40</v>
      </c>
      <c r="T1150" s="70" t="s">
        <v>40</v>
      </c>
      <c r="U1150" s="70" t="s">
        <v>40</v>
      </c>
      <c r="V1150" s="70" t="s">
        <v>40</v>
      </c>
      <c r="W1150" s="70"/>
      <c r="X1150" s="70" t="s">
        <v>40</v>
      </c>
      <c r="Y1150" s="70" t="s">
        <v>40</v>
      </c>
      <c r="Z1150" s="70" t="s">
        <v>40</v>
      </c>
      <c r="AA1150" s="70" t="s">
        <v>40</v>
      </c>
      <c r="AB1150" s="70" t="s">
        <v>40</v>
      </c>
      <c r="AC1150" s="49" t="s">
        <v>183</v>
      </c>
      <c r="AD1150" s="94">
        <f>D1122+D1129+D1139</f>
        <v>134601544.66</v>
      </c>
      <c r="AE1150" s="94">
        <f>E1122+E1129+E1139</f>
        <v>0</v>
      </c>
      <c r="AF1150" s="94">
        <f>F1122+F1129+F1139</f>
        <v>0</v>
      </c>
      <c r="AG1150" s="94">
        <f t="shared" si="395"/>
        <v>0</v>
      </c>
      <c r="AH1150" s="94">
        <f>H1122+H1129+H1139</f>
        <v>0</v>
      </c>
      <c r="AI1150" s="94">
        <f t="shared" si="396"/>
        <v>0</v>
      </c>
      <c r="AJ1150" s="94">
        <f>O1122+O1129+O1139</f>
        <v>0</v>
      </c>
      <c r="AK1150" s="94">
        <f>P1122+P1129+P1139</f>
        <v>0</v>
      </c>
      <c r="AL1150" s="94">
        <f t="shared" si="397"/>
        <v>0</v>
      </c>
      <c r="AM1150" s="94">
        <f>V1122+V1129+V1139</f>
        <v>0</v>
      </c>
      <c r="AN1150" s="94">
        <f>+AL1150+AM1150</f>
        <v>0</v>
      </c>
      <c r="AO1150" s="94">
        <f t="shared" si="398"/>
        <v>0</v>
      </c>
      <c r="AP1150" s="94">
        <f t="shared" si="399"/>
        <v>134601544.66</v>
      </c>
      <c r="AQ1150" s="94">
        <f t="shared" si="400"/>
        <v>134601544.66</v>
      </c>
      <c r="AT1150" s="4"/>
      <c r="AU1150" s="4"/>
    </row>
    <row r="1151" spans="1:50" ht="15.75" customHeight="1" x14ac:dyDescent="0.25">
      <c r="A1151" s="46"/>
      <c r="B1151" s="26"/>
      <c r="C1151" s="4"/>
      <c r="D1151" s="67">
        <f>SUM(D1145:D1149)</f>
        <v>31432276.34</v>
      </c>
      <c r="E1151" s="67">
        <f>SUM(E1145:E1149)</f>
        <v>8105081.2000000002</v>
      </c>
      <c r="F1151" s="67">
        <f>SUM(F1145:F1149)</f>
        <v>0</v>
      </c>
      <c r="G1151" s="67"/>
      <c r="H1151" s="67">
        <f>SUM(H1145:H1149)</f>
        <v>8105081.2000000002</v>
      </c>
      <c r="I1151" s="67">
        <f>SUM(I1145:I1149)</f>
        <v>0</v>
      </c>
      <c r="J1151" s="67">
        <f>SUM(J1145:J1149)</f>
        <v>0</v>
      </c>
      <c r="K1151" s="67">
        <f>SUM(K1145:K1149)</f>
        <v>0</v>
      </c>
      <c r="L1151" s="67">
        <f>SUM(L1145:L1149)</f>
        <v>0</v>
      </c>
      <c r="M1151" s="67"/>
      <c r="N1151" s="67">
        <f>SUM(N1145:N1149)</f>
        <v>8105081.2000000002</v>
      </c>
      <c r="O1151" s="67">
        <f>SUM(O1145:O1149)</f>
        <v>10276901.77</v>
      </c>
      <c r="P1151" s="67">
        <f>SUM(P1145:P1149)</f>
        <v>0</v>
      </c>
      <c r="Q1151" s="67"/>
      <c r="R1151" s="67">
        <f>SUM(R1145:R1149)</f>
        <v>10276901.77</v>
      </c>
      <c r="S1151" s="67">
        <f>SUM(S1145:S1149)</f>
        <v>0</v>
      </c>
      <c r="T1151" s="67">
        <f>SUM(T1145:T1149)</f>
        <v>0</v>
      </c>
      <c r="U1151" s="67">
        <f>SUM(U1145:U1149)</f>
        <v>0</v>
      </c>
      <c r="V1151" s="67">
        <f>SUM(V1145:V1149)</f>
        <v>0</v>
      </c>
      <c r="W1151" s="67"/>
      <c r="X1151" s="67">
        <f>SUM(X1145:X1149)</f>
        <v>10276901.77</v>
      </c>
      <c r="Y1151" s="67">
        <f>SUM(Y1145:Y1149)</f>
        <v>18381982.969999999</v>
      </c>
      <c r="Z1151" s="67">
        <f>SUM(Z1145:Z1149)</f>
        <v>13050293.369999999</v>
      </c>
      <c r="AA1151" s="67">
        <f>SUM(AA1145:AA1149)</f>
        <v>18381982.969999999</v>
      </c>
      <c r="AB1151" s="67">
        <f>SUM(AB1145:AB1149)</f>
        <v>13050293.369999999</v>
      </c>
      <c r="AC1151" s="50" t="s">
        <v>184</v>
      </c>
      <c r="AD1151" s="94">
        <f>D1130+D1140</f>
        <v>17095103.68</v>
      </c>
      <c r="AE1151" s="94">
        <f>E1130+E1140</f>
        <v>0</v>
      </c>
      <c r="AF1151" s="94">
        <f>F1130+F1140</f>
        <v>0</v>
      </c>
      <c r="AG1151" s="94">
        <f t="shared" si="395"/>
        <v>0</v>
      </c>
      <c r="AH1151" s="94">
        <f>H1130+H1140</f>
        <v>0</v>
      </c>
      <c r="AI1151" s="94">
        <f t="shared" si="396"/>
        <v>0</v>
      </c>
      <c r="AJ1151" s="94">
        <f>O1130+O1140</f>
        <v>12387.78</v>
      </c>
      <c r="AK1151" s="94">
        <f>P1130+P1140</f>
        <v>0</v>
      </c>
      <c r="AL1151" s="94">
        <f t="shared" si="397"/>
        <v>12387.78</v>
      </c>
      <c r="AM1151" s="94">
        <f>V1130+V1140</f>
        <v>0</v>
      </c>
      <c r="AN1151" s="94">
        <f>+AL1151+AM1151</f>
        <v>12387.78</v>
      </c>
      <c r="AO1151" s="94">
        <f t="shared" si="398"/>
        <v>12387.78</v>
      </c>
      <c r="AP1151" s="94">
        <f t="shared" si="399"/>
        <v>17082715.899999999</v>
      </c>
      <c r="AQ1151" s="94">
        <f t="shared" si="400"/>
        <v>17082715.899999999</v>
      </c>
      <c r="AR1151" s="4"/>
      <c r="AS1151" s="4"/>
    </row>
    <row r="1152" spans="1:50" ht="15.75" customHeight="1" x14ac:dyDescent="0.25">
      <c r="A1152" s="46"/>
      <c r="B1152" s="26"/>
      <c r="C1152" s="4"/>
      <c r="D1152" s="70" t="s">
        <v>40</v>
      </c>
      <c r="E1152" s="70" t="s">
        <v>40</v>
      </c>
      <c r="F1152" s="70" t="s">
        <v>40</v>
      </c>
      <c r="G1152" s="70"/>
      <c r="H1152" s="70" t="s">
        <v>40</v>
      </c>
      <c r="I1152" s="70" t="s">
        <v>40</v>
      </c>
      <c r="J1152" s="70" t="s">
        <v>40</v>
      </c>
      <c r="K1152" s="70" t="s">
        <v>40</v>
      </c>
      <c r="L1152" s="70" t="s">
        <v>40</v>
      </c>
      <c r="M1152" s="70"/>
      <c r="N1152" s="70" t="s">
        <v>40</v>
      </c>
      <c r="O1152" s="70" t="s">
        <v>40</v>
      </c>
      <c r="P1152" s="70" t="s">
        <v>40</v>
      </c>
      <c r="Q1152" s="70"/>
      <c r="R1152" s="70" t="s">
        <v>40</v>
      </c>
      <c r="S1152" s="70" t="s">
        <v>40</v>
      </c>
      <c r="T1152" s="70" t="s">
        <v>40</v>
      </c>
      <c r="U1152" s="70" t="s">
        <v>40</v>
      </c>
      <c r="V1152" s="70" t="s">
        <v>40</v>
      </c>
      <c r="W1152" s="70"/>
      <c r="X1152" s="70" t="s">
        <v>40</v>
      </c>
      <c r="Y1152" s="70" t="s">
        <v>40</v>
      </c>
      <c r="Z1152" s="70" t="s">
        <v>40</v>
      </c>
      <c r="AA1152" s="70" t="s">
        <v>40</v>
      </c>
      <c r="AB1152" s="70" t="s">
        <v>40</v>
      </c>
      <c r="AC1152" s="50" t="s">
        <v>53</v>
      </c>
      <c r="AD1152" s="94">
        <f t="shared" ref="AD1152:AF1153" si="401">+D1148</f>
        <v>4673005.51</v>
      </c>
      <c r="AE1152" s="94">
        <f t="shared" si="401"/>
        <v>0</v>
      </c>
      <c r="AF1152" s="94">
        <f t="shared" si="401"/>
        <v>0</v>
      </c>
      <c r="AG1152" s="94">
        <f t="shared" si="395"/>
        <v>0</v>
      </c>
      <c r="AH1152" s="94">
        <f>+H1148</f>
        <v>0</v>
      </c>
      <c r="AI1152" s="94">
        <f t="shared" si="396"/>
        <v>0</v>
      </c>
      <c r="AJ1152" s="94">
        <f>+O1148</f>
        <v>4673005.51</v>
      </c>
      <c r="AK1152" s="94">
        <f>+P1148</f>
        <v>0</v>
      </c>
      <c r="AL1152" s="94">
        <f t="shared" si="397"/>
        <v>4673005.51</v>
      </c>
      <c r="AM1152" s="94">
        <f>+V1148</f>
        <v>0</v>
      </c>
      <c r="AN1152" s="94">
        <f>+AL1152+AM1152</f>
        <v>4673005.51</v>
      </c>
      <c r="AO1152" s="94">
        <f t="shared" si="398"/>
        <v>4673005.51</v>
      </c>
      <c r="AP1152" s="94">
        <f t="shared" si="399"/>
        <v>0</v>
      </c>
      <c r="AQ1152" s="94">
        <f t="shared" si="400"/>
        <v>0</v>
      </c>
      <c r="AR1152" s="4"/>
    </row>
    <row r="1153" spans="1:46" ht="15.75" customHeight="1" x14ac:dyDescent="0.25">
      <c r="A1153" s="46"/>
      <c r="B1153" s="37" t="s">
        <v>26</v>
      </c>
      <c r="C1153" s="2" t="s">
        <v>123</v>
      </c>
      <c r="D1153" s="67">
        <f>D1124+D1132+D1142+D1151</f>
        <v>435586343.21999997</v>
      </c>
      <c r="E1153" s="67">
        <f>E1124+E1132+E1142+E1151</f>
        <v>45416287.910000004</v>
      </c>
      <c r="F1153" s="67">
        <f>F1124+F1132+F1142+F1151</f>
        <v>0</v>
      </c>
      <c r="G1153" s="67"/>
      <c r="H1153" s="67">
        <f>H1124+H1132+H1142+H1151</f>
        <v>45416287.910000004</v>
      </c>
      <c r="I1153" s="67">
        <f>I1124+I1132+I1142+I1151</f>
        <v>0</v>
      </c>
      <c r="J1153" s="67">
        <f>J1124+J1132+J1142+J1151</f>
        <v>0</v>
      </c>
      <c r="K1153" s="67">
        <f>K1124+K1132+K1142+K1151</f>
        <v>0</v>
      </c>
      <c r="L1153" s="67">
        <f>L1124+L1132+L1142+L1151</f>
        <v>0</v>
      </c>
      <c r="M1153" s="67"/>
      <c r="N1153" s="67">
        <f>N1124+N1132+N1142+N1151</f>
        <v>45416287.910000004</v>
      </c>
      <c r="O1153" s="67">
        <f>O1124+O1132+O1142+O1151</f>
        <v>21145021.09</v>
      </c>
      <c r="P1153" s="67">
        <f>P1124+P1132+P1142+P1151</f>
        <v>772910.16</v>
      </c>
      <c r="Q1153" s="67"/>
      <c r="R1153" s="67">
        <f>R1124+R1132+R1142+R1151</f>
        <v>21917931.25</v>
      </c>
      <c r="S1153" s="67">
        <f>S1124+S1132+S1142+S1151</f>
        <v>6180303.04</v>
      </c>
      <c r="T1153" s="67">
        <f>T1124+T1132+T1142+T1151</f>
        <v>4554143.84</v>
      </c>
      <c r="U1153" s="67">
        <f>U1124+U1132+U1142+U1151</f>
        <v>0</v>
      </c>
      <c r="V1153" s="67">
        <f>V1124+V1132+V1142+V1151</f>
        <v>0</v>
      </c>
      <c r="W1153" s="67"/>
      <c r="X1153" s="67">
        <f>X1124+X1132+X1142+X1151</f>
        <v>21917931.25</v>
      </c>
      <c r="Y1153" s="67">
        <f>Y1124+Y1132+Y1142+Y1151</f>
        <v>67334219.159999996</v>
      </c>
      <c r="Z1153" s="67">
        <f>Z1124+Z1132+Z1142+Z1151</f>
        <v>368252124.06</v>
      </c>
      <c r="AA1153" s="67">
        <f>AA1124+AA1132+AA1142+AA1151</f>
        <v>67334219.159999996</v>
      </c>
      <c r="AB1153" s="67">
        <f>AB1124+AB1132+AB1142+AB1151</f>
        <v>368252124.06</v>
      </c>
      <c r="AC1153" s="49" t="s">
        <v>54</v>
      </c>
      <c r="AD1153" s="94">
        <f t="shared" si="401"/>
        <v>5603896.2600000007</v>
      </c>
      <c r="AE1153" s="94">
        <f t="shared" si="401"/>
        <v>0</v>
      </c>
      <c r="AF1153" s="94">
        <f t="shared" si="401"/>
        <v>0</v>
      </c>
      <c r="AG1153" s="94">
        <f t="shared" si="395"/>
        <v>0</v>
      </c>
      <c r="AH1153" s="94">
        <f>+H1149</f>
        <v>0</v>
      </c>
      <c r="AI1153" s="94">
        <f t="shared" si="396"/>
        <v>0</v>
      </c>
      <c r="AJ1153" s="94">
        <f>+O1149</f>
        <v>5603896.2599999998</v>
      </c>
      <c r="AK1153" s="94">
        <f>+P1149</f>
        <v>0</v>
      </c>
      <c r="AL1153" s="94">
        <f t="shared" si="397"/>
        <v>5603896.2599999998</v>
      </c>
      <c r="AM1153" s="94">
        <f>+V1149</f>
        <v>0</v>
      </c>
      <c r="AN1153" s="94">
        <f>+AL1153+AM1153</f>
        <v>5603896.2599999998</v>
      </c>
      <c r="AO1153" s="94">
        <f t="shared" si="398"/>
        <v>5603896.2599999998</v>
      </c>
      <c r="AP1153" s="94">
        <f t="shared" si="399"/>
        <v>0</v>
      </c>
      <c r="AQ1153" s="94">
        <f t="shared" si="400"/>
        <v>0</v>
      </c>
      <c r="AS1153" s="4"/>
      <c r="AT1153" s="4"/>
    </row>
    <row r="1154" spans="1:46" ht="19.5" customHeight="1" x14ac:dyDescent="0.25">
      <c r="A1154" s="46"/>
      <c r="B1154" s="26"/>
      <c r="C1154" s="4"/>
      <c r="D1154" s="70" t="s">
        <v>50</v>
      </c>
      <c r="E1154" s="70" t="s">
        <v>50</v>
      </c>
      <c r="F1154" s="70" t="s">
        <v>50</v>
      </c>
      <c r="G1154" s="70"/>
      <c r="H1154" s="70" t="s">
        <v>50</v>
      </c>
      <c r="I1154" s="70" t="s">
        <v>50</v>
      </c>
      <c r="J1154" s="70" t="s">
        <v>50</v>
      </c>
      <c r="K1154" s="70" t="s">
        <v>50</v>
      </c>
      <c r="L1154" s="70" t="s">
        <v>50</v>
      </c>
      <c r="M1154" s="70"/>
      <c r="N1154" s="70" t="s">
        <v>50</v>
      </c>
      <c r="O1154" s="70" t="s">
        <v>50</v>
      </c>
      <c r="P1154" s="70" t="s">
        <v>50</v>
      </c>
      <c r="Q1154" s="70"/>
      <c r="R1154" s="70" t="s">
        <v>50</v>
      </c>
      <c r="S1154" s="70" t="s">
        <v>50</v>
      </c>
      <c r="T1154" s="70" t="s">
        <v>50</v>
      </c>
      <c r="U1154" s="70" t="s">
        <v>50</v>
      </c>
      <c r="V1154" s="70" t="s">
        <v>50</v>
      </c>
      <c r="W1154" s="70"/>
      <c r="X1154" s="70" t="s">
        <v>50</v>
      </c>
      <c r="Y1154" s="70" t="s">
        <v>50</v>
      </c>
      <c r="Z1154" s="70" t="s">
        <v>50</v>
      </c>
      <c r="AA1154" s="70" t="s">
        <v>50</v>
      </c>
      <c r="AB1154" s="70" t="s">
        <v>50</v>
      </c>
      <c r="AD1154" s="95">
        <f t="shared" ref="AD1154:AQ1154" si="402">SUM(AD1144:AD1153)</f>
        <v>435586343.21999997</v>
      </c>
      <c r="AE1154" s="95">
        <f t="shared" si="402"/>
        <v>45416287.909999996</v>
      </c>
      <c r="AF1154" s="95">
        <f t="shared" si="402"/>
        <v>0</v>
      </c>
      <c r="AG1154" s="95">
        <f t="shared" si="402"/>
        <v>45416287.909999996</v>
      </c>
      <c r="AH1154" s="95">
        <f t="shared" si="402"/>
        <v>0</v>
      </c>
      <c r="AI1154" s="95">
        <f t="shared" si="402"/>
        <v>45416287.909999996</v>
      </c>
      <c r="AJ1154" s="95">
        <f t="shared" si="402"/>
        <v>21145021.089999996</v>
      </c>
      <c r="AK1154" s="95">
        <f t="shared" si="402"/>
        <v>772910.16</v>
      </c>
      <c r="AL1154" s="95">
        <f t="shared" si="402"/>
        <v>21917931.25</v>
      </c>
      <c r="AM1154" s="95">
        <f t="shared" si="402"/>
        <v>0</v>
      </c>
      <c r="AN1154" s="95">
        <f t="shared" si="402"/>
        <v>21917931.25</v>
      </c>
      <c r="AO1154" s="95">
        <f t="shared" si="402"/>
        <v>67334219.159999996</v>
      </c>
      <c r="AP1154" s="95">
        <f t="shared" si="402"/>
        <v>368252123.86000001</v>
      </c>
      <c r="AQ1154" s="95">
        <f t="shared" si="402"/>
        <v>368252124.05999994</v>
      </c>
    </row>
    <row r="1155" spans="1:46" ht="19.5" customHeight="1" x14ac:dyDescent="0.25">
      <c r="A1155" s="46"/>
      <c r="B1155" s="26"/>
      <c r="C1155" s="4"/>
      <c r="D1155" s="68"/>
      <c r="E1155" s="68"/>
      <c r="F1155" s="68"/>
      <c r="G1155" s="68"/>
      <c r="H1155" s="68"/>
      <c r="I1155" s="68"/>
      <c r="J1155" s="68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79"/>
      <c r="AA1155" s="68"/>
      <c r="AB1155" s="67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4"/>
      <c r="AN1155" s="94"/>
      <c r="AO1155" s="94"/>
      <c r="AP1155" s="94"/>
      <c r="AQ1155" s="94"/>
      <c r="AR1155" s="4"/>
      <c r="AS1155" s="4"/>
    </row>
    <row r="1156" spans="1:46" ht="15.75" customHeight="1" x14ac:dyDescent="0.25">
      <c r="A1156" s="46"/>
      <c r="B1156" s="163" t="s">
        <v>277</v>
      </c>
      <c r="C1156" s="4"/>
      <c r="D1156" s="67">
        <f>D75+D127+D202+D341+D454+D576+D668+D754+D846+D899+D969+D1112+D1153+D1075+D1024</f>
        <v>8868123094.1000023</v>
      </c>
      <c r="E1156" s="67">
        <f>E75+E127+E202+E341+E454+E576+E668+E754+E846+E899+E969+E1024+E1075+E1112+E1153</f>
        <v>3478560734.2689996</v>
      </c>
      <c r="F1156" s="67">
        <f>F75+F127+F202+F341+F454+F576+F668+F754+F846+F899+F969+F1024+F1075+F1112+F1153</f>
        <v>367155576.51999998</v>
      </c>
      <c r="G1156" s="67"/>
      <c r="H1156" s="67">
        <f>H75+H127+H202+H341+H454+H576+H668+H754+H846+H899+H969+H1024+H1075+H1112+H1153</f>
        <v>3845716310.7889996</v>
      </c>
      <c r="I1156" s="67">
        <f>I75+I127+I202+I341+I454+I576+I668+I754+I846+I899+I969+I1024+I1075+I1112+I1153</f>
        <v>0</v>
      </c>
      <c r="J1156" s="67">
        <f>J75+J127+J202+J341+J454+J576+J668+J754+J846+J899+J969+J1024+J1075+J1112+J1153</f>
        <v>0</v>
      </c>
      <c r="K1156" s="67">
        <f>K75+K127+K202+K341+K454+K576+K668+K754+K846+K899+K969+K1024+K1075+K1112+K1153</f>
        <v>0</v>
      </c>
      <c r="L1156" s="67">
        <f>L75+L127+L202+L341+L454+L576+L668+L754+L846+L899+L969+L1024+L1075+L1112+L1153</f>
        <v>0</v>
      </c>
      <c r="M1156" s="67"/>
      <c r="N1156" s="67">
        <f>N75+N127+N202+N341+N454+N576+N668+N754+N846+N899+N969+N1024+N1075+N1112+N1153</f>
        <v>3845716310.7889996</v>
      </c>
      <c r="O1156" s="67">
        <f>O75+O127+O202+O341+O454+O576+O668+O754+O846+O899+O969+O1024+O1075+O1112+O1153</f>
        <v>976481736.09000003</v>
      </c>
      <c r="P1156" s="67">
        <f>P75+P127+P202+P341+P454+P576+P668+P754+P846+P899+P969+P1024+P1075+P1112+P1153</f>
        <v>2168271.42</v>
      </c>
      <c r="Q1156" s="67"/>
      <c r="R1156" s="67">
        <f>R75+R127+R202+R341+R454+R576+R668+R754+R846+R899+R969+R1024+R1075+R1112+R1153</f>
        <v>978650007.50999987</v>
      </c>
      <c r="S1156" s="67">
        <f>S75+S127+S202+S341+S454+S576+S668+S754+S846+S899+S969+S1024+S1075+S1112+S1153</f>
        <v>74953514.590000004</v>
      </c>
      <c r="T1156" s="67">
        <f>T75+T127+T202+T341+T454+T576+T668+T754+T846+T899+T969+T1024+T1075+T1112+T1153</f>
        <v>24749772.529999997</v>
      </c>
      <c r="U1156" s="67">
        <f>U75+U127+U202+U341+U454+U576+U668+U754+U846+U899+U969+U1024+U1075+U1112+U1153</f>
        <v>2125646.8199999998</v>
      </c>
      <c r="V1156" s="67">
        <f>V75+V127+V202+V341+V454+V576+V668+V754+V846+V899+V969+V1024+V1075+V1112+V1153</f>
        <v>0</v>
      </c>
      <c r="W1156" s="67"/>
      <c r="X1156" s="67">
        <f>X75+X127+X202+X341+X454+X576+X668+X754+X846+X899+X969+X1024+X1075+X1112+X1153</f>
        <v>978650007.50999987</v>
      </c>
      <c r="Y1156" s="67">
        <f>Y75+Y127+Y202+Y341+Y454+Y576+Y668+Y754+Y846+Y899+Y969+Y1024+Y1075+Y1112+Y1153</f>
        <v>4824366318.2990007</v>
      </c>
      <c r="Z1156" s="67">
        <f>Z75+Z127+Z202+Z341+Z454+Z576+Z668+Z754+Z846+Z899+Z969+Z1024+Z1075+Z1112+Z1153</f>
        <v>4043756775.8010011</v>
      </c>
      <c r="AA1156" s="67">
        <f>AA75+AA127+AA202+AA341+AA454+AA576+AA668+AA754+AA846+AA899+AA969+AA1024+AA1075+AA1112+AA1153</f>
        <v>3931121540.4430003</v>
      </c>
      <c r="AB1156" s="67">
        <f>AB75+AB127+AB202+AB341+AB454+AB576+AB668+AB754+AB846+AB899+AB969+AB1024+AB1075+AB1112+AB1153</f>
        <v>4043756775.8010011</v>
      </c>
      <c r="AC1156" s="49" t="s">
        <v>277</v>
      </c>
      <c r="AD1156" s="95">
        <f>AD75+AD127+AD202+AD341+AD454+AD576+AD668+AD754+AD846+AD899+AD969+AD1024+AD1074+AD1112+AD1154</f>
        <v>8868123094.1000004</v>
      </c>
      <c r="AE1156" s="95">
        <f>AE75+AE127+AE202+AE341+AE454+AE576+AE668+AE754+AE846+AE899+AE969+AE1024+AE1074+AE1112+AE1154</f>
        <v>3478560734.2689991</v>
      </c>
      <c r="AF1156" s="95">
        <f>AF75+AF127+AF202+AF341+AF454+AF576+AF668+AF754+AF846+AF899+AF969+AF1024+AF1074+AF1112+AF1154</f>
        <v>367155576.51999998</v>
      </c>
      <c r="AG1156" s="95">
        <f>AG75+AG127+AG202+AG341+AG454+AG576+AG668+AG754+AG846+AG899+AG969+AG1024+AG1074+AG1112+AG1154</f>
        <v>3845716310.7889986</v>
      </c>
      <c r="AH1156" s="95">
        <f>AH75+AH127+AH200+AH341+AH454+AH576+AH668+AH754+AH846+AH899+AH969+AH1024+AH1074+AH1112+AH1154</f>
        <v>0</v>
      </c>
      <c r="AI1156" s="95">
        <f t="shared" ref="AI1156:AQ1156" si="403">AI75+AI127+AI202+AI341+AI454+AI576+AI668+AI754+AI846+AI899+AI969+AI1024+AI1074+AI1112+AI1154</f>
        <v>3845716310.7889986</v>
      </c>
      <c r="AJ1156" s="95">
        <f t="shared" si="403"/>
        <v>976481736.09000003</v>
      </c>
      <c r="AK1156" s="95">
        <f t="shared" si="403"/>
        <v>2168271.42</v>
      </c>
      <c r="AL1156" s="95">
        <f t="shared" si="403"/>
        <v>978650007.50999999</v>
      </c>
      <c r="AM1156" s="95">
        <f t="shared" si="403"/>
        <v>0</v>
      </c>
      <c r="AN1156" s="95">
        <f t="shared" si="403"/>
        <v>978650007.50999999</v>
      </c>
      <c r="AO1156" s="95">
        <f t="shared" si="403"/>
        <v>4824366318.2990007</v>
      </c>
      <c r="AP1156" s="95">
        <f t="shared" si="403"/>
        <v>4043756775.8040004</v>
      </c>
      <c r="AQ1156" s="95">
        <f t="shared" si="403"/>
        <v>4626183672.7709999</v>
      </c>
      <c r="AS1156" s="4"/>
    </row>
    <row r="1157" spans="1:46" ht="22.5" customHeight="1" x14ac:dyDescent="0.25">
      <c r="A1157" s="46"/>
      <c r="B1157" s="26"/>
      <c r="C1157" s="95"/>
      <c r="D1157" s="70" t="s">
        <v>128</v>
      </c>
      <c r="E1157" s="70" t="s">
        <v>128</v>
      </c>
      <c r="F1157" s="70" t="s">
        <v>128</v>
      </c>
      <c r="G1157" s="70"/>
      <c r="H1157" s="70" t="s">
        <v>128</v>
      </c>
      <c r="I1157" s="70" t="s">
        <v>128</v>
      </c>
      <c r="J1157" s="70" t="s">
        <v>128</v>
      </c>
      <c r="K1157" s="70" t="s">
        <v>128</v>
      </c>
      <c r="L1157" s="70" t="s">
        <v>128</v>
      </c>
      <c r="M1157" s="70"/>
      <c r="N1157" s="70" t="s">
        <v>128</v>
      </c>
      <c r="O1157" s="70" t="s">
        <v>128</v>
      </c>
      <c r="P1157" s="70" t="s">
        <v>128</v>
      </c>
      <c r="Q1157" s="70"/>
      <c r="R1157" s="70" t="s">
        <v>128</v>
      </c>
      <c r="S1157" s="70" t="s">
        <v>128</v>
      </c>
      <c r="T1157" s="70" t="s">
        <v>128</v>
      </c>
      <c r="U1157" s="70" t="s">
        <v>128</v>
      </c>
      <c r="V1157" s="70" t="s">
        <v>128</v>
      </c>
      <c r="W1157" s="70"/>
      <c r="X1157" s="70" t="s">
        <v>128</v>
      </c>
      <c r="Y1157" s="70" t="s">
        <v>128</v>
      </c>
      <c r="Z1157" s="70" t="s">
        <v>128</v>
      </c>
      <c r="AA1157" s="70" t="s">
        <v>128</v>
      </c>
      <c r="AB1157" s="70" t="s">
        <v>128</v>
      </c>
      <c r="AD1157" s="94"/>
      <c r="AE1157" s="94"/>
      <c r="AF1157" s="94"/>
      <c r="AG1157" s="94"/>
      <c r="AH1157" s="94"/>
      <c r="AI1157" s="94"/>
      <c r="AJ1157" s="94"/>
      <c r="AK1157" s="94"/>
      <c r="AL1157" s="94"/>
      <c r="AM1157" s="94"/>
      <c r="AN1157" s="94"/>
      <c r="AO1157" s="94"/>
      <c r="AP1157" s="94"/>
      <c r="AQ1157" s="94"/>
    </row>
    <row r="1158" spans="1:46" ht="15.75" customHeight="1" x14ac:dyDescent="0.25">
      <c r="C1158" s="97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  <c r="O1158" s="55"/>
      <c r="P1158" s="55"/>
      <c r="Q1158" s="55"/>
      <c r="R1158" s="55"/>
      <c r="S1158" s="55"/>
      <c r="T1158" s="55"/>
      <c r="U1158" s="55"/>
      <c r="V1158" s="55"/>
      <c r="W1158" s="55"/>
      <c r="X1158" s="55"/>
      <c r="Y1158" s="55"/>
      <c r="Z1158" s="55"/>
      <c r="AA1158" s="55"/>
      <c r="AB1158" s="55"/>
      <c r="AP1158" s="94"/>
      <c r="AQ1158" s="94"/>
    </row>
    <row r="1159" spans="1:46" ht="15.75" customHeight="1" thickBot="1" x14ac:dyDescent="0.3">
      <c r="B1159" s="22" t="s">
        <v>295</v>
      </c>
      <c r="D1159" s="87">
        <f>+D21+D41+D152+D312+D320+D697+D862+D879+D889+D955+D356+D228+D1111+D870+D1004+D1008+D617+D714+D732+D74+D365</f>
        <v>35413719.18</v>
      </c>
      <c r="I1159" s="55"/>
      <c r="J1159" s="55"/>
      <c r="K1159" s="55"/>
      <c r="L1159" s="55"/>
      <c r="M1159" s="55"/>
      <c r="N1159" s="55"/>
      <c r="O1159" s="87">
        <f>+O21+O41+O152+O312+O320+O697+O862+O879+O889+O955+O356+O228+O1111+O870+O1004+O1008+O617+O714+O732+O74+O365</f>
        <v>35413719.180000007</v>
      </c>
      <c r="P1159" s="87">
        <f>+P21+P41+P152+P312+P320+P697+P862+P879+P889+P955+P356+P228+P1111+P870+P1004+P1008+P617+P714+P732+P74+P365</f>
        <v>0</v>
      </c>
      <c r="Q1159" s="87"/>
      <c r="R1159" s="87">
        <f>+R21+R41+R152+R312+R320+R697+R862+R879+R889+R955+R356+R228+R1111+R870+R1004+R1008+R617+R714+R732+R74+R365</f>
        <v>35413719.180000007</v>
      </c>
      <c r="S1159" s="87">
        <f>+S21+S41+S152+S312+S320+S697+S862+S879++S889+S955+S1102+S356+S228+S1111</f>
        <v>0</v>
      </c>
      <c r="T1159" s="87">
        <f>+T21+T41+T152+T312+T320+T697+T862+T879++T889+T955+T1102+T356+T228+T1111</f>
        <v>0</v>
      </c>
      <c r="U1159" s="87">
        <f>+U21+U41+U152+U312+U320+U697+U862+U879++U889+U955+U1102+U356+U228+U1111</f>
        <v>0</v>
      </c>
      <c r="V1159" s="63"/>
      <c r="W1159" s="55"/>
      <c r="X1159" s="55"/>
      <c r="Y1159" s="63"/>
      <c r="Z1159" s="55"/>
    </row>
    <row r="1160" spans="1:46" ht="16.5" thickTop="1" x14ac:dyDescent="0.25">
      <c r="A1160" s="4"/>
      <c r="B1160" s="4"/>
      <c r="C1160" s="95"/>
    </row>
    <row r="1161" spans="1:46" ht="21" customHeight="1" x14ac:dyDescent="0.25">
      <c r="F1161" s="164">
        <v>1500000</v>
      </c>
      <c r="G1161" s="162" t="s">
        <v>358</v>
      </c>
      <c r="H1161" s="162"/>
      <c r="P1161" s="146">
        <v>0</v>
      </c>
      <c r="Q1161" s="4"/>
      <c r="R1161" s="151" t="s">
        <v>283</v>
      </c>
      <c r="S1161" s="4"/>
      <c r="T1161" s="4"/>
      <c r="U1161" s="4"/>
      <c r="V1161" s="4"/>
    </row>
    <row r="1162" spans="1:46" ht="21.75" customHeight="1" x14ac:dyDescent="0.25">
      <c r="C1162" s="123"/>
      <c r="F1162" s="83">
        <v>0</v>
      </c>
      <c r="G1162" s="83" t="s">
        <v>340</v>
      </c>
      <c r="I1162" s="4"/>
      <c r="J1162" s="4"/>
      <c r="K1162" s="4"/>
      <c r="L1162" s="4"/>
      <c r="M1162" s="4"/>
      <c r="N1162" s="4"/>
      <c r="O1162" s="95"/>
      <c r="P1162" s="83">
        <v>0</v>
      </c>
      <c r="R1162" s="83" t="s">
        <v>337</v>
      </c>
      <c r="S1162" s="68"/>
      <c r="T1162" s="68"/>
      <c r="U1162" s="67">
        <v>-6436.84</v>
      </c>
      <c r="V1162" s="83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</row>
    <row r="1163" spans="1:46" x14ac:dyDescent="0.25">
      <c r="A1163" s="46"/>
      <c r="B1163" s="26"/>
      <c r="C1163" s="144"/>
      <c r="F1163" s="83">
        <v>0</v>
      </c>
      <c r="G1163" s="83" t="s">
        <v>329</v>
      </c>
      <c r="H1163" s="95"/>
      <c r="P1163" s="150">
        <v>5629341.75</v>
      </c>
      <c r="Q1163" s="54"/>
      <c r="R1163" s="54" t="s">
        <v>336</v>
      </c>
      <c r="S1163" s="68"/>
      <c r="T1163" s="68"/>
      <c r="U1163" s="67"/>
      <c r="V1163" s="68"/>
    </row>
    <row r="1164" spans="1:46" x14ac:dyDescent="0.25">
      <c r="A1164" s="46"/>
      <c r="B1164" s="23"/>
      <c r="C1164" s="4"/>
      <c r="F1164" s="146">
        <v>365655576.51999998</v>
      </c>
      <c r="G1164" s="83" t="s">
        <v>303</v>
      </c>
      <c r="I1164" s="68"/>
      <c r="J1164" s="68"/>
      <c r="K1164" s="68"/>
      <c r="L1164" s="68"/>
      <c r="M1164" s="68"/>
      <c r="N1164" s="68"/>
      <c r="O1164" s="68"/>
      <c r="P1164" s="139">
        <v>0</v>
      </c>
      <c r="Q1164" s="81"/>
      <c r="R1164" s="82" t="s">
        <v>338</v>
      </c>
      <c r="S1164" s="68"/>
      <c r="T1164" s="68"/>
      <c r="U1164" s="68"/>
      <c r="V1164" s="68"/>
      <c r="W1164" s="68"/>
      <c r="X1164" s="68"/>
      <c r="Y1164" s="68"/>
      <c r="Z1164" s="55"/>
      <c r="AA1164" s="67"/>
      <c r="AB1164" s="55"/>
      <c r="AC1164" s="4"/>
      <c r="AD1164" s="94"/>
      <c r="AE1164" s="94"/>
      <c r="AF1164" s="94"/>
      <c r="AG1164" s="94"/>
      <c r="AH1164" s="94"/>
      <c r="AI1164" s="94"/>
      <c r="AJ1164" s="94"/>
      <c r="AK1164" s="94"/>
      <c r="AL1164" s="94"/>
      <c r="AM1164" s="94"/>
      <c r="AN1164" s="94"/>
      <c r="AO1164" s="94"/>
      <c r="AP1164" s="94"/>
      <c r="AQ1164" s="94"/>
      <c r="AR1164" s="4"/>
    </row>
    <row r="1165" spans="1:46" x14ac:dyDescent="0.25">
      <c r="A1165" s="45"/>
      <c r="B1165" s="23"/>
      <c r="C1165" s="4"/>
      <c r="F1165" s="143">
        <v>0</v>
      </c>
      <c r="G1165" s="83" t="s">
        <v>298</v>
      </c>
      <c r="O1165" s="68"/>
      <c r="P1165" s="116">
        <v>0</v>
      </c>
      <c r="Q1165" s="83"/>
      <c r="R1165" s="83" t="s">
        <v>278</v>
      </c>
      <c r="S1165" s="68"/>
      <c r="T1165" s="68"/>
      <c r="U1165" s="68"/>
      <c r="V1165" s="68"/>
      <c r="W1165" s="68"/>
      <c r="X1165" s="68"/>
      <c r="Y1165" s="68"/>
      <c r="Z1165" s="79"/>
      <c r="AA1165" s="67"/>
      <c r="AB1165" s="67"/>
      <c r="AC1165" s="4"/>
      <c r="AD1165" s="94"/>
      <c r="AE1165" s="94"/>
      <c r="AF1165" s="94"/>
      <c r="AG1165" s="94"/>
      <c r="AH1165" s="94"/>
      <c r="AI1165" s="94"/>
      <c r="AJ1165" s="94"/>
      <c r="AK1165" s="94"/>
      <c r="AL1165" s="94"/>
      <c r="AM1165" s="94"/>
      <c r="AN1165" s="94"/>
      <c r="AO1165" s="94"/>
      <c r="AP1165" s="94"/>
      <c r="AQ1165" s="94"/>
    </row>
    <row r="1166" spans="1:46" ht="16.5" thickBot="1" x14ac:dyDescent="0.3">
      <c r="A1166" s="45"/>
      <c r="B1166" s="23"/>
      <c r="C1166" s="4"/>
      <c r="F1166" s="132">
        <f>+F1164+F1161</f>
        <v>367155576.51999998</v>
      </c>
      <c r="G1166" s="83" t="s">
        <v>3</v>
      </c>
      <c r="H1166" s="82"/>
      <c r="I1166" s="68"/>
      <c r="J1166" s="68"/>
      <c r="K1166" s="68"/>
      <c r="L1166" s="68"/>
      <c r="M1166" s="68"/>
      <c r="N1166" s="68"/>
      <c r="O1166" s="68"/>
      <c r="W1166" s="68"/>
      <c r="X1166" s="68"/>
      <c r="Y1166" s="68"/>
      <c r="Z1166" s="79"/>
      <c r="AA1166" s="67"/>
      <c r="AB1166" s="67"/>
      <c r="AC1166" s="4"/>
      <c r="AD1166" s="94"/>
      <c r="AE1166" s="94"/>
      <c r="AF1166" s="94"/>
      <c r="AG1166" s="94"/>
      <c r="AH1166" s="94"/>
      <c r="AI1166" s="94"/>
      <c r="AJ1166" s="94"/>
      <c r="AK1166" s="94"/>
      <c r="AL1166" s="94"/>
      <c r="AM1166" s="94"/>
      <c r="AN1166" s="94"/>
      <c r="AO1166" s="94"/>
      <c r="AP1166" s="94"/>
      <c r="AQ1166" s="94"/>
    </row>
    <row r="1167" spans="1:46" ht="16.5" thickTop="1" x14ac:dyDescent="0.25">
      <c r="A1167" s="45"/>
      <c r="B1167" s="23"/>
      <c r="C1167" s="95"/>
      <c r="E1167" s="68"/>
      <c r="F1167" s="68"/>
      <c r="G1167" s="68"/>
      <c r="H1167" s="68"/>
      <c r="I1167" s="68"/>
      <c r="J1167" s="68"/>
      <c r="K1167" s="68"/>
      <c r="L1167" s="68"/>
      <c r="M1167" s="68"/>
      <c r="N1167" s="68"/>
      <c r="O1167" s="68"/>
      <c r="W1167" s="68"/>
      <c r="X1167" s="68"/>
      <c r="Y1167" s="68"/>
      <c r="Z1167" s="68"/>
      <c r="AA1167" s="68"/>
      <c r="AB1167" s="68"/>
      <c r="AC1167" s="4"/>
      <c r="AD1167" s="94"/>
      <c r="AE1167" s="94"/>
      <c r="AF1167" s="94"/>
      <c r="AG1167" s="94"/>
      <c r="AH1167" s="94"/>
      <c r="AI1167" s="94"/>
      <c r="AJ1167" s="94"/>
      <c r="AK1167" s="94"/>
      <c r="AL1167" s="94"/>
      <c r="AM1167" s="94"/>
      <c r="AN1167" s="94"/>
      <c r="AO1167" s="94"/>
      <c r="AP1167" s="94"/>
      <c r="AQ1167" s="94"/>
      <c r="AR1167" s="4"/>
    </row>
    <row r="1168" spans="1:46" x14ac:dyDescent="0.25">
      <c r="A1168" s="45"/>
      <c r="B1168" s="23"/>
      <c r="C1168" s="4"/>
      <c r="D1168" s="68"/>
      <c r="E1168" s="68"/>
      <c r="F1168" s="67"/>
      <c r="G1168" s="67"/>
      <c r="H1168" s="79"/>
      <c r="I1168" s="68"/>
      <c r="J1168" s="68"/>
      <c r="K1168" s="68"/>
      <c r="L1168" s="68"/>
      <c r="M1168" s="68"/>
      <c r="N1168" s="68"/>
      <c r="W1168" s="68"/>
      <c r="X1168" s="68"/>
      <c r="Y1168" s="68"/>
      <c r="Z1168" s="68"/>
      <c r="AA1168" s="68"/>
      <c r="AB1168" s="68"/>
      <c r="AC1168" s="4"/>
      <c r="AD1168" s="94"/>
      <c r="AE1168" s="94"/>
      <c r="AF1168" s="94"/>
      <c r="AG1168" s="94"/>
      <c r="AH1168" s="94"/>
      <c r="AI1168" s="94"/>
      <c r="AJ1168" s="94"/>
      <c r="AK1168" s="94"/>
      <c r="AL1168" s="94"/>
      <c r="AM1168" s="94"/>
      <c r="AN1168" s="94"/>
      <c r="AO1168" s="94"/>
      <c r="AP1168" s="94"/>
      <c r="AQ1168" s="94"/>
    </row>
    <row r="1169" spans="1:43" x14ac:dyDescent="0.25">
      <c r="A1169" s="45"/>
      <c r="B1169" s="26"/>
      <c r="C1169" s="4"/>
      <c r="D1169" s="68"/>
      <c r="E1169" s="68"/>
      <c r="F1169" s="68"/>
      <c r="G1169" s="68"/>
      <c r="H1169" s="68"/>
      <c r="I1169" s="68"/>
      <c r="J1169" s="68"/>
      <c r="K1169" s="68"/>
      <c r="L1169" s="68"/>
      <c r="M1169" s="68"/>
      <c r="N1169" s="68"/>
      <c r="O1169" s="68"/>
      <c r="P1169" s="68"/>
      <c r="Q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4"/>
      <c r="AD1169" s="94"/>
      <c r="AE1169" s="94"/>
      <c r="AF1169" s="94"/>
      <c r="AG1169" s="94"/>
      <c r="AH1169" s="94"/>
      <c r="AI1169" s="94"/>
      <c r="AJ1169" s="94"/>
      <c r="AK1169" s="94"/>
      <c r="AL1169" s="94"/>
      <c r="AM1169" s="94"/>
      <c r="AN1169" s="94"/>
      <c r="AO1169" s="94"/>
      <c r="AP1169" s="94"/>
      <c r="AQ1169" s="94"/>
    </row>
    <row r="1170" spans="1:43" x14ac:dyDescent="0.25">
      <c r="A1170" s="45"/>
      <c r="B1170" s="4"/>
      <c r="C1170" s="4"/>
      <c r="D1170" s="68"/>
      <c r="E1170" s="68"/>
      <c r="F1170" s="68"/>
      <c r="G1170" s="68"/>
      <c r="H1170" s="68"/>
      <c r="I1170" s="68"/>
      <c r="J1170" s="68"/>
      <c r="K1170" s="68"/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4"/>
      <c r="AD1170" s="94"/>
      <c r="AE1170" s="94"/>
      <c r="AF1170" s="94"/>
      <c r="AG1170" s="94"/>
      <c r="AH1170" s="94"/>
      <c r="AI1170" s="94"/>
      <c r="AJ1170" s="94"/>
      <c r="AK1170" s="94"/>
      <c r="AL1170" s="94"/>
      <c r="AM1170" s="94"/>
      <c r="AN1170" s="94"/>
      <c r="AO1170" s="94"/>
      <c r="AP1170" s="94"/>
      <c r="AQ1170" s="94"/>
    </row>
    <row r="1171" spans="1:43" ht="19.5" x14ac:dyDescent="0.35">
      <c r="A1171" s="45"/>
      <c r="B1171" s="47" t="s">
        <v>129</v>
      </c>
      <c r="C1171" s="4"/>
      <c r="D1171" s="68"/>
      <c r="E1171" s="68"/>
      <c r="F1171" s="68"/>
      <c r="G1171" s="68"/>
      <c r="H1171" s="68"/>
      <c r="I1171" s="68"/>
      <c r="J1171" s="68"/>
      <c r="K1171" s="68"/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4"/>
      <c r="AD1171" s="94"/>
      <c r="AE1171" s="94"/>
      <c r="AF1171" s="94"/>
      <c r="AG1171" s="94"/>
      <c r="AH1171" s="94"/>
      <c r="AI1171" s="94"/>
      <c r="AJ1171" s="94"/>
      <c r="AK1171" s="94"/>
      <c r="AL1171" s="94"/>
      <c r="AM1171" s="94"/>
      <c r="AN1171" s="94"/>
      <c r="AO1171" s="94"/>
      <c r="AP1171" s="94"/>
      <c r="AQ1171" s="94"/>
    </row>
    <row r="1172" spans="1:43" ht="19.5" x14ac:dyDescent="0.35">
      <c r="A1172" s="45"/>
      <c r="B1172" s="47"/>
      <c r="C1172" s="4" t="s">
        <v>145</v>
      </c>
      <c r="D1172" s="68"/>
      <c r="E1172" s="68"/>
      <c r="F1172" s="68"/>
      <c r="G1172" s="68"/>
      <c r="H1172" s="68"/>
      <c r="I1172" s="68"/>
      <c r="J1172" s="68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4"/>
      <c r="AD1172" s="94"/>
      <c r="AE1172" s="94"/>
      <c r="AF1172" s="94"/>
      <c r="AG1172" s="94"/>
      <c r="AH1172" s="94"/>
      <c r="AI1172" s="94"/>
      <c r="AJ1172" s="94"/>
      <c r="AK1172" s="94"/>
      <c r="AL1172" s="94"/>
      <c r="AM1172" s="94"/>
      <c r="AN1172" s="94"/>
      <c r="AO1172" s="94"/>
      <c r="AP1172" s="94"/>
      <c r="AQ1172" s="94"/>
    </row>
    <row r="1173" spans="1:43" ht="19.5" x14ac:dyDescent="0.35">
      <c r="A1173" s="45"/>
      <c r="B1173" s="47"/>
      <c r="C1173" s="4"/>
      <c r="D1173" s="68"/>
      <c r="E1173" s="68"/>
      <c r="F1173" s="68"/>
      <c r="G1173" s="68"/>
      <c r="H1173" s="68"/>
      <c r="I1173" s="68"/>
      <c r="J1173" s="68"/>
      <c r="K1173" s="68"/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8"/>
      <c r="AC1173" s="4"/>
    </row>
    <row r="1174" spans="1:43" x14ac:dyDescent="0.25">
      <c r="A1174" s="45"/>
      <c r="C1174" s="4"/>
      <c r="D1174" s="55"/>
      <c r="E1174" s="55"/>
      <c r="F1174" s="57" t="s">
        <v>1</v>
      </c>
      <c r="G1174" s="57"/>
      <c r="H1174" s="58"/>
      <c r="I1174" s="57" t="s">
        <v>2</v>
      </c>
      <c r="J1174" s="55"/>
      <c r="K1174" s="57" t="s">
        <v>2</v>
      </c>
      <c r="L1174" s="57" t="s">
        <v>3</v>
      </c>
      <c r="M1174" s="57"/>
      <c r="N1174" s="57" t="s">
        <v>4</v>
      </c>
      <c r="O1174" s="55"/>
      <c r="P1174" s="57" t="s">
        <v>17</v>
      </c>
      <c r="Q1174" s="57"/>
      <c r="R1174" s="55"/>
      <c r="S1174" s="55"/>
      <c r="T1174" s="55"/>
      <c r="U1174" s="57" t="s">
        <v>2</v>
      </c>
      <c r="V1174" s="57" t="s">
        <v>3</v>
      </c>
      <c r="W1174" s="57"/>
      <c r="X1174" s="57" t="s">
        <v>6</v>
      </c>
      <c r="Y1174" s="57" t="s">
        <v>7</v>
      </c>
      <c r="Z1174" s="57" t="s">
        <v>8</v>
      </c>
      <c r="AA1174" s="57" t="s">
        <v>3</v>
      </c>
      <c r="AB1174" s="57" t="s">
        <v>8</v>
      </c>
      <c r="AC1174" s="4"/>
    </row>
    <row r="1175" spans="1:43" ht="19.5" x14ac:dyDescent="0.35">
      <c r="A1175" s="45"/>
      <c r="B1175" s="47"/>
      <c r="C1175" s="4"/>
      <c r="D1175" s="57" t="s">
        <v>9</v>
      </c>
      <c r="E1175" s="57" t="s">
        <v>10</v>
      </c>
      <c r="F1175" s="57" t="s">
        <v>11</v>
      </c>
      <c r="G1175" s="57"/>
      <c r="H1175" s="58"/>
      <c r="I1175" s="57" t="s">
        <v>12</v>
      </c>
      <c r="J1175" s="57" t="s">
        <v>13</v>
      </c>
      <c r="K1175" s="57" t="s">
        <v>14</v>
      </c>
      <c r="L1175" s="57" t="s">
        <v>1</v>
      </c>
      <c r="M1175" s="57"/>
      <c r="N1175" s="57" t="s">
        <v>15</v>
      </c>
      <c r="O1175" s="57" t="s">
        <v>16</v>
      </c>
      <c r="P1175" s="57" t="s">
        <v>11</v>
      </c>
      <c r="Q1175" s="57"/>
      <c r="R1175" s="58"/>
      <c r="S1175" s="57" t="s">
        <v>2</v>
      </c>
      <c r="T1175" s="57" t="s">
        <v>13</v>
      </c>
      <c r="U1175" s="57" t="s">
        <v>14</v>
      </c>
      <c r="V1175" s="57" t="s">
        <v>17</v>
      </c>
      <c r="W1175" s="57"/>
      <c r="X1175" s="57" t="s">
        <v>11</v>
      </c>
      <c r="Y1175" s="57" t="s">
        <v>11</v>
      </c>
      <c r="Z1175" s="57" t="s">
        <v>18</v>
      </c>
      <c r="AA1175" s="57" t="s">
        <v>11</v>
      </c>
      <c r="AB1175" s="57" t="s">
        <v>18</v>
      </c>
      <c r="AC1175" s="4"/>
    </row>
    <row r="1176" spans="1:43" ht="19.5" x14ac:dyDescent="0.35">
      <c r="A1176" s="45"/>
      <c r="B1176" s="47"/>
      <c r="C1176" s="4"/>
      <c r="D1176" s="59" t="s">
        <v>20</v>
      </c>
      <c r="E1176" s="59" t="str">
        <f>+E7</f>
        <v>AS OF 11/30/05</v>
      </c>
      <c r="F1176" s="59" t="s">
        <v>21</v>
      </c>
      <c r="G1176" s="59"/>
      <c r="H1176" s="59" t="s">
        <v>22</v>
      </c>
      <c r="I1176" s="59" t="s">
        <v>23</v>
      </c>
      <c r="J1176" s="59" t="s">
        <v>24</v>
      </c>
      <c r="K1176" s="59" t="s">
        <v>23</v>
      </c>
      <c r="L1176" s="59" t="s">
        <v>2</v>
      </c>
      <c r="M1176" s="59"/>
      <c r="N1176" s="59" t="s">
        <v>25</v>
      </c>
      <c r="O1176" s="59" t="str">
        <f>+E1176</f>
        <v>AS OF 11/30/05</v>
      </c>
      <c r="P1176" s="59" t="s">
        <v>21</v>
      </c>
      <c r="Q1176" s="59"/>
      <c r="R1176" s="59" t="s">
        <v>26</v>
      </c>
      <c r="S1176" s="59" t="s">
        <v>27</v>
      </c>
      <c r="T1176" s="59" t="s">
        <v>28</v>
      </c>
      <c r="U1176" s="59" t="s">
        <v>23</v>
      </c>
      <c r="V1176" s="59" t="s">
        <v>2</v>
      </c>
      <c r="W1176" s="59"/>
      <c r="X1176" s="59" t="s">
        <v>29</v>
      </c>
      <c r="Y1176" s="59" t="s">
        <v>30</v>
      </c>
      <c r="Z1176" s="59" t="s">
        <v>30</v>
      </c>
      <c r="AA1176" s="59" t="s">
        <v>31</v>
      </c>
      <c r="AB1176" s="59" t="s">
        <v>31</v>
      </c>
      <c r="AC1176" s="4"/>
    </row>
    <row r="1177" spans="1:43" ht="19.5" x14ac:dyDescent="0.35">
      <c r="A1177" s="45"/>
      <c r="B1177" s="47"/>
      <c r="C1177" s="4"/>
      <c r="D1177" s="60" t="s">
        <v>153</v>
      </c>
      <c r="E1177" s="60" t="s">
        <v>154</v>
      </c>
      <c r="F1177" s="60" t="s">
        <v>164</v>
      </c>
      <c r="G1177" s="60"/>
      <c r="H1177" s="60" t="s">
        <v>155</v>
      </c>
      <c r="I1177" s="60"/>
      <c r="J1177" s="60"/>
      <c r="K1177" s="60"/>
      <c r="L1177" s="60" t="s">
        <v>156</v>
      </c>
      <c r="M1177" s="60"/>
      <c r="N1177" s="60" t="s">
        <v>157</v>
      </c>
      <c r="O1177" s="60" t="s">
        <v>158</v>
      </c>
      <c r="P1177" s="60" t="s">
        <v>159</v>
      </c>
      <c r="Q1177" s="60"/>
      <c r="R1177" s="60" t="s">
        <v>160</v>
      </c>
      <c r="S1177" s="60"/>
      <c r="T1177" s="60"/>
      <c r="U1177" s="60"/>
      <c r="V1177" s="60" t="s">
        <v>161</v>
      </c>
      <c r="W1177" s="60"/>
      <c r="X1177" s="60" t="s">
        <v>162</v>
      </c>
      <c r="Y1177" s="60" t="s">
        <v>251</v>
      </c>
      <c r="Z1177" s="60" t="s">
        <v>163</v>
      </c>
      <c r="AA1177" s="60" t="s">
        <v>32</v>
      </c>
      <c r="AB1177" s="60" t="s">
        <v>252</v>
      </c>
      <c r="AC1177" s="4"/>
    </row>
    <row r="1178" spans="1:43" x14ac:dyDescent="0.25">
      <c r="A1178" s="45"/>
      <c r="B1178" s="26"/>
      <c r="C1178" s="4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/>
      <c r="AC1178" s="4"/>
    </row>
    <row r="1179" spans="1:43" x14ac:dyDescent="0.25">
      <c r="A1179" s="45"/>
      <c r="B1179" s="23" t="s">
        <v>241</v>
      </c>
      <c r="C1179" s="4"/>
      <c r="D1179" s="67">
        <f>AD63+AD115+AD192+AD327+AD441+AD562+AD657+AD745+AD838+AD892+AD957+AD1016+AD1067+AD1104+AD1147</f>
        <v>2588468975.1399994</v>
      </c>
      <c r="E1179" s="67">
        <f>AE63+AE115+AE192+AE327+AE441+AE562+AE657+AE745+AE838+AE892+AE957+AE1016+AE1067+AE1104+AE1147</f>
        <v>127170043.59</v>
      </c>
      <c r="F1179" s="67">
        <f>AF63+AF115+AF192+AF327+AF441+AF562+AF657+AF745+AF838+AF892+AF957+AF1016+AF1067+AF1104+AF1147</f>
        <v>0</v>
      </c>
      <c r="G1179" s="67"/>
      <c r="H1179" s="67">
        <f>AG63+AG115+AG192+AG327+AG441+AG562+AG657+AG745+AG838+AG892+AG957+AG1016+AG1067+AG1104+AG1147</f>
        <v>127170043.59</v>
      </c>
      <c r="I1179" s="67">
        <f>AI63+AI115+AI192+AI327+AI441+AI562+AI657+AI745+AI838+AI892+AI957+AI1016+AI1067+AI1104+AI1147</f>
        <v>127170043.59</v>
      </c>
      <c r="J1179" s="67">
        <f>AJ63+AJ115+AJ192+AJ327+AJ441+AJ562+AJ657+AJ745+AJ838+AJ892+AJ957+AJ1016+AJ1067+AJ1104+AJ1147</f>
        <v>174313284.05000001</v>
      </c>
      <c r="K1179" s="67">
        <f>AK63+AK115+AK192+AK327+AK441+AK562+AK657+AK745+AK838+AK892+AK957+AK1016+AK1067+AK1104+AK1147</f>
        <v>1295752.56</v>
      </c>
      <c r="L1179" s="67">
        <f>AH63+AH115+AH192+AH327+AH441+AH562+AH657+AH745+AH838+AH892+AH957+AH1016+AH1067+AH1104+AH1147</f>
        <v>0</v>
      </c>
      <c r="M1179" s="67"/>
      <c r="N1179" s="67">
        <f>AI63+AI115+AI192+AI327+AI441+AI562+AI657+AI745+AI838+AI892+AI957+AI1016+AI1067+AI1104+AI1147</f>
        <v>127170043.59</v>
      </c>
      <c r="O1179" s="67">
        <f>AJ63+AJ115+AJ192+AJ327+AJ441+AJ562+AJ657+AJ745+AJ838+AJ892+AJ957+AJ1016+AJ1067+AJ1104+AJ1147</f>
        <v>174313284.05000001</v>
      </c>
      <c r="P1179" s="67">
        <f>AK63+AK115+AK192+AK327+AK441+AK562+AK657+AK745+AK838+AK892+AK957+AK1016+AK1067+AK1104+AK1147</f>
        <v>1295752.56</v>
      </c>
      <c r="Q1179" s="67"/>
      <c r="R1179" s="67">
        <f>AL63+AL115+AL192+AL327+AL441+AL562+AL657+AL745+AL838+AL892+AL957+AL1016+AL1067+AL1104+AL1147</f>
        <v>175609036.60999998</v>
      </c>
      <c r="S1179" s="67">
        <f>AR62+AR111+AR180+AR309+AR424+AR539+AR626+AR719+AR811+AR864+AR927+AR981+AR1037+AR1071+AR1110</f>
        <v>0</v>
      </c>
      <c r="T1179" s="67">
        <f>AS62+AS110+AS179+AS307+AS422+AS536+AS622+AS712+AS804+AS856+AS919+AS972+AS1027+AS1061+AS1100</f>
        <v>0</v>
      </c>
      <c r="U1179" s="67">
        <f>AT61+AT109+AT178+AT303+AT417+AT532+AT618+AT708+AT799+AT851+AT914+AT967+AT1022+AT1056+AT1094</f>
        <v>0</v>
      </c>
      <c r="V1179" s="67">
        <f>AM63+AM115+AM192+AM327+AM441+AM562+AM657+AM745+AM838+AM892+AM957+AM1016+AM1067+AM1104+AM1147</f>
        <v>0</v>
      </c>
      <c r="W1179" s="67"/>
      <c r="X1179" s="67">
        <f t="shared" ref="X1179:X1191" si="404">+R1179+V1179</f>
        <v>175609036.60999998</v>
      </c>
      <c r="Y1179" s="67">
        <f t="shared" ref="Y1179:Y1191" si="405">+H1179+R1179</f>
        <v>302779080.19999999</v>
      </c>
      <c r="Z1179" s="67">
        <f t="shared" ref="Z1179:Z1191" si="406">+D1179-Y1179</f>
        <v>2285689894.9399996</v>
      </c>
      <c r="AA1179" s="67">
        <f>AZ60+AZ107+AZ174+AZ298+AZ409+AZ525+AZ610+AZ699+AZ789+AZ840+AZ904+AZ955+AZ1007+AZ1043+AZ1080</f>
        <v>0</v>
      </c>
      <c r="AB1179" s="67">
        <f t="shared" ref="AB1179:AB1191" si="407">+D1179-N1179-X1179</f>
        <v>2285689894.9399991</v>
      </c>
      <c r="AC1179" s="4"/>
    </row>
    <row r="1180" spans="1:43" x14ac:dyDescent="0.25">
      <c r="A1180" s="45"/>
      <c r="B1180" s="23" t="s">
        <v>280</v>
      </c>
      <c r="C1180" s="4"/>
      <c r="D1180" s="67">
        <f>AD66+AD116+AD193+AD328+AD442+AD563+AD658+AD746+AD839+AD893+AD958+AD1017+AD1068+AD1106+AD1148</f>
        <v>225587394.02000001</v>
      </c>
      <c r="E1180" s="67">
        <f>AE66+AE116+AE193+AE328+AE442+AE563+AE658+AE746+AE839+AE893+AE958+AE1017+AE1068+AE1106+AE1148</f>
        <v>225587394.02000001</v>
      </c>
      <c r="F1180" s="67">
        <f>AF66+AF116+AF193+AF328+AF442+AF563+AF658+AF746+AF839+AF893+AF958+AF1017+AF1068+AF1106+AF1148</f>
        <v>0</v>
      </c>
      <c r="G1180" s="67"/>
      <c r="H1180" s="67">
        <f>AG66+AG116+AG193+AG328+AG442+AG563+AG658+AG746+AG839+AG893+AG958+AG1017+AG1068+AG1106+AG1148</f>
        <v>225587394.02000001</v>
      </c>
      <c r="I1180" s="67">
        <f>AI66+AI116+AI193+AI328+AI442+AI563+AI658+AI746+AI839+AI893+AI958+AI1017+AI1068+AI1106+AI1148</f>
        <v>225587394.02000001</v>
      </c>
      <c r="J1180" s="67">
        <f>AJ66+AJ116+AJ193+AJ328+AJ442+AJ563+AJ658+AJ746+AJ839+AJ893+AJ958+AJ1017+AJ1068+AJ1106+AJ1148</f>
        <v>0</v>
      </c>
      <c r="K1180" s="67">
        <f>AK66+AK116+AK193+AK328+AK442+AK563+AK658+AK746+AK839+AK893+AK958+AK1017+AK1068+AK1106+AK1148</f>
        <v>0</v>
      </c>
      <c r="L1180" s="67">
        <f>AH66+AH116+AH193+AH328+AH442+AH563+AH658+AH746+AH839+AH893+AH958+AH1017+AH1068+AH1106+AH1148</f>
        <v>0</v>
      </c>
      <c r="M1180" s="67"/>
      <c r="N1180" s="67">
        <f>AI66+AI116+AI193+AI328+AI442+AI563+AI658+AI746+AI839+AI893+AI958+AI1017+AI1068+AI1106+AI1148</f>
        <v>225587394.02000001</v>
      </c>
      <c r="O1180" s="67">
        <f>AJ66+AJ116+AJ193+AJ328+AJ442+AJ563+AJ658+AJ746+AJ839+AJ893+AJ958+AJ1017+AJ1068+AJ1106+AJ1148</f>
        <v>0</v>
      </c>
      <c r="P1180" s="67">
        <f>AK66+AK116+AK193+AK328+AK442+AK563+AK658+AK746+AK839+AK893+AK958+AK1017+AK1068+AK1106+AK1148</f>
        <v>0</v>
      </c>
      <c r="Q1180" s="67"/>
      <c r="R1180" s="67">
        <f>AL66+AL116+AL193+AL328+AL442+AL563+AL658+AL746+AL839+AL893+AL958+AL1017+AL1068+AL1106+AL1148</f>
        <v>0</v>
      </c>
      <c r="S1180" s="67">
        <f>AR64+AR112+AR181+AR310+AR425+AR540+AR627+AR720+AR812+AR865+AR928+AR983+AR1038+AR1072+AR1111</f>
        <v>0</v>
      </c>
      <c r="T1180" s="67">
        <f>AS64+AS111+AS180+AS308+AS423+AS537+AS623+AS713+AS805+AS857+AS920+AS973+AS1028+AS1062+AS1101</f>
        <v>0</v>
      </c>
      <c r="U1180" s="67">
        <f>AT62+AT110+AT179+AT304+AT419+AT533+AT619+AT709+AT800+AT852+AT915+AT968+AT1023+AT1057+AT1096</f>
        <v>0</v>
      </c>
      <c r="V1180" s="67">
        <f>AM66+AM116+AM193+AM328+AM442+AM563+AM658+AM746+AM839+AM893+AM958+AM1017+AM1068+AM1106+AM1148</f>
        <v>0</v>
      </c>
      <c r="W1180" s="67"/>
      <c r="X1180" s="67">
        <f t="shared" si="404"/>
        <v>0</v>
      </c>
      <c r="Y1180" s="67">
        <f t="shared" si="405"/>
        <v>225587394.02000001</v>
      </c>
      <c r="Z1180" s="67">
        <f t="shared" si="406"/>
        <v>0</v>
      </c>
      <c r="AA1180" s="67">
        <f>AZ61+AZ108+AZ176+AZ299+AZ411+AZ526+AZ611+AZ700+AZ790+AZ841+AZ905+AZ956+AZ1009+AZ1044+AZ1081</f>
        <v>0</v>
      </c>
      <c r="AB1180" s="67">
        <f t="shared" si="407"/>
        <v>0</v>
      </c>
      <c r="AC1180" s="4"/>
    </row>
    <row r="1181" spans="1:43" x14ac:dyDescent="0.25">
      <c r="A1181" s="45"/>
      <c r="B1181" s="35" t="s">
        <v>130</v>
      </c>
      <c r="C1181" s="4"/>
      <c r="D1181" s="67">
        <f>AD73+AD967</f>
        <v>3929139.2600000002</v>
      </c>
      <c r="E1181" s="67">
        <f>AE73+AE967</f>
        <v>1763926.02</v>
      </c>
      <c r="F1181" s="67">
        <f>AF73+AF967</f>
        <v>0</v>
      </c>
      <c r="G1181" s="67"/>
      <c r="H1181" s="67">
        <f>AG73+AG967</f>
        <v>1763926.02</v>
      </c>
      <c r="I1181" s="67">
        <f>AI73+AI967</f>
        <v>1763926.02</v>
      </c>
      <c r="J1181" s="67">
        <f>AJ73+AJ967</f>
        <v>2165213.2400000002</v>
      </c>
      <c r="K1181" s="67">
        <f>AK73+AK967</f>
        <v>0</v>
      </c>
      <c r="L1181" s="67">
        <f>AH73+AH967</f>
        <v>0</v>
      </c>
      <c r="M1181" s="67"/>
      <c r="N1181" s="67">
        <f>AI73+AI967</f>
        <v>1763926.02</v>
      </c>
      <c r="O1181" s="67">
        <f>AJ73+AJ967</f>
        <v>2165213.2400000002</v>
      </c>
      <c r="P1181" s="67">
        <f>AK73+AK967</f>
        <v>0</v>
      </c>
      <c r="Q1181" s="67"/>
      <c r="R1181" s="67">
        <f>AL73+AL967</f>
        <v>2165213.2400000002</v>
      </c>
      <c r="S1181" s="67">
        <f>AR71+AR937</f>
        <v>0</v>
      </c>
      <c r="T1181" s="67">
        <f>AS71+AS928</f>
        <v>0</v>
      </c>
      <c r="U1181" s="67">
        <f>AT70+AT923</f>
        <v>0</v>
      </c>
      <c r="V1181" s="67">
        <f>AM73+AM967</f>
        <v>0</v>
      </c>
      <c r="W1181" s="67"/>
      <c r="X1181" s="67">
        <f t="shared" si="404"/>
        <v>2165213.2400000002</v>
      </c>
      <c r="Y1181" s="67">
        <f t="shared" si="405"/>
        <v>3929139.2600000002</v>
      </c>
      <c r="Z1181" s="67">
        <f t="shared" si="406"/>
        <v>0</v>
      </c>
      <c r="AA1181" s="67">
        <f>AZ62+AZ109+AZ177+AZ300+AZ412+AZ527+AZ612+AZ701+AZ791+AZ842+AZ906+AZ957+AZ1011+AZ1045+AZ1082</f>
        <v>0</v>
      </c>
      <c r="AB1181" s="67">
        <f t="shared" si="407"/>
        <v>0</v>
      </c>
      <c r="AC1181" s="4"/>
    </row>
    <row r="1182" spans="1:43" x14ac:dyDescent="0.25">
      <c r="B1182" s="4" t="s">
        <v>316</v>
      </c>
      <c r="C1182" s="4"/>
      <c r="D1182" s="67">
        <f>AD744</f>
        <v>13000000</v>
      </c>
      <c r="E1182" s="67">
        <f>AE744</f>
        <v>13000000</v>
      </c>
      <c r="F1182" s="67">
        <f>AF744</f>
        <v>0</v>
      </c>
      <c r="G1182" s="67"/>
      <c r="H1182" s="67">
        <f>+AG744</f>
        <v>13000000</v>
      </c>
      <c r="I1182" s="67">
        <f>AI75+AI968</f>
        <v>193119684.14000002</v>
      </c>
      <c r="J1182" s="67">
        <f>AJ75+AJ968</f>
        <v>29010536.150000002</v>
      </c>
      <c r="K1182" s="67">
        <f>AK75+AK968</f>
        <v>522842.4</v>
      </c>
      <c r="L1182" s="67">
        <f>AH75+AH968</f>
        <v>0</v>
      </c>
      <c r="M1182" s="67"/>
      <c r="N1182" s="67">
        <f>+AI744</f>
        <v>13000000</v>
      </c>
      <c r="O1182" s="67">
        <f>+AJ744</f>
        <v>0</v>
      </c>
      <c r="P1182" s="67">
        <f>+AK744</f>
        <v>0</v>
      </c>
      <c r="Q1182" s="67"/>
      <c r="R1182" s="67">
        <f>+AL744</f>
        <v>0</v>
      </c>
      <c r="S1182" s="67"/>
      <c r="T1182" s="67"/>
      <c r="U1182" s="67"/>
      <c r="V1182" s="67">
        <f>+AM744</f>
        <v>0</v>
      </c>
      <c r="W1182" s="67"/>
      <c r="X1182" s="67">
        <f t="shared" si="404"/>
        <v>0</v>
      </c>
      <c r="Y1182" s="67">
        <f t="shared" si="405"/>
        <v>13000000</v>
      </c>
      <c r="Z1182" s="67">
        <f t="shared" si="406"/>
        <v>0</v>
      </c>
      <c r="AA1182" s="67">
        <f>AZ63+AZ110+AZ178+AZ301+AZ413+AZ528+AZ613+AZ702+AZ792+AZ843+AZ907+AZ958+AZ1012+AZ1046+AZ1083</f>
        <v>0</v>
      </c>
      <c r="AB1182" s="67">
        <f t="shared" si="407"/>
        <v>0</v>
      </c>
    </row>
    <row r="1183" spans="1:43" x14ac:dyDescent="0.25">
      <c r="A1183" s="45"/>
      <c r="B1183" s="35" t="s">
        <v>257</v>
      </c>
      <c r="C1183" s="4"/>
      <c r="D1183" s="67">
        <f>+AD1149</f>
        <v>1000000</v>
      </c>
      <c r="E1183" s="67">
        <f>+AE1149</f>
        <v>1000000</v>
      </c>
      <c r="F1183" s="67">
        <f>+AF1149</f>
        <v>0</v>
      </c>
      <c r="G1183" s="67"/>
      <c r="H1183" s="67">
        <f>+AG1149</f>
        <v>1000000</v>
      </c>
      <c r="I1183" s="67"/>
      <c r="J1183" s="67"/>
      <c r="K1183" s="67"/>
      <c r="L1183" s="67">
        <f>+AH1149</f>
        <v>0</v>
      </c>
      <c r="M1183" s="67"/>
      <c r="N1183" s="67">
        <f>+AI1149</f>
        <v>1000000</v>
      </c>
      <c r="O1183" s="67">
        <f>+AJ1149</f>
        <v>0</v>
      </c>
      <c r="P1183" s="67">
        <f>+AK1149</f>
        <v>0</v>
      </c>
      <c r="Q1183" s="67"/>
      <c r="R1183" s="67">
        <f>+AL1149</f>
        <v>0</v>
      </c>
      <c r="S1183" s="67">
        <f>+AR1112</f>
        <v>0</v>
      </c>
      <c r="T1183" s="67">
        <f>+AS1102</f>
        <v>0</v>
      </c>
      <c r="U1183" s="67">
        <f>+AT1097</f>
        <v>0</v>
      </c>
      <c r="V1183" s="67">
        <f>+AM1149</f>
        <v>0</v>
      </c>
      <c r="W1183" s="67"/>
      <c r="X1183" s="67">
        <f t="shared" si="404"/>
        <v>0</v>
      </c>
      <c r="Y1183" s="67">
        <f t="shared" si="405"/>
        <v>1000000</v>
      </c>
      <c r="Z1183" s="67">
        <f t="shared" si="406"/>
        <v>0</v>
      </c>
      <c r="AA1183" s="67">
        <f>AZ63+AZ110+AZ178+AZ301+AZ413+AZ528+AZ613+AZ702+AZ792+AZ843+AZ907+AZ958+AZ1012+AZ1046+AZ1083</f>
        <v>0</v>
      </c>
      <c r="AB1183" s="67">
        <f t="shared" si="407"/>
        <v>0</v>
      </c>
      <c r="AC1183" s="4"/>
    </row>
    <row r="1184" spans="1:43" x14ac:dyDescent="0.25">
      <c r="A1184" s="4"/>
      <c r="B1184" s="4" t="s">
        <v>304</v>
      </c>
      <c r="C1184" s="4"/>
      <c r="D1184" s="55">
        <f>+AD325+AD654+AD1015+AD1065</f>
        <v>145574576.49000001</v>
      </c>
      <c r="E1184" s="67">
        <f>+AE654+AE325+AE1015+AE1065</f>
        <v>145574576.49000001</v>
      </c>
      <c r="F1184" s="67">
        <f>+AF654+AF325+AF1015+AF1065</f>
        <v>0</v>
      </c>
      <c r="G1184" s="67"/>
      <c r="H1184" s="67">
        <f>+E1184+F1184</f>
        <v>145574576.49000001</v>
      </c>
      <c r="I1184" s="67">
        <f t="shared" ref="I1184:K1185" si="408">AI69+AI334+AI448+AI566+AI1071+AI1109+AI124</f>
        <v>202309111.29999998</v>
      </c>
      <c r="J1184" s="67">
        <f t="shared" si="408"/>
        <v>5947239.0699999994</v>
      </c>
      <c r="K1184" s="67">
        <f t="shared" si="408"/>
        <v>0</v>
      </c>
      <c r="L1184" s="67">
        <f>+AH654+AH325+AH1015+AH1065</f>
        <v>0</v>
      </c>
      <c r="M1184" s="67"/>
      <c r="N1184" s="67">
        <f>+H1184+L1184</f>
        <v>145574576.49000001</v>
      </c>
      <c r="O1184" s="67">
        <f>+AJ654+AJ325+AJ1015+AJ1065</f>
        <v>0</v>
      </c>
      <c r="P1184" s="67">
        <f>+AK654+AK325+AK1015+AK1065</f>
        <v>0</v>
      </c>
      <c r="Q1184" s="67"/>
      <c r="R1184" s="67">
        <f>+O1184+P1184</f>
        <v>0</v>
      </c>
      <c r="S1184" s="67">
        <f>AR67+AR316+AR431+AR543+AR1041+AR1075+AR118</f>
        <v>0</v>
      </c>
      <c r="T1184" s="67">
        <f>AS67+AS314+AS429+AS540+AS1031+AS1065+AS117</f>
        <v>0</v>
      </c>
      <c r="U1184" s="67">
        <f>AT66+AT310+AT425+AT536+AT1026+AT1060+AT115</f>
        <v>0</v>
      </c>
      <c r="V1184" s="67">
        <f>+AM654+AM650+AM1015+AM1065</f>
        <v>0</v>
      </c>
      <c r="W1184" s="67"/>
      <c r="X1184" s="67">
        <f t="shared" si="404"/>
        <v>0</v>
      </c>
      <c r="Y1184" s="67">
        <f t="shared" si="405"/>
        <v>145574576.49000001</v>
      </c>
      <c r="Z1184" s="67">
        <f t="shared" si="406"/>
        <v>0</v>
      </c>
      <c r="AA1184" s="67">
        <f>AZ64+AZ111+AZ179+AZ302+AZ414+AZ529+AZ614+AZ703+AZ793+AZ845+AZ908+AZ959+AZ1013+AZ1047+AZ1084</f>
        <v>0</v>
      </c>
      <c r="AB1184" s="67">
        <f t="shared" si="407"/>
        <v>0</v>
      </c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</row>
    <row r="1185" spans="1:43" x14ac:dyDescent="0.25">
      <c r="A1185" s="45"/>
      <c r="B1185" s="35" t="s">
        <v>44</v>
      </c>
      <c r="C1185" s="4"/>
      <c r="D1185" s="67">
        <f>AD70+AD335+AD449+AD567+AD1072+AD1110+AD125</f>
        <v>300428586</v>
      </c>
      <c r="E1185" s="67">
        <f>AE70+AE335+AE449+AE567+AE1072+AE1110+AE125</f>
        <v>300428586</v>
      </c>
      <c r="F1185" s="67">
        <f>AF70+AF335+AF449+AF567+AF1072+AF1110+AF125</f>
        <v>0</v>
      </c>
      <c r="G1185" s="67"/>
      <c r="H1185" s="67">
        <f>AG70+AG335+AG449+AG567+AG1072+AG1110+AG125</f>
        <v>300428586</v>
      </c>
      <c r="I1185" s="67">
        <f t="shared" si="408"/>
        <v>300428586</v>
      </c>
      <c r="J1185" s="67">
        <f t="shared" si="408"/>
        <v>0</v>
      </c>
      <c r="K1185" s="67">
        <f t="shared" si="408"/>
        <v>0</v>
      </c>
      <c r="L1185" s="67">
        <f>AH70+AH335+AH449+AH567+AH1072+AH1110+AH125</f>
        <v>0</v>
      </c>
      <c r="M1185" s="67"/>
      <c r="N1185" s="67">
        <f>AI70+AI335+AI449+AI567+AI1072+AI1110+AI125</f>
        <v>300428586</v>
      </c>
      <c r="O1185" s="67">
        <f>AJ70+AJ335+AJ449+AJ567+AJ1072+AJ1110+AJ125</f>
        <v>0</v>
      </c>
      <c r="P1185" s="67">
        <f>AK70+AK335+AK449+AK567+AK1072+AK1110+AK125</f>
        <v>0</v>
      </c>
      <c r="Q1185" s="67"/>
      <c r="R1185" s="67">
        <f>AL70+AL335+AL449+AL567+AL1072+AL1110+AL125</f>
        <v>0</v>
      </c>
      <c r="S1185" s="67">
        <f>AR68+AR317+AR432+AR544+AR1042+AR1076+AR120</f>
        <v>0</v>
      </c>
      <c r="T1185" s="67">
        <f>AS68+AS315+AS430+AS541+AS1032+AS1066+AS118</f>
        <v>0</v>
      </c>
      <c r="U1185" s="67">
        <f>AT67+AT311+AT426+AT537+AT1027+AT1061+AT117</f>
        <v>0</v>
      </c>
      <c r="V1185" s="67">
        <f>AM70+AM335+AM449+AM567+AM1072+AM1110+AM125</f>
        <v>0</v>
      </c>
      <c r="W1185" s="67"/>
      <c r="X1185" s="67">
        <f t="shared" si="404"/>
        <v>0</v>
      </c>
      <c r="Y1185" s="67">
        <f t="shared" si="405"/>
        <v>300428586</v>
      </c>
      <c r="Z1185" s="67">
        <f t="shared" si="406"/>
        <v>0</v>
      </c>
      <c r="AA1185" s="67">
        <f>AZ64+AZ111+AZ179+AZ302+AZ414+AZ529+AZ614+AZ703+AZ793+AZ845+AZ908+AZ959+AZ1013+AZ1047+AZ1084</f>
        <v>0</v>
      </c>
      <c r="AB1185" s="67">
        <f t="shared" si="407"/>
        <v>0</v>
      </c>
      <c r="AC1185" s="4"/>
    </row>
    <row r="1186" spans="1:43" x14ac:dyDescent="0.25">
      <c r="A1186" s="46"/>
      <c r="B1186" s="4" t="s">
        <v>281</v>
      </c>
      <c r="C1186" s="4"/>
      <c r="D1186" s="55">
        <f>+AD332</f>
        <v>8840000</v>
      </c>
      <c r="E1186" s="55">
        <f>+AE332</f>
        <v>8840000</v>
      </c>
      <c r="F1186" s="55">
        <f>+AF332</f>
        <v>0</v>
      </c>
      <c r="G1186" s="55"/>
      <c r="H1186" s="55">
        <f>+AG332</f>
        <v>8840000</v>
      </c>
      <c r="I1186" s="55">
        <f>+AI332</f>
        <v>8840000</v>
      </c>
      <c r="J1186" s="55">
        <f>+AJ332</f>
        <v>0</v>
      </c>
      <c r="K1186" s="55">
        <f>+AK332</f>
        <v>0</v>
      </c>
      <c r="L1186" s="55">
        <f>+AH332</f>
        <v>0</v>
      </c>
      <c r="M1186" s="55"/>
      <c r="N1186" s="55">
        <f>+AI332</f>
        <v>8840000</v>
      </c>
      <c r="O1186" s="55">
        <f>+AJ332</f>
        <v>0</v>
      </c>
      <c r="P1186" s="55">
        <f>+AK332</f>
        <v>0</v>
      </c>
      <c r="Q1186" s="55"/>
      <c r="R1186" s="55">
        <f>+AL332</f>
        <v>0</v>
      </c>
      <c r="S1186" s="55">
        <f>+AR314</f>
        <v>0</v>
      </c>
      <c r="T1186" s="55">
        <f>+AS312</f>
        <v>0</v>
      </c>
      <c r="U1186" s="55">
        <f>+AT308</f>
        <v>0</v>
      </c>
      <c r="V1186" s="55">
        <f>+AM332</f>
        <v>0</v>
      </c>
      <c r="W1186" s="55"/>
      <c r="X1186" s="67">
        <f t="shared" si="404"/>
        <v>0</v>
      </c>
      <c r="Y1186" s="67">
        <f t="shared" si="405"/>
        <v>8840000</v>
      </c>
      <c r="Z1186" s="67">
        <f t="shared" si="406"/>
        <v>0</v>
      </c>
      <c r="AA1186" s="67">
        <f t="shared" ref="AA1186:AA1191" si="409">AZ65+AZ112+AZ180+AZ303+AZ416+AZ530+AZ615+AZ704+AZ794+AZ846+AZ909+AZ960+AZ1014+AZ1048+AZ1085</f>
        <v>0</v>
      </c>
      <c r="AB1186" s="67">
        <f t="shared" si="407"/>
        <v>0</v>
      </c>
      <c r="AC1186" s="4"/>
    </row>
    <row r="1187" spans="1:43" x14ac:dyDescent="0.25">
      <c r="A1187" s="46"/>
      <c r="B1187" s="4" t="s">
        <v>80</v>
      </c>
      <c r="C1187" s="4"/>
      <c r="D1187" s="55">
        <f>AD72+AD334+AD570</f>
        <v>244439707.97999999</v>
      </c>
      <c r="E1187" s="55">
        <f>AE72+AE334+AE570</f>
        <v>244439707.97999999</v>
      </c>
      <c r="F1187" s="55">
        <f>AF72+AF125+AF334+AF570</f>
        <v>0</v>
      </c>
      <c r="G1187" s="55"/>
      <c r="H1187" s="55">
        <f>AG72+AG334+AG570</f>
        <v>244439707.97999999</v>
      </c>
      <c r="I1187" s="55">
        <f>AI72+AI125+AI334+AI570</f>
        <v>269439707.98000002</v>
      </c>
      <c r="J1187" s="55">
        <f>AJ72+AJ125+AJ334+AJ570</f>
        <v>0</v>
      </c>
      <c r="K1187" s="55">
        <f>AK72+AK125+AK334+AK570</f>
        <v>0</v>
      </c>
      <c r="L1187" s="55">
        <f>AH72+AH125+AH334+AH570</f>
        <v>0</v>
      </c>
      <c r="M1187" s="55"/>
      <c r="N1187" s="55">
        <f>AI72+AI334+AI570</f>
        <v>244439707.97999999</v>
      </c>
      <c r="O1187" s="55">
        <f>AJ72+AJ334+AJ570</f>
        <v>0</v>
      </c>
      <c r="P1187" s="55">
        <f>AK72+AK334+AK570</f>
        <v>0</v>
      </c>
      <c r="Q1187" s="55"/>
      <c r="R1187" s="55">
        <f>AL72+AL334+AL570</f>
        <v>0</v>
      </c>
      <c r="S1187" s="55">
        <f>AR70+AR120+AR316+AR546</f>
        <v>0</v>
      </c>
      <c r="T1187" s="55">
        <f>AS70+AS118+AS314+AS543</f>
        <v>0</v>
      </c>
      <c r="U1187" s="55">
        <f>AT69+AT117+AT310+AT539</f>
        <v>0</v>
      </c>
      <c r="V1187" s="55">
        <f>AM72+AM334+AM570</f>
        <v>0</v>
      </c>
      <c r="W1187" s="55"/>
      <c r="X1187" s="67">
        <f t="shared" si="404"/>
        <v>0</v>
      </c>
      <c r="Y1187" s="67">
        <f t="shared" si="405"/>
        <v>244439707.97999999</v>
      </c>
      <c r="Z1187" s="67">
        <f t="shared" si="406"/>
        <v>0</v>
      </c>
      <c r="AA1187" s="67">
        <f t="shared" si="409"/>
        <v>0</v>
      </c>
      <c r="AB1187" s="67">
        <f t="shared" si="407"/>
        <v>0</v>
      </c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</row>
    <row r="1188" spans="1:43" x14ac:dyDescent="0.25">
      <c r="A1188" s="45"/>
      <c r="B1188" s="35" t="s">
        <v>243</v>
      </c>
      <c r="C1188" s="4"/>
      <c r="D1188" s="67">
        <f>AD333+AD568</f>
        <v>34319767.960000001</v>
      </c>
      <c r="E1188" s="67">
        <f>AE333+AE568</f>
        <v>34319767.960000001</v>
      </c>
      <c r="F1188" s="67">
        <f>AF333+AF568</f>
        <v>0</v>
      </c>
      <c r="G1188" s="67"/>
      <c r="H1188" s="67">
        <f>AG333+AG568</f>
        <v>34319767.960000001</v>
      </c>
      <c r="I1188" s="67">
        <f>AI333+AI568</f>
        <v>34319767.960000001</v>
      </c>
      <c r="J1188" s="67">
        <f>AJ333+AJ568</f>
        <v>0</v>
      </c>
      <c r="K1188" s="67">
        <f>AK333+AK568</f>
        <v>0</v>
      </c>
      <c r="L1188" s="67">
        <f>AH333+AH568</f>
        <v>0</v>
      </c>
      <c r="M1188" s="67"/>
      <c r="N1188" s="67">
        <f>AI333+AI568</f>
        <v>34319767.960000001</v>
      </c>
      <c r="O1188" s="67">
        <f>AJ333+AJ568</f>
        <v>0</v>
      </c>
      <c r="P1188" s="67">
        <f>AK333+AK568</f>
        <v>0</v>
      </c>
      <c r="Q1188" s="67"/>
      <c r="R1188" s="67">
        <f>AL333+AL568</f>
        <v>0</v>
      </c>
      <c r="S1188" s="67">
        <f>AR315+AR545</f>
        <v>0</v>
      </c>
      <c r="T1188" s="67">
        <f>AS313+AS542</f>
        <v>0</v>
      </c>
      <c r="U1188" s="67">
        <f>AT309+AT538</f>
        <v>0</v>
      </c>
      <c r="V1188" s="67">
        <f>AM333+AM568</f>
        <v>0</v>
      </c>
      <c r="W1188" s="67"/>
      <c r="X1188" s="67">
        <f t="shared" si="404"/>
        <v>0</v>
      </c>
      <c r="Y1188" s="67">
        <f t="shared" si="405"/>
        <v>34319767.960000001</v>
      </c>
      <c r="Z1188" s="67">
        <f t="shared" si="406"/>
        <v>0</v>
      </c>
      <c r="AA1188" s="67">
        <f t="shared" si="409"/>
        <v>0</v>
      </c>
      <c r="AB1188" s="67">
        <f t="shared" si="407"/>
        <v>0</v>
      </c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</row>
    <row r="1189" spans="1:43" x14ac:dyDescent="0.25">
      <c r="A1189" s="45"/>
      <c r="B1189" s="35" t="s">
        <v>244</v>
      </c>
      <c r="C1189" s="4"/>
      <c r="D1189" s="67">
        <f>+AD663</f>
        <v>9500000</v>
      </c>
      <c r="E1189" s="67">
        <f>+AE663</f>
        <v>9500000</v>
      </c>
      <c r="F1189" s="67">
        <f>+AF663</f>
        <v>0</v>
      </c>
      <c r="G1189" s="67"/>
      <c r="H1189" s="67">
        <f>+AG663</f>
        <v>9500000</v>
      </c>
      <c r="I1189" s="67">
        <f>+AI663</f>
        <v>9500000</v>
      </c>
      <c r="J1189" s="67">
        <f>+AJ663</f>
        <v>0</v>
      </c>
      <c r="K1189" s="67">
        <f>+AK663</f>
        <v>0</v>
      </c>
      <c r="L1189" s="67">
        <f>+AH663</f>
        <v>0</v>
      </c>
      <c r="M1189" s="67"/>
      <c r="N1189" s="67">
        <f>+AI663</f>
        <v>9500000</v>
      </c>
      <c r="O1189" s="67">
        <f>+AJ663</f>
        <v>0</v>
      </c>
      <c r="P1189" s="67">
        <f>+AK663</f>
        <v>0</v>
      </c>
      <c r="Q1189" s="67"/>
      <c r="R1189" s="67">
        <f>+AL663</f>
        <v>0</v>
      </c>
      <c r="S1189" s="67">
        <f>+AR636</f>
        <v>0</v>
      </c>
      <c r="T1189" s="67">
        <f>+AS631</f>
        <v>0</v>
      </c>
      <c r="U1189" s="67">
        <f>+AT624</f>
        <v>0</v>
      </c>
      <c r="V1189" s="67">
        <f>+AM663</f>
        <v>0</v>
      </c>
      <c r="W1189" s="67"/>
      <c r="X1189" s="67">
        <f t="shared" si="404"/>
        <v>0</v>
      </c>
      <c r="Y1189" s="67">
        <f t="shared" si="405"/>
        <v>9500000</v>
      </c>
      <c r="Z1189" s="67">
        <f t="shared" si="406"/>
        <v>0</v>
      </c>
      <c r="AA1189" s="67">
        <f t="shared" si="409"/>
        <v>0</v>
      </c>
      <c r="AB1189" s="67">
        <f t="shared" si="407"/>
        <v>0</v>
      </c>
      <c r="AC1189" s="4"/>
    </row>
    <row r="1190" spans="1:43" x14ac:dyDescent="0.25">
      <c r="A1190" s="46"/>
      <c r="B1190" s="4" t="s">
        <v>282</v>
      </c>
      <c r="C1190" s="4"/>
      <c r="D1190" s="55">
        <f>+AD845</f>
        <v>1300000</v>
      </c>
      <c r="E1190" s="55">
        <f>+AE845</f>
        <v>1300000</v>
      </c>
      <c r="F1190" s="55">
        <f>+AF845</f>
        <v>0</v>
      </c>
      <c r="G1190" s="55"/>
      <c r="H1190" s="55">
        <f>+AG845</f>
        <v>1300000</v>
      </c>
      <c r="I1190" s="55">
        <f>+AI845</f>
        <v>1300000</v>
      </c>
      <c r="J1190" s="55">
        <f>+AJ845</f>
        <v>0</v>
      </c>
      <c r="K1190" s="55">
        <f>+AK845</f>
        <v>0</v>
      </c>
      <c r="L1190" s="55">
        <f>+AH845</f>
        <v>0</v>
      </c>
      <c r="M1190" s="55"/>
      <c r="N1190" s="55">
        <f>+AI845</f>
        <v>1300000</v>
      </c>
      <c r="O1190" s="55">
        <f>+AJ845</f>
        <v>0</v>
      </c>
      <c r="P1190" s="55">
        <f>+AK845</f>
        <v>0</v>
      </c>
      <c r="Q1190" s="55"/>
      <c r="R1190" s="55">
        <f>+AL845</f>
        <v>0</v>
      </c>
      <c r="S1190" s="55">
        <f>+AR818</f>
        <v>0</v>
      </c>
      <c r="T1190" s="55">
        <f>+AS811</f>
        <v>0</v>
      </c>
      <c r="U1190" s="55">
        <f>+AT806</f>
        <v>0</v>
      </c>
      <c r="V1190" s="55">
        <f>+AM845</f>
        <v>0</v>
      </c>
      <c r="W1190" s="55"/>
      <c r="X1190" s="67">
        <f t="shared" si="404"/>
        <v>0</v>
      </c>
      <c r="Y1190" s="67">
        <f t="shared" si="405"/>
        <v>1300000</v>
      </c>
      <c r="Z1190" s="67">
        <f t="shared" si="406"/>
        <v>0</v>
      </c>
      <c r="AA1190" s="67">
        <f t="shared" si="409"/>
        <v>0</v>
      </c>
      <c r="AB1190" s="67">
        <f t="shared" si="407"/>
        <v>0</v>
      </c>
      <c r="AC1190" s="4"/>
    </row>
    <row r="1191" spans="1:43" x14ac:dyDescent="0.25">
      <c r="A1191" s="45"/>
      <c r="B1191" s="23" t="s">
        <v>131</v>
      </c>
      <c r="C1191" s="4"/>
      <c r="D1191" s="67">
        <f>+AD571</f>
        <v>182409.37</v>
      </c>
      <c r="E1191" s="72">
        <f>+AE571</f>
        <v>0</v>
      </c>
      <c r="F1191" s="67">
        <f>+AF571</f>
        <v>0</v>
      </c>
      <c r="G1191" s="67"/>
      <c r="H1191" s="67">
        <f>+AG571</f>
        <v>0</v>
      </c>
      <c r="I1191" s="67">
        <f>+AI571</f>
        <v>0</v>
      </c>
      <c r="J1191" s="67">
        <f>+AJ571</f>
        <v>0</v>
      </c>
      <c r="K1191" s="67">
        <f>+AK571</f>
        <v>0</v>
      </c>
      <c r="L1191" s="67">
        <f>+AH571</f>
        <v>0</v>
      </c>
      <c r="M1191" s="67"/>
      <c r="N1191" s="67">
        <f>+AI571</f>
        <v>0</v>
      </c>
      <c r="O1191" s="67">
        <f>+AJ571</f>
        <v>0</v>
      </c>
      <c r="P1191" s="67">
        <f>+AK571</f>
        <v>0</v>
      </c>
      <c r="Q1191" s="67"/>
      <c r="R1191" s="67">
        <f>+AL571</f>
        <v>0</v>
      </c>
      <c r="S1191" s="67">
        <f>+AR547</f>
        <v>0</v>
      </c>
      <c r="T1191" s="67">
        <f>+AS544</f>
        <v>0</v>
      </c>
      <c r="U1191" s="67">
        <f>+AT540</f>
        <v>0</v>
      </c>
      <c r="V1191" s="67">
        <f>+AM571</f>
        <v>0</v>
      </c>
      <c r="W1191" s="67"/>
      <c r="X1191" s="67">
        <f t="shared" si="404"/>
        <v>0</v>
      </c>
      <c r="Y1191" s="67">
        <f t="shared" si="405"/>
        <v>0</v>
      </c>
      <c r="Z1191" s="67">
        <f t="shared" si="406"/>
        <v>182409.37</v>
      </c>
      <c r="AA1191" s="67">
        <f t="shared" si="409"/>
        <v>0</v>
      </c>
      <c r="AB1191" s="67">
        <f t="shared" si="407"/>
        <v>182409.37</v>
      </c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</row>
    <row r="1192" spans="1:43" x14ac:dyDescent="0.25">
      <c r="B1192" s="4" t="s">
        <v>319</v>
      </c>
      <c r="C1192" s="4"/>
      <c r="D1192" s="55">
        <f>+AD61+AD322+AD114+AD321+AD1144+AD1102+AD189+AD653+AD439+AD560+AD891+AD1013+AD742</f>
        <v>170676869.68000001</v>
      </c>
      <c r="E1192" s="122">
        <f>+AE61+AE322+AE114+AE321+AE1144+AE1102+AE189+AE653+AE439+AE560+AE891+AE1013+AE742</f>
        <v>168674199.77599999</v>
      </c>
      <c r="F1192" s="122">
        <f>+AF61+AF322+AF114+AF321+AF1144+AF1102+AF189+AF653+AF439+AF560+AF891+AF1013+AF742</f>
        <v>1500000</v>
      </c>
      <c r="G1192" s="95"/>
      <c r="H1192" s="67">
        <f>+E1192+F1192</f>
        <v>170174199.77599999</v>
      </c>
      <c r="I1192" s="67">
        <f t="shared" ref="I1192:K1193" si="410">+AI571</f>
        <v>0</v>
      </c>
      <c r="J1192" s="67">
        <f t="shared" si="410"/>
        <v>0</v>
      </c>
      <c r="K1192" s="67">
        <f t="shared" si="410"/>
        <v>0</v>
      </c>
      <c r="L1192" s="67">
        <f>+AH61+AH322+AH114+AH321+AH1144+AH1102+AH189+AH653+AH439+AH560+AH1013+AH742</f>
        <v>0</v>
      </c>
      <c r="M1192" s="67"/>
      <c r="N1192" s="67">
        <f>+H1192+L1192</f>
        <v>170174199.77599999</v>
      </c>
      <c r="O1192" s="55">
        <f>+AJ61+AJ322+AJ114+AJ321+AJ1144+AJ1102+AJ189+AJ653+AJ439+AJ560+AJ891+AJ1013+AJ742</f>
        <v>0</v>
      </c>
      <c r="P1192" s="67">
        <f>+AK61+AK322+AK114+AK321+AK1144+AK1102+AK189+AK653+AK439+AK560+AK1013+AK742</f>
        <v>0</v>
      </c>
      <c r="Q1192" s="67"/>
      <c r="R1192" s="67">
        <f>+AL61+AL322+AL560+AL1013+AL742</f>
        <v>0</v>
      </c>
      <c r="S1192" s="67">
        <f>+AR547</f>
        <v>0</v>
      </c>
      <c r="T1192" s="67">
        <f>+AS544</f>
        <v>0</v>
      </c>
      <c r="U1192" s="67">
        <f>+AT540</f>
        <v>0</v>
      </c>
      <c r="V1192" s="67">
        <f>+AM571+AM322+AM114+AM321+AM1144+AM1102+AM189+AM653+AM439+AM560+AM1013+AM742</f>
        <v>0</v>
      </c>
      <c r="W1192" s="67"/>
      <c r="X1192" s="67">
        <f t="shared" ref="X1192:X1198" si="411">+R1192+V1192</f>
        <v>0</v>
      </c>
      <c r="Y1192" s="67">
        <f t="shared" ref="Y1192:Y1197" si="412">+H1192+R1192</f>
        <v>170174199.77599999</v>
      </c>
      <c r="Z1192" s="67">
        <f t="shared" ref="Z1192:Z1197" si="413">+D1192-Y1192</f>
        <v>502669.90400001407</v>
      </c>
      <c r="AA1192" s="67">
        <f>AZ70+AZ117+AZ185+AZ308+AZ421+AZ535+AZ620+AZ709+AZ799+AZ851+AZ914+AZ965+AZ1019+AZ1053+AZ1090</f>
        <v>0</v>
      </c>
      <c r="AB1192" s="67">
        <f t="shared" ref="AB1192:AB1197" si="414">+D1192-N1192-X1192</f>
        <v>502669.90400001407</v>
      </c>
    </row>
    <row r="1193" spans="1:43" x14ac:dyDescent="0.25">
      <c r="A1193" s="46"/>
      <c r="B1193" s="4" t="s">
        <v>296</v>
      </c>
      <c r="C1193" s="4"/>
      <c r="D1193" s="121">
        <f>+AD62</f>
        <v>15000000</v>
      </c>
      <c r="E1193" s="122">
        <f>+AE62</f>
        <v>4500000</v>
      </c>
      <c r="F1193" s="122">
        <f>+AF62</f>
        <v>0</v>
      </c>
      <c r="G1193" s="95"/>
      <c r="H1193" s="67">
        <f>+AG62</f>
        <v>4500000</v>
      </c>
      <c r="I1193" s="67">
        <f t="shared" si="410"/>
        <v>5843730.0300000003</v>
      </c>
      <c r="J1193" s="67">
        <f t="shared" si="410"/>
        <v>835222.3</v>
      </c>
      <c r="K1193" s="67">
        <f t="shared" si="410"/>
        <v>0</v>
      </c>
      <c r="L1193" s="67">
        <f>+AH62</f>
        <v>0</v>
      </c>
      <c r="M1193" s="67"/>
      <c r="N1193" s="67">
        <f>+AI62</f>
        <v>4500000</v>
      </c>
      <c r="O1193" s="67">
        <f>+AJ62</f>
        <v>1523732.22</v>
      </c>
      <c r="P1193" s="67">
        <f>+AK62</f>
        <v>0</v>
      </c>
      <c r="Q1193" s="67"/>
      <c r="R1193" s="67">
        <f>+AL62</f>
        <v>1523732.22</v>
      </c>
      <c r="S1193" s="67">
        <f>+AR548</f>
        <v>0</v>
      </c>
      <c r="T1193" s="67">
        <f>+AS545</f>
        <v>0</v>
      </c>
      <c r="U1193" s="67">
        <f>+AT541</f>
        <v>0</v>
      </c>
      <c r="V1193" s="67">
        <f>+AM572</f>
        <v>0</v>
      </c>
      <c r="W1193" s="67"/>
      <c r="X1193" s="67">
        <f t="shared" si="411"/>
        <v>1523732.22</v>
      </c>
      <c r="Y1193" s="67">
        <f t="shared" si="412"/>
        <v>6023732.2199999997</v>
      </c>
      <c r="Z1193" s="67">
        <f t="shared" si="413"/>
        <v>8976267.7800000012</v>
      </c>
      <c r="AA1193" s="67">
        <f>AZ71+AZ118+AZ186+AZ309+AZ422+AZ536+AZ621+AZ710+AZ800+AZ852+AZ915+AZ966+AZ1020+AZ1054+AZ1091</f>
        <v>0</v>
      </c>
      <c r="AB1193" s="67">
        <f t="shared" si="414"/>
        <v>8976267.7799999993</v>
      </c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</row>
    <row r="1194" spans="1:43" x14ac:dyDescent="0.25">
      <c r="A1194" s="45"/>
      <c r="B1194" s="4" t="s">
        <v>298</v>
      </c>
      <c r="C1194" s="4"/>
      <c r="D1194" s="95">
        <f>+AD191+AD561+AD1145+AD440+AD652+AD323+AD1105</f>
        <v>69437081.200000003</v>
      </c>
      <c r="E1194" s="95">
        <f>+AE191+AE561+AE1145+AE440+AE652+AE323+AE1105</f>
        <v>69437081.200000003</v>
      </c>
      <c r="F1194" s="122">
        <f>+AF191+AF561+AF1145+AF440+AF652+AF323+AF1105</f>
        <v>0</v>
      </c>
      <c r="G1194" s="95"/>
      <c r="H1194" s="95">
        <f>+E1194+F1194</f>
        <v>69437081.200000003</v>
      </c>
      <c r="I1194" s="95">
        <f>+AI191+AI561+AI1145</f>
        <v>36131000</v>
      </c>
      <c r="J1194" s="95">
        <f>+AJ191+AJ561+AJ1145</f>
        <v>0</v>
      </c>
      <c r="K1194" s="95">
        <f>+AK191+AK561+AK1145</f>
        <v>0</v>
      </c>
      <c r="L1194" s="95">
        <f>+AH191+AH561+AH1145+AH440+AH652+AH323+AH1105</f>
        <v>0</v>
      </c>
      <c r="M1194" s="95"/>
      <c r="N1194" s="95">
        <f>+H1194+L1194</f>
        <v>69437081.200000003</v>
      </c>
      <c r="O1194" s="121">
        <f>+AJ191+AJ561+AJ1145+AJ440+AJ652+AJ323+AJ1105</f>
        <v>0</v>
      </c>
      <c r="P1194" s="95">
        <f>+AK191+AK561+AK1145+AK440+AK652+AK323+AK1105</f>
        <v>0</v>
      </c>
      <c r="Q1194" s="95"/>
      <c r="R1194" s="95">
        <f>+AL191+AL561+AL1145+AL652+AL1105</f>
        <v>0</v>
      </c>
      <c r="S1194" s="95">
        <f>+AS180+AS542+AS1113</f>
        <v>0</v>
      </c>
      <c r="T1194" s="95">
        <f>+AT179+AT538+AT1108</f>
        <v>0</v>
      </c>
      <c r="U1194" s="95">
        <f>+AU179+AU535+AU1105</f>
        <v>0</v>
      </c>
      <c r="V1194" s="121">
        <f>+AM191+AM561+AM1145+AM440+AM652+AM1105</f>
        <v>0</v>
      </c>
      <c r="W1194" s="95"/>
      <c r="X1194" s="95">
        <f t="shared" si="411"/>
        <v>0</v>
      </c>
      <c r="Y1194" s="67">
        <f t="shared" si="412"/>
        <v>69437081.200000003</v>
      </c>
      <c r="Z1194" s="67">
        <f t="shared" si="413"/>
        <v>0</v>
      </c>
      <c r="AA1194" s="67">
        <f>AZ73+AZ120+AZ187+AZ310+AZ423+AZ537+AZ622+AZ711+AZ801+AZ853+AZ916+AZ967+AZ1021+AZ1055+AZ1092</f>
        <v>0</v>
      </c>
      <c r="AB1194" s="67">
        <f t="shared" si="414"/>
        <v>0</v>
      </c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</row>
    <row r="1195" spans="1:43" x14ac:dyDescent="0.25">
      <c r="A1195" s="45"/>
      <c r="B1195" s="23" t="s">
        <v>132</v>
      </c>
      <c r="C1195" s="4"/>
      <c r="D1195" s="67">
        <f>AD844+AD339+AD575+AD750+AD963+AD667</f>
        <v>10647885.359999999</v>
      </c>
      <c r="E1195" s="67">
        <f>AE339+AE575+AE667+AE750+AE963+AE844</f>
        <v>0</v>
      </c>
      <c r="F1195" s="67">
        <f>AF339+AF575+AF667+AF750+AF963+AF844</f>
        <v>0</v>
      </c>
      <c r="G1195" s="67"/>
      <c r="H1195" s="67">
        <f>AG339+AG575+AG667+AG750+AG963+AG844</f>
        <v>0</v>
      </c>
      <c r="I1195" s="67">
        <f>AI339+AI575+AI667+AI750+AI963</f>
        <v>0</v>
      </c>
      <c r="J1195" s="67">
        <f>AJ339+AJ575+AJ667+AJ750+AJ963</f>
        <v>0</v>
      </c>
      <c r="K1195" s="67">
        <f>AK339+AK575+AK667+AK750+AK963</f>
        <v>0</v>
      </c>
      <c r="L1195" s="67">
        <f>AH339+AH575+AH667+AH750+AH963+AH844</f>
        <v>0</v>
      </c>
      <c r="M1195" s="67"/>
      <c r="N1195" s="67">
        <f>AI339+AI575+AI667+AI750+AI963+AI844</f>
        <v>0</v>
      </c>
      <c r="O1195" s="67">
        <f>AJ844+AJ339+AJ575+AJ750+AJ963+AJ667</f>
        <v>0</v>
      </c>
      <c r="P1195" s="67">
        <f>AK844+AK339+AK575+AK750+AK963+AK667</f>
        <v>0</v>
      </c>
      <c r="Q1195" s="67"/>
      <c r="R1195" s="67">
        <f>AL844+AL339+AL575+AL750+AL963+AL667</f>
        <v>0</v>
      </c>
      <c r="S1195" s="67">
        <f>AR322+AR551+AR640+AR724+AR933</f>
        <v>0</v>
      </c>
      <c r="T1195" s="67">
        <f>AS320+AS548+AS636+AS718+AS925</f>
        <v>0</v>
      </c>
      <c r="U1195" s="67">
        <f>AT315+AT544+AT631+AT713+AT920</f>
        <v>0</v>
      </c>
      <c r="V1195" s="67">
        <f>AM844+AM339+AM575+AM750+AM963+AM667</f>
        <v>0</v>
      </c>
      <c r="W1195" s="67"/>
      <c r="X1195" s="67">
        <f t="shared" si="411"/>
        <v>0</v>
      </c>
      <c r="Y1195" s="67">
        <f t="shared" si="412"/>
        <v>0</v>
      </c>
      <c r="Z1195" s="67">
        <f t="shared" si="413"/>
        <v>10647885.359999999</v>
      </c>
      <c r="AA1195" s="67">
        <f>AZ71+AZ118+AZ186+AZ309+AZ422+AZ536+AZ621+AZ710+AZ800+AZ852+AZ915+AZ966+AZ1020+AZ1054+AZ1091</f>
        <v>0</v>
      </c>
      <c r="AB1195" s="67">
        <f t="shared" si="414"/>
        <v>10647885.359999999</v>
      </c>
      <c r="AC1195" s="4"/>
    </row>
    <row r="1196" spans="1:43" x14ac:dyDescent="0.25">
      <c r="A1196" s="45"/>
      <c r="B1196" s="23" t="s">
        <v>38</v>
      </c>
      <c r="C1196" s="4"/>
      <c r="D1196" s="67">
        <f>AD69+AD123+AD331+AD445+AD566+AD661+AD749+AD896+AD965+AD1021+AD1069+AD842+AD198</f>
        <v>198240193.37</v>
      </c>
      <c r="E1196" s="67">
        <f>AE69+AE123+AE331+AE445+AE566+AE661+AE749+AE896+AE965+AE1021+AE1069+AE842</f>
        <v>0</v>
      </c>
      <c r="F1196" s="67">
        <f>AF69+AF123+AF331+AF445+AF566+AF661+AF749+AF896+AF965+AF1021+AF1069+AF842</f>
        <v>0</v>
      </c>
      <c r="G1196" s="67"/>
      <c r="H1196" s="67">
        <f>AG69+AG123+AG331+AG109+AG566+AG661+AG749+AG896+AG965+AG1021+AG1069+AG842</f>
        <v>0</v>
      </c>
      <c r="I1196" s="67">
        <f>AI69+AI123+AI331+AI445+AI566+AI661+AI749+AI896+AI965+AI1021+AI1069</f>
        <v>0</v>
      </c>
      <c r="J1196" s="67">
        <f>AJ69+AJ123+AJ331+AJ445+AJ566+AJ661+AJ749+AJ896+AJ965+AJ1021+AJ1069</f>
        <v>14468645.159999998</v>
      </c>
      <c r="K1196" s="67">
        <f>AK69+AK123+AK331+AK445+AK566+AK661+AK749+AK896+AK965+AK1021+AK1069</f>
        <v>0</v>
      </c>
      <c r="L1196" s="67">
        <f>AH69+AH123+AH331+AH445+AH566+AH661+AH749+AH896+AH965+AH1021+AH1069+AH842</f>
        <v>0</v>
      </c>
      <c r="M1196" s="67"/>
      <c r="N1196" s="67">
        <f>AI69+AI123+AI331+AI445+AI566+AI661+AI749+AI896+AI965+AI1021+AI1069+AI842</f>
        <v>0</v>
      </c>
      <c r="O1196" s="67">
        <f>AJ69+AJ123+AJ331+AJ445+AJ566+AJ661+AJ749+AJ896+AJ965+AJ1021+AJ1069+AJ842+AJ198</f>
        <v>14468645.159999998</v>
      </c>
      <c r="P1196" s="67">
        <f>AK69+AK123+AK331+AK445+AK566+AK661+AK749+AK896+AK965+AK1021+AK1069+AK842+AK198</f>
        <v>0</v>
      </c>
      <c r="Q1196" s="67"/>
      <c r="R1196" s="67">
        <f>AL69+AL123+AL331+AL445+AL566+AL661+AL749+AL896+AL965+AL1021+AL1069+AL842+AL198</f>
        <v>14468645.159999998</v>
      </c>
      <c r="S1196" s="67">
        <f>AR67+AR116+AR313+AR428+AR543+AR632+AR723+AR868+AR934+AR986+AR1039</f>
        <v>0</v>
      </c>
      <c r="T1196" s="67">
        <f>AS67+AS115+AS311+AS426+AS540+AS626+AS717+AS860+AS926+AS976+AS1029</f>
        <v>0</v>
      </c>
      <c r="U1196" s="67">
        <f>AT66+AT114+AT307+AT422+AT536+AT622+AT712+AT855+AT921+AT971+AT1024</f>
        <v>0</v>
      </c>
      <c r="V1196" s="67">
        <f>AM69+AM123+AM331+AM445+AM566+AM661+AM749+AM896+AM965+AM1021+AM1069+AM842+AM198</f>
        <v>0</v>
      </c>
      <c r="W1196" s="67"/>
      <c r="X1196" s="67">
        <f t="shared" si="411"/>
        <v>14468645.159999998</v>
      </c>
      <c r="Y1196" s="67">
        <f t="shared" si="412"/>
        <v>14468645.159999998</v>
      </c>
      <c r="Z1196" s="67">
        <f t="shared" si="413"/>
        <v>183771548.21000001</v>
      </c>
      <c r="AA1196" s="67">
        <f>AZ73+AZ120+AZ187+AZ310+AZ423+AZ537+AZ622+AZ711+AZ801+AZ853+AZ916+AZ967+AZ1021+AZ1055+AZ1092</f>
        <v>0</v>
      </c>
      <c r="AB1196" s="67">
        <f t="shared" si="414"/>
        <v>183771548.21000001</v>
      </c>
      <c r="AC1196" s="4"/>
    </row>
    <row r="1197" spans="1:43" x14ac:dyDescent="0.25">
      <c r="A1197" s="45"/>
      <c r="B1197" s="35" t="s">
        <v>133</v>
      </c>
      <c r="C1197" s="4"/>
      <c r="D1197" s="68">
        <f>AD126+AD446+AD753+AD843</f>
        <v>10444496.359999999</v>
      </c>
      <c r="E1197" s="68">
        <f>AE126+AE446+AE753+AE843</f>
        <v>8406124</v>
      </c>
      <c r="F1197" s="68">
        <f>AF126+AF446+AF753+AF843</f>
        <v>0</v>
      </c>
      <c r="G1197" s="68"/>
      <c r="H1197" s="68">
        <f>AG126+AG446+AG753+AG843</f>
        <v>8406124</v>
      </c>
      <c r="I1197" s="68">
        <f t="shared" ref="I1197:K1198" si="415">AI126+AI446+AI753+AI843</f>
        <v>8406124</v>
      </c>
      <c r="J1197" s="68">
        <f t="shared" si="415"/>
        <v>0</v>
      </c>
      <c r="K1197" s="68">
        <f t="shared" si="415"/>
        <v>0</v>
      </c>
      <c r="L1197" s="68">
        <f>AH126+AH446+AH753+AH843</f>
        <v>0</v>
      </c>
      <c r="M1197" s="68"/>
      <c r="N1197" s="68">
        <f>AI126+AI446+AI753+AI843</f>
        <v>8406124</v>
      </c>
      <c r="O1197" s="68">
        <f>AJ126+AJ446+AJ753+AJ843</f>
        <v>0</v>
      </c>
      <c r="P1197" s="68">
        <f>AK126+AK446+AK753+AK843</f>
        <v>0</v>
      </c>
      <c r="Q1197" s="68"/>
      <c r="R1197" s="68">
        <f>AL126+AL446+AL753+AL843</f>
        <v>0</v>
      </c>
      <c r="S1197" s="68">
        <f>AR121+AR429+AR727+AR816</f>
        <v>0</v>
      </c>
      <c r="T1197" s="68">
        <f>AS120+AS427+AS721+AS809</f>
        <v>0</v>
      </c>
      <c r="U1197" s="68">
        <f>AT118+AT423+AT717+AT804</f>
        <v>0</v>
      </c>
      <c r="V1197" s="68">
        <f>AM126+AM446+AM753+AM843</f>
        <v>0</v>
      </c>
      <c r="W1197" s="68"/>
      <c r="X1197" s="67">
        <f t="shared" si="411"/>
        <v>0</v>
      </c>
      <c r="Y1197" s="67">
        <f t="shared" si="412"/>
        <v>8406124</v>
      </c>
      <c r="Z1197" s="67">
        <f t="shared" si="413"/>
        <v>2038372.3599999994</v>
      </c>
      <c r="AA1197" s="67">
        <f>AZ74+AZ121+AZ188+AZ311+AZ424+AZ538+AZ623+AZ712+AZ802+AZ854+AZ917+AZ968+AZ1022+AZ1056+AZ1093</f>
        <v>0</v>
      </c>
      <c r="AB1197" s="67">
        <f t="shared" si="414"/>
        <v>2038372.3599999994</v>
      </c>
      <c r="AC1197" s="4"/>
    </row>
    <row r="1198" spans="1:43" x14ac:dyDescent="0.25">
      <c r="A1198" s="45"/>
      <c r="B1198" s="4" t="s">
        <v>291</v>
      </c>
      <c r="C1198" s="4"/>
      <c r="D1198" s="55">
        <f>+AD656+AD837+AD956+AD1103+AD326+AD190+AD1014+AD120+AD559+AD197+AD743+AD890+AD64</f>
        <v>2392546590.6300001</v>
      </c>
      <c r="E1198" s="95">
        <f>+AE326+AE656+AE837+AE956+AE1103+AE190+AE1014+AE120+AE559+AE197+AE743+AE890+AE64</f>
        <v>2012990014.1099999</v>
      </c>
      <c r="F1198" s="68">
        <f>AF326+AF656+AF837+AF956+AF1103+AF190+AF1014+AF120+AF559+AF197+AF743+AF890+AF64</f>
        <v>365655576.51999998</v>
      </c>
      <c r="G1198" s="68"/>
      <c r="H1198" s="68">
        <f>+E1198+F1198</f>
        <v>2378645590.6300001</v>
      </c>
      <c r="I1198" s="68">
        <f t="shared" si="415"/>
        <v>147429395.63999999</v>
      </c>
      <c r="J1198" s="68">
        <f t="shared" si="415"/>
        <v>62839227.089999996</v>
      </c>
      <c r="K1198" s="68">
        <f t="shared" si="415"/>
        <v>0</v>
      </c>
      <c r="L1198" s="68">
        <f>AH326+AH656+AH837+AH956+AH1103+AH190+AH1014+AH120+AH559+AH197+AH743+AH890+AH64</f>
        <v>0</v>
      </c>
      <c r="M1198" s="68"/>
      <c r="N1198" s="68">
        <f>+H1198+L1198</f>
        <v>2378645590.6300001</v>
      </c>
      <c r="O1198" s="68">
        <f>AJ326+AJ656+AJ837+AJ956+AJ1103+AJ190+AJ1014+AJ120+AJ559+AJ197+AJ743+AJ890+AJ64</f>
        <v>0</v>
      </c>
      <c r="P1198" s="68">
        <f>AK326+AK656+AK837+AK956+AK1103+AK190+AK1014+AK120+AK559+AK197+AK743+AK890+AK64</f>
        <v>0</v>
      </c>
      <c r="Q1198" s="68"/>
      <c r="R1198" s="68">
        <f>+O1198+P1198</f>
        <v>0</v>
      </c>
      <c r="S1198" s="68">
        <f>AR122+AR430+AR728+AR817</f>
        <v>0</v>
      </c>
      <c r="T1198" s="68">
        <f>AS121+AS428+AS722+AS810</f>
        <v>0</v>
      </c>
      <c r="U1198" s="68">
        <f>AT120+AT424+AT718+AT805</f>
        <v>0</v>
      </c>
      <c r="V1198" s="68">
        <f>+AM890</f>
        <v>0</v>
      </c>
      <c r="W1198" s="68"/>
      <c r="X1198" s="67">
        <f t="shared" si="411"/>
        <v>0</v>
      </c>
      <c r="Y1198" s="67">
        <f t="shared" ref="Y1198:Y1204" si="416">+H1198+R1198</f>
        <v>2378645590.6300001</v>
      </c>
      <c r="Z1198" s="67">
        <f t="shared" ref="Z1198:Z1204" si="417">+D1198-Y1198</f>
        <v>13901000</v>
      </c>
      <c r="AA1198" s="67">
        <f>AZ75+AZ122+AZ189+AZ312+AZ425+AZ539+AZ626+AZ713+AZ803+AZ855+AZ918+AZ969+AZ1023+AZ1057+AZ1094</f>
        <v>0</v>
      </c>
      <c r="AB1198" s="67">
        <f t="shared" ref="AB1198:AB1204" si="418">+D1198-N1198-X1198</f>
        <v>13901000</v>
      </c>
      <c r="AC1198" s="4"/>
    </row>
    <row r="1199" spans="1:43" x14ac:dyDescent="0.25">
      <c r="A1199" s="46"/>
      <c r="B1199" s="4" t="s">
        <v>56</v>
      </c>
      <c r="D1199" s="67">
        <f>AD124+AD201</f>
        <v>4825000</v>
      </c>
      <c r="E1199" s="67">
        <f>AE124+AE201</f>
        <v>0</v>
      </c>
      <c r="F1199" s="67">
        <f>AF124+AF201</f>
        <v>0</v>
      </c>
      <c r="G1199" s="67"/>
      <c r="H1199" s="67">
        <f>AG124+AG201</f>
        <v>0</v>
      </c>
      <c r="I1199" s="67">
        <f>AI124+AI201</f>
        <v>0</v>
      </c>
      <c r="J1199" s="67">
        <f>AJ124+AJ201</f>
        <v>0</v>
      </c>
      <c r="K1199" s="67">
        <f>AK124+AK201</f>
        <v>0</v>
      </c>
      <c r="L1199" s="67">
        <f>AH124+AH201</f>
        <v>0</v>
      </c>
      <c r="M1199" s="67"/>
      <c r="N1199" s="67">
        <f>AI124+AI201</f>
        <v>0</v>
      </c>
      <c r="O1199" s="67">
        <f>AJ124+AJ201</f>
        <v>0</v>
      </c>
      <c r="P1199" s="67">
        <f>AK124+AK201</f>
        <v>0</v>
      </c>
      <c r="Q1199" s="67"/>
      <c r="R1199" s="67">
        <f>AL124+AL201</f>
        <v>0</v>
      </c>
      <c r="S1199" s="67">
        <f>AR118+AR188</f>
        <v>0</v>
      </c>
      <c r="T1199" s="67">
        <f>AS117+AS187</f>
        <v>0</v>
      </c>
      <c r="U1199" s="67">
        <f>AT115+AT185</f>
        <v>0</v>
      </c>
      <c r="V1199" s="67">
        <f>AM124+AM201</f>
        <v>0</v>
      </c>
      <c r="W1199" s="67"/>
      <c r="X1199" s="67">
        <f t="shared" ref="X1199:X1205" si="419">+R1199+V1199</f>
        <v>0</v>
      </c>
      <c r="Y1199" s="67">
        <f t="shared" si="416"/>
        <v>0</v>
      </c>
      <c r="Z1199" s="67">
        <f t="shared" si="417"/>
        <v>4825000</v>
      </c>
      <c r="AA1199" s="67">
        <f>AZ75+AZ122+AZ189+AZ312+AZ425+AZ539+AZ626+AZ713+AZ803+AZ855+AZ918+AZ969+AZ1023+AZ1057+AZ1094</f>
        <v>0</v>
      </c>
      <c r="AB1199" s="67">
        <f t="shared" si="418"/>
        <v>4825000</v>
      </c>
    </row>
    <row r="1200" spans="1:43" x14ac:dyDescent="0.25">
      <c r="A1200" s="45"/>
      <c r="B1200" s="23" t="s">
        <v>134</v>
      </c>
      <c r="C1200" s="4"/>
      <c r="D1200" s="67">
        <f>AD71+AD336+AD448+AD572+AD664+AD966+AD1109</f>
        <v>69000000</v>
      </c>
      <c r="E1200" s="67">
        <f>AE71+AE336+AE448+AE572+AE664+AE966+AE1109</f>
        <v>43280837.399999999</v>
      </c>
      <c r="F1200" s="67">
        <f>AF71+AF336+AF448+AF572+AF664+AF966+AF1109</f>
        <v>0</v>
      </c>
      <c r="G1200" s="67"/>
      <c r="H1200" s="67">
        <f>AG71+AG336+AG448+AG572+AG664+AG966+AG1109</f>
        <v>43280837.399999999</v>
      </c>
      <c r="I1200" s="67">
        <f>AI71+AI336+AI448+AI572+AI664+AI966+AI1109</f>
        <v>43280837.399999999</v>
      </c>
      <c r="J1200" s="67">
        <f>AJ71+AJ336+AJ448+AJ572+AJ664+AJ966+AJ1109</f>
        <v>3340889.2</v>
      </c>
      <c r="K1200" s="67">
        <f>AK71+AK336+AK448+AK572+AK664+AK966+AK1109</f>
        <v>0</v>
      </c>
      <c r="L1200" s="67">
        <f>AH71+AH336+AH448+AH572+AH664+AH966+AH1109</f>
        <v>0</v>
      </c>
      <c r="M1200" s="67"/>
      <c r="N1200" s="67">
        <f>AI71+AI336+AI448+AI572+AI664+AI966+AI1109</f>
        <v>43280837.399999999</v>
      </c>
      <c r="O1200" s="67">
        <f>AJ71+AJ336+AJ448+AJ572+AJ664+AJ966+AJ1109</f>
        <v>3340889.2</v>
      </c>
      <c r="P1200" s="67">
        <f>AK71+AK336+AK448+AK572+AK664+AK966+AK1109</f>
        <v>0</v>
      </c>
      <c r="Q1200" s="67"/>
      <c r="R1200" s="67">
        <f>AL71+AL336+AL448+AL572+AL664+AL966+AL1109</f>
        <v>3340889.2</v>
      </c>
      <c r="S1200" s="67">
        <f>AR69+AR318+AR431+AR548+AR637+AR936+AR1075</f>
        <v>0</v>
      </c>
      <c r="T1200" s="67">
        <f>AS69+AS316+AS429+AS545+AS632+AS927+AS1065</f>
        <v>0</v>
      </c>
      <c r="U1200" s="67">
        <f>AT68+AT312+AT425+AT541+AT625+AT922+AT1060</f>
        <v>0</v>
      </c>
      <c r="V1200" s="67">
        <f>AM71+AM336+AM448+AM572+AM664+AM966+AM1109</f>
        <v>0</v>
      </c>
      <c r="W1200" s="67"/>
      <c r="X1200" s="67">
        <f t="shared" si="419"/>
        <v>3340889.2</v>
      </c>
      <c r="Y1200" s="67">
        <f t="shared" si="416"/>
        <v>46621726.600000001</v>
      </c>
      <c r="Z1200" s="67">
        <f t="shared" si="417"/>
        <v>22378273.399999999</v>
      </c>
      <c r="AA1200" s="67">
        <f>AZ76+AZ123+AZ190+AZ313+AZ426+AZ540+AZ627+AZ714+AZ804+AZ856+AZ919+AZ970+AZ1024+AZ1058+AZ1095</f>
        <v>0</v>
      </c>
      <c r="AB1200" s="67">
        <f t="shared" si="418"/>
        <v>22378273.400000002</v>
      </c>
      <c r="AC1200" s="4"/>
    </row>
    <row r="1201" spans="1:43" x14ac:dyDescent="0.25">
      <c r="A1201" s="45"/>
      <c r="B1201" s="23" t="s">
        <v>135</v>
      </c>
      <c r="C1201" s="4"/>
      <c r="D1201" s="67">
        <f>+AD67+AD329+AD443+AD564+AD659+AD747+AD894+AD959+AD1019+AD1073+AD1107+AD1150</f>
        <v>1075919172.3799999</v>
      </c>
      <c r="E1201" s="67">
        <f>+AE57+AE67+AE329+AE443+AE564+AE659+AE747+AE894+AE959+AE1019+AE1073+AE1107+AE1150</f>
        <v>0</v>
      </c>
      <c r="F1201" s="67">
        <f>+AF57+AF67+AF329+AF443+AF564+AF659+AF747+AF894+AF959+AF1019+AF1073+AF1107+AF1150</f>
        <v>0</v>
      </c>
      <c r="G1201" s="67"/>
      <c r="H1201" s="67">
        <f>+AG57+AG67+AG329+AG443+AG564+AG659+AG747+AG894+AG959+AG1019+AG1073+AG1107+AG1150</f>
        <v>0</v>
      </c>
      <c r="I1201" s="67">
        <f>AI67+AI329+AI443+AI564+AI659+AI747+AI894+AI959+AI1019+AI1073+AI1107+AI1150</f>
        <v>0</v>
      </c>
      <c r="J1201" s="67">
        <f>AJ67+AJ329+AJ443+AJ564+AJ659+AJ747+AJ894+AJ959+AJ1019+AJ1073+AJ1107+AJ1150</f>
        <v>58196378.840000004</v>
      </c>
      <c r="K1201" s="67">
        <f>AK67+AK329+AK443+AK564+AK659+AK747+AK894+AK959+AK1019+AK1073+AK1107+AK1150</f>
        <v>872518.86</v>
      </c>
      <c r="L1201" s="67">
        <f>+AH57+AH67+AH329+AH443+AH564+AH659+AH747+AH894+AH959+AH1019+AH1073+AH1107+AH1150</f>
        <v>0</v>
      </c>
      <c r="M1201" s="67"/>
      <c r="N1201" s="67">
        <f>+AI57+AI67+AI329+AI443+AI564+AI659+AI747+AI894+AI959+AI1019+AI1073+AI1107+AI1150</f>
        <v>0</v>
      </c>
      <c r="O1201" s="67">
        <f>+AJ67+AJ329+AJ443+AJ564+AJ659+AJ747+AJ894+AJ959+AJ1019+AJ1073+AJ1107+AJ1150</f>
        <v>58196378.840000004</v>
      </c>
      <c r="P1201" s="67">
        <f>+AK67+AK329+AK443+AK564+AK659+AK747+AK894+AK959+AK1019+AK1073+AK1107+AK1150</f>
        <v>872518.86</v>
      </c>
      <c r="Q1201" s="67"/>
      <c r="R1201" s="67">
        <f>+AL67+AL329+AL443+AL564+AL659+AL747+AL894+AL959+AL1019+AL1073+AL1107+AL1150</f>
        <v>59068897.700000003</v>
      </c>
      <c r="S1201" s="67">
        <f>AR65+AR311+AR426+AR541+AR628+AR721+AR866+AR929+AR984+AR1043+AR1073+AR1113</f>
        <v>0</v>
      </c>
      <c r="T1201" s="67">
        <f>AS65+AS309+AS424+AS538+AS624+AS714+AS858+AS921+AS974+AS1033+AS1063+AS1103</f>
        <v>0</v>
      </c>
      <c r="U1201" s="67">
        <f>AT64+AT305+AT420+AT534+AT620+AT710+AT853+AT916+AT969+AT1028+AT1058+AT1098</f>
        <v>0</v>
      </c>
      <c r="V1201" s="67">
        <f>+AM67+AM329+AM443+AM564+AM659+AM747+AM894+AM959+AM1019+AM1073+AM1107+AM1150</f>
        <v>0</v>
      </c>
      <c r="W1201" s="67"/>
      <c r="X1201" s="67">
        <f t="shared" si="419"/>
        <v>59068897.700000003</v>
      </c>
      <c r="Y1201" s="67">
        <f t="shared" si="416"/>
        <v>59068897.700000003</v>
      </c>
      <c r="Z1201" s="67">
        <f t="shared" si="417"/>
        <v>1016850274.6799998</v>
      </c>
      <c r="AA1201" s="67">
        <f>AZ77+AZ124+AZ191+AZ314+AZ427+AZ541+AZ628+AZ715+AZ805+AZ857+AZ920+AZ972+AZ1025+AZ1059+AZ1096</f>
        <v>0</v>
      </c>
      <c r="AB1201" s="67">
        <f t="shared" si="418"/>
        <v>1016850274.6799998</v>
      </c>
      <c r="AC1201" s="4"/>
    </row>
    <row r="1202" spans="1:43" x14ac:dyDescent="0.25">
      <c r="A1202" s="46"/>
      <c r="B1202" s="23" t="s">
        <v>136</v>
      </c>
      <c r="C1202" s="4"/>
      <c r="D1202" s="68">
        <f>AD68+AD330+AD444+AD565+AD660+AD748+AD895+AD960+AD1020+AD1108+AD1151</f>
        <v>130133378.15999997</v>
      </c>
      <c r="E1202" s="68">
        <f>AE68+AE330+AE444+AE565+AE660+AE748+AE895+AE960+AE1020+AE1108+AE1151</f>
        <v>0</v>
      </c>
      <c r="F1202" s="68">
        <f>AF68+AF330+AF444+AF565+AF660+AF748+AF895+AF960+AF1020+AF1108+AF1151</f>
        <v>0</v>
      </c>
      <c r="G1202" s="68"/>
      <c r="H1202" s="68">
        <f>AG68+AG330+AG444+AG565+AG660+AG748+AG895+AG960+AG1020+AG1108+AG1151</f>
        <v>0</v>
      </c>
      <c r="I1202" s="68">
        <f>AI68+AI330+AI444+AI565+AI660+AI748+AI842+AI895+AI960+AI1020+AI1108+AI1151</f>
        <v>0</v>
      </c>
      <c r="J1202" s="68">
        <f>AJ68+AJ330+AJ444+AJ565+AJ660+AJ748+AJ842+AJ895+AJ960+AJ1020+AJ1108+AJ1151</f>
        <v>5043072.21</v>
      </c>
      <c r="K1202" s="68">
        <f>AK68+AK330+AK444+AK565+AK660+AK748+AK842+AK895+AK960+AK1020+AK1108+AK1151</f>
        <v>0</v>
      </c>
      <c r="L1202" s="68">
        <f>AH68+AH330+AH444+AH565+AH660+AH748+AH895+AH960+AH1020+AH1108+AH1151</f>
        <v>0</v>
      </c>
      <c r="M1202" s="68"/>
      <c r="N1202" s="68">
        <f>AI68+AI330+AI444+AI565+AI660+AI748+AI895+AI960+AI1020+AI1108+AI1151</f>
        <v>0</v>
      </c>
      <c r="O1202" s="68">
        <f>AJ68+AJ330+AJ444+AJ565+AJ660+AJ748+AJ895+AJ960+AJ1020+AJ1108+AJ1151</f>
        <v>5043072.21</v>
      </c>
      <c r="P1202" s="68">
        <f>AK68+AK330+AK444+AK565+AK660+AK748+AK895+AK960+AK1020+AK1108+AK1151</f>
        <v>0</v>
      </c>
      <c r="Q1202" s="68"/>
      <c r="R1202" s="68">
        <f>AL68+AL330+AL444+AL565+AL660+AL748+AL895+AL960+AL1020+AL1108+AL1151</f>
        <v>5043072.21</v>
      </c>
      <c r="S1202" s="68">
        <f>AR66+AR312+AR427+AR542+AR631+AR722+AR815+AR867+AR930+AR985+AR1074+AR1114</f>
        <v>0</v>
      </c>
      <c r="T1202" s="68">
        <f>AS66+AS310+AS425+AS539+AS625+AS715+AS808+AS859+AS922+AS975+AS1064+AS1104</f>
        <v>0</v>
      </c>
      <c r="U1202" s="68">
        <f>AT65+AT306+AT421+AT535+AT621+AT711+AT803+AT854+AT917+AT970+AT1059+AT1099</f>
        <v>0</v>
      </c>
      <c r="V1202" s="68">
        <f>AM68+AM330+AM444+AM565+AM660+AM748+AM895+AM960+AM1020+AM1108+AM1151</f>
        <v>0</v>
      </c>
      <c r="W1202" s="68"/>
      <c r="X1202" s="67">
        <f t="shared" si="419"/>
        <v>5043072.21</v>
      </c>
      <c r="Y1202" s="67">
        <f t="shared" si="416"/>
        <v>5043072.21</v>
      </c>
      <c r="Z1202" s="67">
        <f t="shared" si="417"/>
        <v>125090305.94999997</v>
      </c>
      <c r="AA1202" s="67">
        <f>AZ78+AZ125+AZ192+AZ315+AZ428+AZ542+AZ629+AZ717+AZ806+AZ858+AZ921+AZ973+AZ1026+AZ1060+AZ1097</f>
        <v>0</v>
      </c>
      <c r="AB1202" s="67">
        <f t="shared" si="418"/>
        <v>125090305.94999997</v>
      </c>
      <c r="AC1202" s="4"/>
    </row>
    <row r="1203" spans="1:43" x14ac:dyDescent="0.25">
      <c r="A1203" s="45"/>
      <c r="B1203" s="23" t="s">
        <v>53</v>
      </c>
      <c r="C1203" s="4"/>
      <c r="D1203" s="67">
        <f>AD117+AD194+AD337+AD450+AD573+AD665+AD751+AD840+AD897+AD961+AD1022+AD1070+AD1152</f>
        <v>656584245.88999999</v>
      </c>
      <c r="E1203" s="67">
        <f>AE117+AE194+AE337+AE450+AE573+AE665+AE751+AE840+AE897+AE961+AE1022+AE1070+AE1152</f>
        <v>95118</v>
      </c>
      <c r="F1203" s="67">
        <f>AF117+AF194+AF337+AF450+AF573+AF665+AF751+AF840+AF897+AF961+AF1022+AF1070+AF1152</f>
        <v>0</v>
      </c>
      <c r="G1203" s="67"/>
      <c r="H1203" s="67">
        <f>AG117+AG194+AG337+AG450+AG573+AG665+AG751+AG840+AG897+AG961+AG1022+AG1070+AG1152</f>
        <v>95118</v>
      </c>
      <c r="I1203" s="67">
        <f>AI117+AI194+AI337+AI450+AI573+AI665+AI751+AI840+AI897+AI961+AI1022+AI1070+AI1152</f>
        <v>95118</v>
      </c>
      <c r="J1203" s="67">
        <f>AJ117+AJ194+AJ337+AJ450+AJ573+AJ665+AJ751+AJ840+AJ897+AJ961+AJ1022+AJ1070+AJ1152</f>
        <v>348957771.50999999</v>
      </c>
      <c r="K1203" s="67">
        <f>AK117+AK194+AK337+AK450+AK573+AK665+AK751+AK840+AK897+AK961+AK1022+AK1070+AK1152</f>
        <v>0</v>
      </c>
      <c r="L1203" s="67">
        <f>AH117+AH194+AH337+AH450+AH573+AH665+AH751+AH840+AH897+AH961+AH1022+AH1070+AH1152</f>
        <v>0</v>
      </c>
      <c r="M1203" s="67"/>
      <c r="N1203" s="67">
        <f>AI117+AI194+AI337+AI450+AI573+AI665+AI751+AI840+AI897+AI961+AI1022+AI1070+AI1152</f>
        <v>95118</v>
      </c>
      <c r="O1203" s="67">
        <f>AJ117+AJ194+AJ337+AJ450+AJ573+AJ665+AJ751+AJ840+AJ897+AJ961+AJ1022+AJ1070+AJ1152</f>
        <v>348957771.50999999</v>
      </c>
      <c r="P1203" s="67">
        <f>AK117+AK194+AK337+AK450+AK573+AK665+AK751+AK840+AK897+AK961+AK1022+AK1070+AK1152</f>
        <v>0</v>
      </c>
      <c r="Q1203" s="67"/>
      <c r="R1203" s="67">
        <f>AL117+AL194+AL337+AL450+AL573+AL665+AL751+AL840+AL897+AL961+AL1022+AL1070+AL1152</f>
        <v>348957771.50999999</v>
      </c>
      <c r="S1203" s="67">
        <f>AR113+AR182+AR319+AR433+AR549+AR638+AR725+AR813+AR869+AR931+AR987+AR1040+AR1115</f>
        <v>0</v>
      </c>
      <c r="T1203" s="67">
        <f>AS112+AS181+AS317+AS431+AS546+AS633+AS719+AS806+AS861+AS923+AS977+AS1030+AS1105</f>
        <v>0</v>
      </c>
      <c r="U1203" s="67">
        <f>AT111+AT180+AT313+AT427+AT542+AT626+AT714+AT801+AT856+AT918+AT972+AT1025+AT1100</f>
        <v>0</v>
      </c>
      <c r="V1203" s="67">
        <f>AM117+AM194+AM337+AM450+AM573+AM665+AM751+AM840+AM897+AM961+AM1022+AM1070+AM1152</f>
        <v>0</v>
      </c>
      <c r="W1203" s="67"/>
      <c r="X1203" s="67">
        <f t="shared" si="419"/>
        <v>348957771.50999999</v>
      </c>
      <c r="Y1203" s="67">
        <f t="shared" si="416"/>
        <v>349052889.50999999</v>
      </c>
      <c r="Z1203" s="67">
        <f t="shared" si="417"/>
        <v>307531356.38</v>
      </c>
      <c r="AA1203" s="67">
        <f>AZ79+AZ126+AZ193+AZ317+AZ429+AZ543+AZ630+AZ718+AZ807+AZ859+AZ922+AZ974+AZ1027+AZ1061+AZ1098</f>
        <v>0</v>
      </c>
      <c r="AB1203" s="67">
        <f t="shared" si="418"/>
        <v>307531356.38</v>
      </c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</row>
    <row r="1204" spans="1:43" x14ac:dyDescent="0.25">
      <c r="A1204" s="45"/>
      <c r="B1204" s="23" t="s">
        <v>137</v>
      </c>
      <c r="C1204" s="4"/>
      <c r="D1204" s="67">
        <f>AD118+AD195+AD338+AD453+AD574+AD666+AD752+AD841+AD898+AD962+AD1023+AD1071+AD1111+AD1153</f>
        <v>398552631.51999992</v>
      </c>
      <c r="E1204" s="67">
        <f>AE118+AE195+AE338+AE453+AE16+AE666+AE752+AE841+AE898+AE962+AE1023+AE1071+AE1111+AE1153</f>
        <v>0</v>
      </c>
      <c r="F1204" s="67">
        <f>AF118+AF195+AF338+AF453+AF16+AF666+AF752+AF841+AF898+AF962+AF1023+AF1071+AF1111+AF1153</f>
        <v>0</v>
      </c>
      <c r="G1204" s="67"/>
      <c r="H1204" s="67">
        <f>AG118+AG195+AG338+AG453+AG16+AG666+AG752+AG841+AG898+AG962+AG1023+AG1071+AG1111+AG1153</f>
        <v>0</v>
      </c>
      <c r="I1204" s="67">
        <f>AI118+AI195+AI338+AI453+AI16+AI666+AI752+AI841+AI898+AI962+AI1023+AI1071+AI1111+AI1153</f>
        <v>0</v>
      </c>
      <c r="J1204" s="67">
        <f>AJ118+AJ195+AJ338+AJ453+AJ16+AJ666+AJ752+AJ841+AJ898+AJ962+AJ1023+AJ1071+AJ1111+AJ1153</f>
        <v>328680546.59999996</v>
      </c>
      <c r="K1204" s="67">
        <f>AK118+AK195+AK338+AK453+AK16+AK666+AK752+AK841+AK898+AK962+AK1023+AK1071+AK1111+AK1153</f>
        <v>0</v>
      </c>
      <c r="L1204" s="67">
        <f>AH118+AH195+AH338+AH453+AH16+AH666+AH752+AH841+AH898+AH962+AH1023+AH1071+AH1111+AH1153</f>
        <v>0</v>
      </c>
      <c r="M1204" s="67"/>
      <c r="N1204" s="67">
        <f>AI118+AI195+AI338+AI453+AI16+AI666+AI752+AI841+AI898+AI962+AI1023+AI1071+AI1111+AI1153</f>
        <v>0</v>
      </c>
      <c r="O1204" s="67">
        <f>AJ118+AJ195+AJ338+AJ453+AJ574+AJ666+AJ752+AJ841+AJ898+AJ962+AJ1023+AJ1071+AJ1111+AJ1153</f>
        <v>366472749.65999991</v>
      </c>
      <c r="P1204" s="67">
        <f>AK118+AK195+AK338+AK453+AK574+AK666+AK752+AK841+AK898+AK962+AK1023+AK1071+AK1111+AK1153</f>
        <v>0</v>
      </c>
      <c r="Q1204" s="67"/>
      <c r="R1204" s="67">
        <f>AL118+AL195+AL338+AL453+AL574+AL666+AL752+AL841+AL898+AL962+AL1023+AL1071+AL1111+AL1153</f>
        <v>366472749.65999991</v>
      </c>
      <c r="S1204" s="67">
        <f>AR114+AR184+AR321+AR434+AR16+AR639+AR726+AR814+AR870+AR932+AR988+AR1041+AR1077+AR1116</f>
        <v>0</v>
      </c>
      <c r="T1204" s="67">
        <f>AS113+AS183+AS318+AS432+AS16+AS634+AS720+AS807+AS862+AS924+AS978+AS1031+AS1067+AS1106</f>
        <v>0</v>
      </c>
      <c r="U1204" s="67">
        <f>AT112+AT181+AT314+AT428+AT16+AT630+AT715+AT802+AT857+AT919+AT973+AT1026+AT1062+AT1101</f>
        <v>0</v>
      </c>
      <c r="V1204" s="67">
        <f>AM118+AM195+AM338+AM453+AM574+AM666+AM752+AM841+AM898+AM962+AM1023+AM1071+AM1111+AM1153</f>
        <v>0</v>
      </c>
      <c r="W1204" s="67"/>
      <c r="X1204" s="67">
        <f t="shared" si="419"/>
        <v>366472749.65999991</v>
      </c>
      <c r="Y1204" s="67">
        <f t="shared" si="416"/>
        <v>366472749.65999991</v>
      </c>
      <c r="Z1204" s="67">
        <f t="shared" si="417"/>
        <v>32079881.860000014</v>
      </c>
      <c r="AA1204" s="67">
        <f>AZ80+AZ127+AZ194+AZ318+AZ430+AZ544+AZ631+AZ719+AZ808+AZ860+AZ923+AZ975+AZ1028+AZ1062+AZ1099</f>
        <v>0</v>
      </c>
      <c r="AB1204" s="67">
        <f t="shared" si="418"/>
        <v>32079881.860000014</v>
      </c>
      <c r="AC1204" s="4"/>
    </row>
    <row r="1205" spans="1:43" x14ac:dyDescent="0.25">
      <c r="B1205" s="23" t="s">
        <v>345</v>
      </c>
      <c r="D1205" s="55">
        <f>+AD324+AD451+AD558+AD119+AD196</f>
        <v>36321182.470000006</v>
      </c>
      <c r="E1205" s="55">
        <f>+AE324+AE451+AE558+AE119+AE196</f>
        <v>36321182.473000005</v>
      </c>
      <c r="F1205" s="55">
        <f>+AF324+AF451+AF558+AF119+AF196</f>
        <v>0</v>
      </c>
      <c r="G1205" s="55"/>
      <c r="H1205" s="55">
        <f>+AG324+AG451+AG558+AG119+AG196</f>
        <v>36321182.473000005</v>
      </c>
      <c r="I1205" s="55"/>
      <c r="J1205" s="55"/>
      <c r="K1205" s="55"/>
      <c r="L1205" s="55">
        <f>+AH324+AH451+AH558+AH119+AH196</f>
        <v>0</v>
      </c>
      <c r="M1205" s="55"/>
      <c r="N1205" s="55">
        <f>+AI324+AI451+AI558+AI119+AI196</f>
        <v>36321182.473000005</v>
      </c>
      <c r="O1205" s="55">
        <f>+AJ196</f>
        <v>0</v>
      </c>
      <c r="P1205" s="55">
        <f>+AK196</f>
        <v>0</v>
      </c>
      <c r="Q1205" s="55"/>
      <c r="R1205" s="55">
        <f>+AL324+AL451+AL558+AL119+AL196</f>
        <v>0</v>
      </c>
      <c r="S1205" s="55"/>
      <c r="T1205" s="55"/>
      <c r="U1205" s="55"/>
      <c r="V1205" s="55">
        <f>+AM324+AM451+AM558+AM119+AM196</f>
        <v>0</v>
      </c>
      <c r="W1205" s="55"/>
      <c r="X1205" s="67">
        <f t="shared" si="419"/>
        <v>0</v>
      </c>
      <c r="Y1205" s="67">
        <f t="shared" ref="Y1205:Y1211" si="420">+H1205+R1205</f>
        <v>36321182.473000005</v>
      </c>
      <c r="Z1205" s="67">
        <f t="shared" ref="Z1205:Z1211" si="421">+D1205-Y1205</f>
        <v>-2.9999986290931702E-3</v>
      </c>
      <c r="AA1205" s="67">
        <f>AZ81+AZ128+AZ195+AZ319+AZ431+AZ545+AZ632+AZ720+AZ809+AZ861+AZ924+AZ976+AZ1029+AZ1063+AZ1100</f>
        <v>0</v>
      </c>
      <c r="AB1205" s="67">
        <f t="shared" ref="AB1205:AB1211" si="422">+D1205-N1205-X1205</f>
        <v>-2.9999986290931702E-3</v>
      </c>
    </row>
    <row r="1206" spans="1:43" x14ac:dyDescent="0.25">
      <c r="A1206" s="45"/>
      <c r="B1206" s="4" t="s">
        <v>245</v>
      </c>
      <c r="C1206" s="4"/>
      <c r="D1206" s="55">
        <f>+AD200</f>
        <v>434405</v>
      </c>
      <c r="E1206" s="55">
        <f>+AE200</f>
        <v>0</v>
      </c>
      <c r="F1206" s="55">
        <f>+AF200</f>
        <v>0</v>
      </c>
      <c r="G1206" s="55"/>
      <c r="H1206" s="55">
        <f>+AG200</f>
        <v>0</v>
      </c>
      <c r="I1206" s="55">
        <f>+AI200</f>
        <v>0</v>
      </c>
      <c r="J1206" s="55">
        <f>+AJ200</f>
        <v>0</v>
      </c>
      <c r="K1206" s="55">
        <f>+AK200</f>
        <v>0</v>
      </c>
      <c r="L1206" s="55">
        <f>+AH200</f>
        <v>0</v>
      </c>
      <c r="M1206" s="55"/>
      <c r="N1206" s="55">
        <f>+AI200</f>
        <v>0</v>
      </c>
      <c r="O1206" s="55">
        <f>+AJ200</f>
        <v>0</v>
      </c>
      <c r="P1206" s="55">
        <f>+AK200</f>
        <v>0</v>
      </c>
      <c r="Q1206" s="55"/>
      <c r="R1206" s="55">
        <f>+AL200</f>
        <v>0</v>
      </c>
      <c r="S1206" s="55">
        <f>+AR187</f>
        <v>0</v>
      </c>
      <c r="T1206" s="55">
        <f>+AS186</f>
        <v>0</v>
      </c>
      <c r="U1206" s="55">
        <f>+AT184</f>
        <v>0</v>
      </c>
      <c r="V1206" s="55">
        <f>+AM200</f>
        <v>0</v>
      </c>
      <c r="W1206" s="55"/>
      <c r="X1206" s="67">
        <f t="shared" ref="X1206:X1211" si="423">+R1206+V1206</f>
        <v>0</v>
      </c>
      <c r="Y1206" s="67">
        <f t="shared" si="420"/>
        <v>0</v>
      </c>
      <c r="Z1206" s="67">
        <f t="shared" si="421"/>
        <v>434405</v>
      </c>
      <c r="AA1206" s="67">
        <f>AZ81+AZ128+AZ195+AZ319+AZ431+AZ545+AZ632+AZ720+AZ809+AZ861+AZ924+AZ976+AZ1029+AZ1063+AZ1100</f>
        <v>0</v>
      </c>
      <c r="AB1206" s="67">
        <f t="shared" si="422"/>
        <v>434405</v>
      </c>
      <c r="AC1206" s="4"/>
    </row>
    <row r="1207" spans="1:43" x14ac:dyDescent="0.25">
      <c r="A1207" s="45"/>
      <c r="B1207" s="23" t="s">
        <v>144</v>
      </c>
      <c r="C1207" s="4"/>
      <c r="D1207" s="67">
        <f>+AD340</f>
        <v>837838.57</v>
      </c>
      <c r="E1207" s="67">
        <f>+AE340</f>
        <v>837838.57</v>
      </c>
      <c r="F1207" s="67">
        <f>+AF340</f>
        <v>0</v>
      </c>
      <c r="G1207" s="67"/>
      <c r="H1207" s="67">
        <f>+AG340</f>
        <v>837838.57</v>
      </c>
      <c r="I1207" s="67">
        <f>+AI340</f>
        <v>837838.57</v>
      </c>
      <c r="J1207" s="67">
        <f>+AJ340</f>
        <v>0</v>
      </c>
      <c r="K1207" s="67">
        <f>+AK340</f>
        <v>0</v>
      </c>
      <c r="L1207" s="67">
        <f>+AH340</f>
        <v>0</v>
      </c>
      <c r="M1207" s="67"/>
      <c r="N1207" s="67">
        <f>+AI340</f>
        <v>837838.57</v>
      </c>
      <c r="O1207" s="67">
        <f>+AJ340</f>
        <v>0</v>
      </c>
      <c r="P1207" s="67">
        <f>+AK340</f>
        <v>0</v>
      </c>
      <c r="Q1207" s="67"/>
      <c r="R1207" s="67">
        <f>+AL340</f>
        <v>0</v>
      </c>
      <c r="S1207" s="67">
        <f>+AR323</f>
        <v>0</v>
      </c>
      <c r="T1207" s="67">
        <f>+AS321</f>
        <v>0</v>
      </c>
      <c r="U1207" s="67">
        <f>+AT316</f>
        <v>0</v>
      </c>
      <c r="V1207" s="67">
        <f>+AM340</f>
        <v>0</v>
      </c>
      <c r="W1207" s="67"/>
      <c r="X1207" s="67">
        <f t="shared" si="423"/>
        <v>0</v>
      </c>
      <c r="Y1207" s="67">
        <f t="shared" si="420"/>
        <v>837838.57</v>
      </c>
      <c r="Z1207" s="67">
        <f t="shared" si="421"/>
        <v>0</v>
      </c>
      <c r="AA1207" s="67">
        <f>AZ82+AZ129+AZ196+AZ320+AZ432+AZ546+AZ633+AZ721+AZ810+AZ862+AZ925+AZ977+AZ1030+AZ1064+AZ1101</f>
        <v>0</v>
      </c>
      <c r="AB1207" s="67">
        <f t="shared" si="422"/>
        <v>0</v>
      </c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</row>
    <row r="1208" spans="1:43" x14ac:dyDescent="0.25">
      <c r="A1208" s="45"/>
      <c r="B1208" s="26" t="s">
        <v>271</v>
      </c>
      <c r="C1208" s="4"/>
      <c r="D1208" s="67">
        <f>AD662+AD968</f>
        <v>4360000</v>
      </c>
      <c r="E1208" s="67">
        <f>AE662+AE968</f>
        <v>4359759.62</v>
      </c>
      <c r="F1208" s="67">
        <f>AF662+AF968</f>
        <v>0</v>
      </c>
      <c r="G1208" s="67"/>
      <c r="H1208" s="67">
        <f>AG662+AG968</f>
        <v>4359759.62</v>
      </c>
      <c r="I1208" s="67">
        <f>AI662+AI968</f>
        <v>4359759.62</v>
      </c>
      <c r="J1208" s="67">
        <f>AJ662+AJ968</f>
        <v>0</v>
      </c>
      <c r="K1208" s="67">
        <f>AK662+AK968</f>
        <v>0</v>
      </c>
      <c r="L1208" s="67">
        <f>AH662+AH968</f>
        <v>0</v>
      </c>
      <c r="M1208" s="67"/>
      <c r="N1208" s="67">
        <f>AI662+AI968</f>
        <v>4359759.62</v>
      </c>
      <c r="O1208" s="67">
        <f>AJ662+AJ968</f>
        <v>0</v>
      </c>
      <c r="P1208" s="67">
        <f>AK662+AK968</f>
        <v>0</v>
      </c>
      <c r="Q1208" s="67"/>
      <c r="R1208" s="67">
        <f>AL662+AL968</f>
        <v>0</v>
      </c>
      <c r="S1208" s="67">
        <f>AR634+AR938</f>
        <v>0</v>
      </c>
      <c r="T1208" s="67">
        <f>AS629+AS930</f>
        <v>0</v>
      </c>
      <c r="U1208" s="67">
        <f>AT623+AT924</f>
        <v>0</v>
      </c>
      <c r="V1208" s="67">
        <f>AM662+AM968</f>
        <v>0</v>
      </c>
      <c r="W1208" s="67"/>
      <c r="X1208" s="67">
        <f t="shared" si="423"/>
        <v>0</v>
      </c>
      <c r="Y1208" s="67">
        <f t="shared" si="420"/>
        <v>4359759.62</v>
      </c>
      <c r="Z1208" s="67">
        <f t="shared" si="421"/>
        <v>240.37999999988824</v>
      </c>
      <c r="AA1208" s="67">
        <f>AZ83+AZ130+AZ197+AZ321+AZ433+AZ547+AZ635+AZ722+AZ811+AZ863+AZ926+AZ978+AZ1031+AZ1065+AZ1102</f>
        <v>0</v>
      </c>
      <c r="AB1208" s="67">
        <f t="shared" si="422"/>
        <v>240.37999999988824</v>
      </c>
      <c r="AC1208" s="4"/>
    </row>
    <row r="1209" spans="1:43" x14ac:dyDescent="0.25">
      <c r="A1209" s="45"/>
      <c r="B1209" s="26" t="s">
        <v>256</v>
      </c>
      <c r="C1209" s="4"/>
      <c r="D1209" s="67">
        <f>AD122+AD199</f>
        <v>16734577.060000001</v>
      </c>
      <c r="E1209" s="67">
        <f>AE122+AE199</f>
        <v>16734577.060000001</v>
      </c>
      <c r="F1209" s="67">
        <f>AF122+AF199</f>
        <v>0</v>
      </c>
      <c r="G1209" s="67"/>
      <c r="H1209" s="67">
        <f>AG122+AG199</f>
        <v>16734577.060000001</v>
      </c>
      <c r="I1209" s="67">
        <f>AI122+AI199</f>
        <v>16734577.060000001</v>
      </c>
      <c r="J1209" s="67">
        <f>AJ122+AJ199</f>
        <v>0</v>
      </c>
      <c r="K1209" s="67">
        <f>AK122+AK199</f>
        <v>0</v>
      </c>
      <c r="L1209" s="67">
        <f>AH122+AH199</f>
        <v>0</v>
      </c>
      <c r="M1209" s="67"/>
      <c r="N1209" s="67">
        <f>AI122+AI199</f>
        <v>16734577.060000001</v>
      </c>
      <c r="O1209" s="67">
        <f>AJ122+AJ199</f>
        <v>0</v>
      </c>
      <c r="P1209" s="67">
        <f>AK122+AK199</f>
        <v>0</v>
      </c>
      <c r="Q1209" s="67"/>
      <c r="R1209" s="67">
        <f>AL122+AL199</f>
        <v>0</v>
      </c>
      <c r="S1209" s="67">
        <f>AR115+AR186</f>
        <v>0</v>
      </c>
      <c r="T1209" s="67">
        <f>AS114+AS185</f>
        <v>0</v>
      </c>
      <c r="U1209" s="67">
        <f>AT113+AT183</f>
        <v>0</v>
      </c>
      <c r="V1209" s="67">
        <f>AM122+AM199</f>
        <v>0</v>
      </c>
      <c r="W1209" s="67"/>
      <c r="X1209" s="67">
        <f t="shared" si="423"/>
        <v>0</v>
      </c>
      <c r="Y1209" s="67">
        <f t="shared" si="420"/>
        <v>16734577.060000001</v>
      </c>
      <c r="Z1209" s="67">
        <f t="shared" si="421"/>
        <v>0</v>
      </c>
      <c r="AA1209" s="67">
        <f>AZ84+AZ131+AZ198+AZ322+AZ434+AZ548+AZ636+AZ723+AZ812+AZ864+AZ927+AZ979+AZ1032+AZ1066+AZ1103</f>
        <v>0</v>
      </c>
      <c r="AB1209" s="67">
        <f t="shared" si="422"/>
        <v>0</v>
      </c>
      <c r="AC1209" s="4"/>
    </row>
    <row r="1210" spans="1:43" x14ac:dyDescent="0.25">
      <c r="A1210" s="45"/>
      <c r="B1210" s="26" t="s">
        <v>249</v>
      </c>
      <c r="C1210" s="4"/>
      <c r="D1210" s="67">
        <f>+AD447</f>
        <v>28856990.23</v>
      </c>
      <c r="E1210" s="67">
        <f>+AE447</f>
        <v>0</v>
      </c>
      <c r="F1210" s="67">
        <f>+AF447</f>
        <v>0</v>
      </c>
      <c r="G1210" s="67"/>
      <c r="H1210" s="67">
        <f>+AG447</f>
        <v>0</v>
      </c>
      <c r="I1210" s="67">
        <f t="shared" ref="I1210:K1211" si="424">+AI447</f>
        <v>0</v>
      </c>
      <c r="J1210" s="67">
        <f t="shared" si="424"/>
        <v>0</v>
      </c>
      <c r="K1210" s="67">
        <f t="shared" si="424"/>
        <v>0</v>
      </c>
      <c r="L1210" s="67">
        <f>+AH447</f>
        <v>0</v>
      </c>
      <c r="M1210" s="67"/>
      <c r="N1210" s="67">
        <f>+AI447</f>
        <v>0</v>
      </c>
      <c r="O1210" s="67">
        <f>+AJ447</f>
        <v>0</v>
      </c>
      <c r="P1210" s="67">
        <f>+AK447</f>
        <v>0</v>
      </c>
      <c r="Q1210" s="67"/>
      <c r="R1210" s="67">
        <f>+AL447</f>
        <v>0</v>
      </c>
      <c r="S1210" s="67">
        <f>+AR430</f>
        <v>0</v>
      </c>
      <c r="T1210" s="67">
        <f>+AS428</f>
        <v>0</v>
      </c>
      <c r="U1210" s="67">
        <f>+AT424</f>
        <v>0</v>
      </c>
      <c r="V1210" s="67">
        <f>+AM447</f>
        <v>0</v>
      </c>
      <c r="W1210" s="67"/>
      <c r="X1210" s="67">
        <f t="shared" si="423"/>
        <v>0</v>
      </c>
      <c r="Y1210" s="67">
        <f t="shared" si="420"/>
        <v>0</v>
      </c>
      <c r="Z1210" s="67">
        <f t="shared" si="421"/>
        <v>28856990.23</v>
      </c>
      <c r="AA1210" s="67">
        <f>AZ85+AZ132+AZ199+AZ323+AZ435+AZ549+AZ637+AZ724+AZ813+AZ865+AZ928+AZ980+AZ1033+AZ1067+AZ1104</f>
        <v>0</v>
      </c>
      <c r="AB1210" s="67">
        <f t="shared" si="422"/>
        <v>28856990.23</v>
      </c>
      <c r="AC1210" s="4"/>
    </row>
    <row r="1211" spans="1:43" x14ac:dyDescent="0.25">
      <c r="B1211" s="4" t="s">
        <v>289</v>
      </c>
      <c r="C1211" s="4"/>
      <c r="D1211" s="55">
        <f>+AD1066</f>
        <v>2000000</v>
      </c>
      <c r="E1211" s="67" t="s">
        <v>145</v>
      </c>
      <c r="F1211" s="67">
        <f>+AF1066</f>
        <v>0</v>
      </c>
      <c r="G1211" s="67"/>
      <c r="H1211" s="67">
        <f>+AG1066</f>
        <v>0</v>
      </c>
      <c r="I1211" s="67">
        <f t="shared" si="424"/>
        <v>5617680.4800000004</v>
      </c>
      <c r="J1211" s="67">
        <f t="shared" si="424"/>
        <v>835222.3</v>
      </c>
      <c r="K1211" s="67">
        <f t="shared" si="424"/>
        <v>0</v>
      </c>
      <c r="L1211" s="67">
        <f>+AH1066</f>
        <v>0</v>
      </c>
      <c r="M1211" s="67"/>
      <c r="N1211" s="67">
        <f>+A1066</f>
        <v>0</v>
      </c>
      <c r="O1211" s="67">
        <f>+AJ1066</f>
        <v>2000000</v>
      </c>
      <c r="P1211" s="67">
        <f>+AK1066</f>
        <v>0</v>
      </c>
      <c r="Q1211" s="67"/>
      <c r="R1211" s="67">
        <f>+AL1066</f>
        <v>2000000</v>
      </c>
      <c r="S1211" s="67">
        <f>+AR431</f>
        <v>0</v>
      </c>
      <c r="T1211" s="67">
        <f>+AS429</f>
        <v>0</v>
      </c>
      <c r="U1211" s="67">
        <f>+AT425</f>
        <v>0</v>
      </c>
      <c r="V1211" s="67">
        <f>+AM1066</f>
        <v>0</v>
      </c>
      <c r="W1211" s="67"/>
      <c r="X1211" s="67">
        <f t="shared" si="423"/>
        <v>2000000</v>
      </c>
      <c r="Y1211" s="67">
        <f t="shared" si="420"/>
        <v>2000000</v>
      </c>
      <c r="Z1211" s="67">
        <f t="shared" si="421"/>
        <v>0</v>
      </c>
      <c r="AA1211" s="67">
        <f>AZ86+AZ133+AZ200+AZ324+AZ436+AZ550+AZ638+AZ725+AZ815+AZ866+AZ929+AZ981+AZ1034+AZ1068+AZ1105</f>
        <v>0</v>
      </c>
      <c r="AB1211" s="67">
        <f t="shared" si="422"/>
        <v>0</v>
      </c>
      <c r="AC1211" s="4"/>
    </row>
    <row r="1212" spans="1:43" x14ac:dyDescent="0.25">
      <c r="B1212" s="31"/>
      <c r="C1212" s="4"/>
      <c r="D1212" s="70" t="s">
        <v>40</v>
      </c>
      <c r="E1212" s="70" t="s">
        <v>40</v>
      </c>
      <c r="F1212" s="70" t="s">
        <v>40</v>
      </c>
      <c r="G1212" s="70"/>
      <c r="H1212" s="70" t="s">
        <v>40</v>
      </c>
      <c r="I1212" s="70" t="s">
        <v>40</v>
      </c>
      <c r="J1212" s="70" t="s">
        <v>40</v>
      </c>
      <c r="K1212" s="70" t="s">
        <v>40</v>
      </c>
      <c r="L1212" s="70" t="s">
        <v>40</v>
      </c>
      <c r="M1212" s="70"/>
      <c r="N1212" s="70" t="s">
        <v>40</v>
      </c>
      <c r="O1212" s="70" t="s">
        <v>40</v>
      </c>
      <c r="P1212" s="70" t="s">
        <v>40</v>
      </c>
      <c r="Q1212" s="70"/>
      <c r="R1212" s="70" t="s">
        <v>40</v>
      </c>
      <c r="S1212" s="70" t="s">
        <v>40</v>
      </c>
      <c r="T1212" s="70" t="s">
        <v>40</v>
      </c>
      <c r="U1212" s="70" t="s">
        <v>40</v>
      </c>
      <c r="V1212" s="70" t="s">
        <v>40</v>
      </c>
      <c r="W1212" s="70"/>
      <c r="X1212" s="70" t="s">
        <v>40</v>
      </c>
      <c r="Y1212" s="70" t="s">
        <v>40</v>
      </c>
      <c r="Z1212" s="70" t="s">
        <v>40</v>
      </c>
      <c r="AA1212" s="70" t="s">
        <v>40</v>
      </c>
      <c r="AB1212" s="70" t="s">
        <v>40</v>
      </c>
      <c r="AP1212">
        <f>+AP1156-Z1156</f>
        <v>2.9993057250976563E-3</v>
      </c>
    </row>
    <row r="1213" spans="1:43" x14ac:dyDescent="0.25">
      <c r="B1213" s="23" t="s">
        <v>248</v>
      </c>
      <c r="C1213" s="4"/>
      <c r="D1213" s="67">
        <f>SUM(D1179:D1211)</f>
        <v>8868123094.0999985</v>
      </c>
      <c r="E1213" s="67">
        <f>SUM(E1179:E1211)</f>
        <v>3478560734.2690001</v>
      </c>
      <c r="F1213" s="67">
        <f>SUM(F1179:F1211)</f>
        <v>367155576.51999998</v>
      </c>
      <c r="G1213" s="67"/>
      <c r="H1213" s="67">
        <f>SUM(H1179:H1211)</f>
        <v>3845716310.7890005</v>
      </c>
      <c r="I1213" s="67">
        <f>SUM(I1179:I1211)</f>
        <v>1642514281.8099997</v>
      </c>
      <c r="J1213" s="67">
        <f>SUM(J1179:J1211)</f>
        <v>1034633247.7199998</v>
      </c>
      <c r="K1213" s="67">
        <f>SUM(K1179:K1211)</f>
        <v>2691113.82</v>
      </c>
      <c r="L1213" s="67">
        <f>SUM(L1179:L1211)</f>
        <v>0</v>
      </c>
      <c r="M1213" s="67"/>
      <c r="N1213" s="67">
        <f>SUM(N1179:N1211)</f>
        <v>3845716310.7890005</v>
      </c>
      <c r="O1213" s="67">
        <f>SUM(O1179:O1211)</f>
        <v>976481736.08999991</v>
      </c>
      <c r="P1213" s="67">
        <f>SUM(P1179:P1211)</f>
        <v>2168271.42</v>
      </c>
      <c r="Q1213" s="67"/>
      <c r="R1213" s="67">
        <f>SUM(R1179:R1211)</f>
        <v>978650007.50999999</v>
      </c>
      <c r="S1213" s="67">
        <f>SUM(S1179:S1211)</f>
        <v>0</v>
      </c>
      <c r="T1213" s="67">
        <f>SUM(T1179:T1211)</f>
        <v>0</v>
      </c>
      <c r="U1213" s="67">
        <f>SUM(U1179:U1211)</f>
        <v>0</v>
      </c>
      <c r="V1213" s="67">
        <f>SUM(V1179:V1211)</f>
        <v>0</v>
      </c>
      <c r="W1213" s="67"/>
      <c r="X1213" s="67">
        <f>SUM(X1179:X1211)</f>
        <v>978650007.50999999</v>
      </c>
      <c r="Y1213" s="67">
        <f>SUM(Y1179:Y1211)</f>
        <v>4824366318.2989998</v>
      </c>
      <c r="Z1213" s="67">
        <f>SUM(Z1179:Z1211)</f>
        <v>4043756775.8010001</v>
      </c>
      <c r="AA1213" s="67">
        <f>SUM(AA1179:AA1211)</f>
        <v>0</v>
      </c>
      <c r="AB1213" s="67">
        <f>SUM(AB1179:AB1211)</f>
        <v>4043756775.8009996</v>
      </c>
      <c r="AC1213" s="4"/>
    </row>
    <row r="1214" spans="1:43" x14ac:dyDescent="0.25">
      <c r="B1214" s="26"/>
      <c r="C1214" s="4"/>
      <c r="D1214" s="70" t="s">
        <v>50</v>
      </c>
      <c r="E1214" s="70" t="s">
        <v>50</v>
      </c>
      <c r="F1214" s="70" t="s">
        <v>50</v>
      </c>
      <c r="G1214" s="70"/>
      <c r="H1214" s="70" t="s">
        <v>50</v>
      </c>
      <c r="I1214" s="70" t="s">
        <v>50</v>
      </c>
      <c r="J1214" s="70" t="s">
        <v>50</v>
      </c>
      <c r="K1214" s="70" t="s">
        <v>50</v>
      </c>
      <c r="L1214" s="70" t="s">
        <v>50</v>
      </c>
      <c r="M1214" s="70"/>
      <c r="N1214" s="70" t="s">
        <v>50</v>
      </c>
      <c r="O1214" s="70" t="s">
        <v>50</v>
      </c>
      <c r="P1214" s="70" t="s">
        <v>50</v>
      </c>
      <c r="Q1214" s="70"/>
      <c r="R1214" s="70" t="s">
        <v>50</v>
      </c>
      <c r="S1214" s="70" t="s">
        <v>50</v>
      </c>
      <c r="T1214" s="70" t="s">
        <v>50</v>
      </c>
      <c r="U1214" s="70" t="s">
        <v>50</v>
      </c>
      <c r="V1214" s="70" t="s">
        <v>50</v>
      </c>
      <c r="W1214" s="70"/>
      <c r="X1214" s="70" t="s">
        <v>50</v>
      </c>
      <c r="Y1214" s="70" t="s">
        <v>50</v>
      </c>
      <c r="Z1214" s="70" t="s">
        <v>50</v>
      </c>
      <c r="AA1214" s="70" t="s">
        <v>50</v>
      </c>
      <c r="AB1214" s="70" t="s">
        <v>50</v>
      </c>
      <c r="AC1214" s="4"/>
    </row>
    <row r="1216" spans="1:43" ht="16.5" thickBot="1" x14ac:dyDescent="0.3">
      <c r="B1216" s="4" t="s">
        <v>294</v>
      </c>
      <c r="D1216" s="87">
        <f>+D1159</f>
        <v>35413719.18</v>
      </c>
      <c r="E1216" s="101"/>
      <c r="F1216" s="55"/>
      <c r="G1216" s="55"/>
      <c r="H1216" s="55"/>
      <c r="I1216" s="55"/>
      <c r="J1216" s="55"/>
      <c r="K1216" s="55"/>
      <c r="L1216" s="55"/>
      <c r="M1216" s="55"/>
      <c r="N1216" s="55"/>
      <c r="O1216" s="87">
        <f>+O1159</f>
        <v>35413719.180000007</v>
      </c>
      <c r="P1216" s="87">
        <f>+P312+P152</f>
        <v>0</v>
      </c>
      <c r="Q1216" s="55"/>
      <c r="R1216" s="87">
        <f>+O1216+P1216</f>
        <v>35413719.180000007</v>
      </c>
      <c r="S1216" s="55"/>
      <c r="T1216" s="55"/>
      <c r="U1216" s="55"/>
      <c r="V1216" s="87">
        <f>+V356+V1134+V862</f>
        <v>0</v>
      </c>
      <c r="W1216" s="83"/>
      <c r="X1216" s="83"/>
      <c r="Y1216" s="63"/>
      <c r="Z1216" s="55"/>
    </row>
    <row r="1217" spans="1:29" ht="16.5" thickTop="1" x14ac:dyDescent="0.25">
      <c r="Y1217" s="117"/>
    </row>
    <row r="1219" spans="1:29" x14ac:dyDescent="0.25">
      <c r="A1219" s="45"/>
    </row>
    <row r="1220" spans="1:29" x14ac:dyDescent="0.25">
      <c r="A1220" s="45"/>
    </row>
    <row r="1221" spans="1:29" x14ac:dyDescent="0.25">
      <c r="A1221" s="45"/>
      <c r="C1221" s="4"/>
      <c r="AC1221" s="4"/>
    </row>
    <row r="1222" spans="1:29" x14ac:dyDescent="0.25">
      <c r="A1222" s="45"/>
      <c r="AC1222" s="4"/>
    </row>
    <row r="1223" spans="1:29" x14ac:dyDescent="0.25">
      <c r="A1223" s="45"/>
      <c r="B1223" s="26"/>
      <c r="D1223" s="79" t="s">
        <v>138</v>
      </c>
      <c r="F1223" s="79"/>
      <c r="G1223" s="68"/>
      <c r="H1223" s="68"/>
      <c r="I1223" s="68"/>
      <c r="J1223" s="68"/>
      <c r="K1223" s="79"/>
      <c r="M1223" s="79"/>
      <c r="N1223" s="68" t="s">
        <v>285</v>
      </c>
      <c r="O1223" s="68"/>
      <c r="P1223" s="68"/>
      <c r="Q1223" s="68"/>
      <c r="R1223" s="68"/>
      <c r="S1223" s="68"/>
      <c r="T1223" s="68"/>
      <c r="U1223" s="68"/>
      <c r="W1223" s="79"/>
      <c r="X1223" s="79" t="s">
        <v>288</v>
      </c>
      <c r="Y1223" s="68"/>
      <c r="Z1223" s="68"/>
      <c r="AA1223" s="68"/>
      <c r="AB1223" s="68"/>
      <c r="AC1223" s="4"/>
    </row>
    <row r="1224" spans="1:29" x14ac:dyDescent="0.25">
      <c r="A1224" s="45"/>
      <c r="B1224" s="26"/>
      <c r="D1224" s="79"/>
      <c r="F1224" s="79"/>
      <c r="G1224" s="68"/>
      <c r="H1224" s="68"/>
      <c r="I1224" s="68"/>
      <c r="J1224" s="68"/>
      <c r="K1224" s="79"/>
      <c r="M1224" s="79"/>
      <c r="N1224" s="68"/>
      <c r="O1224" s="68"/>
      <c r="P1224" s="68"/>
      <c r="Q1224" s="68"/>
      <c r="R1224" s="68"/>
      <c r="S1224" s="68"/>
      <c r="T1224" s="68"/>
      <c r="U1224" s="68"/>
      <c r="V1224" s="72"/>
      <c r="W1224" s="79"/>
      <c r="X1224" s="68"/>
      <c r="Y1224" s="68"/>
      <c r="Z1224" s="68"/>
      <c r="AA1224" s="68"/>
      <c r="AB1224" s="68"/>
      <c r="AC1224" s="4"/>
    </row>
    <row r="1225" spans="1:29" x14ac:dyDescent="0.25">
      <c r="B1225" s="26"/>
      <c r="D1225" s="68"/>
      <c r="F1225" s="68"/>
      <c r="G1225" s="68"/>
      <c r="H1225" s="68"/>
      <c r="I1225" s="68"/>
      <c r="J1225" s="68"/>
      <c r="K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4"/>
    </row>
    <row r="1226" spans="1:29" x14ac:dyDescent="0.25">
      <c r="B1226" s="26"/>
      <c r="D1226" s="68"/>
      <c r="F1226" s="68"/>
      <c r="G1226" s="68"/>
      <c r="H1226" s="68"/>
      <c r="I1226" s="68"/>
      <c r="J1226" s="68"/>
      <c r="K1226" s="68"/>
      <c r="M1226" s="68"/>
      <c r="N1226" s="68"/>
      <c r="O1226" s="68"/>
      <c r="P1226" s="68"/>
      <c r="Q1226" s="68"/>
      <c r="R1226" s="73"/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4"/>
    </row>
    <row r="1227" spans="1:29" x14ac:dyDescent="0.25">
      <c r="A1227" s="45"/>
    </row>
    <row r="1228" spans="1:29" x14ac:dyDescent="0.25">
      <c r="A1228" s="45"/>
    </row>
    <row r="1229" spans="1:29" ht="19.5" x14ac:dyDescent="0.35">
      <c r="A1229" s="45"/>
      <c r="B1229" s="26"/>
      <c r="D1229" s="92" t="s">
        <v>147</v>
      </c>
      <c r="F1229" s="68"/>
      <c r="G1229" s="68"/>
      <c r="H1229" s="68"/>
      <c r="I1229" s="79"/>
      <c r="M1229" s="79"/>
      <c r="N1229" s="91" t="s">
        <v>286</v>
      </c>
      <c r="O1229" s="68"/>
      <c r="P1229" s="68"/>
      <c r="Q1229" s="68"/>
      <c r="R1229" s="68"/>
      <c r="S1229" s="68"/>
      <c r="T1229" s="68"/>
      <c r="U1229" s="68"/>
      <c r="V1229" s="68"/>
      <c r="W1229" s="92" t="s">
        <v>149</v>
      </c>
      <c r="X1229" s="160"/>
      <c r="Y1229" s="68"/>
      <c r="Z1229" s="68"/>
      <c r="AA1229" s="68"/>
      <c r="AB1229" s="68"/>
      <c r="AC1229" s="4"/>
    </row>
    <row r="1230" spans="1:29" ht="19.5" x14ac:dyDescent="0.35">
      <c r="A1230" s="45"/>
      <c r="B1230" s="26"/>
      <c r="D1230" s="92" t="s">
        <v>146</v>
      </c>
      <c r="F1230" s="68"/>
      <c r="G1230" s="68"/>
      <c r="H1230" s="68"/>
      <c r="I1230" s="79"/>
      <c r="M1230" s="79"/>
      <c r="N1230" s="91" t="s">
        <v>287</v>
      </c>
      <c r="O1230" s="68"/>
      <c r="P1230" s="68"/>
      <c r="Q1230" s="68"/>
      <c r="R1230" s="68"/>
      <c r="S1230" s="68"/>
      <c r="T1230" s="68"/>
      <c r="U1230" s="68"/>
      <c r="V1230" s="68"/>
      <c r="W1230" s="92" t="s">
        <v>148</v>
      </c>
      <c r="X1230" s="160"/>
      <c r="Y1230" s="68"/>
      <c r="Z1230" s="68"/>
      <c r="AA1230" s="68"/>
      <c r="AB1230" s="68"/>
      <c r="AC1230" s="4"/>
    </row>
    <row r="1231" spans="1:29" x14ac:dyDescent="0.25">
      <c r="A1231" s="45"/>
      <c r="B1231" s="26"/>
      <c r="D1231" s="55"/>
      <c r="E1231" s="55"/>
      <c r="F1231" s="55"/>
      <c r="G1231" s="55"/>
      <c r="H1231" s="55"/>
      <c r="I1231" s="55"/>
      <c r="J1231" s="55"/>
      <c r="K1231" s="55"/>
      <c r="L1231" s="55"/>
      <c r="M1231" s="55"/>
      <c r="N1231" s="55"/>
      <c r="O1231" s="55"/>
      <c r="P1231" s="55"/>
      <c r="Q1231" s="55"/>
      <c r="R1231" s="55"/>
      <c r="S1231" s="55"/>
      <c r="T1231" s="55"/>
      <c r="U1231" s="55"/>
      <c r="V1231" s="55"/>
      <c r="W1231" s="55"/>
      <c r="X1231" s="55"/>
      <c r="Y1231" s="55"/>
      <c r="Z1231" s="55"/>
      <c r="AA1231" s="55"/>
      <c r="AB1231" s="55"/>
      <c r="AC1231" s="4"/>
    </row>
    <row r="1232" spans="1:29" x14ac:dyDescent="0.25">
      <c r="A1232" s="45"/>
      <c r="B1232" s="23"/>
      <c r="C1232" s="4"/>
      <c r="D1232" s="55"/>
      <c r="E1232" s="55"/>
      <c r="F1232" s="55"/>
      <c r="G1232" s="55"/>
      <c r="H1232" s="55"/>
      <c r="I1232" s="55"/>
      <c r="J1232" s="55"/>
      <c r="K1232" s="55"/>
      <c r="L1232" s="55"/>
      <c r="M1232" s="55"/>
      <c r="N1232" s="55"/>
      <c r="O1232" s="55"/>
      <c r="P1232" s="55"/>
      <c r="Q1232" s="55"/>
      <c r="R1232" s="55"/>
      <c r="S1232" s="55"/>
      <c r="T1232" s="55"/>
      <c r="U1232" s="55"/>
      <c r="V1232" s="55"/>
      <c r="W1232" s="55"/>
      <c r="X1232" s="55"/>
      <c r="Y1232" s="55"/>
      <c r="Z1232" s="55"/>
      <c r="AA1232" s="55"/>
      <c r="AB1232" s="55"/>
      <c r="AC1232" s="4"/>
    </row>
    <row r="1233" spans="1:29" x14ac:dyDescent="0.25">
      <c r="A1233" s="45"/>
      <c r="B1233" s="23" t="s">
        <v>301</v>
      </c>
      <c r="C1233" s="4"/>
      <c r="D1233" s="55"/>
      <c r="E1233" s="55"/>
      <c r="F1233" s="55"/>
      <c r="G1233" s="55"/>
      <c r="H1233" s="55"/>
      <c r="I1233" s="55"/>
      <c r="J1233" s="55"/>
      <c r="K1233" s="55"/>
      <c r="L1233" s="55"/>
      <c r="M1233" s="55"/>
      <c r="N1233" s="55"/>
      <c r="O1233" s="55"/>
      <c r="P1233" s="55"/>
      <c r="Q1233" s="55"/>
      <c r="R1233" s="55"/>
      <c r="S1233" s="55"/>
      <c r="T1233" s="55"/>
      <c r="U1233" s="55"/>
      <c r="V1233" s="55"/>
      <c r="W1233" s="55"/>
      <c r="X1233" s="55"/>
      <c r="Y1233" s="55"/>
      <c r="Z1233" s="55"/>
      <c r="AA1233" s="55"/>
      <c r="AB1233" s="55"/>
      <c r="AC1233" s="4"/>
    </row>
    <row r="1234" spans="1:29" x14ac:dyDescent="0.25">
      <c r="A1234" s="45"/>
      <c r="B1234" s="26"/>
      <c r="C1234" s="4"/>
      <c r="D1234" s="55"/>
      <c r="E1234" s="55"/>
      <c r="F1234" s="55"/>
      <c r="G1234" s="55"/>
      <c r="H1234" s="55"/>
      <c r="I1234" s="55"/>
      <c r="J1234" s="55"/>
      <c r="K1234" s="55"/>
      <c r="L1234" s="55"/>
      <c r="M1234" s="55"/>
      <c r="N1234" s="55"/>
      <c r="O1234" s="55"/>
      <c r="P1234" s="55"/>
      <c r="Q1234" s="55"/>
      <c r="R1234" s="55"/>
      <c r="S1234" s="55"/>
      <c r="T1234" s="55"/>
      <c r="U1234" s="55"/>
      <c r="V1234" s="55"/>
      <c r="W1234" s="55"/>
      <c r="X1234" s="55"/>
      <c r="Y1234" s="55"/>
      <c r="Z1234" s="55"/>
      <c r="AA1234" s="55"/>
      <c r="AB1234" s="55"/>
      <c r="AC1234" s="4"/>
    </row>
    <row r="1235" spans="1:29" x14ac:dyDescent="0.25">
      <c r="A1235" s="45"/>
      <c r="B1235" s="23" t="s">
        <v>139</v>
      </c>
      <c r="C1235" s="4"/>
      <c r="D1235" s="55"/>
      <c r="E1235" s="55"/>
      <c r="F1235" s="55"/>
      <c r="G1235" s="55"/>
      <c r="H1235" s="55"/>
      <c r="I1235" s="55"/>
      <c r="J1235" s="55"/>
      <c r="K1235" s="55"/>
      <c r="L1235" s="55"/>
      <c r="M1235" s="55"/>
      <c r="N1235" s="55"/>
      <c r="O1235" s="55"/>
      <c r="P1235" s="55"/>
      <c r="Q1235" s="55"/>
      <c r="R1235" s="55"/>
      <c r="S1235" s="55"/>
      <c r="T1235" s="55"/>
      <c r="U1235" s="55"/>
      <c r="V1235" s="55"/>
      <c r="W1235" s="55"/>
      <c r="X1235" s="58"/>
      <c r="Y1235" s="61"/>
      <c r="Z1235" s="61"/>
      <c r="AA1235" s="55"/>
      <c r="AB1235" s="55"/>
      <c r="AC1235" s="4"/>
    </row>
    <row r="1236" spans="1:29" x14ac:dyDescent="0.25">
      <c r="A1236" s="45"/>
      <c r="B1236" s="35" t="s">
        <v>0</v>
      </c>
      <c r="C1236" s="4"/>
      <c r="D1236" s="55"/>
      <c r="E1236" s="55"/>
      <c r="F1236" s="55"/>
      <c r="G1236" s="55"/>
      <c r="H1236" s="55"/>
      <c r="I1236" s="55"/>
      <c r="J1236" s="55"/>
      <c r="K1236" s="55"/>
      <c r="L1236" s="55"/>
      <c r="M1236" s="55"/>
      <c r="N1236" s="55"/>
      <c r="O1236" s="55"/>
      <c r="P1236" s="55"/>
      <c r="Q1236" s="55"/>
      <c r="R1236" s="55"/>
      <c r="S1236" s="55"/>
      <c r="T1236" s="55"/>
      <c r="U1236" s="55"/>
      <c r="V1236" s="55"/>
      <c r="W1236" s="55"/>
      <c r="X1236" s="55"/>
      <c r="Y1236" s="55"/>
      <c r="Z1236" s="55"/>
      <c r="AA1236" s="55"/>
      <c r="AB1236" s="55"/>
      <c r="AC1236" s="4"/>
    </row>
    <row r="1237" spans="1:29" x14ac:dyDescent="0.25">
      <c r="A1237" s="45"/>
      <c r="B1237" s="35" t="str">
        <f>+B3</f>
        <v>As of December 31, 2005</v>
      </c>
      <c r="C1237" s="4"/>
      <c r="D1237" s="55"/>
      <c r="E1237" s="55"/>
      <c r="F1237" s="55"/>
      <c r="G1237" s="55"/>
      <c r="H1237" s="55"/>
      <c r="I1237" s="55"/>
      <c r="J1237" s="55"/>
      <c r="K1237" s="55"/>
      <c r="L1237" s="55"/>
      <c r="M1237" s="55"/>
      <c r="N1237" s="55"/>
      <c r="O1237" s="55"/>
      <c r="P1237" s="55"/>
      <c r="Q1237" s="55"/>
      <c r="R1237" s="55"/>
      <c r="S1237" s="55"/>
      <c r="T1237" s="55"/>
      <c r="U1237" s="55"/>
      <c r="V1237" s="55"/>
      <c r="W1237" s="55"/>
      <c r="X1237" s="55"/>
      <c r="Y1237" s="55"/>
      <c r="Z1237" s="55"/>
      <c r="AA1237" s="55"/>
      <c r="AB1237" s="55"/>
      <c r="AC1237" s="4"/>
    </row>
    <row r="1238" spans="1:29" x14ac:dyDescent="0.25">
      <c r="A1238" s="45"/>
      <c r="B1238" s="35"/>
      <c r="C1238" s="4"/>
      <c r="D1238" s="55"/>
      <c r="E1238" s="55"/>
      <c r="F1238" s="55"/>
      <c r="G1238" s="55"/>
      <c r="H1238" s="55"/>
      <c r="I1238" s="55"/>
      <c r="J1238" s="55"/>
      <c r="K1238" s="55"/>
      <c r="L1238" s="55"/>
      <c r="M1238" s="55"/>
      <c r="N1238" s="55"/>
      <c r="O1238" s="55"/>
      <c r="P1238" s="55"/>
      <c r="Q1238" s="55"/>
      <c r="R1238" s="55"/>
      <c r="S1238" s="55"/>
      <c r="T1238" s="55"/>
      <c r="U1238" s="55"/>
      <c r="V1238" s="55"/>
      <c r="W1238" s="55"/>
      <c r="X1238" s="55"/>
      <c r="Y1238" s="55"/>
      <c r="Z1238" s="55"/>
      <c r="AA1238" s="55"/>
      <c r="AB1238" s="55"/>
      <c r="AC1238" s="4"/>
    </row>
    <row r="1239" spans="1:29" x14ac:dyDescent="0.25">
      <c r="A1239" s="45"/>
      <c r="B1239" s="35"/>
      <c r="C1239" s="4"/>
      <c r="D1239" s="55"/>
      <c r="E1239" s="55"/>
      <c r="F1239" s="55"/>
      <c r="G1239" s="55"/>
      <c r="H1239" s="55"/>
      <c r="I1239" s="55"/>
      <c r="J1239" s="55"/>
      <c r="K1239" s="55"/>
      <c r="L1239" s="55"/>
      <c r="M1239" s="55"/>
      <c r="N1239" s="55"/>
      <c r="O1239" s="55"/>
      <c r="P1239" s="55"/>
      <c r="Q1239" s="55"/>
      <c r="R1239" s="55"/>
      <c r="S1239" s="55"/>
      <c r="T1239" s="55"/>
      <c r="U1239" s="55"/>
      <c r="V1239" s="55"/>
      <c r="W1239" s="55"/>
      <c r="X1239" s="55"/>
      <c r="Y1239" s="55"/>
      <c r="Z1239" s="55"/>
      <c r="AA1239" s="55"/>
      <c r="AB1239" s="55"/>
      <c r="AC1239" s="4"/>
    </row>
    <row r="1240" spans="1:29" x14ac:dyDescent="0.25">
      <c r="A1240" s="45"/>
      <c r="B1240" s="35"/>
      <c r="C1240" s="4"/>
      <c r="D1240" s="55"/>
      <c r="E1240" s="55"/>
      <c r="F1240" s="55"/>
      <c r="G1240" s="55"/>
      <c r="H1240" s="55"/>
      <c r="I1240" s="55"/>
      <c r="J1240" s="55"/>
      <c r="K1240" s="55"/>
      <c r="L1240" s="55"/>
      <c r="M1240" s="55"/>
      <c r="N1240" s="55"/>
      <c r="O1240" s="55"/>
      <c r="P1240" s="55"/>
      <c r="Q1240" s="55"/>
      <c r="R1240" s="55"/>
      <c r="S1240" s="55"/>
      <c r="T1240" s="55"/>
      <c r="U1240" s="55"/>
      <c r="V1240" s="55"/>
      <c r="W1240" s="55"/>
      <c r="X1240" s="55"/>
      <c r="Y1240" s="55"/>
      <c r="Z1240" s="55"/>
      <c r="AA1240" s="55"/>
      <c r="AB1240" s="55"/>
      <c r="AC1240" s="4"/>
    </row>
    <row r="1241" spans="1:29" ht="19.5" x14ac:dyDescent="0.35">
      <c r="A1241" s="45"/>
      <c r="B1241" s="40"/>
      <c r="C1241" s="4"/>
      <c r="D1241" s="55"/>
      <c r="E1241" s="55"/>
      <c r="F1241" s="57" t="s">
        <v>1</v>
      </c>
      <c r="G1241" s="57"/>
      <c r="H1241" s="58"/>
      <c r="I1241" s="57" t="s">
        <v>2</v>
      </c>
      <c r="J1241" s="55"/>
      <c r="K1241" s="57" t="s">
        <v>2</v>
      </c>
      <c r="L1241" s="57" t="s">
        <v>3</v>
      </c>
      <c r="M1241" s="57"/>
      <c r="N1241" s="57" t="s">
        <v>4</v>
      </c>
      <c r="O1241" s="55"/>
      <c r="P1241" s="84" t="s">
        <v>5</v>
      </c>
      <c r="Q1241" s="84"/>
      <c r="R1241" s="55"/>
      <c r="S1241" s="55"/>
      <c r="T1241" s="55"/>
      <c r="U1241" s="57" t="s">
        <v>2</v>
      </c>
      <c r="V1241" s="57" t="s">
        <v>3</v>
      </c>
      <c r="W1241" s="57"/>
      <c r="X1241" s="57" t="s">
        <v>6</v>
      </c>
      <c r="Y1241" s="57" t="s">
        <v>7</v>
      </c>
      <c r="Z1241" s="57" t="s">
        <v>8</v>
      </c>
      <c r="AA1241" s="57" t="s">
        <v>3</v>
      </c>
      <c r="AB1241" s="57" t="s">
        <v>8</v>
      </c>
      <c r="AC1241" s="4"/>
    </row>
    <row r="1242" spans="1:29" x14ac:dyDescent="0.25">
      <c r="A1242" s="45"/>
      <c r="B1242" s="26"/>
      <c r="C1242" s="4"/>
      <c r="D1242" s="57" t="s">
        <v>9</v>
      </c>
      <c r="E1242" s="57" t="s">
        <v>10</v>
      </c>
      <c r="F1242" s="57" t="s">
        <v>11</v>
      </c>
      <c r="G1242" s="57"/>
      <c r="H1242" s="58"/>
      <c r="I1242" s="57" t="s">
        <v>12</v>
      </c>
      <c r="J1242" s="57" t="s">
        <v>13</v>
      </c>
      <c r="K1242" s="57" t="s">
        <v>14</v>
      </c>
      <c r="L1242" s="57" t="s">
        <v>1</v>
      </c>
      <c r="M1242" s="57"/>
      <c r="N1242" s="84" t="s">
        <v>15</v>
      </c>
      <c r="O1242" s="57" t="s">
        <v>16</v>
      </c>
      <c r="P1242" s="57" t="s">
        <v>11</v>
      </c>
      <c r="Q1242" s="57"/>
      <c r="R1242" s="58"/>
      <c r="S1242" s="57" t="s">
        <v>2</v>
      </c>
      <c r="T1242" s="57" t="s">
        <v>13</v>
      </c>
      <c r="U1242" s="57" t="s">
        <v>14</v>
      </c>
      <c r="V1242" s="57" t="s">
        <v>17</v>
      </c>
      <c r="W1242" s="57"/>
      <c r="X1242" s="57" t="s">
        <v>11</v>
      </c>
      <c r="Y1242" s="57" t="s">
        <v>11</v>
      </c>
      <c r="Z1242" s="57" t="s">
        <v>18</v>
      </c>
      <c r="AA1242" s="57" t="s">
        <v>11</v>
      </c>
      <c r="AB1242" s="57" t="s">
        <v>18</v>
      </c>
      <c r="AC1242" s="4"/>
    </row>
    <row r="1243" spans="1:29" x14ac:dyDescent="0.25">
      <c r="A1243" s="45"/>
      <c r="B1243" s="103" t="s">
        <v>19</v>
      </c>
      <c r="C1243" s="41"/>
      <c r="D1243" s="60" t="s">
        <v>20</v>
      </c>
      <c r="E1243" s="60" t="str">
        <f>+E7</f>
        <v>AS OF 11/30/05</v>
      </c>
      <c r="F1243" s="60" t="s">
        <v>21</v>
      </c>
      <c r="G1243" s="60"/>
      <c r="H1243" s="60" t="s">
        <v>22</v>
      </c>
      <c r="I1243" s="60" t="s">
        <v>23</v>
      </c>
      <c r="J1243" s="60" t="s">
        <v>24</v>
      </c>
      <c r="K1243" s="60" t="s">
        <v>23</v>
      </c>
      <c r="L1243" s="60" t="s">
        <v>2</v>
      </c>
      <c r="M1243" s="60"/>
      <c r="N1243" s="85" t="s">
        <v>25</v>
      </c>
      <c r="O1243" s="60" t="str">
        <f>+E1243</f>
        <v>AS OF 11/30/05</v>
      </c>
      <c r="P1243" s="60" t="s">
        <v>21</v>
      </c>
      <c r="Q1243" s="60"/>
      <c r="R1243" s="60" t="s">
        <v>26</v>
      </c>
      <c r="S1243" s="60" t="s">
        <v>27</v>
      </c>
      <c r="T1243" s="60" t="s">
        <v>28</v>
      </c>
      <c r="U1243" s="60" t="s">
        <v>23</v>
      </c>
      <c r="V1243" s="60" t="s">
        <v>2</v>
      </c>
      <c r="W1243" s="60"/>
      <c r="X1243" s="60" t="s">
        <v>29</v>
      </c>
      <c r="Y1243" s="60" t="s">
        <v>30</v>
      </c>
      <c r="Z1243" s="60" t="s">
        <v>30</v>
      </c>
      <c r="AA1243" s="60" t="s">
        <v>31</v>
      </c>
      <c r="AB1243" s="60" t="s">
        <v>31</v>
      </c>
      <c r="AC1243" s="4"/>
    </row>
    <row r="1244" spans="1:29" x14ac:dyDescent="0.25">
      <c r="A1244" s="45"/>
      <c r="B1244" s="26"/>
      <c r="C1244" s="115"/>
      <c r="D1244" s="55"/>
      <c r="E1244" s="55"/>
      <c r="F1244" s="55"/>
      <c r="G1244" s="55"/>
      <c r="H1244" s="55"/>
      <c r="I1244" s="55"/>
      <c r="J1244" s="55"/>
      <c r="K1244" s="55"/>
      <c r="L1244" s="55"/>
      <c r="M1244" s="55"/>
      <c r="N1244" s="55"/>
      <c r="O1244" s="55"/>
      <c r="P1244" s="55"/>
      <c r="Q1244" s="55"/>
      <c r="R1244" s="55"/>
      <c r="S1244" s="55"/>
      <c r="T1244" s="55"/>
      <c r="U1244" s="55"/>
      <c r="V1244" s="55"/>
      <c r="W1244" s="55"/>
      <c r="X1244" s="55"/>
      <c r="Y1244" s="55"/>
      <c r="Z1244" s="55"/>
      <c r="AA1244" s="55"/>
      <c r="AB1244" s="55"/>
      <c r="AC1244" s="4"/>
    </row>
    <row r="1245" spans="1:29" x14ac:dyDescent="0.25">
      <c r="A1245" s="45"/>
      <c r="B1245" s="23" t="s">
        <v>33</v>
      </c>
      <c r="C1245" s="4"/>
      <c r="D1245" s="58">
        <f>+D75</f>
        <v>710050285.41999996</v>
      </c>
      <c r="E1245" s="58">
        <f>+E75</f>
        <v>130759924.52000001</v>
      </c>
      <c r="F1245" s="58">
        <f>+F75</f>
        <v>60000000</v>
      </c>
      <c r="G1245" s="58"/>
      <c r="H1245" s="58">
        <f>+H75</f>
        <v>190759924.51999998</v>
      </c>
      <c r="I1245" s="58">
        <f>+I75</f>
        <v>0</v>
      </c>
      <c r="J1245" s="58">
        <f>+J75</f>
        <v>0</v>
      </c>
      <c r="K1245" s="58">
        <f>+K75</f>
        <v>0</v>
      </c>
      <c r="L1245" s="58">
        <f>+L75</f>
        <v>0</v>
      </c>
      <c r="M1245" s="58"/>
      <c r="N1245" s="58">
        <f>+N75</f>
        <v>190759924.51999998</v>
      </c>
      <c r="O1245" s="58">
        <f>+O75</f>
        <v>29010536.149999999</v>
      </c>
      <c r="P1245" s="58">
        <f>+P75</f>
        <v>522842.4</v>
      </c>
      <c r="Q1245" s="58"/>
      <c r="R1245" s="58">
        <f>+R75</f>
        <v>29533378.550000001</v>
      </c>
      <c r="S1245" s="58">
        <f>+S75</f>
        <v>11620821.859999998</v>
      </c>
      <c r="T1245" s="58">
        <f>+T75</f>
        <v>5298841.96</v>
      </c>
      <c r="U1245" s="58">
        <f>+U75</f>
        <v>0</v>
      </c>
      <c r="V1245" s="58">
        <f>+V75</f>
        <v>0</v>
      </c>
      <c r="W1245" s="58"/>
      <c r="X1245" s="58">
        <f>+X75</f>
        <v>29533378.550000001</v>
      </c>
      <c r="Y1245" s="58">
        <f>+Y75</f>
        <v>220293303.07000002</v>
      </c>
      <c r="Z1245" s="58">
        <f>+Z75</f>
        <v>489756982.35000002</v>
      </c>
      <c r="AA1245" s="58">
        <f>+AA75</f>
        <v>220293303.07000002</v>
      </c>
      <c r="AB1245" s="58">
        <f>+AB75</f>
        <v>489756982.35000002</v>
      </c>
      <c r="AC1245" s="4"/>
    </row>
    <row r="1246" spans="1:29" x14ac:dyDescent="0.25">
      <c r="A1246" s="45"/>
      <c r="B1246" s="23"/>
      <c r="C1246" s="4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  <c r="V1246" s="58"/>
      <c r="W1246" s="58"/>
      <c r="X1246" s="58"/>
      <c r="Y1246" s="58"/>
      <c r="Z1246" s="58"/>
      <c r="AA1246" s="58"/>
      <c r="AB1246" s="58"/>
      <c r="AC1246" s="4"/>
    </row>
    <row r="1247" spans="1:29" x14ac:dyDescent="0.25">
      <c r="A1247" s="45"/>
      <c r="B1247" s="26" t="s">
        <v>240</v>
      </c>
      <c r="C1247" s="4"/>
      <c r="D1247" s="55">
        <f>+D127</f>
        <v>167599967.61000001</v>
      </c>
      <c r="E1247" s="55">
        <f>+E127</f>
        <v>101413152.14</v>
      </c>
      <c r="F1247" s="55">
        <f>+F127</f>
        <v>4000000</v>
      </c>
      <c r="G1247" s="55"/>
      <c r="H1247" s="55">
        <f>+H127</f>
        <v>105413152.14</v>
      </c>
      <c r="I1247" s="55">
        <f>+I127</f>
        <v>0</v>
      </c>
      <c r="J1247" s="55">
        <f>+J127</f>
        <v>0</v>
      </c>
      <c r="K1247" s="55">
        <f>+K127</f>
        <v>0</v>
      </c>
      <c r="L1247" s="55">
        <f>+L127</f>
        <v>0</v>
      </c>
      <c r="M1247" s="55"/>
      <c r="N1247" s="55">
        <f>+N127</f>
        <v>105413152.14</v>
      </c>
      <c r="O1247" s="55">
        <f>+O127</f>
        <v>48290838.079999998</v>
      </c>
      <c r="P1247" s="55">
        <f>+P127</f>
        <v>0</v>
      </c>
      <c r="Q1247" s="55"/>
      <c r="R1247" s="55">
        <f>+R127</f>
        <v>48290838.079999998</v>
      </c>
      <c r="S1247" s="55">
        <f>+S127</f>
        <v>0</v>
      </c>
      <c r="T1247" s="55">
        <f>+T127</f>
        <v>0</v>
      </c>
      <c r="U1247" s="55">
        <f>+U127</f>
        <v>0</v>
      </c>
      <c r="V1247" s="55">
        <f>+V127</f>
        <v>0</v>
      </c>
      <c r="W1247" s="55"/>
      <c r="X1247" s="55">
        <f>+X127</f>
        <v>48290838.079999998</v>
      </c>
      <c r="Y1247" s="55">
        <f>+Y127</f>
        <v>153703990.22</v>
      </c>
      <c r="Z1247" s="55">
        <f>+Z127</f>
        <v>13895977.389999999</v>
      </c>
      <c r="AA1247" s="55">
        <f>+AA127</f>
        <v>86276087.769999996</v>
      </c>
      <c r="AB1247" s="55">
        <f>+AB127</f>
        <v>13895977.389999999</v>
      </c>
      <c r="AC1247" s="4"/>
    </row>
    <row r="1248" spans="1:29" x14ac:dyDescent="0.25">
      <c r="A1248" s="45"/>
      <c r="B1248" s="23"/>
      <c r="C1248" s="4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  <c r="V1248" s="58"/>
      <c r="W1248" s="58"/>
      <c r="X1248" s="58"/>
      <c r="Y1248" s="58"/>
      <c r="Z1248" s="58"/>
      <c r="AA1248" s="58"/>
      <c r="AB1248" s="58"/>
      <c r="AC1248" s="4"/>
    </row>
    <row r="1249" spans="1:29" x14ac:dyDescent="0.25">
      <c r="A1249" s="45"/>
      <c r="B1249" s="23" t="s">
        <v>168</v>
      </c>
      <c r="C1249" s="4"/>
      <c r="D1249" s="58">
        <f>+D202</f>
        <v>959594888.89999998</v>
      </c>
      <c r="E1249" s="58">
        <f>+E202</f>
        <v>623521124.77600002</v>
      </c>
      <c r="F1249" s="58">
        <f>+F202</f>
        <v>82000000</v>
      </c>
      <c r="G1249" s="58"/>
      <c r="H1249" s="58">
        <f>+H202</f>
        <v>705521124.77600002</v>
      </c>
      <c r="I1249" s="58">
        <f>+I202</f>
        <v>0</v>
      </c>
      <c r="J1249" s="58">
        <f>+J202</f>
        <v>0</v>
      </c>
      <c r="K1249" s="58">
        <f>+K202</f>
        <v>0</v>
      </c>
      <c r="L1249" s="58">
        <f>+L202</f>
        <v>0</v>
      </c>
      <c r="M1249" s="58"/>
      <c r="N1249" s="58">
        <f>+N202</f>
        <v>705521124.77600002</v>
      </c>
      <c r="O1249" s="58">
        <f>+O202</f>
        <v>114705743.32000001</v>
      </c>
      <c r="P1249" s="58">
        <f>+P202</f>
        <v>0</v>
      </c>
      <c r="Q1249" s="58"/>
      <c r="R1249" s="58">
        <f>+R202</f>
        <v>114705743.32000001</v>
      </c>
      <c r="S1249" s="58">
        <f>+S202</f>
        <v>0</v>
      </c>
      <c r="T1249" s="58">
        <f>+T202</f>
        <v>0</v>
      </c>
      <c r="U1249" s="58">
        <f>+U202</f>
        <v>0</v>
      </c>
      <c r="V1249" s="58">
        <f>+V202</f>
        <v>0</v>
      </c>
      <c r="W1249" s="58"/>
      <c r="X1249" s="58">
        <f>+X202</f>
        <v>114705743.32000001</v>
      </c>
      <c r="Y1249" s="58">
        <f>+Y202</f>
        <v>820226868.09600008</v>
      </c>
      <c r="Z1249" s="58">
        <f>+Z202</f>
        <v>139368020.80399999</v>
      </c>
      <c r="AA1249" s="58">
        <f>+AA202</f>
        <v>0</v>
      </c>
      <c r="AB1249" s="58">
        <f>+AB202</f>
        <v>139368020.80399999</v>
      </c>
      <c r="AC1249" s="4"/>
    </row>
    <row r="1250" spans="1:29" x14ac:dyDescent="0.25">
      <c r="A1250" s="45"/>
      <c r="B1250" s="26"/>
      <c r="C1250" s="4"/>
      <c r="D1250" s="55"/>
      <c r="E1250" s="55"/>
      <c r="F1250" s="55"/>
      <c r="G1250" s="55"/>
      <c r="H1250" s="55"/>
      <c r="I1250" s="55"/>
      <c r="J1250" s="55"/>
      <c r="K1250" s="55"/>
      <c r="L1250" s="55"/>
      <c r="M1250" s="55"/>
      <c r="N1250" s="55"/>
      <c r="O1250" s="55"/>
      <c r="P1250" s="55"/>
      <c r="Q1250" s="55"/>
      <c r="R1250" s="55"/>
      <c r="S1250" s="55"/>
      <c r="T1250" s="55"/>
      <c r="U1250" s="55"/>
      <c r="V1250" s="55"/>
      <c r="W1250" s="55"/>
      <c r="X1250" s="55"/>
      <c r="Y1250" s="55"/>
      <c r="Z1250" s="55"/>
      <c r="AA1250" s="55"/>
      <c r="AB1250" s="55"/>
      <c r="AC1250" s="4"/>
    </row>
    <row r="1251" spans="1:29" x14ac:dyDescent="0.25">
      <c r="A1251" s="45"/>
      <c r="B1251" s="23" t="s">
        <v>58</v>
      </c>
      <c r="C1251" s="4"/>
      <c r="D1251" s="58">
        <f>+D341</f>
        <v>1636901594.96</v>
      </c>
      <c r="E1251" s="58">
        <f>+E341</f>
        <v>810693277.44000006</v>
      </c>
      <c r="F1251" s="58">
        <f>+F341</f>
        <v>30660933.16</v>
      </c>
      <c r="G1251" s="58"/>
      <c r="H1251" s="58">
        <f>+H341</f>
        <v>841354210.60000002</v>
      </c>
      <c r="I1251" s="58">
        <f>+I341</f>
        <v>0</v>
      </c>
      <c r="J1251" s="58">
        <f>+J341</f>
        <v>0</v>
      </c>
      <c r="K1251" s="58">
        <f>+K341</f>
        <v>0</v>
      </c>
      <c r="L1251" s="58">
        <f>+L341</f>
        <v>0</v>
      </c>
      <c r="M1251" s="58"/>
      <c r="N1251" s="58">
        <f>+N341</f>
        <v>841354210.60000002</v>
      </c>
      <c r="O1251" s="58">
        <f>+O341</f>
        <v>155379069.78000003</v>
      </c>
      <c r="P1251" s="58">
        <f>+P341</f>
        <v>0</v>
      </c>
      <c r="Q1251" s="58"/>
      <c r="R1251" s="58">
        <f>+R341</f>
        <v>155379069.78000003</v>
      </c>
      <c r="S1251" s="58">
        <f>+S341</f>
        <v>1690000.5999999999</v>
      </c>
      <c r="T1251" s="58">
        <f>+T341</f>
        <v>210246.6</v>
      </c>
      <c r="U1251" s="58">
        <f>+U341</f>
        <v>0</v>
      </c>
      <c r="V1251" s="58">
        <f>+V341</f>
        <v>0</v>
      </c>
      <c r="W1251" s="58"/>
      <c r="X1251" s="58">
        <f>+X341</f>
        <v>155379069.78000003</v>
      </c>
      <c r="Y1251" s="58">
        <f>+Y341</f>
        <v>996733280.38000011</v>
      </c>
      <c r="Z1251" s="58">
        <f>+Z341</f>
        <v>640168314.58000004</v>
      </c>
      <c r="AA1251" s="58">
        <f>+AA341</f>
        <v>996733280.38000011</v>
      </c>
      <c r="AB1251" s="58">
        <f>+AB341</f>
        <v>640168314.58000004</v>
      </c>
      <c r="AC1251" s="4"/>
    </row>
    <row r="1252" spans="1:29" x14ac:dyDescent="0.25">
      <c r="A1252" s="45"/>
      <c r="B1252" s="23"/>
      <c r="C1252" s="4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8"/>
      <c r="AB1252" s="58"/>
      <c r="AC1252" s="4"/>
    </row>
    <row r="1253" spans="1:29" x14ac:dyDescent="0.25">
      <c r="A1253" s="45"/>
      <c r="B1253" s="26" t="s">
        <v>178</v>
      </c>
      <c r="C1253" s="4"/>
      <c r="D1253" s="55">
        <f>+D454</f>
        <v>687133184.24000001</v>
      </c>
      <c r="E1253" s="55">
        <f>+E454</f>
        <v>123933441.56999999</v>
      </c>
      <c r="F1253" s="55">
        <f>+F454</f>
        <v>0</v>
      </c>
      <c r="G1253" s="55"/>
      <c r="H1253" s="55">
        <f>+H454</f>
        <v>123933441.56999999</v>
      </c>
      <c r="I1253" s="55">
        <f>+I454</f>
        <v>0</v>
      </c>
      <c r="J1253" s="55">
        <f>+J454</f>
        <v>0</v>
      </c>
      <c r="K1253" s="55">
        <f>+K454</f>
        <v>0</v>
      </c>
      <c r="L1253" s="55">
        <f>+L454</f>
        <v>0</v>
      </c>
      <c r="M1253" s="55"/>
      <c r="N1253" s="55">
        <f>+N454</f>
        <v>123933441.56999999</v>
      </c>
      <c r="O1253" s="55">
        <f>+O454</f>
        <v>169989014.84999996</v>
      </c>
      <c r="P1253" s="55">
        <f>+P454</f>
        <v>0</v>
      </c>
      <c r="Q1253" s="55"/>
      <c r="R1253" s="55">
        <f>+R454</f>
        <v>169989014.84999996</v>
      </c>
      <c r="S1253" s="55">
        <f>+S454</f>
        <v>0</v>
      </c>
      <c r="T1253" s="55">
        <f>+T454</f>
        <v>0</v>
      </c>
      <c r="U1253" s="55">
        <f>+U454</f>
        <v>0</v>
      </c>
      <c r="V1253" s="55">
        <f>+V454</f>
        <v>0</v>
      </c>
      <c r="W1253" s="55"/>
      <c r="X1253" s="55">
        <f>+X454</f>
        <v>169989014.84999996</v>
      </c>
      <c r="Y1253" s="55">
        <f>+Y454</f>
        <v>293922456.41999996</v>
      </c>
      <c r="Z1253" s="55">
        <f>+Z454</f>
        <v>393210727.81999999</v>
      </c>
      <c r="AA1253" s="55">
        <f>+AA454</f>
        <v>293922456.41999996</v>
      </c>
      <c r="AB1253" s="55">
        <f>+AB454</f>
        <v>393210727.81999999</v>
      </c>
      <c r="AC1253" s="4"/>
    </row>
    <row r="1254" spans="1:29" x14ac:dyDescent="0.25">
      <c r="A1254" s="45"/>
      <c r="B1254" s="23"/>
      <c r="C1254" s="4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8"/>
      <c r="AB1254" s="58"/>
      <c r="AC1254" s="4"/>
    </row>
    <row r="1255" spans="1:29" x14ac:dyDescent="0.25">
      <c r="A1255" s="45"/>
      <c r="B1255" s="23" t="s">
        <v>77</v>
      </c>
      <c r="C1255" s="4"/>
      <c r="D1255" s="58">
        <f>+D576</f>
        <v>696454008.55999994</v>
      </c>
      <c r="E1255" s="58">
        <f>+E576</f>
        <v>226222558.35300002</v>
      </c>
      <c r="F1255" s="58">
        <f>+F576</f>
        <v>3000000</v>
      </c>
      <c r="G1255" s="58"/>
      <c r="H1255" s="58">
        <f>+H576</f>
        <v>229222558.35300002</v>
      </c>
      <c r="I1255" s="58">
        <f>+I576</f>
        <v>0</v>
      </c>
      <c r="J1255" s="58">
        <f>+J576</f>
        <v>0</v>
      </c>
      <c r="K1255" s="58">
        <f>+K576</f>
        <v>0</v>
      </c>
      <c r="L1255" s="58">
        <f>+L576</f>
        <v>0</v>
      </c>
      <c r="M1255" s="58"/>
      <c r="N1255" s="58">
        <f>+N576</f>
        <v>229222558.35300002</v>
      </c>
      <c r="O1255" s="58">
        <f>+O576</f>
        <v>115159319.76999998</v>
      </c>
      <c r="P1255" s="58">
        <f>+P576</f>
        <v>0</v>
      </c>
      <c r="Q1255" s="58"/>
      <c r="R1255" s="58">
        <f>+R576</f>
        <v>115159319.76999998</v>
      </c>
      <c r="S1255" s="58">
        <f>+S576</f>
        <v>52403326.670000002</v>
      </c>
      <c r="T1255" s="58">
        <f>+T576</f>
        <v>14686540.129999999</v>
      </c>
      <c r="U1255" s="58">
        <f>+U576</f>
        <v>0</v>
      </c>
      <c r="V1255" s="58">
        <f>+V576</f>
        <v>0</v>
      </c>
      <c r="W1255" s="58"/>
      <c r="X1255" s="58">
        <f>+X576</f>
        <v>115159319.76999998</v>
      </c>
      <c r="Y1255" s="58">
        <f>+Y576</f>
        <v>344381878.12300003</v>
      </c>
      <c r="Z1255" s="58">
        <f>+Z576</f>
        <v>352072130.43699998</v>
      </c>
      <c r="AA1255" s="58">
        <f>+AA576</f>
        <v>344381878.12300003</v>
      </c>
      <c r="AB1255" s="58">
        <f>+AB576</f>
        <v>352072130.43699998</v>
      </c>
      <c r="AC1255" s="4"/>
    </row>
    <row r="1256" spans="1:29" x14ac:dyDescent="0.25">
      <c r="A1256" s="45"/>
      <c r="B1256" s="26"/>
      <c r="C1256" s="4"/>
      <c r="D1256" s="55"/>
      <c r="E1256" s="55"/>
      <c r="F1256" s="55"/>
      <c r="G1256" s="55"/>
      <c r="H1256" s="55"/>
      <c r="I1256" s="55"/>
      <c r="J1256" s="55"/>
      <c r="K1256" s="55"/>
      <c r="L1256" s="55"/>
      <c r="M1256" s="55"/>
      <c r="N1256" s="55"/>
      <c r="O1256" s="55"/>
      <c r="P1256" s="55"/>
      <c r="Q1256" s="55"/>
      <c r="R1256" s="55"/>
      <c r="S1256" s="55"/>
      <c r="T1256" s="55"/>
      <c r="U1256" s="55"/>
      <c r="V1256" s="55"/>
      <c r="W1256" s="55"/>
      <c r="X1256" s="55"/>
      <c r="Y1256" s="55"/>
      <c r="Z1256" s="55"/>
      <c r="AA1256" s="58"/>
      <c r="AB1256" s="58"/>
      <c r="AC1256" s="4"/>
    </row>
    <row r="1257" spans="1:29" x14ac:dyDescent="0.25">
      <c r="A1257" s="45"/>
      <c r="B1257" s="23" t="s">
        <v>196</v>
      </c>
      <c r="C1257" s="4"/>
      <c r="D1257" s="58">
        <f>+D668</f>
        <v>1066060960.9400001</v>
      </c>
      <c r="E1257" s="58">
        <f>+E668</f>
        <v>624710898.02999997</v>
      </c>
      <c r="F1257" s="58">
        <f>+F668</f>
        <v>102000000</v>
      </c>
      <c r="G1257" s="58"/>
      <c r="H1257" s="58">
        <f>+H668</f>
        <v>726710898.02999997</v>
      </c>
      <c r="I1257" s="58">
        <f>+I668</f>
        <v>0</v>
      </c>
      <c r="J1257" s="58">
        <f>+J668</f>
        <v>0</v>
      </c>
      <c r="K1257" s="58">
        <f>+K668</f>
        <v>0</v>
      </c>
      <c r="L1257" s="58">
        <f>+L668</f>
        <v>0</v>
      </c>
      <c r="M1257" s="58"/>
      <c r="N1257" s="58">
        <f>+N668</f>
        <v>726710898.02999997</v>
      </c>
      <c r="O1257" s="58">
        <f>+O668</f>
        <v>51047303.719999999</v>
      </c>
      <c r="P1257" s="58">
        <f>+P668</f>
        <v>0</v>
      </c>
      <c r="Q1257" s="58"/>
      <c r="R1257" s="58">
        <f>+R668</f>
        <v>51047303.719999999</v>
      </c>
      <c r="S1257" s="58">
        <f>+S668</f>
        <v>0</v>
      </c>
      <c r="T1257" s="58">
        <f>+T668</f>
        <v>0</v>
      </c>
      <c r="U1257" s="58">
        <f>+U668</f>
        <v>0</v>
      </c>
      <c r="V1257" s="58">
        <f>+V668</f>
        <v>0</v>
      </c>
      <c r="W1257" s="58"/>
      <c r="X1257" s="58">
        <f>+X668</f>
        <v>51047303.719999999</v>
      </c>
      <c r="Y1257" s="58">
        <f>+Y668</f>
        <v>777758201.75</v>
      </c>
      <c r="Z1257" s="58">
        <f>+Z668</f>
        <v>288302759.19000006</v>
      </c>
      <c r="AA1257" s="58">
        <f>+AA668</f>
        <v>777758201.75</v>
      </c>
      <c r="AB1257" s="58">
        <f>+AB668</f>
        <v>288302759.19</v>
      </c>
      <c r="AC1257" s="4"/>
    </row>
    <row r="1258" spans="1:29" x14ac:dyDescent="0.25">
      <c r="A1258" s="45"/>
      <c r="B1258" s="23"/>
      <c r="C1258" s="4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8"/>
      <c r="AB1258" s="58"/>
      <c r="AC1258" s="4"/>
    </row>
    <row r="1259" spans="1:29" x14ac:dyDescent="0.25">
      <c r="A1259" s="45"/>
      <c r="B1259" s="26" t="s">
        <v>94</v>
      </c>
      <c r="C1259" s="4"/>
      <c r="D1259" s="55">
        <f>+D754</f>
        <v>188009507.59999996</v>
      </c>
      <c r="E1259" s="55">
        <f>+E754</f>
        <v>40516243.5</v>
      </c>
      <c r="F1259" s="55">
        <f>+F754</f>
        <v>1500000</v>
      </c>
      <c r="G1259" s="55"/>
      <c r="H1259" s="55">
        <f>+H754</f>
        <v>42016243.5</v>
      </c>
      <c r="I1259" s="55">
        <f>+I754</f>
        <v>0</v>
      </c>
      <c r="J1259" s="55">
        <f>+J754</f>
        <v>0</v>
      </c>
      <c r="K1259" s="55">
        <f>+K754</f>
        <v>0</v>
      </c>
      <c r="L1259" s="55">
        <f>+L754</f>
        <v>0</v>
      </c>
      <c r="M1259" s="55"/>
      <c r="N1259" s="55">
        <f>+N754</f>
        <v>42016243.5</v>
      </c>
      <c r="O1259" s="55">
        <f>+O754</f>
        <v>14548389.01</v>
      </c>
      <c r="P1259" s="55">
        <f>+P754</f>
        <v>0</v>
      </c>
      <c r="Q1259" s="55"/>
      <c r="R1259" s="55">
        <f>+R754</f>
        <v>14548389.01</v>
      </c>
      <c r="S1259" s="55">
        <f>+S754</f>
        <v>0</v>
      </c>
      <c r="T1259" s="55">
        <f>+T754</f>
        <v>0</v>
      </c>
      <c r="U1259" s="55">
        <f>+U754</f>
        <v>0</v>
      </c>
      <c r="V1259" s="55">
        <f>+V754</f>
        <v>0</v>
      </c>
      <c r="W1259" s="55"/>
      <c r="X1259" s="55">
        <f>+X754</f>
        <v>14548389.01</v>
      </c>
      <c r="Y1259" s="55">
        <f>+Y754</f>
        <v>56564632.510000005</v>
      </c>
      <c r="Z1259" s="55">
        <f>+Z754</f>
        <v>131444875.08999999</v>
      </c>
      <c r="AA1259" s="55">
        <f>+AA754</f>
        <v>56564632.510000005</v>
      </c>
      <c r="AB1259" s="55">
        <f>+AB754</f>
        <v>131444875.08999999</v>
      </c>
      <c r="AC1259" s="4"/>
    </row>
    <row r="1260" spans="1:29" x14ac:dyDescent="0.25">
      <c r="A1260" s="45"/>
      <c r="B1260" s="23"/>
      <c r="C1260" s="4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>
        <f>+O1259-14548389.01</f>
        <v>0</v>
      </c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8"/>
      <c r="AB1260" s="58"/>
      <c r="AC1260" s="4"/>
    </row>
    <row r="1261" spans="1:29" x14ac:dyDescent="0.25">
      <c r="A1261" s="45"/>
      <c r="B1261" s="23" t="s">
        <v>210</v>
      </c>
      <c r="C1261" s="4"/>
      <c r="D1261" s="58">
        <f>+D846</f>
        <v>462364437.10999995</v>
      </c>
      <c r="E1261" s="58">
        <f>+E846</f>
        <v>150757495.06</v>
      </c>
      <c r="F1261" s="58">
        <f>+F846</f>
        <v>17000000</v>
      </c>
      <c r="G1261" s="58"/>
      <c r="H1261" s="58">
        <f>+H846</f>
        <v>167757495.06</v>
      </c>
      <c r="I1261" s="58">
        <f>+I846</f>
        <v>0</v>
      </c>
      <c r="J1261" s="58">
        <f>+J846</f>
        <v>0</v>
      </c>
      <c r="K1261" s="58">
        <f>+K846</f>
        <v>0</v>
      </c>
      <c r="L1261" s="58">
        <f>+L846</f>
        <v>0</v>
      </c>
      <c r="M1261" s="58"/>
      <c r="N1261" s="58">
        <f>+N846</f>
        <v>167757495.06</v>
      </c>
      <c r="O1261" s="58">
        <f>+O846</f>
        <v>119641159.06</v>
      </c>
      <c r="P1261" s="58">
        <f>+P846</f>
        <v>0</v>
      </c>
      <c r="Q1261" s="58"/>
      <c r="R1261" s="58">
        <f>+R846</f>
        <v>119641159.06</v>
      </c>
      <c r="S1261" s="58">
        <f>+S846</f>
        <v>0</v>
      </c>
      <c r="T1261" s="58">
        <f>+T846</f>
        <v>0</v>
      </c>
      <c r="U1261" s="58">
        <f>+U846</f>
        <v>0</v>
      </c>
      <c r="V1261" s="58">
        <f>+V846</f>
        <v>0</v>
      </c>
      <c r="W1261" s="58"/>
      <c r="X1261" s="58">
        <f>+X846</f>
        <v>119641159.06</v>
      </c>
      <c r="Y1261" s="58">
        <f>+Y846</f>
        <v>287398654.11999995</v>
      </c>
      <c r="Z1261" s="58">
        <f>+Z846</f>
        <v>174965782.99000004</v>
      </c>
      <c r="AA1261" s="58">
        <f>+AA846</f>
        <v>287398654.11999995</v>
      </c>
      <c r="AB1261" s="58">
        <f>+AB846</f>
        <v>174965782.99000004</v>
      </c>
      <c r="AC1261" s="4"/>
    </row>
    <row r="1262" spans="1:29" x14ac:dyDescent="0.25">
      <c r="A1262" s="45"/>
      <c r="B1262" s="26"/>
      <c r="C1262" s="4"/>
      <c r="D1262" s="55"/>
      <c r="E1262" s="55"/>
      <c r="F1262" s="55"/>
      <c r="G1262" s="55"/>
      <c r="H1262" s="55"/>
      <c r="I1262" s="55"/>
      <c r="J1262" s="55"/>
      <c r="K1262" s="55"/>
      <c r="L1262" s="55"/>
      <c r="M1262" s="55"/>
      <c r="N1262" s="55"/>
      <c r="O1262" s="55"/>
      <c r="P1262" s="55"/>
      <c r="Q1262" s="55"/>
      <c r="R1262" s="55"/>
      <c r="S1262" s="55"/>
      <c r="T1262" s="55"/>
      <c r="U1262" s="55"/>
      <c r="V1262" s="55"/>
      <c r="W1262" s="55"/>
      <c r="X1262" s="55"/>
      <c r="Y1262" s="55"/>
      <c r="Z1262" s="55"/>
      <c r="AA1262" s="55"/>
      <c r="AB1262" s="55"/>
      <c r="AC1262" s="4"/>
    </row>
    <row r="1263" spans="1:29" x14ac:dyDescent="0.25">
      <c r="A1263" s="45"/>
      <c r="B1263" s="23" t="s">
        <v>105</v>
      </c>
      <c r="C1263" s="4"/>
      <c r="D1263" s="58">
        <f>+D899</f>
        <v>454902043.51999998</v>
      </c>
      <c r="E1263" s="58">
        <f>+E899</f>
        <v>139213576.40000001</v>
      </c>
      <c r="F1263" s="58">
        <f>+F899</f>
        <v>30000000</v>
      </c>
      <c r="G1263" s="58"/>
      <c r="H1263" s="58">
        <f>+H899</f>
        <v>169213576.40000001</v>
      </c>
      <c r="I1263" s="58">
        <f>+I899</f>
        <v>0</v>
      </c>
      <c r="J1263" s="58">
        <f>+J899</f>
        <v>0</v>
      </c>
      <c r="K1263" s="58">
        <f>+K899</f>
        <v>0</v>
      </c>
      <c r="L1263" s="58">
        <f>+L899</f>
        <v>0</v>
      </c>
      <c r="M1263" s="58"/>
      <c r="N1263" s="58">
        <f>+N899</f>
        <v>169213576.40000001</v>
      </c>
      <c r="O1263" s="58">
        <f>+O899</f>
        <v>10786107.879999999</v>
      </c>
      <c r="P1263" s="58">
        <f>+P899</f>
        <v>0</v>
      </c>
      <c r="Q1263" s="58"/>
      <c r="R1263" s="58">
        <f>+R899</f>
        <v>10786107.879999999</v>
      </c>
      <c r="S1263" s="58">
        <f>+S899</f>
        <v>356118</v>
      </c>
      <c r="T1263" s="58">
        <f>+T899</f>
        <v>0</v>
      </c>
      <c r="U1263" s="58">
        <f>+U899</f>
        <v>0</v>
      </c>
      <c r="V1263" s="58">
        <f>+V899</f>
        <v>0</v>
      </c>
      <c r="W1263" s="58"/>
      <c r="X1263" s="58">
        <f>+X899</f>
        <v>10786107.879999999</v>
      </c>
      <c r="Y1263" s="58">
        <f>+Y899</f>
        <v>179999684.28</v>
      </c>
      <c r="Z1263" s="58">
        <f>+Z899</f>
        <v>274902359.24000001</v>
      </c>
      <c r="AA1263" s="58">
        <f>+AA899</f>
        <v>179999684.28</v>
      </c>
      <c r="AB1263" s="58">
        <f>+AB899</f>
        <v>274902359.24000001</v>
      </c>
      <c r="AC1263" s="4"/>
    </row>
    <row r="1264" spans="1:29" x14ac:dyDescent="0.25">
      <c r="A1264" s="45"/>
      <c r="B1264" s="23"/>
      <c r="C1264" s="4"/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8"/>
      <c r="AB1264" s="58"/>
      <c r="AC1264" s="4"/>
    </row>
    <row r="1265" spans="1:29" x14ac:dyDescent="0.25">
      <c r="A1265" s="45"/>
      <c r="B1265" s="26" t="s">
        <v>223</v>
      </c>
      <c r="C1265" s="4"/>
      <c r="D1265" s="55">
        <f>+D969</f>
        <v>361339143.17999995</v>
      </c>
      <c r="E1265" s="55">
        <f>+E969</f>
        <v>32683629.16</v>
      </c>
      <c r="F1265" s="55">
        <f>+F969</f>
        <v>0</v>
      </c>
      <c r="G1265" s="55"/>
      <c r="H1265" s="55">
        <f>+H969</f>
        <v>32683629.16</v>
      </c>
      <c r="I1265" s="55">
        <f>+I969</f>
        <v>0</v>
      </c>
      <c r="J1265" s="55">
        <f>+J969</f>
        <v>0</v>
      </c>
      <c r="K1265" s="55">
        <f>+K969</f>
        <v>0</v>
      </c>
      <c r="L1265" s="55">
        <f>+L969</f>
        <v>0</v>
      </c>
      <c r="M1265" s="55"/>
      <c r="N1265" s="55">
        <f>+N969</f>
        <v>32683629.16</v>
      </c>
      <c r="O1265" s="55">
        <f>+O969</f>
        <v>54613402.359999999</v>
      </c>
      <c r="P1265" s="55">
        <f>+P969</f>
        <v>872518.86</v>
      </c>
      <c r="Q1265" s="55"/>
      <c r="R1265" s="55">
        <f>+R969</f>
        <v>55485921.219999999</v>
      </c>
      <c r="S1265" s="55">
        <f>+S969</f>
        <v>0</v>
      </c>
      <c r="T1265" s="55">
        <f>+T969</f>
        <v>0</v>
      </c>
      <c r="U1265" s="55">
        <f>+U969</f>
        <v>0</v>
      </c>
      <c r="V1265" s="55">
        <f>+V969</f>
        <v>0</v>
      </c>
      <c r="W1265" s="55"/>
      <c r="X1265" s="55">
        <f>+X969</f>
        <v>55485921.219999999</v>
      </c>
      <c r="Y1265" s="55">
        <f>+Y969</f>
        <v>88169550.379999995</v>
      </c>
      <c r="Z1265" s="55">
        <f>+Z969</f>
        <v>273169592.80000001</v>
      </c>
      <c r="AA1265" s="55">
        <f>+AA969</f>
        <v>88169550.379999995</v>
      </c>
      <c r="AB1265" s="55">
        <f>+AB969</f>
        <v>273169592.80000001</v>
      </c>
      <c r="AC1265" s="4"/>
    </row>
    <row r="1266" spans="1:29" x14ac:dyDescent="0.25">
      <c r="A1266" s="45"/>
      <c r="B1266" s="23"/>
      <c r="C1266" s="4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  <c r="V1266" s="58"/>
      <c r="W1266" s="58"/>
      <c r="X1266" s="58"/>
      <c r="Y1266" s="58"/>
      <c r="Z1266" s="58"/>
      <c r="AA1266" s="58"/>
      <c r="AB1266" s="58"/>
      <c r="AC1266" s="4"/>
    </row>
    <row r="1267" spans="1:29" x14ac:dyDescent="0.25">
      <c r="A1267" s="45"/>
      <c r="B1267" s="23" t="s">
        <v>232</v>
      </c>
      <c r="C1267" s="4"/>
      <c r="D1267" s="58">
        <f>+D1024</f>
        <v>404753666.30999994</v>
      </c>
      <c r="E1267" s="58">
        <f>+E1024</f>
        <v>102099613.04999998</v>
      </c>
      <c r="F1267" s="58">
        <f>+F1024</f>
        <v>7994643.3599999994</v>
      </c>
      <c r="G1267" s="58"/>
      <c r="H1267" s="58">
        <f>+H1024</f>
        <v>110094256.40999998</v>
      </c>
      <c r="I1267" s="58">
        <f>+I1024</f>
        <v>0</v>
      </c>
      <c r="J1267" s="58">
        <f>+J1024</f>
        <v>0</v>
      </c>
      <c r="K1267" s="58">
        <f>+K1024</f>
        <v>0</v>
      </c>
      <c r="L1267" s="58">
        <f>+L1024</f>
        <v>0</v>
      </c>
      <c r="M1267" s="58"/>
      <c r="N1267" s="58">
        <f>+N1024</f>
        <v>110094256.40999998</v>
      </c>
      <c r="O1267" s="58">
        <f>+O1024</f>
        <v>35888496.540000007</v>
      </c>
      <c r="P1267" s="58">
        <f>+P1024</f>
        <v>0</v>
      </c>
      <c r="Q1267" s="58"/>
      <c r="R1267" s="58">
        <f>+R1024</f>
        <v>35888496.540000007</v>
      </c>
      <c r="S1267" s="58">
        <f>+S1024</f>
        <v>0</v>
      </c>
      <c r="T1267" s="58">
        <f>+T1024</f>
        <v>0</v>
      </c>
      <c r="U1267" s="58">
        <f>+U1024</f>
        <v>0</v>
      </c>
      <c r="V1267" s="58">
        <f>+V1024</f>
        <v>0</v>
      </c>
      <c r="W1267" s="58"/>
      <c r="X1267" s="58">
        <f>+X1024</f>
        <v>35888496.540000007</v>
      </c>
      <c r="Y1267" s="58">
        <f>+Y1024</f>
        <v>145982752.94999999</v>
      </c>
      <c r="Z1267" s="58">
        <f>+Z1024</f>
        <v>258770913.35999995</v>
      </c>
      <c r="AA1267" s="58">
        <f>+AA1024</f>
        <v>145982752.94999999</v>
      </c>
      <c r="AB1267" s="58">
        <f>+AB1024</f>
        <v>258770913.35999995</v>
      </c>
      <c r="AC1267" s="4"/>
    </row>
    <row r="1268" spans="1:29" x14ac:dyDescent="0.25">
      <c r="A1268" s="45"/>
      <c r="B1268" s="26"/>
      <c r="C1268" s="4"/>
      <c r="D1268" s="55"/>
      <c r="E1268" s="55"/>
      <c r="F1268" s="55"/>
      <c r="G1268" s="55"/>
      <c r="H1268" s="55"/>
      <c r="I1268" s="55"/>
      <c r="J1268" s="55"/>
      <c r="K1268" s="55"/>
      <c r="L1268" s="55"/>
      <c r="M1268" s="55"/>
      <c r="N1268" s="55"/>
      <c r="O1268" s="55"/>
      <c r="P1268" s="55"/>
      <c r="Q1268" s="55"/>
      <c r="R1268" s="55"/>
      <c r="S1268" s="55"/>
      <c r="T1268" s="55"/>
      <c r="U1268" s="55"/>
      <c r="V1268" s="55"/>
      <c r="W1268" s="55"/>
      <c r="X1268" s="55"/>
      <c r="Y1268" s="55"/>
      <c r="Z1268" s="55"/>
      <c r="AA1268" s="55"/>
      <c r="AB1268" s="55"/>
      <c r="AC1268" s="4"/>
    </row>
    <row r="1269" spans="1:29" x14ac:dyDescent="0.25">
      <c r="A1269" s="45"/>
      <c r="B1269" s="23" t="s">
        <v>250</v>
      </c>
      <c r="C1269" s="4"/>
      <c r="D1269" s="58">
        <f>+D1075</f>
        <v>142553215.25999999</v>
      </c>
      <c r="E1269" s="58">
        <f>+E1075</f>
        <v>31036731.469999999</v>
      </c>
      <c r="F1269" s="58">
        <f>+F1075</f>
        <v>0</v>
      </c>
      <c r="G1269" s="58"/>
      <c r="H1269" s="58">
        <f>+H1075</f>
        <v>31036731.469999999</v>
      </c>
      <c r="I1269" s="58">
        <f>+I1075</f>
        <v>0</v>
      </c>
      <c r="J1269" s="58">
        <f>+J1075</f>
        <v>0</v>
      </c>
      <c r="K1269" s="58">
        <f>+K1075</f>
        <v>0</v>
      </c>
      <c r="L1269" s="58">
        <f>+L1075</f>
        <v>0</v>
      </c>
      <c r="M1269" s="58"/>
      <c r="N1269" s="58">
        <f>+N1075</f>
        <v>31036731.469999999</v>
      </c>
      <c r="O1269" s="58">
        <f>+O1075</f>
        <v>10154537.75</v>
      </c>
      <c r="P1269" s="58">
        <f>+P1075</f>
        <v>0</v>
      </c>
      <c r="Q1269" s="58"/>
      <c r="R1269" s="58">
        <f>+R1075</f>
        <v>10154537.75</v>
      </c>
      <c r="S1269" s="58">
        <f>+S1075</f>
        <v>108127.75</v>
      </c>
      <c r="T1269" s="58">
        <f>+T1075</f>
        <v>0</v>
      </c>
      <c r="U1269" s="58">
        <f>+U1075</f>
        <v>0</v>
      </c>
      <c r="V1269" s="58">
        <f>+V1075</f>
        <v>0</v>
      </c>
      <c r="W1269" s="58"/>
      <c r="X1269" s="58">
        <f>+X1075</f>
        <v>10154537.75</v>
      </c>
      <c r="Y1269" s="58">
        <f>+Y1075</f>
        <v>41191269.220000006</v>
      </c>
      <c r="Z1269" s="58">
        <f>+Z1075</f>
        <v>101361946.04000001</v>
      </c>
      <c r="AA1269" s="58">
        <f>+AA1075</f>
        <v>35601261.910000004</v>
      </c>
      <c r="AB1269" s="58">
        <f>+AB1075</f>
        <v>101361946.04000001</v>
      </c>
      <c r="AC1269" s="4"/>
    </row>
    <row r="1270" spans="1:29" x14ac:dyDescent="0.25">
      <c r="A1270" s="45"/>
      <c r="B1270" s="26"/>
      <c r="C1270" s="4"/>
      <c r="D1270" s="61"/>
      <c r="E1270" s="61"/>
      <c r="F1270" s="61"/>
      <c r="G1270" s="61"/>
      <c r="H1270" s="61"/>
      <c r="I1270" s="61"/>
      <c r="J1270" s="61"/>
      <c r="K1270" s="61"/>
      <c r="L1270" s="61"/>
      <c r="M1270" s="61"/>
      <c r="N1270" s="61"/>
      <c r="O1270" s="61"/>
      <c r="P1270" s="61"/>
      <c r="Q1270" s="61"/>
      <c r="R1270" s="61"/>
      <c r="S1270" s="61"/>
      <c r="T1270" s="61"/>
      <c r="U1270" s="61"/>
      <c r="V1270" s="61"/>
      <c r="W1270" s="61"/>
      <c r="X1270" s="61"/>
      <c r="Y1270" s="61"/>
      <c r="Z1270" s="61"/>
      <c r="AA1270" s="61"/>
      <c r="AB1270" s="61"/>
      <c r="AC1270" s="4"/>
    </row>
    <row r="1271" spans="1:29" x14ac:dyDescent="0.25">
      <c r="A1271" s="45"/>
      <c r="B1271" s="26" t="s">
        <v>119</v>
      </c>
      <c r="C1271" s="4"/>
      <c r="D1271" s="55">
        <f>+D1112</f>
        <v>494819847.26999998</v>
      </c>
      <c r="E1271" s="55">
        <f>+E1112</f>
        <v>295582780.88999999</v>
      </c>
      <c r="F1271" s="55">
        <f>+F1112</f>
        <v>29000000</v>
      </c>
      <c r="G1271" s="55"/>
      <c r="H1271" s="55">
        <f>+H1112</f>
        <v>324582780.88999999</v>
      </c>
      <c r="I1271" s="55">
        <f>+I1112</f>
        <v>0</v>
      </c>
      <c r="J1271" s="55">
        <f>+J1112</f>
        <v>0</v>
      </c>
      <c r="K1271" s="55">
        <f>+K1112</f>
        <v>0</v>
      </c>
      <c r="L1271" s="55">
        <f>+L1112</f>
        <v>0</v>
      </c>
      <c r="M1271" s="55"/>
      <c r="N1271" s="55">
        <f>+N1112</f>
        <v>324582780.88999999</v>
      </c>
      <c r="O1271" s="55">
        <f>+O1112</f>
        <v>26122796.73</v>
      </c>
      <c r="P1271" s="55">
        <f>+P1112</f>
        <v>0</v>
      </c>
      <c r="Q1271" s="55"/>
      <c r="R1271" s="55">
        <f>+R1112</f>
        <v>26122796.73</v>
      </c>
      <c r="S1271" s="55">
        <f>+S1112</f>
        <v>2594816.6699999995</v>
      </c>
      <c r="T1271" s="55">
        <f>+T1112</f>
        <v>0</v>
      </c>
      <c r="U1271" s="55">
        <f>+U1112</f>
        <v>2125646.8199999998</v>
      </c>
      <c r="V1271" s="55">
        <f>+V1112</f>
        <v>0</v>
      </c>
      <c r="W1271" s="55"/>
      <c r="X1271" s="55">
        <f>+X1112</f>
        <v>26122796.73</v>
      </c>
      <c r="Y1271" s="55">
        <f>+Y1112</f>
        <v>350705577.62</v>
      </c>
      <c r="Z1271" s="55">
        <f>+Z1112</f>
        <v>144114269.65000001</v>
      </c>
      <c r="AA1271" s="55">
        <f>+AA1112</f>
        <v>350705577.62</v>
      </c>
      <c r="AB1271" s="55">
        <f>+AB1112</f>
        <v>144114269.65000001</v>
      </c>
      <c r="AC1271" s="4"/>
    </row>
    <row r="1272" spans="1:29" x14ac:dyDescent="0.25">
      <c r="A1272" s="45"/>
      <c r="B1272" s="23"/>
      <c r="C1272" s="4"/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  <c r="V1272" s="58"/>
      <c r="W1272" s="58"/>
      <c r="X1272" s="58"/>
      <c r="Y1272" s="58"/>
      <c r="Z1272" s="58"/>
      <c r="AA1272" s="58"/>
      <c r="AB1272" s="58"/>
      <c r="AC1272" s="4"/>
    </row>
    <row r="1273" spans="1:29" x14ac:dyDescent="0.25">
      <c r="A1273" s="45"/>
      <c r="B1273" s="26" t="s">
        <v>123</v>
      </c>
      <c r="C1273" s="4"/>
      <c r="D1273" s="86">
        <f>+D1153</f>
        <v>435586343.21999997</v>
      </c>
      <c r="E1273" s="86">
        <f>+E1153</f>
        <v>45416287.910000004</v>
      </c>
      <c r="F1273" s="86">
        <f>+F1153</f>
        <v>0</v>
      </c>
      <c r="G1273" s="86"/>
      <c r="H1273" s="86">
        <f>+H1153</f>
        <v>45416287.910000004</v>
      </c>
      <c r="I1273" s="86">
        <f>+I1153</f>
        <v>0</v>
      </c>
      <c r="J1273" s="86">
        <f>+J1153</f>
        <v>0</v>
      </c>
      <c r="K1273" s="86">
        <f>+K1153</f>
        <v>0</v>
      </c>
      <c r="L1273" s="86">
        <f>+L1153</f>
        <v>0</v>
      </c>
      <c r="M1273" s="86"/>
      <c r="N1273" s="86">
        <f>+N1153</f>
        <v>45416287.910000004</v>
      </c>
      <c r="O1273" s="86">
        <f>+O1153</f>
        <v>21145021.09</v>
      </c>
      <c r="P1273" s="86">
        <f>+P1153</f>
        <v>772910.16</v>
      </c>
      <c r="Q1273" s="86"/>
      <c r="R1273" s="86">
        <f>+R1153</f>
        <v>21917931.25</v>
      </c>
      <c r="S1273" s="86">
        <f>+S1153</f>
        <v>6180303.04</v>
      </c>
      <c r="T1273" s="86">
        <f>+T1153</f>
        <v>4554143.84</v>
      </c>
      <c r="U1273" s="86">
        <f>+U1153</f>
        <v>0</v>
      </c>
      <c r="V1273" s="86">
        <f>+V1153</f>
        <v>0</v>
      </c>
      <c r="W1273" s="86"/>
      <c r="X1273" s="86">
        <f>+X1153</f>
        <v>21917931.25</v>
      </c>
      <c r="Y1273" s="86">
        <f>+Y1153</f>
        <v>67334219.159999996</v>
      </c>
      <c r="Z1273" s="86">
        <f>+Z1153</f>
        <v>368252124.06</v>
      </c>
      <c r="AA1273" s="86">
        <f>+AA1153</f>
        <v>67334219.159999996</v>
      </c>
      <c r="AB1273" s="86">
        <f>+AB1153</f>
        <v>368252124.06</v>
      </c>
      <c r="AC1273" s="4"/>
    </row>
    <row r="1274" spans="1:29" x14ac:dyDescent="0.25">
      <c r="A1274" s="45"/>
      <c r="B1274" s="26"/>
      <c r="C1274" s="4"/>
      <c r="D1274" s="55"/>
      <c r="E1274" s="55"/>
      <c r="F1274" s="55"/>
      <c r="G1274" s="55"/>
      <c r="H1274" s="55"/>
      <c r="I1274" s="55"/>
      <c r="J1274" s="55"/>
      <c r="K1274" s="55"/>
      <c r="L1274" s="55"/>
      <c r="M1274" s="55"/>
      <c r="N1274" s="55"/>
      <c r="O1274" s="55"/>
      <c r="P1274" s="55"/>
      <c r="Q1274" s="55"/>
      <c r="R1274" s="55"/>
      <c r="S1274" s="55"/>
      <c r="T1274" s="55"/>
      <c r="U1274" s="55"/>
      <c r="V1274" s="55"/>
      <c r="W1274" s="55"/>
      <c r="X1274" s="55"/>
      <c r="Y1274" s="55"/>
      <c r="Z1274" s="55"/>
      <c r="AA1274" s="55"/>
      <c r="AB1274" s="55"/>
      <c r="AC1274" s="4"/>
    </row>
    <row r="1275" spans="1:29" ht="16.5" thickBot="1" x14ac:dyDescent="0.3">
      <c r="A1275" s="45"/>
      <c r="B1275" s="163" t="s">
        <v>277</v>
      </c>
      <c r="C1275" s="4"/>
      <c r="D1275" s="87">
        <f>SUM(D1245:D1273)</f>
        <v>8868123094.1000004</v>
      </c>
      <c r="E1275" s="87">
        <f t="shared" ref="E1275:AB1275" si="425">SUM(E1245:E1273)</f>
        <v>3478560734.2689996</v>
      </c>
      <c r="F1275" s="87">
        <f t="shared" si="425"/>
        <v>367155576.51999998</v>
      </c>
      <c r="G1275" s="87"/>
      <c r="H1275" s="87">
        <f t="shared" si="425"/>
        <v>3845716310.7889996</v>
      </c>
      <c r="I1275" s="87">
        <f t="shared" si="425"/>
        <v>0</v>
      </c>
      <c r="J1275" s="87">
        <f t="shared" si="425"/>
        <v>0</v>
      </c>
      <c r="K1275" s="87">
        <f t="shared" si="425"/>
        <v>0</v>
      </c>
      <c r="L1275" s="87">
        <f t="shared" si="425"/>
        <v>0</v>
      </c>
      <c r="M1275" s="87"/>
      <c r="N1275" s="87">
        <f t="shared" si="425"/>
        <v>3845716310.7889996</v>
      </c>
      <c r="O1275" s="87">
        <f t="shared" si="425"/>
        <v>976481736.09000003</v>
      </c>
      <c r="P1275" s="87">
        <f t="shared" si="425"/>
        <v>2168271.42</v>
      </c>
      <c r="Q1275" s="87"/>
      <c r="R1275" s="87">
        <f t="shared" si="425"/>
        <v>978650007.50999987</v>
      </c>
      <c r="S1275" s="87">
        <f t="shared" si="425"/>
        <v>74953514.590000004</v>
      </c>
      <c r="T1275" s="87">
        <f t="shared" si="425"/>
        <v>24749772.529999997</v>
      </c>
      <c r="U1275" s="87">
        <f t="shared" si="425"/>
        <v>2125646.8199999998</v>
      </c>
      <c r="V1275" s="87">
        <f t="shared" si="425"/>
        <v>0</v>
      </c>
      <c r="W1275" s="87"/>
      <c r="X1275" s="87">
        <f t="shared" si="425"/>
        <v>978650007.50999987</v>
      </c>
      <c r="Y1275" s="87">
        <f t="shared" si="425"/>
        <v>4824366318.2990007</v>
      </c>
      <c r="Z1275" s="87">
        <f t="shared" si="425"/>
        <v>4043756775.8010011</v>
      </c>
      <c r="AA1275" s="87">
        <f t="shared" si="425"/>
        <v>3931121540.4430003</v>
      </c>
      <c r="AB1275" s="87">
        <f t="shared" si="425"/>
        <v>4043756775.8010011</v>
      </c>
      <c r="AC1275" s="4"/>
    </row>
    <row r="1276" spans="1:29" ht="16.5" thickTop="1" x14ac:dyDescent="0.25">
      <c r="A1276" s="45"/>
      <c r="B1276" s="26"/>
      <c r="C1276" s="4"/>
      <c r="D1276" s="55"/>
      <c r="E1276" s="55"/>
      <c r="F1276" s="55"/>
      <c r="G1276" s="55"/>
      <c r="H1276" s="55"/>
      <c r="I1276" s="55"/>
      <c r="J1276" s="55"/>
      <c r="K1276" s="55"/>
      <c r="L1276" s="55"/>
      <c r="M1276" s="55"/>
      <c r="N1276" s="55"/>
      <c r="O1276" s="55"/>
      <c r="P1276" s="55"/>
      <c r="Q1276" s="55"/>
      <c r="R1276" s="55"/>
      <c r="S1276" s="55"/>
      <c r="T1276" s="55"/>
      <c r="U1276" s="55"/>
      <c r="V1276" s="55"/>
      <c r="W1276" s="55"/>
      <c r="X1276" s="55"/>
      <c r="Y1276" s="55"/>
      <c r="Z1276" s="55"/>
      <c r="AA1276" s="55"/>
      <c r="AB1276" s="55"/>
      <c r="AC1276" s="4"/>
    </row>
    <row r="1277" spans="1:29" x14ac:dyDescent="0.25">
      <c r="A1277" s="45"/>
      <c r="P1277" s="56">
        <f>+P1213-P1275</f>
        <v>0</v>
      </c>
      <c r="X1277" s="83"/>
      <c r="Y1277" s="63"/>
      <c r="Z1277" s="55"/>
      <c r="AA1277" s="55"/>
      <c r="AB1277" s="55"/>
      <c r="AC1277" s="4"/>
    </row>
    <row r="1278" spans="1:29" x14ac:dyDescent="0.25">
      <c r="A1278" s="45"/>
      <c r="B1278" s="30"/>
      <c r="C1278" s="4"/>
      <c r="D1278" s="55"/>
      <c r="E1278" s="55"/>
      <c r="F1278" s="55"/>
      <c r="G1278" s="55"/>
      <c r="H1278" s="55"/>
      <c r="I1278" s="55"/>
      <c r="J1278" s="55"/>
      <c r="K1278" s="55"/>
      <c r="L1278" s="55"/>
      <c r="M1278" s="55"/>
      <c r="N1278" s="55"/>
      <c r="O1278" s="55"/>
      <c r="P1278" s="55"/>
      <c r="Q1278" s="55"/>
      <c r="R1278" s="55"/>
      <c r="S1278" s="55"/>
      <c r="T1278" s="55"/>
      <c r="U1278" s="55"/>
      <c r="V1278" s="55"/>
      <c r="W1278" s="55"/>
      <c r="X1278" s="55"/>
      <c r="Y1278" s="55"/>
      <c r="Z1278" s="55"/>
      <c r="AA1278" s="55"/>
      <c r="AB1278" s="55"/>
      <c r="AC1278" s="4"/>
    </row>
    <row r="1279" spans="1:29" ht="16.5" thickBot="1" x14ac:dyDescent="0.3">
      <c r="A1279" s="45"/>
      <c r="B1279" s="4" t="s">
        <v>292</v>
      </c>
      <c r="D1279" s="87">
        <f>+D1159</f>
        <v>35413719.18</v>
      </c>
      <c r="E1279" s="55"/>
      <c r="F1279" s="55"/>
      <c r="G1279" s="55"/>
      <c r="H1279" s="55"/>
      <c r="I1279" s="55"/>
      <c r="J1279" s="55"/>
      <c r="K1279" s="55"/>
      <c r="L1279" s="55"/>
      <c r="M1279" s="55"/>
      <c r="N1279" s="55"/>
      <c r="O1279" s="87">
        <f>+O1216</f>
        <v>35413719.180000007</v>
      </c>
      <c r="P1279" s="87">
        <f>+P1216</f>
        <v>0</v>
      </c>
      <c r="Q1279" s="55"/>
      <c r="R1279" s="87">
        <f>+O1279+P1279</f>
        <v>35413719.180000007</v>
      </c>
      <c r="S1279" s="55"/>
      <c r="T1279" s="55"/>
      <c r="U1279" s="55"/>
      <c r="V1279" s="87">
        <f>+V1216</f>
        <v>0</v>
      </c>
      <c r="W1279" s="83"/>
      <c r="AC1279" s="4"/>
    </row>
    <row r="1280" spans="1:29" ht="16.5" thickTop="1" x14ac:dyDescent="0.25">
      <c r="A1280" s="45"/>
      <c r="B1280" s="31"/>
      <c r="AC1280" s="4"/>
    </row>
    <row r="1281" spans="1:29" x14ac:dyDescent="0.25">
      <c r="A1281" s="45"/>
      <c r="K1281" s="88"/>
      <c r="AC1281" s="4"/>
    </row>
    <row r="1282" spans="1:29" x14ac:dyDescent="0.25">
      <c r="A1282" s="45"/>
      <c r="AC1282" s="4"/>
    </row>
    <row r="1283" spans="1:29" x14ac:dyDescent="0.25">
      <c r="A1283" s="45"/>
      <c r="AC1283" s="4"/>
    </row>
    <row r="1284" spans="1:29" x14ac:dyDescent="0.25">
      <c r="A1284" s="45"/>
      <c r="AC1284" s="4"/>
    </row>
    <row r="1285" spans="1:29" x14ac:dyDescent="0.25">
      <c r="A1285" s="45"/>
      <c r="AC1285" s="4"/>
    </row>
    <row r="1286" spans="1:29" x14ac:dyDescent="0.25">
      <c r="A1286" s="45"/>
    </row>
    <row r="1287" spans="1:29" x14ac:dyDescent="0.25">
      <c r="A1287" s="45"/>
    </row>
    <row r="1288" spans="1:29" x14ac:dyDescent="0.25">
      <c r="A1288" s="45"/>
    </row>
    <row r="1289" spans="1:29" x14ac:dyDescent="0.25">
      <c r="A1289" s="45"/>
    </row>
    <row r="1290" spans="1:29" x14ac:dyDescent="0.25">
      <c r="A1290" s="45"/>
    </row>
    <row r="1291" spans="1:29" x14ac:dyDescent="0.25">
      <c r="A1291" s="45"/>
    </row>
    <row r="1292" spans="1:29" x14ac:dyDescent="0.25">
      <c r="A1292" s="45"/>
    </row>
    <row r="1293" spans="1:29" x14ac:dyDescent="0.25">
      <c r="A1293" s="45"/>
    </row>
    <row r="1294" spans="1:29" x14ac:dyDescent="0.25">
      <c r="A1294" s="45"/>
    </row>
    <row r="1295" spans="1:29" x14ac:dyDescent="0.25">
      <c r="A1295" s="45"/>
    </row>
    <row r="1296" spans="1:29" x14ac:dyDescent="0.25">
      <c r="A1296" s="45"/>
    </row>
    <row r="1297" spans="1:1" x14ac:dyDescent="0.25">
      <c r="A1297" s="45"/>
    </row>
    <row r="1298" spans="1:1" x14ac:dyDescent="0.25">
      <c r="A1298" s="45"/>
    </row>
    <row r="1299" spans="1:1" x14ac:dyDescent="0.25">
      <c r="A1299" s="45"/>
    </row>
    <row r="1300" spans="1:1" x14ac:dyDescent="0.25">
      <c r="A1300" s="45"/>
    </row>
    <row r="1301" spans="1:1" x14ac:dyDescent="0.25">
      <c r="A1301" s="45"/>
    </row>
    <row r="1302" spans="1:1" x14ac:dyDescent="0.25">
      <c r="A1302" s="43"/>
    </row>
    <row r="1303" spans="1:1" x14ac:dyDescent="0.25">
      <c r="A1303" s="43"/>
    </row>
    <row r="1304" spans="1:1" x14ac:dyDescent="0.25">
      <c r="A1304" s="43"/>
    </row>
    <row r="1305" spans="1:1" x14ac:dyDescent="0.25">
      <c r="A1305" s="43"/>
    </row>
    <row r="1306" spans="1:1" x14ac:dyDescent="0.25">
      <c r="A1306" s="43"/>
    </row>
    <row r="1307" spans="1:1" x14ac:dyDescent="0.25">
      <c r="A1307" s="43"/>
    </row>
    <row r="1308" spans="1:1" x14ac:dyDescent="0.25">
      <c r="A1308" s="43"/>
    </row>
    <row r="1309" spans="1:1" x14ac:dyDescent="0.25">
      <c r="A1309" s="43"/>
    </row>
    <row r="1310" spans="1:1" x14ac:dyDescent="0.25">
      <c r="A1310" s="43"/>
    </row>
    <row r="65534" spans="33:33" x14ac:dyDescent="0.25">
      <c r="AG65534" t="s">
        <v>279</v>
      </c>
    </row>
  </sheetData>
  <sheetProtection sheet="1" objects="1" scenarios="1"/>
  <phoneticPr fontId="15" type="noConversion"/>
  <pageMargins left="1.24" right="0" top="0.61" bottom="0.2" header="0.9" footer="0.22"/>
  <pageSetup paperSize="5" scale="40" orientation="landscape" r:id="rId1"/>
  <headerFooter alignWithMargins="0"/>
  <rowBreaks count="18" manualBreakCount="18">
    <brk id="79" max="27" man="1"/>
    <brk id="129" max="27" man="1"/>
    <brk id="203" max="27" man="1"/>
    <brk id="269" max="27" man="1"/>
    <brk id="342" max="27" man="1"/>
    <brk id="408" max="27" man="1"/>
    <brk id="455" max="27" man="1"/>
    <brk id="522" max="27" man="1"/>
    <brk id="577" max="27" man="1"/>
    <brk id="650" max="27" man="1"/>
    <brk id="724" max="27" man="1"/>
    <brk id="798" max="27" man="1"/>
    <brk id="870" max="27" man="1"/>
    <brk id="944" max="27" man="1"/>
    <brk id="971" max="27" man="1"/>
    <brk id="1027" max="27" man="1"/>
    <brk id="1076" max="27" man="1"/>
    <brk id="1113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Sheet1</vt:lpstr>
      <vt:lpstr>Sheet2</vt:lpstr>
      <vt:lpstr>Sheet3</vt:lpstr>
      <vt:lpstr>TOBEPAID</vt:lpstr>
      <vt:lpstr>Chart1</vt:lpstr>
      <vt:lpstr>Sheet3!Print_Area</vt:lpstr>
      <vt:lpstr>TOBEPAID!Print_Area</vt:lpstr>
      <vt:lpstr>Print_Area</vt:lpstr>
      <vt:lpstr>TOBEPAID!Print_Area_MI</vt:lpstr>
      <vt:lpstr>PRINT_AREA_MI</vt:lpstr>
      <vt:lpstr>Sheet3!Print_Titles</vt:lpstr>
      <vt:lpstr>Print_Titles</vt:lpstr>
      <vt:lpstr>TOBEPAID!Print_Titles_MI</vt:lpstr>
      <vt:lpstr>PRINT_TITLES_MI</vt:lpstr>
    </vt:vector>
  </TitlesOfParts>
  <Company>NEA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BLD</dc:creator>
  <cp:lastModifiedBy>user</cp:lastModifiedBy>
  <cp:lastPrinted>2013-04-08T08:26:53Z</cp:lastPrinted>
  <dcterms:created xsi:type="dcterms:W3CDTF">2003-05-07T08:45:14Z</dcterms:created>
  <dcterms:modified xsi:type="dcterms:W3CDTF">2013-04-11T08:13:36Z</dcterms:modified>
</cp:coreProperties>
</file>